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drawings/drawing5.xml" ContentType="application/vnd.openxmlformats-officedocument.drawing+xml"/>
  <Override PartName="/xl/charts/chart14.xml" ContentType="application/vnd.openxmlformats-officedocument.drawingml.chart+xml"/>
  <Override PartName="/xl/drawings/drawing6.xml" ContentType="application/vnd.openxmlformats-officedocument.drawing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drawings/drawing8.xml" ContentType="application/vnd.openxmlformats-officedocument.drawing+xml"/>
  <Override PartName="/xl/charts/chart17.xml" ContentType="application/vnd.openxmlformats-officedocument.drawingml.chart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0.xml" ContentType="application/vnd.openxmlformats-officedocument.drawing+xml"/>
  <Override PartName="/xl/charts/chart23.xml" ContentType="application/vnd.openxmlformats-officedocument.drawingml.chart+xml"/>
  <Override PartName="/xl/drawings/drawing11.xml" ContentType="application/vnd.openxmlformats-officedocument.drawing+xml"/>
  <Override PartName="/xl/charts/chart24.xml" ContentType="application/vnd.openxmlformats-officedocument.drawingml.chart+xml"/>
  <Override PartName="/xl/drawings/drawing12.xml" ContentType="application/vnd.openxmlformats-officedocument.drawing+xml"/>
  <Override PartName="/xl/charts/chart25.xml" ContentType="application/vnd.openxmlformats-officedocument.drawingml.chart+xml"/>
  <Override PartName="/xl/drawings/drawing13.xml" ContentType="application/vnd.openxmlformats-officedocument.drawing+xml"/>
  <Override PartName="/xl/charts/chart26.xml" ContentType="application/vnd.openxmlformats-officedocument.drawingml.chart+xml"/>
  <Override PartName="/xl/drawings/drawing14.xml" ContentType="application/vnd.openxmlformats-officedocument.drawing+xml"/>
  <Override PartName="/xl/charts/chart27.xml" ContentType="application/vnd.openxmlformats-officedocument.drawingml.chart+xml"/>
  <Override PartName="/xl/drawings/drawing15.xml" ContentType="application/vnd.openxmlformats-officedocument.drawing+xml"/>
  <Override PartName="/xl/charts/chart28.xml" ContentType="application/vnd.openxmlformats-officedocument.drawingml.chart+xml"/>
  <Override PartName="/xl/drawings/drawing16.xml" ContentType="application/vnd.openxmlformats-officedocument.drawing+xml"/>
  <Override PartName="/xl/charts/chart29.xml" ContentType="application/vnd.openxmlformats-officedocument.drawingml.chart+xml"/>
  <Override PartName="/xl/drawings/drawing17.xml" ContentType="application/vnd.openxmlformats-officedocument.drawing+xml"/>
  <Override PartName="/xl/charts/chart30.xml" ContentType="application/vnd.openxmlformats-officedocument.drawingml.chart+xml"/>
  <Override PartName="/xl/drawings/drawing18.xml" ContentType="application/vnd.openxmlformats-officedocument.drawing+xml"/>
  <Override PartName="/xl/charts/chart31.xml" ContentType="application/vnd.openxmlformats-officedocument.drawingml.chart+xml"/>
  <Override PartName="/xl/drawings/drawing19.xml" ContentType="application/vnd.openxmlformats-officedocument.drawing+xml"/>
  <Override PartName="/xl/charts/chart32.xml" ContentType="application/vnd.openxmlformats-officedocument.drawingml.chart+xml"/>
  <Override PartName="/xl/drawings/drawing20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drawings/drawing23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drawings/drawing24.xml" ContentType="application/vnd.openxmlformats-officedocument.drawing+xml"/>
  <Override PartName="/xl/charts/chart5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6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6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6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addeyd\Downloads\"/>
    </mc:Choice>
  </mc:AlternateContent>
  <xr:revisionPtr revIDLastSave="0" documentId="13_ncr:1_{A4E557BB-9434-4B70-B86F-E37622CCC3B8}" xr6:coauthVersionLast="47" xr6:coauthVersionMax="47" xr10:uidLastSave="{00000000-0000-0000-0000-000000000000}"/>
  <bookViews>
    <workbookView xWindow="28680" yWindow="-120" windowWidth="29040" windowHeight="15720" tabRatio="852" xr2:uid="{00000000-000D-0000-FFFF-FFFF00000000}"/>
  </bookViews>
  <sheets>
    <sheet name="Results Summary" sheetId="158" r:id="rId1"/>
    <sheet name="Monthly Data" sheetId="67" r:id="rId2"/>
    <sheet name="Economic" sheetId="65" r:id="rId3"/>
    <sheet name="Weather" sheetId="4" r:id="rId4"/>
    <sheet name="CDM" sheetId="148" r:id="rId5"/>
    <sheet name="Res Predicted Monthly" sheetId="28" r:id="rId6"/>
    <sheet name="GS&lt;50 Predicted Monthly" sheetId="30" r:id="rId7"/>
    <sheet name="GS &gt; 50 Predicted Monthly" sheetId="150" r:id="rId8"/>
    <sheet name="GS Co Gen Predicted Monthly" sheetId="32" r:id="rId9"/>
    <sheet name="GS Co Gen Predicted (-HDD)" sheetId="157" r:id="rId10"/>
    <sheet name="Large Use Predicted Monthly" sheetId="153" r:id="rId11"/>
    <sheet name="EV Data" sheetId="149" r:id="rId12"/>
    <sheet name="EV Forecast" sheetId="69" r:id="rId13"/>
    <sheet name="Heating" sheetId="70" r:id="rId14"/>
    <sheet name="Total Additional-Lost Loads" sheetId="71" r:id="rId15"/>
    <sheet name="Model Summary" sheetId="15" r:id="rId16"/>
    <sheet name="Res Normalized Monthly" sheetId="38" r:id="rId17"/>
    <sheet name="GS&lt;50 Normalized Monthly" sheetId="34" r:id="rId18"/>
    <sheet name="GS&gt;50 Normalized Monthly" sheetId="36" r:id="rId19"/>
    <sheet name="GS Co Gen Normalized Monthly" sheetId="151" r:id="rId20"/>
    <sheet name="Large Use Normalized Monthly" sheetId="154" r:id="rId21"/>
    <sheet name="Res Normalized Monthly WN" sheetId="75" r:id="rId22"/>
    <sheet name="GS&lt;50 Normalized Monthly WN" sheetId="76" r:id="rId23"/>
    <sheet name="GS&gt;50 Normalized Monthly WN" sheetId="77" r:id="rId24"/>
    <sheet name="GS Co Gen Normalized Monthly WN" sheetId="152" r:id="rId25"/>
    <sheet name="Large Use Normalized Monthly WN" sheetId="155" r:id="rId26"/>
    <sheet name="Normalized Annual Summary" sheetId="17" r:id="rId27"/>
    <sheet name="Customer Count" sheetId="23" r:id="rId28"/>
    <sheet name="kW Forecast" sheetId="24" r:id="rId29"/>
    <sheet name="kW Forecast (Weather Normal)" sheetId="156" r:id="rId30"/>
    <sheet name="CDM-eDSM Framework" sheetId="72" r:id="rId31"/>
    <sheet name="CDM Adjustment" sheetId="73" r:id="rId32"/>
    <sheet name="Summary Tables" sheetId="25" r:id="rId33"/>
    <sheet name="Summary Tables (Weather Normal)" sheetId="74" r:id="rId34"/>
  </sheets>
  <definedNames>
    <definedName name="_Fill" hidden="1">#REF!</definedName>
    <definedName name="_Order1" hidden="1">255</definedName>
    <definedName name="_Order2" hidden="1">0</definedName>
    <definedName name="_Sort" hidden="1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1" i="36" l="1"/>
  <c r="S111" i="36" s="1"/>
  <c r="J112" i="36"/>
  <c r="J113" i="36"/>
  <c r="J125" i="36" s="1"/>
  <c r="S125" i="36" s="1"/>
  <c r="J114" i="36"/>
  <c r="J126" i="36" s="1"/>
  <c r="S126" i="36" s="1"/>
  <c r="J115" i="36"/>
  <c r="J127" i="36" s="1"/>
  <c r="S127" i="36" s="1"/>
  <c r="J116" i="36"/>
  <c r="J117" i="36"/>
  <c r="S117" i="36" s="1"/>
  <c r="J118" i="36"/>
  <c r="J119" i="36"/>
  <c r="J120" i="36"/>
  <c r="J132" i="36" s="1"/>
  <c r="S132" i="36" s="1"/>
  <c r="J121" i="36"/>
  <c r="J122" i="36"/>
  <c r="S122" i="36" s="1"/>
  <c r="J123" i="36"/>
  <c r="S123" i="36" s="1"/>
  <c r="J124" i="36"/>
  <c r="S124" i="36" s="1"/>
  <c r="J128" i="36"/>
  <c r="J129" i="36"/>
  <c r="J130" i="36"/>
  <c r="J131" i="36"/>
  <c r="S131" i="36" s="1"/>
  <c r="J133" i="36"/>
  <c r="S133" i="36" s="1"/>
  <c r="J110" i="36"/>
  <c r="L111" i="77"/>
  <c r="L123" i="77" s="1"/>
  <c r="U123" i="77" s="1"/>
  <c r="L112" i="77"/>
  <c r="L113" i="77"/>
  <c r="U113" i="77" s="1"/>
  <c r="L114" i="77"/>
  <c r="U114" i="77" s="1"/>
  <c r="L115" i="77"/>
  <c r="L127" i="77" s="1"/>
  <c r="U127" i="77" s="1"/>
  <c r="L116" i="77"/>
  <c r="L128" i="77" s="1"/>
  <c r="U128" i="77" s="1"/>
  <c r="L117" i="77"/>
  <c r="L118" i="77"/>
  <c r="U118" i="77" s="1"/>
  <c r="L119" i="77"/>
  <c r="L120" i="77"/>
  <c r="L132" i="77" s="1"/>
  <c r="U132" i="77" s="1"/>
  <c r="L121" i="77"/>
  <c r="L133" i="77" s="1"/>
  <c r="U133" i="77" s="1"/>
  <c r="L122" i="77"/>
  <c r="L124" i="77"/>
  <c r="L126" i="77"/>
  <c r="U126" i="77" s="1"/>
  <c r="L129" i="77"/>
  <c r="U129" i="77" s="1"/>
  <c r="L130" i="77"/>
  <c r="U130" i="77" s="1"/>
  <c r="L131" i="77"/>
  <c r="U131" i="77" s="1"/>
  <c r="L110" i="77"/>
  <c r="U111" i="77"/>
  <c r="V111" i="77"/>
  <c r="U112" i="77"/>
  <c r="V112" i="77"/>
  <c r="V113" i="77"/>
  <c r="V114" i="77"/>
  <c r="V115" i="77"/>
  <c r="U116" i="77"/>
  <c r="V116" i="77"/>
  <c r="U117" i="77"/>
  <c r="V117" i="77"/>
  <c r="V118" i="77"/>
  <c r="U119" i="77"/>
  <c r="V119" i="77"/>
  <c r="V120" i="77"/>
  <c r="U121" i="77"/>
  <c r="V121" i="77"/>
  <c r="U122" i="77"/>
  <c r="V122" i="77"/>
  <c r="V123" i="77"/>
  <c r="U124" i="77"/>
  <c r="V124" i="77"/>
  <c r="V125" i="77"/>
  <c r="V126" i="77"/>
  <c r="V127" i="77"/>
  <c r="V128" i="77"/>
  <c r="V129" i="77"/>
  <c r="V130" i="77"/>
  <c r="V131" i="77"/>
  <c r="V132" i="77"/>
  <c r="V133" i="77"/>
  <c r="V110" i="77"/>
  <c r="U110" i="77"/>
  <c r="V1" i="77"/>
  <c r="L3" i="77"/>
  <c r="L4" i="77"/>
  <c r="L5" i="77"/>
  <c r="L6" i="77"/>
  <c r="L7" i="77"/>
  <c r="L8" i="77"/>
  <c r="L9" i="77"/>
  <c r="L10" i="77"/>
  <c r="L11" i="77"/>
  <c r="L12" i="77"/>
  <c r="L13" i="77"/>
  <c r="L14" i="77"/>
  <c r="L15" i="77"/>
  <c r="L16" i="77"/>
  <c r="L17" i="77"/>
  <c r="L18" i="77"/>
  <c r="L19" i="77"/>
  <c r="L20" i="77"/>
  <c r="L21" i="77"/>
  <c r="L22" i="77"/>
  <c r="L23" i="77"/>
  <c r="L24" i="77"/>
  <c r="L25" i="77"/>
  <c r="L26" i="77"/>
  <c r="L27" i="77"/>
  <c r="L28" i="77"/>
  <c r="L29" i="77"/>
  <c r="L30" i="77"/>
  <c r="L31" i="77"/>
  <c r="L32" i="77"/>
  <c r="L33" i="77"/>
  <c r="L34" i="77"/>
  <c r="L35" i="77"/>
  <c r="L36" i="77"/>
  <c r="L37" i="77"/>
  <c r="L38" i="77"/>
  <c r="L39" i="77"/>
  <c r="L40" i="77"/>
  <c r="L41" i="77"/>
  <c r="L42" i="77"/>
  <c r="L43" i="77"/>
  <c r="L44" i="77"/>
  <c r="L45" i="77"/>
  <c r="L46" i="77"/>
  <c r="L47" i="77"/>
  <c r="L48" i="77"/>
  <c r="L49" i="77"/>
  <c r="L50" i="77"/>
  <c r="L51" i="77"/>
  <c r="L52" i="77"/>
  <c r="L53" i="77"/>
  <c r="L54" i="77"/>
  <c r="L55" i="77"/>
  <c r="L56" i="77"/>
  <c r="L57" i="77"/>
  <c r="L58" i="77"/>
  <c r="L59" i="77"/>
  <c r="L60" i="77"/>
  <c r="L61" i="77"/>
  <c r="L62" i="77"/>
  <c r="L63" i="77"/>
  <c r="L64" i="77"/>
  <c r="L65" i="77"/>
  <c r="L66" i="77"/>
  <c r="L67" i="77"/>
  <c r="L68" i="77"/>
  <c r="L69" i="77"/>
  <c r="L70" i="77"/>
  <c r="L71" i="77"/>
  <c r="L72" i="77"/>
  <c r="L73" i="77"/>
  <c r="L74" i="77"/>
  <c r="L75" i="77"/>
  <c r="L76" i="77"/>
  <c r="L77" i="77"/>
  <c r="L78" i="77"/>
  <c r="L79" i="77"/>
  <c r="L80" i="77"/>
  <c r="L81" i="77"/>
  <c r="L82" i="77"/>
  <c r="L83" i="77"/>
  <c r="L84" i="77"/>
  <c r="L85" i="77"/>
  <c r="L86" i="77"/>
  <c r="L87" i="77"/>
  <c r="L88" i="77"/>
  <c r="L89" i="77"/>
  <c r="L90" i="77"/>
  <c r="L91" i="77"/>
  <c r="L92" i="77"/>
  <c r="L93" i="77"/>
  <c r="L94" i="77"/>
  <c r="L95" i="77"/>
  <c r="L96" i="77"/>
  <c r="L97" i="77"/>
  <c r="L98" i="77"/>
  <c r="L99" i="77"/>
  <c r="L100" i="77"/>
  <c r="L101" i="77"/>
  <c r="L102" i="77"/>
  <c r="L103" i="77"/>
  <c r="L104" i="77"/>
  <c r="L105" i="77"/>
  <c r="L106" i="77"/>
  <c r="L107" i="77"/>
  <c r="L108" i="77"/>
  <c r="L109" i="77"/>
  <c r="L2" i="77"/>
  <c r="L1" i="77"/>
  <c r="U1" i="77" s="1"/>
  <c r="T3" i="36"/>
  <c r="T4" i="36"/>
  <c r="T5" i="36"/>
  <c r="T6" i="36"/>
  <c r="T7" i="36"/>
  <c r="T8" i="36"/>
  <c r="T9" i="36"/>
  <c r="T10" i="36"/>
  <c r="T11" i="36"/>
  <c r="T12" i="36"/>
  <c r="T13" i="36"/>
  <c r="T14" i="36"/>
  <c r="T15" i="36"/>
  <c r="T16" i="36"/>
  <c r="T17" i="36"/>
  <c r="T18" i="36"/>
  <c r="T19" i="36"/>
  <c r="T20" i="36"/>
  <c r="T21" i="36"/>
  <c r="T22" i="36"/>
  <c r="T23" i="36"/>
  <c r="T24" i="36"/>
  <c r="T25" i="36"/>
  <c r="T26" i="36"/>
  <c r="T27" i="36"/>
  <c r="T28" i="36"/>
  <c r="T29" i="36"/>
  <c r="T30" i="36"/>
  <c r="T31" i="36"/>
  <c r="T32" i="36"/>
  <c r="T33" i="36"/>
  <c r="T34" i="36"/>
  <c r="T35" i="36"/>
  <c r="T36" i="36"/>
  <c r="T37" i="36"/>
  <c r="T38" i="36"/>
  <c r="T39" i="36"/>
  <c r="T40" i="36"/>
  <c r="T41" i="36"/>
  <c r="T42" i="36"/>
  <c r="T43" i="36"/>
  <c r="T44" i="36"/>
  <c r="T45" i="36"/>
  <c r="T46" i="36"/>
  <c r="T47" i="36"/>
  <c r="T48" i="36"/>
  <c r="T49" i="36"/>
  <c r="T50" i="36"/>
  <c r="T51" i="36"/>
  <c r="T52" i="36"/>
  <c r="T53" i="36"/>
  <c r="T54" i="36"/>
  <c r="T55" i="36"/>
  <c r="T56" i="36"/>
  <c r="T57" i="36"/>
  <c r="T58" i="36"/>
  <c r="T59" i="36"/>
  <c r="T60" i="36"/>
  <c r="T61" i="36"/>
  <c r="T62" i="36"/>
  <c r="T63" i="36"/>
  <c r="T64" i="36"/>
  <c r="T65" i="36"/>
  <c r="T66" i="36"/>
  <c r="T67" i="36"/>
  <c r="T68" i="36"/>
  <c r="T69" i="36"/>
  <c r="T70" i="36"/>
  <c r="T71" i="36"/>
  <c r="T72" i="36"/>
  <c r="T73" i="36"/>
  <c r="T74" i="36"/>
  <c r="T75" i="36"/>
  <c r="T76" i="36"/>
  <c r="T77" i="36"/>
  <c r="T78" i="36"/>
  <c r="T79" i="36"/>
  <c r="T80" i="36"/>
  <c r="T81" i="36"/>
  <c r="T82" i="36"/>
  <c r="T83" i="36"/>
  <c r="T84" i="36"/>
  <c r="T85" i="36"/>
  <c r="T86" i="36"/>
  <c r="T87" i="36"/>
  <c r="T88" i="36"/>
  <c r="T89" i="36"/>
  <c r="T90" i="36"/>
  <c r="T91" i="36"/>
  <c r="T92" i="36"/>
  <c r="T93" i="36"/>
  <c r="T94" i="36"/>
  <c r="T95" i="36"/>
  <c r="T96" i="36"/>
  <c r="T97" i="36"/>
  <c r="T98" i="36"/>
  <c r="T99" i="36"/>
  <c r="T100" i="36"/>
  <c r="T101" i="36"/>
  <c r="T102" i="36"/>
  <c r="T103" i="36"/>
  <c r="T104" i="36"/>
  <c r="T105" i="36"/>
  <c r="T106" i="36"/>
  <c r="T107" i="36"/>
  <c r="T108" i="36"/>
  <c r="T109" i="36"/>
  <c r="T110" i="36"/>
  <c r="T111" i="36"/>
  <c r="T112" i="36"/>
  <c r="T113" i="36"/>
  <c r="T114" i="36"/>
  <c r="T115" i="36"/>
  <c r="T116" i="36"/>
  <c r="T117" i="36"/>
  <c r="T118" i="36"/>
  <c r="T119" i="36"/>
  <c r="T120" i="36"/>
  <c r="T121" i="36"/>
  <c r="T122" i="36"/>
  <c r="T123" i="36"/>
  <c r="T124" i="36"/>
  <c r="T125" i="36"/>
  <c r="T126" i="36"/>
  <c r="T127" i="36"/>
  <c r="T128" i="36"/>
  <c r="T129" i="36"/>
  <c r="T130" i="36"/>
  <c r="T131" i="36"/>
  <c r="T132" i="36"/>
  <c r="T133" i="36"/>
  <c r="S3" i="36"/>
  <c r="S4" i="36"/>
  <c r="S5" i="36"/>
  <c r="S6" i="36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24" i="36"/>
  <c r="S25" i="36"/>
  <c r="S26" i="36"/>
  <c r="S27" i="36"/>
  <c r="S28" i="36"/>
  <c r="S29" i="36"/>
  <c r="S30" i="36"/>
  <c r="S31" i="36"/>
  <c r="S32" i="36"/>
  <c r="S33" i="36"/>
  <c r="S34" i="36"/>
  <c r="S35" i="36"/>
  <c r="S36" i="36"/>
  <c r="S37" i="36"/>
  <c r="S38" i="36"/>
  <c r="S39" i="36"/>
  <c r="S40" i="36"/>
  <c r="S41" i="36"/>
  <c r="S42" i="36"/>
  <c r="S43" i="36"/>
  <c r="S44" i="36"/>
  <c r="S45" i="36"/>
  <c r="S46" i="36"/>
  <c r="S47" i="36"/>
  <c r="S48" i="36"/>
  <c r="S49" i="36"/>
  <c r="S50" i="36"/>
  <c r="S51" i="36"/>
  <c r="S52" i="36"/>
  <c r="S53" i="36"/>
  <c r="S54" i="36"/>
  <c r="S55" i="36"/>
  <c r="S56" i="36"/>
  <c r="S57" i="36"/>
  <c r="S58" i="36"/>
  <c r="S59" i="36"/>
  <c r="S60" i="36"/>
  <c r="S61" i="36"/>
  <c r="S62" i="36"/>
  <c r="S63" i="36"/>
  <c r="S64" i="36"/>
  <c r="S65" i="36"/>
  <c r="S66" i="36"/>
  <c r="S67" i="36"/>
  <c r="S68" i="36"/>
  <c r="S69" i="36"/>
  <c r="S70" i="36"/>
  <c r="S71" i="36"/>
  <c r="S72" i="36"/>
  <c r="S73" i="36"/>
  <c r="S74" i="36"/>
  <c r="S75" i="36"/>
  <c r="S76" i="36"/>
  <c r="S77" i="36"/>
  <c r="S78" i="36"/>
  <c r="S79" i="36"/>
  <c r="S80" i="36"/>
  <c r="S81" i="36"/>
  <c r="S82" i="36"/>
  <c r="S83" i="36"/>
  <c r="S84" i="36"/>
  <c r="S85" i="36"/>
  <c r="S86" i="36"/>
  <c r="S87" i="36"/>
  <c r="S88" i="36"/>
  <c r="S89" i="36"/>
  <c r="S90" i="36"/>
  <c r="S91" i="36"/>
  <c r="S92" i="36"/>
  <c r="S93" i="36"/>
  <c r="S94" i="36"/>
  <c r="S95" i="36"/>
  <c r="S96" i="36"/>
  <c r="S97" i="36"/>
  <c r="S98" i="36"/>
  <c r="S99" i="36"/>
  <c r="S100" i="36"/>
  <c r="S101" i="36"/>
  <c r="S102" i="36"/>
  <c r="S103" i="36"/>
  <c r="S104" i="36"/>
  <c r="S105" i="36"/>
  <c r="S106" i="36"/>
  <c r="S107" i="36"/>
  <c r="S108" i="36"/>
  <c r="S109" i="36"/>
  <c r="S110" i="36"/>
  <c r="S112" i="36"/>
  <c r="S113" i="36"/>
  <c r="S114" i="36"/>
  <c r="S116" i="36"/>
  <c r="S118" i="36"/>
  <c r="S119" i="36"/>
  <c r="S120" i="36"/>
  <c r="S121" i="36"/>
  <c r="S128" i="36"/>
  <c r="S129" i="36"/>
  <c r="S130" i="36"/>
  <c r="T2" i="36"/>
  <c r="S2" i="36"/>
  <c r="S1" i="36"/>
  <c r="J3" i="36"/>
  <c r="J4" i="36"/>
  <c r="J5" i="36"/>
  <c r="J6" i="36"/>
  <c r="J7" i="36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24" i="36"/>
  <c r="J25" i="36"/>
  <c r="J26" i="36"/>
  <c r="J27" i="36"/>
  <c r="J28" i="36"/>
  <c r="J29" i="36"/>
  <c r="J30" i="36"/>
  <c r="J31" i="36"/>
  <c r="J32" i="36"/>
  <c r="J33" i="36"/>
  <c r="J34" i="36"/>
  <c r="J35" i="36"/>
  <c r="J36" i="36"/>
  <c r="J37" i="36"/>
  <c r="J38" i="36"/>
  <c r="J39" i="36"/>
  <c r="J40" i="36"/>
  <c r="J41" i="36"/>
  <c r="J42" i="36"/>
  <c r="J43" i="36"/>
  <c r="J44" i="36"/>
  <c r="J45" i="36"/>
  <c r="J46" i="36"/>
  <c r="J47" i="36"/>
  <c r="J48" i="36"/>
  <c r="J49" i="36"/>
  <c r="J50" i="36"/>
  <c r="J51" i="36"/>
  <c r="J52" i="36"/>
  <c r="J53" i="36"/>
  <c r="J54" i="36"/>
  <c r="J55" i="36"/>
  <c r="J56" i="36"/>
  <c r="J57" i="36"/>
  <c r="J58" i="36"/>
  <c r="J59" i="36"/>
  <c r="J60" i="36"/>
  <c r="J61" i="36"/>
  <c r="J62" i="36"/>
  <c r="J63" i="36"/>
  <c r="J64" i="36"/>
  <c r="J65" i="36"/>
  <c r="J66" i="36"/>
  <c r="J67" i="36"/>
  <c r="J68" i="36"/>
  <c r="J69" i="36"/>
  <c r="J70" i="36"/>
  <c r="J71" i="36"/>
  <c r="J72" i="36"/>
  <c r="J73" i="36"/>
  <c r="J74" i="36"/>
  <c r="J75" i="36"/>
  <c r="J76" i="36"/>
  <c r="J77" i="36"/>
  <c r="J78" i="36"/>
  <c r="J79" i="36"/>
  <c r="J80" i="36"/>
  <c r="J81" i="36"/>
  <c r="J82" i="36"/>
  <c r="J83" i="36"/>
  <c r="J84" i="36"/>
  <c r="J85" i="36"/>
  <c r="J86" i="36"/>
  <c r="J87" i="36"/>
  <c r="J88" i="36"/>
  <c r="J89" i="36"/>
  <c r="J90" i="36"/>
  <c r="J91" i="36"/>
  <c r="J92" i="36"/>
  <c r="J93" i="36"/>
  <c r="J94" i="36"/>
  <c r="J95" i="36"/>
  <c r="J96" i="36"/>
  <c r="J97" i="36"/>
  <c r="J98" i="36"/>
  <c r="J99" i="36"/>
  <c r="J100" i="36"/>
  <c r="J101" i="36"/>
  <c r="J102" i="36"/>
  <c r="J103" i="36"/>
  <c r="J104" i="36"/>
  <c r="J105" i="36"/>
  <c r="J106" i="36"/>
  <c r="J107" i="36"/>
  <c r="J108" i="36"/>
  <c r="J109" i="36"/>
  <c r="J2" i="36"/>
  <c r="J1" i="36"/>
  <c r="CR63" i="67"/>
  <c r="CR64" i="67" s="1"/>
  <c r="CR65" i="67" s="1"/>
  <c r="CR66" i="67" s="1"/>
  <c r="CR67" i="67" s="1"/>
  <c r="CR68" i="67" s="1"/>
  <c r="CR69" i="67" s="1"/>
  <c r="CR70" i="67" s="1"/>
  <c r="CR71" i="67" s="1"/>
  <c r="CR72" i="67" s="1"/>
  <c r="CR73" i="67" s="1"/>
  <c r="CR74" i="67" s="1"/>
  <c r="CR75" i="67" s="1"/>
  <c r="CR76" i="67" s="1"/>
  <c r="CR77" i="67" s="1"/>
  <c r="CR78" i="67" s="1"/>
  <c r="CR79" i="67" s="1"/>
  <c r="CR80" i="67" s="1"/>
  <c r="CR81" i="67" s="1"/>
  <c r="CR82" i="67" s="1"/>
  <c r="CR83" i="67" s="1"/>
  <c r="CR84" i="67" s="1"/>
  <c r="CR85" i="67" s="1"/>
  <c r="CR86" i="67" s="1"/>
  <c r="CR87" i="67" s="1"/>
  <c r="CR88" i="67" s="1"/>
  <c r="CR89" i="67" s="1"/>
  <c r="CR90" i="67" s="1"/>
  <c r="CR91" i="67" s="1"/>
  <c r="CR92" i="67" s="1"/>
  <c r="CR93" i="67" s="1"/>
  <c r="CR94" i="67" s="1"/>
  <c r="CR95" i="67" s="1"/>
  <c r="CR96" i="67" s="1"/>
  <c r="CR97" i="67" s="1"/>
  <c r="CR98" i="67" s="1"/>
  <c r="CR99" i="67" s="1"/>
  <c r="CR100" i="67" s="1"/>
  <c r="CR101" i="67" s="1"/>
  <c r="CR102" i="67" s="1"/>
  <c r="CR103" i="67" s="1"/>
  <c r="CR104" i="67" s="1"/>
  <c r="CR105" i="67" s="1"/>
  <c r="CR106" i="67" s="1"/>
  <c r="CR107" i="67" s="1"/>
  <c r="CR108" i="67" s="1"/>
  <c r="CR109" i="67" s="1"/>
  <c r="CQ86" i="67"/>
  <c r="CQ87" i="67" s="1"/>
  <c r="CQ88" i="67" s="1"/>
  <c r="CQ89" i="67" s="1"/>
  <c r="CQ90" i="67" s="1"/>
  <c r="CQ91" i="67" s="1"/>
  <c r="CQ92" i="67" s="1"/>
  <c r="CQ93" i="67" s="1"/>
  <c r="CQ94" i="67" s="1"/>
  <c r="CQ95" i="67" s="1"/>
  <c r="CQ96" i="67" s="1"/>
  <c r="CQ97" i="67" s="1"/>
  <c r="CQ98" i="67" s="1"/>
  <c r="CQ99" i="67" s="1"/>
  <c r="CQ100" i="67" s="1"/>
  <c r="CQ101" i="67" s="1"/>
  <c r="CQ102" i="67" s="1"/>
  <c r="CQ103" i="67" s="1"/>
  <c r="CQ104" i="67" s="1"/>
  <c r="CQ105" i="67" s="1"/>
  <c r="CQ106" i="67" s="1"/>
  <c r="CQ107" i="67" s="1"/>
  <c r="CQ108" i="67" s="1"/>
  <c r="CQ109" i="67" s="1"/>
  <c r="CP74" i="67"/>
  <c r="CP75" i="67" s="1"/>
  <c r="CP76" i="67" s="1"/>
  <c r="CP77" i="67" s="1"/>
  <c r="CP78" i="67" s="1"/>
  <c r="CP79" i="67" s="1"/>
  <c r="CP80" i="67" s="1"/>
  <c r="CP81" i="67" s="1"/>
  <c r="CP82" i="67" s="1"/>
  <c r="CP83" i="67" s="1"/>
  <c r="CP84" i="67" s="1"/>
  <c r="CP85" i="67" s="1"/>
  <c r="CP86" i="67" s="1"/>
  <c r="CP87" i="67" s="1"/>
  <c r="CP88" i="67" s="1"/>
  <c r="CP89" i="67" s="1"/>
  <c r="CP90" i="67" s="1"/>
  <c r="CP91" i="67" s="1"/>
  <c r="CP92" i="67" s="1"/>
  <c r="CP93" i="67" s="1"/>
  <c r="CP94" i="67" s="1"/>
  <c r="CP95" i="67" s="1"/>
  <c r="CP96" i="67" s="1"/>
  <c r="CP97" i="67" s="1"/>
  <c r="CP98" i="67" s="1"/>
  <c r="CP99" i="67" s="1"/>
  <c r="CP100" i="67" s="1"/>
  <c r="CP101" i="67" s="1"/>
  <c r="CP102" i="67" s="1"/>
  <c r="CP103" i="67" s="1"/>
  <c r="CP104" i="67" s="1"/>
  <c r="CP105" i="67" s="1"/>
  <c r="CP106" i="67" s="1"/>
  <c r="CP107" i="67" s="1"/>
  <c r="CP108" i="67" s="1"/>
  <c r="CP109" i="67" s="1"/>
  <c r="S115" i="36" l="1"/>
  <c r="L125" i="77"/>
  <c r="U125" i="77" s="1"/>
  <c r="U120" i="77"/>
  <c r="U115" i="77"/>
  <c r="AD16" i="17" l="1"/>
  <c r="J171" i="65"/>
  <c r="D173" i="65"/>
  <c r="E173" i="65"/>
  <c r="F173" i="65"/>
  <c r="G173" i="65"/>
  <c r="H173" i="65"/>
  <c r="I173" i="65"/>
  <c r="J173" i="65"/>
  <c r="K173" i="65"/>
  <c r="L173" i="65"/>
  <c r="M173" i="65"/>
  <c r="N173" i="65"/>
  <c r="O173" i="65"/>
  <c r="P173" i="65"/>
  <c r="Q173" i="65"/>
  <c r="B163" i="65"/>
  <c r="D163" i="65" s="1"/>
  <c r="E163" i="65"/>
  <c r="F163" i="65"/>
  <c r="G163" i="65"/>
  <c r="H163" i="65"/>
  <c r="I163" i="65"/>
  <c r="J163" i="65"/>
  <c r="K163" i="65"/>
  <c r="L163" i="65"/>
  <c r="M163" i="65"/>
  <c r="N163" i="65"/>
  <c r="K171" i="65"/>
  <c r="E164" i="65"/>
  <c r="F164" i="65"/>
  <c r="G164" i="65"/>
  <c r="H164" i="65"/>
  <c r="I164" i="65"/>
  <c r="J164" i="65"/>
  <c r="K164" i="65"/>
  <c r="L164" i="65"/>
  <c r="M164" i="65"/>
  <c r="N164" i="65"/>
  <c r="O164" i="65"/>
  <c r="P164" i="65"/>
  <c r="Q164" i="65"/>
  <c r="E165" i="65"/>
  <c r="F165" i="65"/>
  <c r="G165" i="65"/>
  <c r="H165" i="65"/>
  <c r="I165" i="65"/>
  <c r="J165" i="65"/>
  <c r="K165" i="65"/>
  <c r="L165" i="65"/>
  <c r="M165" i="65"/>
  <c r="N165" i="65"/>
  <c r="O165" i="65"/>
  <c r="P165" i="65"/>
  <c r="Q165" i="65"/>
  <c r="E166" i="65"/>
  <c r="F166" i="65"/>
  <c r="G166" i="65"/>
  <c r="H166" i="65"/>
  <c r="I166" i="65"/>
  <c r="J166" i="65"/>
  <c r="K166" i="65"/>
  <c r="L166" i="65"/>
  <c r="M166" i="65"/>
  <c r="N166" i="65"/>
  <c r="O166" i="65"/>
  <c r="P166" i="65"/>
  <c r="Q166" i="65"/>
  <c r="E167" i="65"/>
  <c r="F167" i="65"/>
  <c r="G167" i="65"/>
  <c r="H167" i="65"/>
  <c r="I167" i="65"/>
  <c r="J167" i="65"/>
  <c r="K167" i="65"/>
  <c r="L167" i="65"/>
  <c r="M167" i="65"/>
  <c r="N167" i="65"/>
  <c r="O167" i="65"/>
  <c r="P167" i="65"/>
  <c r="Q167" i="65"/>
  <c r="E168" i="65"/>
  <c r="F168" i="65"/>
  <c r="G168" i="65"/>
  <c r="H168" i="65"/>
  <c r="I168" i="65"/>
  <c r="J168" i="65"/>
  <c r="K168" i="65"/>
  <c r="L168" i="65"/>
  <c r="M168" i="65"/>
  <c r="N168" i="65"/>
  <c r="O168" i="65"/>
  <c r="P168" i="65"/>
  <c r="Q168" i="65"/>
  <c r="E169" i="65"/>
  <c r="F169" i="65"/>
  <c r="G169" i="65"/>
  <c r="H169" i="65"/>
  <c r="I169" i="65"/>
  <c r="J169" i="65"/>
  <c r="K169" i="65"/>
  <c r="L169" i="65"/>
  <c r="M169" i="65"/>
  <c r="N169" i="65"/>
  <c r="O169" i="65"/>
  <c r="P169" i="65"/>
  <c r="Q169" i="65"/>
  <c r="E170" i="65"/>
  <c r="F170" i="65"/>
  <c r="G170" i="65"/>
  <c r="H170" i="65"/>
  <c r="I170" i="65"/>
  <c r="J170" i="65"/>
  <c r="K170" i="65"/>
  <c r="L170" i="65"/>
  <c r="M170" i="65"/>
  <c r="N170" i="65"/>
  <c r="O170" i="65"/>
  <c r="P170" i="65"/>
  <c r="Q170" i="65"/>
  <c r="E171" i="65"/>
  <c r="F171" i="65"/>
  <c r="G171" i="65"/>
  <c r="H171" i="65"/>
  <c r="I171" i="65"/>
  <c r="L171" i="65"/>
  <c r="M171" i="65"/>
  <c r="N171" i="65"/>
  <c r="O171" i="65"/>
  <c r="P171" i="65"/>
  <c r="Q171" i="65"/>
  <c r="E172" i="65"/>
  <c r="F172" i="65"/>
  <c r="G172" i="65"/>
  <c r="H172" i="65"/>
  <c r="I172" i="65"/>
  <c r="J172" i="65"/>
  <c r="K172" i="65"/>
  <c r="L172" i="65"/>
  <c r="M172" i="65"/>
  <c r="N172" i="65"/>
  <c r="O172" i="65"/>
  <c r="P172" i="65"/>
  <c r="Q172" i="65"/>
  <c r="D172" i="65"/>
  <c r="D165" i="65"/>
  <c r="D166" i="65"/>
  <c r="D167" i="65"/>
  <c r="D168" i="65"/>
  <c r="D169" i="65"/>
  <c r="D170" i="65"/>
  <c r="D171" i="65"/>
  <c r="D164" i="65"/>
  <c r="E153" i="65"/>
  <c r="F153" i="65"/>
  <c r="G153" i="65"/>
  <c r="H153" i="65"/>
  <c r="I153" i="65"/>
  <c r="J153" i="65"/>
  <c r="K153" i="65"/>
  <c r="L153" i="65"/>
  <c r="M153" i="65"/>
  <c r="N153" i="65"/>
  <c r="O153" i="65"/>
  <c r="P153" i="65"/>
  <c r="Q153" i="65"/>
  <c r="E154" i="65"/>
  <c r="F154" i="65"/>
  <c r="G154" i="65"/>
  <c r="H154" i="65"/>
  <c r="I154" i="65"/>
  <c r="J154" i="65"/>
  <c r="K154" i="65"/>
  <c r="L154" i="65"/>
  <c r="M154" i="65"/>
  <c r="N154" i="65"/>
  <c r="O154" i="65"/>
  <c r="P154" i="65"/>
  <c r="Q154" i="65"/>
  <c r="E155" i="65"/>
  <c r="F155" i="65"/>
  <c r="G155" i="65"/>
  <c r="H155" i="65"/>
  <c r="I155" i="65"/>
  <c r="J155" i="65"/>
  <c r="K155" i="65"/>
  <c r="L155" i="65"/>
  <c r="M155" i="65"/>
  <c r="N155" i="65"/>
  <c r="O155" i="65"/>
  <c r="P155" i="65"/>
  <c r="Q155" i="65"/>
  <c r="E156" i="65"/>
  <c r="F156" i="65"/>
  <c r="G156" i="65"/>
  <c r="H156" i="65"/>
  <c r="I156" i="65"/>
  <c r="J156" i="65"/>
  <c r="K156" i="65"/>
  <c r="L156" i="65"/>
  <c r="M156" i="65"/>
  <c r="N156" i="65"/>
  <c r="O156" i="65"/>
  <c r="P156" i="65"/>
  <c r="Q156" i="65"/>
  <c r="E157" i="65"/>
  <c r="F157" i="65"/>
  <c r="G157" i="65"/>
  <c r="H157" i="65"/>
  <c r="I157" i="65"/>
  <c r="J157" i="65"/>
  <c r="K157" i="65"/>
  <c r="L157" i="65"/>
  <c r="M157" i="65"/>
  <c r="N157" i="65"/>
  <c r="O157" i="65"/>
  <c r="P157" i="65"/>
  <c r="Q157" i="65"/>
  <c r="E158" i="65"/>
  <c r="F158" i="65"/>
  <c r="G158" i="65"/>
  <c r="H158" i="65"/>
  <c r="I158" i="65"/>
  <c r="J158" i="65"/>
  <c r="K158" i="65"/>
  <c r="L158" i="65"/>
  <c r="M158" i="65"/>
  <c r="N158" i="65"/>
  <c r="O158" i="65"/>
  <c r="P158" i="65"/>
  <c r="Q158" i="65"/>
  <c r="E159" i="65"/>
  <c r="F159" i="65"/>
  <c r="G159" i="65"/>
  <c r="H159" i="65"/>
  <c r="I159" i="65"/>
  <c r="J159" i="65"/>
  <c r="K159" i="65"/>
  <c r="L159" i="65"/>
  <c r="M159" i="65"/>
  <c r="N159" i="65"/>
  <c r="O159" i="65"/>
  <c r="P159" i="65"/>
  <c r="Q159" i="65"/>
  <c r="E160" i="65"/>
  <c r="F160" i="65"/>
  <c r="G160" i="65"/>
  <c r="H160" i="65"/>
  <c r="I160" i="65"/>
  <c r="J160" i="65"/>
  <c r="K160" i="65"/>
  <c r="L160" i="65"/>
  <c r="M160" i="65"/>
  <c r="N160" i="65"/>
  <c r="O160" i="65"/>
  <c r="P160" i="65"/>
  <c r="Q160" i="65"/>
  <c r="E161" i="65"/>
  <c r="F161" i="65"/>
  <c r="G161" i="65"/>
  <c r="H161" i="65"/>
  <c r="I161" i="65"/>
  <c r="J161" i="65"/>
  <c r="K161" i="65"/>
  <c r="L161" i="65"/>
  <c r="M161" i="65"/>
  <c r="N161" i="65"/>
  <c r="O161" i="65"/>
  <c r="P161" i="65"/>
  <c r="Q161" i="65"/>
  <c r="E162" i="65"/>
  <c r="F162" i="65"/>
  <c r="G162" i="65"/>
  <c r="H162" i="65"/>
  <c r="I162" i="65"/>
  <c r="J162" i="65"/>
  <c r="K162" i="65"/>
  <c r="L162" i="65"/>
  <c r="M162" i="65"/>
  <c r="N162" i="65"/>
  <c r="O162" i="65"/>
  <c r="P162" i="65"/>
  <c r="Q162" i="65"/>
  <c r="D154" i="65"/>
  <c r="D155" i="65"/>
  <c r="D156" i="65"/>
  <c r="D157" i="65"/>
  <c r="D158" i="65"/>
  <c r="D159" i="65"/>
  <c r="D160" i="65"/>
  <c r="D161" i="65"/>
  <c r="D162" i="65"/>
  <c r="D153" i="65"/>
  <c r="B162" i="65"/>
  <c r="B155" i="65"/>
  <c r="B156" i="65"/>
  <c r="B157" i="65"/>
  <c r="B158" i="65"/>
  <c r="B159" i="65"/>
  <c r="B160" i="65"/>
  <c r="B161" i="65"/>
  <c r="B154" i="65"/>
  <c r="M28" i="148"/>
  <c r="CO63" i="67"/>
  <c r="CO64" i="67" s="1"/>
  <c r="CO65" i="67" s="1"/>
  <c r="CO66" i="67" s="1"/>
  <c r="CO67" i="67" s="1"/>
  <c r="CO68" i="67" s="1"/>
  <c r="CO69" i="67" s="1"/>
  <c r="CO70" i="67" s="1"/>
  <c r="CO71" i="67" s="1"/>
  <c r="CO72" i="67" s="1"/>
  <c r="CO73" i="67" s="1"/>
  <c r="CO74" i="67" s="1"/>
  <c r="CO75" i="67" s="1"/>
  <c r="CO76" i="67" s="1"/>
  <c r="CO77" i="67" s="1"/>
  <c r="CO78" i="67" s="1"/>
  <c r="CO79" i="67" s="1"/>
  <c r="CO80" i="67" s="1"/>
  <c r="CO81" i="67" s="1"/>
  <c r="CO82" i="67" s="1"/>
  <c r="CO83" i="67" s="1"/>
  <c r="CO84" i="67" s="1"/>
  <c r="CO85" i="67" s="1"/>
  <c r="CO86" i="67" s="1"/>
  <c r="CO87" i="67" s="1"/>
  <c r="CO88" i="67" s="1"/>
  <c r="CO89" i="67" s="1"/>
  <c r="CO90" i="67" s="1"/>
  <c r="CO91" i="67" s="1"/>
  <c r="CO92" i="67" s="1"/>
  <c r="CO93" i="67" s="1"/>
  <c r="CO94" i="67" s="1"/>
  <c r="CO95" i="67" s="1"/>
  <c r="CO96" i="67" s="1"/>
  <c r="CO97" i="67" s="1"/>
  <c r="CO98" i="67" s="1"/>
  <c r="CO99" i="67" s="1"/>
  <c r="CO100" i="67" s="1"/>
  <c r="CO101" i="67" s="1"/>
  <c r="CO102" i="67" s="1"/>
  <c r="CO103" i="67" s="1"/>
  <c r="CO104" i="67" s="1"/>
  <c r="CO105" i="67" s="1"/>
  <c r="CO106" i="67" s="1"/>
  <c r="CO107" i="67" s="1"/>
  <c r="CO108" i="67" s="1"/>
  <c r="CO109" i="67" s="1"/>
  <c r="CN51" i="67"/>
  <c r="CN52" i="67" s="1"/>
  <c r="CN53" i="67" s="1"/>
  <c r="CN54" i="67" s="1"/>
  <c r="CN55" i="67" s="1"/>
  <c r="CN56" i="67" s="1"/>
  <c r="CN57" i="67" s="1"/>
  <c r="CN58" i="67" s="1"/>
  <c r="CN59" i="67" s="1"/>
  <c r="CN60" i="67" s="1"/>
  <c r="CN61" i="67" s="1"/>
  <c r="CN62" i="67" s="1"/>
  <c r="CN63" i="67" s="1"/>
  <c r="CN64" i="67" s="1"/>
  <c r="CN65" i="67" s="1"/>
  <c r="CN66" i="67" s="1"/>
  <c r="CN67" i="67" s="1"/>
  <c r="CN68" i="67" s="1"/>
  <c r="CN69" i="67" s="1"/>
  <c r="CN70" i="67" s="1"/>
  <c r="CN71" i="67" s="1"/>
  <c r="CN72" i="67" s="1"/>
  <c r="CN73" i="67" s="1"/>
  <c r="CN74" i="67" s="1"/>
  <c r="CN75" i="67" s="1"/>
  <c r="CN76" i="67" s="1"/>
  <c r="CN77" i="67" s="1"/>
  <c r="CN78" i="67" s="1"/>
  <c r="CN79" i="67" s="1"/>
  <c r="CN80" i="67" s="1"/>
  <c r="CN81" i="67" s="1"/>
  <c r="CN82" i="67" s="1"/>
  <c r="CN83" i="67" s="1"/>
  <c r="CN84" i="67" s="1"/>
  <c r="CN85" i="67" s="1"/>
  <c r="CN86" i="67" s="1"/>
  <c r="CN87" i="67" s="1"/>
  <c r="CN88" i="67" s="1"/>
  <c r="CN89" i="67" s="1"/>
  <c r="CN90" i="67" s="1"/>
  <c r="CN91" i="67" s="1"/>
  <c r="CN92" i="67" s="1"/>
  <c r="CN93" i="67" s="1"/>
  <c r="CN94" i="67" s="1"/>
  <c r="CN95" i="67" s="1"/>
  <c r="CN96" i="67" s="1"/>
  <c r="CN97" i="67" s="1"/>
  <c r="CN98" i="67" s="1"/>
  <c r="CN99" i="67" s="1"/>
  <c r="CN100" i="67" s="1"/>
  <c r="CN101" i="67" s="1"/>
  <c r="CN102" i="67" s="1"/>
  <c r="CN103" i="67" s="1"/>
  <c r="CN104" i="67" s="1"/>
  <c r="CN105" i="67" s="1"/>
  <c r="CN106" i="67" s="1"/>
  <c r="CN107" i="67" s="1"/>
  <c r="CN108" i="67" s="1"/>
  <c r="CN109" i="67" s="1"/>
  <c r="AX3" i="67"/>
  <c r="AX4" i="67"/>
  <c r="AX5" i="67"/>
  <c r="AX6" i="67"/>
  <c r="AX7" i="67"/>
  <c r="AX8" i="67"/>
  <c r="AX9" i="67"/>
  <c r="AX10" i="67"/>
  <c r="AX11" i="67"/>
  <c r="AX12" i="67"/>
  <c r="AX13" i="67"/>
  <c r="AX14" i="67"/>
  <c r="AX15" i="67"/>
  <c r="AX16" i="67"/>
  <c r="AX17" i="67"/>
  <c r="AX18" i="67"/>
  <c r="AX19" i="67"/>
  <c r="AX20" i="67"/>
  <c r="AX21" i="67"/>
  <c r="AX22" i="67"/>
  <c r="AX23" i="67"/>
  <c r="AX24" i="67"/>
  <c r="AX25" i="67"/>
  <c r="AX26" i="67"/>
  <c r="AX27" i="67"/>
  <c r="AX28" i="67"/>
  <c r="AX29" i="67"/>
  <c r="AX30" i="67"/>
  <c r="AX31" i="67"/>
  <c r="AX32" i="67"/>
  <c r="AX33" i="67"/>
  <c r="AX34" i="67"/>
  <c r="AX35" i="67"/>
  <c r="AX36" i="67"/>
  <c r="AX37" i="67"/>
  <c r="AX38" i="67"/>
  <c r="AX39" i="67"/>
  <c r="AX40" i="67"/>
  <c r="AX41" i="67"/>
  <c r="AX42" i="67"/>
  <c r="AX43" i="67"/>
  <c r="AX44" i="67"/>
  <c r="AX45" i="67"/>
  <c r="AX46" i="67"/>
  <c r="AX47" i="67"/>
  <c r="AX48" i="67"/>
  <c r="AX49" i="67"/>
  <c r="AX50" i="67"/>
  <c r="AX51" i="67"/>
  <c r="AX52" i="67"/>
  <c r="AX53" i="67"/>
  <c r="AX54" i="67"/>
  <c r="AX55" i="67"/>
  <c r="AX56" i="67"/>
  <c r="AX57" i="67"/>
  <c r="AX58" i="67"/>
  <c r="AX59" i="67"/>
  <c r="AX60" i="67"/>
  <c r="AX61" i="67"/>
  <c r="AX62" i="67"/>
  <c r="AX63" i="67"/>
  <c r="AX64" i="67"/>
  <c r="AX65" i="67"/>
  <c r="AX66" i="67"/>
  <c r="AX67" i="67"/>
  <c r="AX68" i="67"/>
  <c r="AX69" i="67"/>
  <c r="AX70" i="67"/>
  <c r="AX71" i="67"/>
  <c r="AX72" i="67"/>
  <c r="AX73" i="67"/>
  <c r="AX74" i="67"/>
  <c r="AX75" i="67"/>
  <c r="AX76" i="67"/>
  <c r="AX77" i="67"/>
  <c r="AX78" i="67"/>
  <c r="AX79" i="67"/>
  <c r="AX80" i="67"/>
  <c r="AX81" i="67"/>
  <c r="AX82" i="67"/>
  <c r="AX83" i="67"/>
  <c r="AX84" i="67"/>
  <c r="AX85" i="67"/>
  <c r="AX86" i="67"/>
  <c r="AX87" i="67"/>
  <c r="AX88" i="67"/>
  <c r="AX89" i="67"/>
  <c r="AX90" i="67"/>
  <c r="AX91" i="67"/>
  <c r="AX92" i="67"/>
  <c r="AX93" i="67"/>
  <c r="AX94" i="67"/>
  <c r="AX95" i="67"/>
  <c r="AX96" i="67"/>
  <c r="AX97" i="67"/>
  <c r="AX98" i="67"/>
  <c r="AX99" i="67"/>
  <c r="AX100" i="67"/>
  <c r="AX101" i="67"/>
  <c r="AX102" i="67"/>
  <c r="AX103" i="67"/>
  <c r="AX104" i="67"/>
  <c r="AX105" i="67"/>
  <c r="AX106" i="67"/>
  <c r="AX107" i="67"/>
  <c r="AX108" i="67"/>
  <c r="AX109" i="67"/>
  <c r="AX2" i="67"/>
  <c r="AX1" i="67"/>
  <c r="V17" i="72"/>
  <c r="U17" i="72"/>
  <c r="T17" i="72"/>
  <c r="S17" i="72"/>
  <c r="R17" i="72"/>
  <c r="Q17" i="72"/>
  <c r="P17" i="72"/>
  <c r="V16" i="72"/>
  <c r="U16" i="72"/>
  <c r="T16" i="72"/>
  <c r="S16" i="72"/>
  <c r="R16" i="72"/>
  <c r="Q16" i="72"/>
  <c r="P16" i="72"/>
  <c r="V15" i="72"/>
  <c r="U15" i="72"/>
  <c r="T15" i="72"/>
  <c r="S15" i="72"/>
  <c r="R15" i="72"/>
  <c r="Q15" i="72"/>
  <c r="P15" i="72"/>
  <c r="V14" i="72"/>
  <c r="U14" i="72"/>
  <c r="T14" i="72"/>
  <c r="S14" i="72"/>
  <c r="Q14" i="72"/>
  <c r="P14" i="72"/>
  <c r="V13" i="72"/>
  <c r="U13" i="72"/>
  <c r="T13" i="72"/>
  <c r="S13" i="72"/>
  <c r="R13" i="72"/>
  <c r="Q13" i="72"/>
  <c r="P13" i="72"/>
  <c r="V12" i="72"/>
  <c r="U12" i="72"/>
  <c r="T12" i="72"/>
  <c r="S12" i="72"/>
  <c r="R12" i="72"/>
  <c r="Q12" i="72"/>
  <c r="P12" i="72"/>
  <c r="V11" i="72"/>
  <c r="U11" i="72"/>
  <c r="T11" i="72"/>
  <c r="S11" i="72"/>
  <c r="R11" i="72"/>
  <c r="Q11" i="72"/>
  <c r="P11" i="72"/>
  <c r="V10" i="72"/>
  <c r="U10" i="72"/>
  <c r="T10" i="72"/>
  <c r="S10" i="72"/>
  <c r="R10" i="72"/>
  <c r="Q10" i="72"/>
  <c r="P10" i="72"/>
  <c r="V9" i="72"/>
  <c r="U9" i="72"/>
  <c r="T9" i="72"/>
  <c r="S9" i="72"/>
  <c r="R9" i="72"/>
  <c r="Q9" i="72"/>
  <c r="P9" i="72"/>
  <c r="V8" i="72"/>
  <c r="U8" i="72"/>
  <c r="T8" i="72"/>
  <c r="S8" i="72"/>
  <c r="R8" i="72"/>
  <c r="Q8" i="72"/>
  <c r="P8" i="72"/>
  <c r="V7" i="72"/>
  <c r="U7" i="72"/>
  <c r="T7" i="72"/>
  <c r="S7" i="72"/>
  <c r="R7" i="72"/>
  <c r="Q7" i="72"/>
  <c r="P7" i="72"/>
  <c r="V6" i="72"/>
  <c r="U6" i="72"/>
  <c r="T6" i="72"/>
  <c r="S6" i="72"/>
  <c r="R6" i="72"/>
  <c r="Q6" i="72"/>
  <c r="P6" i="72"/>
  <c r="V5" i="72"/>
  <c r="U5" i="72"/>
  <c r="T5" i="72"/>
  <c r="S5" i="72"/>
  <c r="R5" i="72"/>
  <c r="Q5" i="72"/>
  <c r="P5" i="72"/>
  <c r="V4" i="72"/>
  <c r="U4" i="72"/>
  <c r="T4" i="72"/>
  <c r="S4" i="72"/>
  <c r="R4" i="72"/>
  <c r="Q4" i="72"/>
  <c r="P4" i="72"/>
  <c r="K4" i="72"/>
  <c r="K9" i="72"/>
  <c r="Q163" i="65" l="1"/>
  <c r="P163" i="65"/>
  <c r="O163" i="65"/>
  <c r="I111" i="154" l="1"/>
  <c r="I112" i="154"/>
  <c r="I113" i="154"/>
  <c r="I114" i="154"/>
  <c r="I115" i="154"/>
  <c r="I116" i="154"/>
  <c r="I117" i="154"/>
  <c r="I118" i="154"/>
  <c r="I119" i="154"/>
  <c r="I120" i="154"/>
  <c r="I121" i="154"/>
  <c r="I122" i="154"/>
  <c r="I123" i="154"/>
  <c r="I124" i="154"/>
  <c r="I125" i="154"/>
  <c r="I126" i="154"/>
  <c r="I127" i="154"/>
  <c r="I128" i="154"/>
  <c r="I129" i="154"/>
  <c r="I130" i="154"/>
  <c r="I131" i="154"/>
  <c r="I132" i="154"/>
  <c r="I133" i="154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11" i="34"/>
  <c r="G112" i="34"/>
  <c r="G113" i="34"/>
  <c r="G114" i="34"/>
  <c r="G115" i="34"/>
  <c r="G116" i="34"/>
  <c r="G117" i="34"/>
  <c r="G118" i="34"/>
  <c r="G119" i="34"/>
  <c r="G120" i="34"/>
  <c r="G121" i="34"/>
  <c r="G122" i="34"/>
  <c r="G123" i="34"/>
  <c r="G124" i="34"/>
  <c r="G125" i="34"/>
  <c r="G126" i="34"/>
  <c r="G127" i="34"/>
  <c r="G128" i="34"/>
  <c r="G129" i="34"/>
  <c r="G130" i="34"/>
  <c r="G131" i="34"/>
  <c r="G132" i="34"/>
  <c r="G133" i="34"/>
  <c r="M111" i="38"/>
  <c r="M112" i="38"/>
  <c r="M113" i="38"/>
  <c r="M114" i="38"/>
  <c r="M115" i="38"/>
  <c r="M116" i="38"/>
  <c r="M117" i="38"/>
  <c r="M118" i="38"/>
  <c r="M119" i="38"/>
  <c r="M120" i="38"/>
  <c r="M121" i="38"/>
  <c r="M122" i="38"/>
  <c r="M123" i="38"/>
  <c r="M124" i="38"/>
  <c r="M125" i="38"/>
  <c r="M126" i="38"/>
  <c r="M127" i="38"/>
  <c r="M128" i="38"/>
  <c r="M129" i="38"/>
  <c r="M130" i="38"/>
  <c r="M131" i="38"/>
  <c r="M132" i="38"/>
  <c r="M133" i="38"/>
  <c r="K111" i="155"/>
  <c r="K112" i="155"/>
  <c r="K113" i="155"/>
  <c r="K114" i="155"/>
  <c r="K115" i="155"/>
  <c r="K116" i="155"/>
  <c r="K117" i="155"/>
  <c r="K118" i="155"/>
  <c r="K119" i="155"/>
  <c r="K120" i="155"/>
  <c r="K121" i="155"/>
  <c r="K122" i="155"/>
  <c r="K123" i="155"/>
  <c r="K124" i="155"/>
  <c r="K125" i="155"/>
  <c r="K126" i="155"/>
  <c r="K127" i="155"/>
  <c r="K128" i="155"/>
  <c r="K129" i="155"/>
  <c r="K130" i="155"/>
  <c r="K131" i="155"/>
  <c r="K132" i="155"/>
  <c r="K133" i="155"/>
  <c r="I111" i="77"/>
  <c r="I112" i="77"/>
  <c r="I113" i="77"/>
  <c r="I114" i="77"/>
  <c r="I115" i="77"/>
  <c r="I116" i="77"/>
  <c r="I117" i="77"/>
  <c r="I118" i="77"/>
  <c r="I119" i="77"/>
  <c r="I120" i="77"/>
  <c r="I121" i="77"/>
  <c r="I122" i="77"/>
  <c r="I123" i="77"/>
  <c r="I124" i="77"/>
  <c r="I125" i="77"/>
  <c r="I126" i="77"/>
  <c r="I127" i="77"/>
  <c r="I128" i="77"/>
  <c r="I129" i="77"/>
  <c r="I130" i="77"/>
  <c r="I131" i="77"/>
  <c r="I132" i="77"/>
  <c r="I133" i="77"/>
  <c r="I111" i="76"/>
  <c r="I112" i="76"/>
  <c r="I113" i="76"/>
  <c r="I114" i="76"/>
  <c r="I115" i="76"/>
  <c r="I116" i="76"/>
  <c r="I117" i="76"/>
  <c r="I118" i="76"/>
  <c r="I119" i="76"/>
  <c r="I120" i="76"/>
  <c r="I121" i="76"/>
  <c r="I122" i="76"/>
  <c r="I123" i="76"/>
  <c r="I124" i="76"/>
  <c r="I125" i="76"/>
  <c r="I126" i="76"/>
  <c r="I127" i="76"/>
  <c r="I128" i="76"/>
  <c r="I129" i="76"/>
  <c r="I130" i="76"/>
  <c r="I131" i="76"/>
  <c r="I132" i="76"/>
  <c r="I133" i="76"/>
  <c r="M111" i="75"/>
  <c r="N111" i="75"/>
  <c r="O111" i="75"/>
  <c r="M112" i="75"/>
  <c r="N112" i="75"/>
  <c r="O112" i="75"/>
  <c r="M113" i="75"/>
  <c r="N113" i="75"/>
  <c r="O113" i="75"/>
  <c r="M114" i="75"/>
  <c r="N114" i="75"/>
  <c r="O114" i="75"/>
  <c r="M115" i="75"/>
  <c r="N115" i="75"/>
  <c r="O115" i="75"/>
  <c r="M116" i="75"/>
  <c r="N116" i="75"/>
  <c r="O116" i="75"/>
  <c r="M117" i="75"/>
  <c r="N117" i="75"/>
  <c r="O117" i="75"/>
  <c r="M118" i="75"/>
  <c r="N118" i="75"/>
  <c r="O118" i="75"/>
  <c r="M119" i="75"/>
  <c r="N119" i="75"/>
  <c r="O119" i="75"/>
  <c r="M120" i="75"/>
  <c r="N120" i="75"/>
  <c r="O120" i="75"/>
  <c r="M121" i="75"/>
  <c r="N121" i="75"/>
  <c r="O121" i="75"/>
  <c r="M122" i="75"/>
  <c r="N122" i="75"/>
  <c r="O122" i="75"/>
  <c r="M123" i="75"/>
  <c r="N123" i="75"/>
  <c r="O123" i="75"/>
  <c r="M124" i="75"/>
  <c r="N124" i="75"/>
  <c r="O124" i="75"/>
  <c r="M125" i="75"/>
  <c r="N125" i="75"/>
  <c r="O125" i="75"/>
  <c r="M126" i="75"/>
  <c r="N126" i="75"/>
  <c r="O126" i="75"/>
  <c r="M127" i="75"/>
  <c r="N127" i="75"/>
  <c r="O127" i="75"/>
  <c r="M128" i="75"/>
  <c r="N128" i="75"/>
  <c r="O128" i="75"/>
  <c r="M129" i="75"/>
  <c r="N129" i="75"/>
  <c r="O129" i="75"/>
  <c r="M130" i="75"/>
  <c r="N130" i="75"/>
  <c r="O130" i="75"/>
  <c r="M131" i="75"/>
  <c r="N131" i="75"/>
  <c r="O131" i="75"/>
  <c r="M132" i="75"/>
  <c r="N132" i="75"/>
  <c r="O132" i="75"/>
  <c r="M133" i="75"/>
  <c r="N133" i="75"/>
  <c r="O133" i="75"/>
  <c r="D25" i="70" l="1"/>
  <c r="E25" i="70" s="1"/>
  <c r="E24" i="70" s="1"/>
  <c r="E14" i="70"/>
  <c r="D14" i="70"/>
  <c r="D13" i="70" s="1"/>
  <c r="D24" i="70"/>
  <c r="C13" i="70"/>
  <c r="C29" i="70"/>
  <c r="D29" i="70"/>
  <c r="E29" i="70"/>
  <c r="AJ14" i="72"/>
  <c r="AK14" i="72"/>
  <c r="AJ15" i="72"/>
  <c r="AK15" i="72"/>
  <c r="AJ16" i="72"/>
  <c r="AK16" i="72"/>
  <c r="AJ17" i="72"/>
  <c r="AK17" i="72"/>
  <c r="AJ13" i="72"/>
  <c r="AK13" i="72" s="1"/>
  <c r="AK5" i="72"/>
  <c r="AK6" i="72"/>
  <c r="AK7" i="72"/>
  <c r="AK8" i="72"/>
  <c r="AK4" i="72"/>
  <c r="AJ5" i="72"/>
  <c r="AJ6" i="72"/>
  <c r="AJ7" i="72"/>
  <c r="AJ8" i="72"/>
  <c r="AJ4" i="72"/>
  <c r="F4" i="72"/>
  <c r="F5" i="72"/>
  <c r="F6" i="72"/>
  <c r="F7" i="72"/>
  <c r="F18" i="72" s="1"/>
  <c r="F8" i="72"/>
  <c r="F13" i="72"/>
  <c r="F14" i="72"/>
  <c r="F15" i="72"/>
  <c r="F16" i="72"/>
  <c r="F17" i="72"/>
  <c r="AH18" i="72"/>
  <c r="E13" i="70" l="1"/>
  <c r="H17" i="38" l="1"/>
  <c r="I17" i="38"/>
  <c r="H18" i="38"/>
  <c r="I18" i="38"/>
  <c r="H19" i="38"/>
  <c r="I19" i="38"/>
  <c r="H20" i="38"/>
  <c r="I20" i="38"/>
  <c r="H21" i="38"/>
  <c r="I21" i="38"/>
  <c r="H22" i="38"/>
  <c r="I22" i="38"/>
  <c r="H23" i="38"/>
  <c r="I23" i="38"/>
  <c r="H24" i="38"/>
  <c r="I24" i="38"/>
  <c r="H25" i="38"/>
  <c r="I25" i="38"/>
  <c r="H26" i="38"/>
  <c r="I26" i="38"/>
  <c r="H27" i="38"/>
  <c r="I27" i="38"/>
  <c r="H28" i="38"/>
  <c r="I28" i="38"/>
  <c r="H29" i="38"/>
  <c r="I29" i="38"/>
  <c r="H30" i="38"/>
  <c r="I30" i="38"/>
  <c r="H31" i="38"/>
  <c r="I31" i="38"/>
  <c r="H32" i="38"/>
  <c r="I32" i="38"/>
  <c r="H33" i="38"/>
  <c r="I33" i="38"/>
  <c r="H34" i="38"/>
  <c r="I34" i="38"/>
  <c r="H35" i="38"/>
  <c r="I35" i="38"/>
  <c r="H36" i="38"/>
  <c r="I36" i="38"/>
  <c r="H37" i="38"/>
  <c r="I37" i="38"/>
  <c r="H38" i="38"/>
  <c r="I38" i="38"/>
  <c r="H39" i="38"/>
  <c r="I39" i="38"/>
  <c r="H40" i="38"/>
  <c r="I40" i="38"/>
  <c r="H41" i="38"/>
  <c r="I41" i="38"/>
  <c r="H42" i="38"/>
  <c r="I42" i="38"/>
  <c r="H43" i="38"/>
  <c r="I43" i="38"/>
  <c r="H44" i="38"/>
  <c r="I44" i="38"/>
  <c r="H45" i="38"/>
  <c r="I45" i="38"/>
  <c r="H46" i="38"/>
  <c r="I46" i="38"/>
  <c r="H47" i="38"/>
  <c r="I47" i="38"/>
  <c r="H48" i="38"/>
  <c r="I48" i="38"/>
  <c r="H49" i="38"/>
  <c r="I49" i="38"/>
  <c r="H50" i="38"/>
  <c r="H51" i="38"/>
  <c r="H52" i="38"/>
  <c r="H53" i="38"/>
  <c r="H54" i="38"/>
  <c r="H55" i="38"/>
  <c r="H56" i="38"/>
  <c r="H57" i="38"/>
  <c r="H58" i="38"/>
  <c r="H59" i="38"/>
  <c r="H60" i="38"/>
  <c r="H61" i="38"/>
  <c r="H3" i="38"/>
  <c r="I3" i="38"/>
  <c r="J3" i="38"/>
  <c r="H4" i="38"/>
  <c r="I4" i="38"/>
  <c r="J4" i="38"/>
  <c r="H5" i="38"/>
  <c r="I5" i="38"/>
  <c r="J5" i="38"/>
  <c r="H6" i="38"/>
  <c r="I6" i="38"/>
  <c r="J6" i="38"/>
  <c r="H7" i="38"/>
  <c r="I7" i="38"/>
  <c r="J7" i="38"/>
  <c r="H8" i="38"/>
  <c r="I8" i="38"/>
  <c r="J8" i="38"/>
  <c r="H9" i="38"/>
  <c r="I9" i="38"/>
  <c r="J9" i="38"/>
  <c r="H10" i="38"/>
  <c r="I10" i="38"/>
  <c r="J10" i="38"/>
  <c r="H11" i="38"/>
  <c r="I11" i="38"/>
  <c r="J11" i="38"/>
  <c r="H12" i="38"/>
  <c r="I12" i="38"/>
  <c r="J12" i="38"/>
  <c r="H13" i="38"/>
  <c r="I13" i="38"/>
  <c r="J13" i="38"/>
  <c r="H14" i="38"/>
  <c r="I14" i="38"/>
  <c r="H15" i="38"/>
  <c r="I15" i="38"/>
  <c r="H16" i="38"/>
  <c r="I16" i="38"/>
  <c r="J2" i="38"/>
  <c r="J1" i="38"/>
  <c r="H2" i="38"/>
  <c r="H1" i="38"/>
  <c r="AO26" i="25" l="1"/>
  <c r="AO2" i="25"/>
  <c r="K16" i="158" s="1"/>
  <c r="E1" i="155"/>
  <c r="Q1" i="155" s="1"/>
  <c r="G1" i="155"/>
  <c r="H3" i="152"/>
  <c r="H4" i="152"/>
  <c r="H5" i="152"/>
  <c r="H6" i="152"/>
  <c r="H7" i="152"/>
  <c r="H8" i="152"/>
  <c r="H9" i="152"/>
  <c r="H10" i="152"/>
  <c r="H11" i="152"/>
  <c r="H12" i="152"/>
  <c r="H13" i="152"/>
  <c r="H2" i="152"/>
  <c r="H1" i="152"/>
  <c r="M1" i="152" s="1"/>
  <c r="G1" i="152"/>
  <c r="L1" i="152" s="1"/>
  <c r="E1" i="154"/>
  <c r="O1" i="154" s="1"/>
  <c r="E1" i="153"/>
  <c r="O1" i="153" s="1"/>
  <c r="G3" i="151"/>
  <c r="L3" i="151" s="1"/>
  <c r="G4" i="151"/>
  <c r="L4" i="151" s="1"/>
  <c r="G5" i="151"/>
  <c r="L5" i="151" s="1"/>
  <c r="G6" i="151"/>
  <c r="L6" i="151" s="1"/>
  <c r="G7" i="151"/>
  <c r="L7" i="151" s="1"/>
  <c r="G8" i="151"/>
  <c r="L8" i="151" s="1"/>
  <c r="G9" i="151"/>
  <c r="L9" i="151" s="1"/>
  <c r="G10" i="151"/>
  <c r="L10" i="151" s="1"/>
  <c r="G11" i="151"/>
  <c r="L11" i="151" s="1"/>
  <c r="G12" i="151"/>
  <c r="L12" i="151" s="1"/>
  <c r="G13" i="151"/>
  <c r="L13" i="151" s="1"/>
  <c r="G2" i="151"/>
  <c r="L2" i="151" s="1"/>
  <c r="G1" i="151"/>
  <c r="L1" i="151" s="1"/>
  <c r="G3" i="32"/>
  <c r="L3" i="32" s="1"/>
  <c r="G4" i="32"/>
  <c r="L4" i="32" s="1"/>
  <c r="G5" i="32"/>
  <c r="L5" i="32" s="1"/>
  <c r="G6" i="32"/>
  <c r="L6" i="32" s="1"/>
  <c r="G7" i="32"/>
  <c r="L7" i="32" s="1"/>
  <c r="G8" i="32"/>
  <c r="L8" i="32" s="1"/>
  <c r="G9" i="32"/>
  <c r="L9" i="32" s="1"/>
  <c r="G10" i="32"/>
  <c r="L10" i="32" s="1"/>
  <c r="G11" i="32"/>
  <c r="L11" i="32" s="1"/>
  <c r="G12" i="32"/>
  <c r="L12" i="32" s="1"/>
  <c r="G13" i="32"/>
  <c r="L13" i="32" s="1"/>
  <c r="G2" i="32"/>
  <c r="L2" i="32" s="1"/>
  <c r="G1" i="32"/>
  <c r="L1" i="32" s="1"/>
  <c r="J3" i="75"/>
  <c r="J4" i="75"/>
  <c r="J5" i="75"/>
  <c r="J6" i="75"/>
  <c r="J7" i="75"/>
  <c r="J8" i="75"/>
  <c r="J9" i="75"/>
  <c r="J10" i="75"/>
  <c r="J11" i="75"/>
  <c r="J12" i="75"/>
  <c r="J13" i="75"/>
  <c r="J14" i="75"/>
  <c r="J15" i="75"/>
  <c r="J16" i="75"/>
  <c r="J17" i="75"/>
  <c r="J18" i="75"/>
  <c r="J19" i="75"/>
  <c r="J20" i="75"/>
  <c r="J21" i="75"/>
  <c r="J22" i="75"/>
  <c r="J23" i="75"/>
  <c r="J24" i="75"/>
  <c r="J25" i="75"/>
  <c r="J26" i="75"/>
  <c r="J27" i="75"/>
  <c r="J28" i="75"/>
  <c r="J29" i="75"/>
  <c r="J30" i="75"/>
  <c r="J31" i="75"/>
  <c r="J32" i="75"/>
  <c r="J33" i="75"/>
  <c r="J34" i="75"/>
  <c r="J35" i="75"/>
  <c r="J36" i="75"/>
  <c r="J37" i="75"/>
  <c r="J38" i="75"/>
  <c r="J39" i="75"/>
  <c r="J40" i="75"/>
  <c r="J41" i="75"/>
  <c r="J42" i="75"/>
  <c r="J43" i="75"/>
  <c r="J44" i="75"/>
  <c r="J45" i="75"/>
  <c r="J46" i="75"/>
  <c r="J47" i="75"/>
  <c r="J48" i="75"/>
  <c r="J49" i="75"/>
  <c r="J50" i="75"/>
  <c r="J51" i="75"/>
  <c r="J52" i="75"/>
  <c r="J53" i="75"/>
  <c r="J54" i="75"/>
  <c r="J55" i="75"/>
  <c r="J56" i="75"/>
  <c r="J57" i="75"/>
  <c r="J58" i="75"/>
  <c r="J59" i="75"/>
  <c r="J60" i="75"/>
  <c r="J61" i="75"/>
  <c r="J2" i="75"/>
  <c r="J1" i="75"/>
  <c r="J3" i="28"/>
  <c r="J4" i="28"/>
  <c r="J5" i="28"/>
  <c r="J6" i="28"/>
  <c r="J7" i="28"/>
  <c r="J8" i="28"/>
  <c r="J9" i="28"/>
  <c r="J10" i="28"/>
  <c r="J11" i="28"/>
  <c r="J12" i="28"/>
  <c r="J13" i="28"/>
  <c r="J2" i="28"/>
  <c r="J1" i="28"/>
  <c r="H3" i="28"/>
  <c r="H4" i="28"/>
  <c r="H5" i="28"/>
  <c r="H6" i="28"/>
  <c r="H7" i="28"/>
  <c r="H8" i="28"/>
  <c r="H9" i="28"/>
  <c r="H10" i="28"/>
  <c r="H11" i="28"/>
  <c r="H12" i="28"/>
  <c r="H13" i="28"/>
  <c r="H14" i="28"/>
  <c r="H15" i="28"/>
  <c r="H16" i="28"/>
  <c r="H17" i="28"/>
  <c r="H18" i="28"/>
  <c r="H19" i="28"/>
  <c r="H20" i="28"/>
  <c r="H21" i="28"/>
  <c r="H22" i="28"/>
  <c r="H23" i="28"/>
  <c r="H24" i="28"/>
  <c r="H25" i="28"/>
  <c r="H26" i="28"/>
  <c r="H27" i="28"/>
  <c r="H28" i="28"/>
  <c r="H29" i="28"/>
  <c r="H30" i="28"/>
  <c r="H31" i="28"/>
  <c r="H32" i="28"/>
  <c r="H33" i="28"/>
  <c r="H34" i="28"/>
  <c r="H35" i="28"/>
  <c r="H36" i="28"/>
  <c r="H37" i="28"/>
  <c r="H38" i="28"/>
  <c r="H39" i="28"/>
  <c r="H40" i="28"/>
  <c r="H41" i="28"/>
  <c r="H42" i="28"/>
  <c r="H43" i="28"/>
  <c r="H44" i="28"/>
  <c r="H45" i="28"/>
  <c r="H46" i="28"/>
  <c r="H47" i="28"/>
  <c r="H48" i="28"/>
  <c r="H49" i="28"/>
  <c r="H50" i="28"/>
  <c r="H51" i="28"/>
  <c r="H52" i="28"/>
  <c r="H53" i="28"/>
  <c r="H54" i="28"/>
  <c r="H55" i="28"/>
  <c r="H56" i="28"/>
  <c r="H57" i="28"/>
  <c r="H58" i="28"/>
  <c r="H59" i="28"/>
  <c r="H60" i="28"/>
  <c r="H61" i="28"/>
  <c r="H2" i="28"/>
  <c r="H1" i="28"/>
  <c r="CL15" i="67"/>
  <c r="G15" i="151" s="1"/>
  <c r="L15" i="151" s="1"/>
  <c r="CL16" i="67"/>
  <c r="CL28" i="67" s="1"/>
  <c r="CL40" i="67" s="1"/>
  <c r="CL52" i="67" s="1"/>
  <c r="CL64" i="67" s="1"/>
  <c r="CL76" i="67" s="1"/>
  <c r="CL88" i="67" s="1"/>
  <c r="CL100" i="67" s="1"/>
  <c r="H100" i="152" s="1"/>
  <c r="H112" i="152" s="1"/>
  <c r="CL17" i="67"/>
  <c r="CL29" i="67" s="1"/>
  <c r="CL41" i="67" s="1"/>
  <c r="CL53" i="67" s="1"/>
  <c r="CL65" i="67" s="1"/>
  <c r="CL77" i="67" s="1"/>
  <c r="CL89" i="67" s="1"/>
  <c r="CL101" i="67" s="1"/>
  <c r="H101" i="152" s="1"/>
  <c r="H113" i="152" s="1"/>
  <c r="CL18" i="67"/>
  <c r="CL19" i="67"/>
  <c r="CL20" i="67"/>
  <c r="CL21" i="67"/>
  <c r="CL33" i="67" s="1"/>
  <c r="CL45" i="67" s="1"/>
  <c r="CL57" i="67" s="1"/>
  <c r="CL69" i="67" s="1"/>
  <c r="CL81" i="67" s="1"/>
  <c r="CL93" i="67" s="1"/>
  <c r="CL105" i="67" s="1"/>
  <c r="G105" i="151" s="1"/>
  <c r="CL22" i="67"/>
  <c r="CL34" i="67" s="1"/>
  <c r="CL46" i="67" s="1"/>
  <c r="CL58" i="67" s="1"/>
  <c r="CL70" i="67" s="1"/>
  <c r="CL82" i="67" s="1"/>
  <c r="CL94" i="67" s="1"/>
  <c r="CL106" i="67" s="1"/>
  <c r="G106" i="151" s="1"/>
  <c r="CL23" i="67"/>
  <c r="G23" i="32" s="1"/>
  <c r="L23" i="32" s="1"/>
  <c r="CL24" i="67"/>
  <c r="G24" i="32" s="1"/>
  <c r="L24" i="32" s="1"/>
  <c r="CL25" i="67"/>
  <c r="G25" i="151" s="1"/>
  <c r="L25" i="151" s="1"/>
  <c r="CL36" i="67"/>
  <c r="CL48" i="67" s="1"/>
  <c r="CL60" i="67" s="1"/>
  <c r="CL72" i="67" s="1"/>
  <c r="CL84" i="67" s="1"/>
  <c r="CL96" i="67" s="1"/>
  <c r="CL108" i="67" s="1"/>
  <c r="H108" i="152" s="1"/>
  <c r="H120" i="152" s="1"/>
  <c r="CL14" i="67"/>
  <c r="G14" i="32" s="1"/>
  <c r="L14" i="32" s="1"/>
  <c r="G76" i="32" l="1"/>
  <c r="L76" i="32" s="1"/>
  <c r="G88" i="151"/>
  <c r="L88" i="151" s="1"/>
  <c r="G108" i="32"/>
  <c r="L108" i="32" s="1"/>
  <c r="G76" i="151"/>
  <c r="L76" i="151" s="1"/>
  <c r="G72" i="151"/>
  <c r="L72" i="151" s="1"/>
  <c r="H88" i="152"/>
  <c r="H72" i="152"/>
  <c r="G93" i="151"/>
  <c r="L93" i="151" s="1"/>
  <c r="G14" i="151"/>
  <c r="L14" i="151" s="1"/>
  <c r="G77" i="151"/>
  <c r="L77" i="151" s="1"/>
  <c r="H82" i="152"/>
  <c r="G69" i="151"/>
  <c r="L69" i="151" s="1"/>
  <c r="H70" i="152"/>
  <c r="G60" i="32"/>
  <c r="L60" i="32" s="1"/>
  <c r="H40" i="152"/>
  <c r="G60" i="151"/>
  <c r="L60" i="151" s="1"/>
  <c r="H69" i="152"/>
  <c r="G46" i="151"/>
  <c r="L46" i="151" s="1"/>
  <c r="H34" i="152"/>
  <c r="G106" i="32"/>
  <c r="L106" i="32" s="1"/>
  <c r="H24" i="152"/>
  <c r="G105" i="32"/>
  <c r="L105" i="32" s="1"/>
  <c r="G45" i="151"/>
  <c r="L45" i="151" s="1"/>
  <c r="CL37" i="67"/>
  <c r="CL49" i="67" s="1"/>
  <c r="CL61" i="67" s="1"/>
  <c r="H61" i="152" s="1"/>
  <c r="G57" i="32"/>
  <c r="L57" i="32" s="1"/>
  <c r="G40" i="151"/>
  <c r="L40" i="151" s="1"/>
  <c r="H23" i="152"/>
  <c r="G28" i="32"/>
  <c r="L28" i="32" s="1"/>
  <c r="G29" i="151"/>
  <c r="L29" i="151" s="1"/>
  <c r="H22" i="152"/>
  <c r="G58" i="32"/>
  <c r="L58" i="32" s="1"/>
  <c r="CL35" i="67"/>
  <c r="CL47" i="67" s="1"/>
  <c r="CL59" i="67" s="1"/>
  <c r="H59" i="152" s="1"/>
  <c r="G25" i="32"/>
  <c r="L25" i="32" s="1"/>
  <c r="G108" i="151"/>
  <c r="L108" i="151" s="1"/>
  <c r="G28" i="151"/>
  <c r="L28" i="151" s="1"/>
  <c r="H21" i="152"/>
  <c r="G22" i="32"/>
  <c r="L22" i="32" s="1"/>
  <c r="G24" i="151"/>
  <c r="L24" i="151" s="1"/>
  <c r="G70" i="32"/>
  <c r="L70" i="32" s="1"/>
  <c r="G94" i="151"/>
  <c r="L94" i="151" s="1"/>
  <c r="G21" i="151"/>
  <c r="L21" i="151" s="1"/>
  <c r="CL31" i="67"/>
  <c r="H19" i="152"/>
  <c r="G19" i="151"/>
  <c r="L19" i="151" s="1"/>
  <c r="G19" i="32"/>
  <c r="L19" i="32" s="1"/>
  <c r="L105" i="151"/>
  <c r="G117" i="151"/>
  <c r="L117" i="151" s="1"/>
  <c r="G118" i="151"/>
  <c r="G130" i="151" s="1"/>
  <c r="L130" i="151" s="1"/>
  <c r="L106" i="151"/>
  <c r="CL32" i="67"/>
  <c r="H20" i="152"/>
  <c r="G20" i="151"/>
  <c r="L20" i="151" s="1"/>
  <c r="G20" i="32"/>
  <c r="L20" i="32" s="1"/>
  <c r="CL30" i="67"/>
  <c r="G18" i="151"/>
  <c r="L18" i="151" s="1"/>
  <c r="G18" i="32"/>
  <c r="L18" i="32" s="1"/>
  <c r="H18" i="152"/>
  <c r="G101" i="32"/>
  <c r="L101" i="32" s="1"/>
  <c r="G69" i="32"/>
  <c r="L69" i="32" s="1"/>
  <c r="G53" i="32"/>
  <c r="L53" i="32" s="1"/>
  <c r="G21" i="32"/>
  <c r="L21" i="32" s="1"/>
  <c r="G23" i="151"/>
  <c r="L23" i="151" s="1"/>
  <c r="H81" i="152"/>
  <c r="H65" i="152"/>
  <c r="H33" i="152"/>
  <c r="H17" i="152"/>
  <c r="G100" i="32"/>
  <c r="L100" i="32" s="1"/>
  <c r="G84" i="32"/>
  <c r="L84" i="32" s="1"/>
  <c r="G52" i="32"/>
  <c r="L52" i="32" s="1"/>
  <c r="G36" i="32"/>
  <c r="L36" i="32" s="1"/>
  <c r="G70" i="151"/>
  <c r="L70" i="151" s="1"/>
  <c r="G22" i="151"/>
  <c r="L22" i="151" s="1"/>
  <c r="H96" i="152"/>
  <c r="H64" i="152"/>
  <c r="H48" i="152"/>
  <c r="H16" i="152"/>
  <c r="H15" i="152"/>
  <c r="CL26" i="67"/>
  <c r="G82" i="32"/>
  <c r="L82" i="32" s="1"/>
  <c r="G34" i="32"/>
  <c r="L34" i="32" s="1"/>
  <c r="G100" i="151"/>
  <c r="G84" i="151"/>
  <c r="L84" i="151" s="1"/>
  <c r="G52" i="151"/>
  <c r="L52" i="151" s="1"/>
  <c r="G36" i="151"/>
  <c r="L36" i="151" s="1"/>
  <c r="H94" i="152"/>
  <c r="H46" i="152"/>
  <c r="H14" i="152"/>
  <c r="G81" i="32"/>
  <c r="L81" i="32" s="1"/>
  <c r="G65" i="32"/>
  <c r="L65" i="32" s="1"/>
  <c r="G49" i="32"/>
  <c r="L49" i="32" s="1"/>
  <c r="G33" i="32"/>
  <c r="L33" i="32" s="1"/>
  <c r="G17" i="32"/>
  <c r="L17" i="32" s="1"/>
  <c r="G35" i="151"/>
  <c r="L35" i="151" s="1"/>
  <c r="H93" i="152"/>
  <c r="H77" i="152"/>
  <c r="H45" i="152"/>
  <c r="H29" i="152"/>
  <c r="G96" i="32"/>
  <c r="L96" i="32" s="1"/>
  <c r="G64" i="32"/>
  <c r="L64" i="32" s="1"/>
  <c r="G48" i="32"/>
  <c r="L48" i="32" s="1"/>
  <c r="G16" i="32"/>
  <c r="L16" i="32" s="1"/>
  <c r="G82" i="151"/>
  <c r="L82" i="151" s="1"/>
  <c r="G34" i="151"/>
  <c r="L34" i="151" s="1"/>
  <c r="H76" i="152"/>
  <c r="H60" i="152"/>
  <c r="H28" i="152"/>
  <c r="G15" i="32"/>
  <c r="L15" i="32" s="1"/>
  <c r="G81" i="151"/>
  <c r="L81" i="151" s="1"/>
  <c r="G65" i="151"/>
  <c r="L65" i="151" s="1"/>
  <c r="G33" i="151"/>
  <c r="L33" i="151" s="1"/>
  <c r="G17" i="151"/>
  <c r="L17" i="151" s="1"/>
  <c r="CL27" i="67"/>
  <c r="G94" i="32"/>
  <c r="L94" i="32" s="1"/>
  <c r="G46" i="32"/>
  <c r="L46" i="32" s="1"/>
  <c r="G96" i="151"/>
  <c r="L96" i="151" s="1"/>
  <c r="G64" i="151"/>
  <c r="L64" i="151" s="1"/>
  <c r="G48" i="151"/>
  <c r="L48" i="151" s="1"/>
  <c r="G16" i="151"/>
  <c r="L16" i="151" s="1"/>
  <c r="H106" i="152"/>
  <c r="H118" i="152" s="1"/>
  <c r="M118" i="152" s="1"/>
  <c r="H58" i="152"/>
  <c r="G101" i="151"/>
  <c r="G53" i="151"/>
  <c r="L53" i="151" s="1"/>
  <c r="G37" i="151"/>
  <c r="L37" i="151" s="1"/>
  <c r="G93" i="32"/>
  <c r="L93" i="32" s="1"/>
  <c r="G77" i="32"/>
  <c r="L77" i="32" s="1"/>
  <c r="G45" i="32"/>
  <c r="L45" i="32" s="1"/>
  <c r="G29" i="32"/>
  <c r="L29" i="32" s="1"/>
  <c r="G47" i="151"/>
  <c r="L47" i="151" s="1"/>
  <c r="H105" i="152"/>
  <c r="H117" i="152" s="1"/>
  <c r="H129" i="152" s="1"/>
  <c r="M129" i="152" s="1"/>
  <c r="H89" i="152"/>
  <c r="H57" i="152"/>
  <c r="H41" i="152"/>
  <c r="H25" i="152"/>
  <c r="G89" i="32"/>
  <c r="L89" i="32" s="1"/>
  <c r="G41" i="32"/>
  <c r="L41" i="32" s="1"/>
  <c r="H53" i="152"/>
  <c r="H37" i="152"/>
  <c r="G88" i="32"/>
  <c r="L88" i="32" s="1"/>
  <c r="G72" i="32"/>
  <c r="L72" i="32" s="1"/>
  <c r="G40" i="32"/>
  <c r="L40" i="32" s="1"/>
  <c r="G58" i="151"/>
  <c r="L58" i="151" s="1"/>
  <c r="H84" i="152"/>
  <c r="H52" i="152"/>
  <c r="H36" i="152"/>
  <c r="G89" i="151"/>
  <c r="L89" i="151" s="1"/>
  <c r="G57" i="151"/>
  <c r="L57" i="151" s="1"/>
  <c r="G41" i="151"/>
  <c r="L41" i="151" s="1"/>
  <c r="H35" i="152"/>
  <c r="H132" i="152"/>
  <c r="M132" i="152" s="1"/>
  <c r="M120" i="152"/>
  <c r="H125" i="152"/>
  <c r="M125" i="152" s="1"/>
  <c r="M113" i="152"/>
  <c r="H124" i="152"/>
  <c r="M124" i="152" s="1"/>
  <c r="M112" i="152"/>
  <c r="G49" i="151" l="1"/>
  <c r="L49" i="151" s="1"/>
  <c r="H130" i="152"/>
  <c r="M130" i="152" s="1"/>
  <c r="G37" i="32"/>
  <c r="L37" i="32" s="1"/>
  <c r="G61" i="32"/>
  <c r="L61" i="32" s="1"/>
  <c r="M117" i="152"/>
  <c r="L118" i="151"/>
  <c r="H47" i="152"/>
  <c r="H49" i="152"/>
  <c r="CL71" i="67"/>
  <c r="G59" i="32"/>
  <c r="L59" i="32" s="1"/>
  <c r="G59" i="151"/>
  <c r="L59" i="151" s="1"/>
  <c r="G35" i="32"/>
  <c r="L35" i="32" s="1"/>
  <c r="G47" i="32"/>
  <c r="L47" i="32" s="1"/>
  <c r="G120" i="151"/>
  <c r="CL73" i="67"/>
  <c r="G61" i="151"/>
  <c r="L61" i="151" s="1"/>
  <c r="CL42" i="67"/>
  <c r="G30" i="32"/>
  <c r="L30" i="32" s="1"/>
  <c r="H30" i="152"/>
  <c r="G30" i="151"/>
  <c r="L30" i="151" s="1"/>
  <c r="CL39" i="67"/>
  <c r="G27" i="151"/>
  <c r="L27" i="151" s="1"/>
  <c r="H27" i="152"/>
  <c r="G27" i="32"/>
  <c r="L27" i="32" s="1"/>
  <c r="G26" i="151"/>
  <c r="L26" i="151" s="1"/>
  <c r="CL38" i="67"/>
  <c r="G26" i="32"/>
  <c r="L26" i="32" s="1"/>
  <c r="H26" i="152"/>
  <c r="L100" i="151"/>
  <c r="G112" i="151"/>
  <c r="CL44" i="67"/>
  <c r="G32" i="151"/>
  <c r="L32" i="151" s="1"/>
  <c r="G32" i="32"/>
  <c r="L32" i="32" s="1"/>
  <c r="H32" i="152"/>
  <c r="L101" i="151"/>
  <c r="G113" i="151"/>
  <c r="G129" i="151"/>
  <c r="L129" i="151" s="1"/>
  <c r="CL43" i="67"/>
  <c r="G31" i="151"/>
  <c r="L31" i="151" s="1"/>
  <c r="G31" i="32"/>
  <c r="L31" i="32" s="1"/>
  <c r="H31" i="152"/>
  <c r="O39" i="69"/>
  <c r="O38" i="69"/>
  <c r="O37" i="69"/>
  <c r="O62" i="69"/>
  <c r="O51" i="69" s="1"/>
  <c r="O70" i="69"/>
  <c r="O71" i="69"/>
  <c r="O69" i="69"/>
  <c r="P75" i="69"/>
  <c r="Q75" i="69"/>
  <c r="R75" i="69" s="1"/>
  <c r="S75" i="69" s="1"/>
  <c r="T75" i="69" s="1"/>
  <c r="U75" i="69" s="1"/>
  <c r="V75" i="69" s="1"/>
  <c r="W75" i="69" s="1"/>
  <c r="X75" i="69" s="1"/>
  <c r="O75" i="69"/>
  <c r="N74" i="69"/>
  <c r="N75" i="69"/>
  <c r="P38" i="149"/>
  <c r="P39" i="149"/>
  <c r="P40" i="149"/>
  <c r="W98" i="69"/>
  <c r="X98" i="69"/>
  <c r="Y98" i="69"/>
  <c r="Z98" i="69"/>
  <c r="B55" i="17"/>
  <c r="M55" i="17"/>
  <c r="M56" i="17" s="1"/>
  <c r="X55" i="17"/>
  <c r="AI55" i="17"/>
  <c r="AI56" i="17" s="1"/>
  <c r="AT55" i="17"/>
  <c r="B56" i="17"/>
  <c r="X56" i="17"/>
  <c r="AT56" i="17"/>
  <c r="R28" i="148"/>
  <c r="S28" i="148"/>
  <c r="T28" i="148"/>
  <c r="R29" i="148"/>
  <c r="S29" i="148"/>
  <c r="T29" i="148"/>
  <c r="R30" i="148"/>
  <c r="S30" i="148"/>
  <c r="T30" i="148"/>
  <c r="B13" i="156"/>
  <c r="I13" i="156"/>
  <c r="P13" i="156"/>
  <c r="X13" i="156"/>
  <c r="AE13" i="156"/>
  <c r="AK13" i="156" s="1"/>
  <c r="B13" i="24"/>
  <c r="I13" i="24"/>
  <c r="P13" i="24"/>
  <c r="X13" i="24"/>
  <c r="AE13" i="24"/>
  <c r="AK13" i="24" s="1"/>
  <c r="B13" i="23"/>
  <c r="F13" i="23"/>
  <c r="J13" i="23"/>
  <c r="J14" i="23" s="1"/>
  <c r="N13" i="23"/>
  <c r="R13" i="23"/>
  <c r="V13" i="23"/>
  <c r="V14" i="23" s="1"/>
  <c r="Z13" i="23"/>
  <c r="AD13" i="23"/>
  <c r="AD14" i="23" s="1"/>
  <c r="F14" i="23"/>
  <c r="R14" i="23"/>
  <c r="Z14" i="23"/>
  <c r="C36" i="23"/>
  <c r="G36" i="23"/>
  <c r="K36" i="23"/>
  <c r="O36" i="23"/>
  <c r="S36" i="23"/>
  <c r="W36" i="23"/>
  <c r="AA36" i="23"/>
  <c r="AE36" i="23"/>
  <c r="C37" i="23"/>
  <c r="G37" i="23"/>
  <c r="K37" i="23"/>
  <c r="O37" i="23"/>
  <c r="S37" i="23"/>
  <c r="W37" i="23"/>
  <c r="AA37" i="23"/>
  <c r="AE37" i="23"/>
  <c r="C38" i="23"/>
  <c r="G38" i="23"/>
  <c r="K38" i="23"/>
  <c r="O38" i="23"/>
  <c r="S38" i="23"/>
  <c r="W38" i="23"/>
  <c r="AA38" i="23"/>
  <c r="AE38" i="23"/>
  <c r="C39" i="23"/>
  <c r="G39" i="23"/>
  <c r="K39" i="23"/>
  <c r="O39" i="23"/>
  <c r="S39" i="23"/>
  <c r="W39" i="23"/>
  <c r="AA39" i="23"/>
  <c r="AE39" i="23"/>
  <c r="C40" i="23"/>
  <c r="G40" i="23"/>
  <c r="K40" i="23"/>
  <c r="O40" i="23"/>
  <c r="S40" i="23"/>
  <c r="W40" i="23"/>
  <c r="AA40" i="23"/>
  <c r="AE40" i="23"/>
  <c r="C41" i="23"/>
  <c r="G41" i="23"/>
  <c r="K41" i="23"/>
  <c r="O41" i="23"/>
  <c r="S41" i="23"/>
  <c r="W41" i="23"/>
  <c r="AA41" i="23"/>
  <c r="AE41" i="23"/>
  <c r="C42" i="23"/>
  <c r="G42" i="23"/>
  <c r="K42" i="23"/>
  <c r="O42" i="23"/>
  <c r="S42" i="23"/>
  <c r="W42" i="23"/>
  <c r="AA42" i="23"/>
  <c r="AE42" i="23"/>
  <c r="C43" i="23"/>
  <c r="G43" i="23"/>
  <c r="K43" i="23"/>
  <c r="O43" i="23"/>
  <c r="S43" i="23"/>
  <c r="W43" i="23"/>
  <c r="AA43" i="23"/>
  <c r="AE43" i="23"/>
  <c r="C44" i="23"/>
  <c r="G44" i="23"/>
  <c r="K44" i="23"/>
  <c r="O44" i="23"/>
  <c r="S44" i="23"/>
  <c r="W44" i="23"/>
  <c r="AA44" i="23"/>
  <c r="AE44" i="23"/>
  <c r="C45" i="23"/>
  <c r="G45" i="23"/>
  <c r="K45" i="23"/>
  <c r="O45" i="23"/>
  <c r="S45" i="23"/>
  <c r="W45" i="23"/>
  <c r="AA45" i="23"/>
  <c r="AE45" i="23"/>
  <c r="C46" i="23"/>
  <c r="G46" i="23"/>
  <c r="K46" i="23"/>
  <c r="O46" i="23"/>
  <c r="S46" i="23"/>
  <c r="W46" i="23"/>
  <c r="AA46" i="23"/>
  <c r="AE46" i="23"/>
  <c r="C47" i="23"/>
  <c r="G47" i="23"/>
  <c r="K47" i="23"/>
  <c r="O47" i="23"/>
  <c r="S47" i="23"/>
  <c r="W47" i="23"/>
  <c r="AA47" i="23"/>
  <c r="AE47" i="23"/>
  <c r="G35" i="23"/>
  <c r="K35" i="23"/>
  <c r="B14" i="17"/>
  <c r="M14" i="17"/>
  <c r="X14" i="17"/>
  <c r="AI14" i="17"/>
  <c r="AT14" i="17"/>
  <c r="BE14" i="17"/>
  <c r="BK14" i="17"/>
  <c r="BQ14" i="17"/>
  <c r="A98" i="155"/>
  <c r="B98" i="155" s="1"/>
  <c r="I98" i="155"/>
  <c r="K98" i="155"/>
  <c r="A99" i="155"/>
  <c r="C99" i="155" s="1"/>
  <c r="I99" i="155"/>
  <c r="K99" i="155"/>
  <c r="A100" i="155"/>
  <c r="B100" i="155" s="1"/>
  <c r="I100" i="155"/>
  <c r="K100" i="155"/>
  <c r="A101" i="155"/>
  <c r="B101" i="155" s="1"/>
  <c r="I101" i="155"/>
  <c r="K101" i="155"/>
  <c r="A102" i="155"/>
  <c r="B102" i="155" s="1"/>
  <c r="I102" i="155"/>
  <c r="K102" i="155"/>
  <c r="A103" i="155"/>
  <c r="C103" i="155" s="1"/>
  <c r="I103" i="155"/>
  <c r="K103" i="155"/>
  <c r="A104" i="155"/>
  <c r="C104" i="155" s="1"/>
  <c r="I104" i="155"/>
  <c r="K104" i="155"/>
  <c r="A105" i="155"/>
  <c r="C105" i="155" s="1"/>
  <c r="I105" i="155"/>
  <c r="K105" i="155"/>
  <c r="A106" i="155"/>
  <c r="B106" i="155" s="1"/>
  <c r="I106" i="155"/>
  <c r="K106" i="155"/>
  <c r="A107" i="155"/>
  <c r="I107" i="155"/>
  <c r="K107" i="155"/>
  <c r="A108" i="155"/>
  <c r="B108" i="155" s="1"/>
  <c r="I108" i="155"/>
  <c r="K108" i="155"/>
  <c r="A109" i="155"/>
  <c r="C109" i="155" s="1"/>
  <c r="I109" i="155"/>
  <c r="K109" i="155"/>
  <c r="A98" i="152"/>
  <c r="C98" i="152" s="1"/>
  <c r="G98" i="152"/>
  <c r="A99" i="152"/>
  <c r="C99" i="152" s="1"/>
  <c r="G99" i="152"/>
  <c r="A100" i="152"/>
  <c r="C100" i="152" s="1"/>
  <c r="G100" i="152"/>
  <c r="A101" i="152"/>
  <c r="B101" i="152" s="1"/>
  <c r="G101" i="152"/>
  <c r="A102" i="152"/>
  <c r="C102" i="152" s="1"/>
  <c r="G102" i="152"/>
  <c r="A103" i="152"/>
  <c r="B103" i="152" s="1"/>
  <c r="G103" i="152"/>
  <c r="A104" i="152"/>
  <c r="C104" i="152" s="1"/>
  <c r="G104" i="152"/>
  <c r="A105" i="152"/>
  <c r="G105" i="152"/>
  <c r="A106" i="152"/>
  <c r="B106" i="152" s="1"/>
  <c r="G106" i="152"/>
  <c r="A107" i="152"/>
  <c r="C107" i="152" s="1"/>
  <c r="G107" i="152"/>
  <c r="A108" i="152"/>
  <c r="B108" i="152" s="1"/>
  <c r="G108" i="152"/>
  <c r="A109" i="152"/>
  <c r="B109" i="152" s="1"/>
  <c r="G109" i="152"/>
  <c r="A98" i="77"/>
  <c r="B98" i="77" s="1"/>
  <c r="I98" i="77"/>
  <c r="A99" i="77"/>
  <c r="C99" i="77" s="1"/>
  <c r="I99" i="77"/>
  <c r="A100" i="77"/>
  <c r="C100" i="77" s="1"/>
  <c r="I100" i="77"/>
  <c r="A101" i="77"/>
  <c r="B101" i="77" s="1"/>
  <c r="I101" i="77"/>
  <c r="A102" i="77"/>
  <c r="B102" i="77" s="1"/>
  <c r="I102" i="77"/>
  <c r="A103" i="77"/>
  <c r="C103" i="77" s="1"/>
  <c r="I103" i="77"/>
  <c r="A104" i="77"/>
  <c r="B104" i="77" s="1"/>
  <c r="I104" i="77"/>
  <c r="A105" i="77"/>
  <c r="C105" i="77" s="1"/>
  <c r="I105" i="77"/>
  <c r="A106" i="77"/>
  <c r="C106" i="77" s="1"/>
  <c r="I106" i="77"/>
  <c r="A107" i="77"/>
  <c r="B107" i="77" s="1"/>
  <c r="I107" i="77"/>
  <c r="A108" i="77"/>
  <c r="C108" i="77" s="1"/>
  <c r="I108" i="77"/>
  <c r="A109" i="77"/>
  <c r="B109" i="77" s="1"/>
  <c r="I109" i="77"/>
  <c r="I88" i="76"/>
  <c r="I89" i="76"/>
  <c r="I90" i="76"/>
  <c r="I91" i="76"/>
  <c r="I92" i="76"/>
  <c r="I93" i="76"/>
  <c r="I94" i="76"/>
  <c r="I95" i="76"/>
  <c r="I96" i="76"/>
  <c r="I97" i="76"/>
  <c r="I98" i="76"/>
  <c r="I99" i="76"/>
  <c r="I100" i="76"/>
  <c r="I101" i="76"/>
  <c r="I102" i="76"/>
  <c r="I103" i="76"/>
  <c r="I104" i="76"/>
  <c r="I105" i="76"/>
  <c r="I106" i="76"/>
  <c r="I107" i="76"/>
  <c r="I108" i="76"/>
  <c r="I109" i="76"/>
  <c r="A99" i="76"/>
  <c r="C99" i="76" s="1"/>
  <c r="A100" i="76"/>
  <c r="B100" i="76" s="1"/>
  <c r="A101" i="76"/>
  <c r="B101" i="76" s="1"/>
  <c r="A102" i="76"/>
  <c r="B102" i="76" s="1"/>
  <c r="A103" i="76"/>
  <c r="B103" i="76" s="1"/>
  <c r="A105" i="76"/>
  <c r="A106" i="76"/>
  <c r="B106" i="76" s="1"/>
  <c r="A107" i="76"/>
  <c r="C107" i="76" s="1"/>
  <c r="A108" i="76"/>
  <c r="B108" i="76" s="1"/>
  <c r="A109" i="76"/>
  <c r="B109" i="76" s="1"/>
  <c r="A97" i="75"/>
  <c r="B97" i="75" s="1"/>
  <c r="I97" i="75"/>
  <c r="O97" i="75"/>
  <c r="A98" i="75"/>
  <c r="B98" i="75" s="1"/>
  <c r="I98" i="75"/>
  <c r="O98" i="75"/>
  <c r="A99" i="75"/>
  <c r="B99" i="75" s="1"/>
  <c r="I99" i="75"/>
  <c r="O99" i="75"/>
  <c r="A100" i="75"/>
  <c r="C100" i="75" s="1"/>
  <c r="I100" i="75"/>
  <c r="O100" i="75"/>
  <c r="A101" i="75"/>
  <c r="B101" i="75" s="1"/>
  <c r="I101" i="75"/>
  <c r="O101" i="75"/>
  <c r="A102" i="75"/>
  <c r="I102" i="75"/>
  <c r="O102" i="75"/>
  <c r="A103" i="75"/>
  <c r="I103" i="75"/>
  <c r="O103" i="75"/>
  <c r="A104" i="75"/>
  <c r="C104" i="75" s="1"/>
  <c r="I104" i="75"/>
  <c r="O104" i="75"/>
  <c r="A105" i="75"/>
  <c r="B105" i="75" s="1"/>
  <c r="I105" i="75"/>
  <c r="O105" i="75"/>
  <c r="A106" i="75"/>
  <c r="B106" i="75" s="1"/>
  <c r="I106" i="75"/>
  <c r="O106" i="75"/>
  <c r="A107" i="75"/>
  <c r="B107" i="75" s="1"/>
  <c r="I107" i="75"/>
  <c r="O107" i="75"/>
  <c r="A108" i="75"/>
  <c r="C108" i="75" s="1"/>
  <c r="I108" i="75"/>
  <c r="O108" i="75"/>
  <c r="A109" i="75"/>
  <c r="B109" i="75" s="1"/>
  <c r="I109" i="75"/>
  <c r="O109" i="75"/>
  <c r="A98" i="154"/>
  <c r="B98" i="154" s="1"/>
  <c r="G98" i="154"/>
  <c r="Q98" i="154" s="1"/>
  <c r="I98" i="154"/>
  <c r="S98" i="154" s="1"/>
  <c r="N98" i="154"/>
  <c r="A99" i="154"/>
  <c r="B99" i="154" s="1"/>
  <c r="G99" i="154"/>
  <c r="Q99" i="154" s="1"/>
  <c r="I99" i="154"/>
  <c r="S99" i="154" s="1"/>
  <c r="N99" i="154"/>
  <c r="A100" i="154"/>
  <c r="B100" i="154" s="1"/>
  <c r="G100" i="154"/>
  <c r="Q100" i="154" s="1"/>
  <c r="I100" i="154"/>
  <c r="S100" i="154" s="1"/>
  <c r="N100" i="154"/>
  <c r="A101" i="154"/>
  <c r="B101" i="154" s="1"/>
  <c r="G101" i="154"/>
  <c r="Q101" i="154" s="1"/>
  <c r="I101" i="154"/>
  <c r="S101" i="154" s="1"/>
  <c r="N101" i="154"/>
  <c r="A102" i="154"/>
  <c r="C102" i="154" s="1"/>
  <c r="G102" i="154"/>
  <c r="Q102" i="154" s="1"/>
  <c r="I102" i="154"/>
  <c r="S102" i="154" s="1"/>
  <c r="N102" i="154"/>
  <c r="A103" i="154"/>
  <c r="B103" i="154" s="1"/>
  <c r="G103" i="154"/>
  <c r="Q103" i="154" s="1"/>
  <c r="I103" i="154"/>
  <c r="S103" i="154" s="1"/>
  <c r="N103" i="154"/>
  <c r="A104" i="154"/>
  <c r="G104" i="154"/>
  <c r="Q104" i="154" s="1"/>
  <c r="I104" i="154"/>
  <c r="S104" i="154" s="1"/>
  <c r="N104" i="154"/>
  <c r="A105" i="154"/>
  <c r="B105" i="154" s="1"/>
  <c r="G105" i="154"/>
  <c r="Q105" i="154" s="1"/>
  <c r="I105" i="154"/>
  <c r="S105" i="154" s="1"/>
  <c r="N105" i="154"/>
  <c r="A106" i="154"/>
  <c r="C106" i="154" s="1"/>
  <c r="G106" i="154"/>
  <c r="Q106" i="154" s="1"/>
  <c r="I106" i="154"/>
  <c r="S106" i="154" s="1"/>
  <c r="N106" i="154"/>
  <c r="A107" i="154"/>
  <c r="B107" i="154" s="1"/>
  <c r="G107" i="154"/>
  <c r="Q107" i="154" s="1"/>
  <c r="I107" i="154"/>
  <c r="S107" i="154" s="1"/>
  <c r="N107" i="154"/>
  <c r="A108" i="154"/>
  <c r="B108" i="154" s="1"/>
  <c r="G108" i="154"/>
  <c r="Q108" i="154" s="1"/>
  <c r="I108" i="154"/>
  <c r="S108" i="154" s="1"/>
  <c r="N108" i="154"/>
  <c r="A109" i="154"/>
  <c r="B109" i="154" s="1"/>
  <c r="G109" i="154"/>
  <c r="Q109" i="154" s="1"/>
  <c r="I109" i="154"/>
  <c r="S109" i="154" s="1"/>
  <c r="N109" i="154"/>
  <c r="A98" i="151"/>
  <c r="C98" i="151" s="1"/>
  <c r="F98" i="151"/>
  <c r="K98" i="151" s="1"/>
  <c r="I98" i="151"/>
  <c r="A99" i="151"/>
  <c r="F99" i="151"/>
  <c r="K99" i="151" s="1"/>
  <c r="I99" i="151"/>
  <c r="A100" i="151"/>
  <c r="C100" i="151" s="1"/>
  <c r="F100" i="151"/>
  <c r="K100" i="151" s="1"/>
  <c r="I100" i="151"/>
  <c r="A101" i="151"/>
  <c r="C101" i="151" s="1"/>
  <c r="F101" i="151"/>
  <c r="K101" i="151" s="1"/>
  <c r="I101" i="151"/>
  <c r="A102" i="151"/>
  <c r="B102" i="151" s="1"/>
  <c r="F102" i="151"/>
  <c r="K102" i="151" s="1"/>
  <c r="I102" i="151"/>
  <c r="A103" i="151"/>
  <c r="C103" i="151" s="1"/>
  <c r="F103" i="151"/>
  <c r="K103" i="151" s="1"/>
  <c r="I103" i="151"/>
  <c r="A104" i="151"/>
  <c r="C104" i="151" s="1"/>
  <c r="F104" i="151"/>
  <c r="K104" i="151" s="1"/>
  <c r="I104" i="151"/>
  <c r="A105" i="151"/>
  <c r="B105" i="151" s="1"/>
  <c r="F105" i="151"/>
  <c r="K105" i="151" s="1"/>
  <c r="I105" i="151"/>
  <c r="A106" i="151"/>
  <c r="B106" i="151" s="1"/>
  <c r="F106" i="151"/>
  <c r="K106" i="151" s="1"/>
  <c r="I106" i="151"/>
  <c r="A107" i="151"/>
  <c r="C107" i="151" s="1"/>
  <c r="F107" i="151"/>
  <c r="K107" i="151" s="1"/>
  <c r="I107" i="151"/>
  <c r="A108" i="151"/>
  <c r="C108" i="151" s="1"/>
  <c r="F108" i="151"/>
  <c r="K108" i="151" s="1"/>
  <c r="I108" i="151"/>
  <c r="A109" i="151"/>
  <c r="C109" i="151" s="1"/>
  <c r="F109" i="151"/>
  <c r="K109" i="151" s="1"/>
  <c r="I109" i="151"/>
  <c r="A98" i="36"/>
  <c r="B98" i="36" s="1"/>
  <c r="G98" i="36"/>
  <c r="P98" i="36" s="1"/>
  <c r="M98" i="36"/>
  <c r="A99" i="36"/>
  <c r="C99" i="36" s="1"/>
  <c r="G99" i="36"/>
  <c r="P99" i="36" s="1"/>
  <c r="M99" i="36"/>
  <c r="A100" i="36"/>
  <c r="B100" i="36" s="1"/>
  <c r="G100" i="36"/>
  <c r="P100" i="36" s="1"/>
  <c r="M100" i="36"/>
  <c r="A101" i="36"/>
  <c r="B101" i="36" s="1"/>
  <c r="G101" i="36"/>
  <c r="P101" i="36" s="1"/>
  <c r="M101" i="36"/>
  <c r="A102" i="36"/>
  <c r="G102" i="36"/>
  <c r="P102" i="36" s="1"/>
  <c r="M102" i="36"/>
  <c r="A103" i="36"/>
  <c r="B103" i="36" s="1"/>
  <c r="G103" i="36"/>
  <c r="P103" i="36" s="1"/>
  <c r="M103" i="36"/>
  <c r="A104" i="36"/>
  <c r="C104" i="36" s="1"/>
  <c r="G104" i="36"/>
  <c r="P104" i="36" s="1"/>
  <c r="M104" i="36"/>
  <c r="A105" i="36"/>
  <c r="C105" i="36" s="1"/>
  <c r="G105" i="36"/>
  <c r="P105" i="36" s="1"/>
  <c r="M105" i="36"/>
  <c r="A106" i="36"/>
  <c r="B106" i="36" s="1"/>
  <c r="G106" i="36"/>
  <c r="P106" i="36" s="1"/>
  <c r="M106" i="36"/>
  <c r="A107" i="36"/>
  <c r="G107" i="36"/>
  <c r="P107" i="36" s="1"/>
  <c r="M107" i="36"/>
  <c r="A108" i="36"/>
  <c r="B108" i="36" s="1"/>
  <c r="G108" i="36"/>
  <c r="P108" i="36" s="1"/>
  <c r="M108" i="36"/>
  <c r="A109" i="36"/>
  <c r="B109" i="36" s="1"/>
  <c r="G109" i="36"/>
  <c r="P109" i="36" s="1"/>
  <c r="M109" i="36"/>
  <c r="A98" i="34"/>
  <c r="B98" i="34" s="1"/>
  <c r="G98" i="34"/>
  <c r="O98" i="34" s="1"/>
  <c r="L98" i="34"/>
  <c r="A99" i="34"/>
  <c r="B99" i="34" s="1"/>
  <c r="G99" i="34"/>
  <c r="O99" i="34" s="1"/>
  <c r="L99" i="34"/>
  <c r="A100" i="34"/>
  <c r="B100" i="34" s="1"/>
  <c r="G100" i="34"/>
  <c r="O100" i="34" s="1"/>
  <c r="L100" i="34"/>
  <c r="A101" i="34"/>
  <c r="B101" i="34" s="1"/>
  <c r="G101" i="34"/>
  <c r="O101" i="34" s="1"/>
  <c r="L101" i="34"/>
  <c r="A102" i="34"/>
  <c r="B102" i="34" s="1"/>
  <c r="G102" i="34"/>
  <c r="O102" i="34" s="1"/>
  <c r="L102" i="34"/>
  <c r="A103" i="34"/>
  <c r="B103" i="34" s="1"/>
  <c r="G103" i="34"/>
  <c r="O103" i="34" s="1"/>
  <c r="L103" i="34"/>
  <c r="A104" i="34"/>
  <c r="B104" i="34" s="1"/>
  <c r="G104" i="34"/>
  <c r="O104" i="34" s="1"/>
  <c r="L104" i="34"/>
  <c r="A105" i="34"/>
  <c r="G105" i="34"/>
  <c r="O105" i="34" s="1"/>
  <c r="L105" i="34"/>
  <c r="A106" i="34"/>
  <c r="B106" i="34" s="1"/>
  <c r="G106" i="34"/>
  <c r="O106" i="34" s="1"/>
  <c r="L106" i="34"/>
  <c r="A107" i="34"/>
  <c r="B107" i="34" s="1"/>
  <c r="G107" i="34"/>
  <c r="O107" i="34" s="1"/>
  <c r="L107" i="34"/>
  <c r="A108" i="34"/>
  <c r="G108" i="34"/>
  <c r="O108" i="34" s="1"/>
  <c r="L108" i="34"/>
  <c r="A109" i="34"/>
  <c r="B109" i="34" s="1"/>
  <c r="G109" i="34"/>
  <c r="O109" i="34" s="1"/>
  <c r="L109" i="34"/>
  <c r="A98" i="38"/>
  <c r="B98" i="38" s="1"/>
  <c r="G98" i="38"/>
  <c r="Q98" i="38" s="1"/>
  <c r="M98" i="38"/>
  <c r="N98" i="38"/>
  <c r="A99" i="38"/>
  <c r="B99" i="38" s="1"/>
  <c r="G99" i="38"/>
  <c r="Q99" i="38" s="1"/>
  <c r="M99" i="38"/>
  <c r="N99" i="38"/>
  <c r="A100" i="38"/>
  <c r="G100" i="38"/>
  <c r="Q100" i="38" s="1"/>
  <c r="M100" i="38"/>
  <c r="N100" i="38"/>
  <c r="A101" i="38"/>
  <c r="B101" i="38" s="1"/>
  <c r="G101" i="38"/>
  <c r="Q101" i="38" s="1"/>
  <c r="M101" i="38"/>
  <c r="N101" i="38"/>
  <c r="A102" i="38"/>
  <c r="B102" i="38" s="1"/>
  <c r="G102" i="38"/>
  <c r="Q102" i="38" s="1"/>
  <c r="M102" i="38"/>
  <c r="N102" i="38"/>
  <c r="A103" i="38"/>
  <c r="B103" i="38" s="1"/>
  <c r="G103" i="38"/>
  <c r="Q103" i="38" s="1"/>
  <c r="M103" i="38"/>
  <c r="N103" i="38"/>
  <c r="A104" i="38"/>
  <c r="C104" i="38" s="1"/>
  <c r="G104" i="38"/>
  <c r="Q104" i="38" s="1"/>
  <c r="M104" i="38"/>
  <c r="N104" i="38"/>
  <c r="A105" i="38"/>
  <c r="B105" i="38" s="1"/>
  <c r="G105" i="38"/>
  <c r="Q105" i="38" s="1"/>
  <c r="M105" i="38"/>
  <c r="N105" i="38"/>
  <c r="A106" i="38"/>
  <c r="C106" i="38" s="1"/>
  <c r="G106" i="38"/>
  <c r="Q106" i="38" s="1"/>
  <c r="M106" i="38"/>
  <c r="N106" i="38"/>
  <c r="A107" i="38"/>
  <c r="B107" i="38" s="1"/>
  <c r="G107" i="38"/>
  <c r="Q107" i="38" s="1"/>
  <c r="M107" i="38"/>
  <c r="N107" i="38"/>
  <c r="A108" i="38"/>
  <c r="C108" i="38" s="1"/>
  <c r="G108" i="38"/>
  <c r="Q108" i="38" s="1"/>
  <c r="M108" i="38"/>
  <c r="N108" i="38"/>
  <c r="A109" i="38"/>
  <c r="B109" i="38" s="1"/>
  <c r="G109" i="38"/>
  <c r="Q109" i="38" s="1"/>
  <c r="M109" i="38"/>
  <c r="N109" i="38"/>
  <c r="B13" i="15"/>
  <c r="H13" i="15"/>
  <c r="N13" i="15"/>
  <c r="Z13" i="15" s="1"/>
  <c r="A98" i="153"/>
  <c r="B98" i="153" s="1"/>
  <c r="G98" i="153"/>
  <c r="Q98" i="153" s="1"/>
  <c r="I98" i="153"/>
  <c r="S98" i="153" s="1"/>
  <c r="N98" i="153"/>
  <c r="A99" i="153"/>
  <c r="C99" i="153" s="1"/>
  <c r="G99" i="153"/>
  <c r="Q99" i="153" s="1"/>
  <c r="I99" i="153"/>
  <c r="S99" i="153" s="1"/>
  <c r="N99" i="153"/>
  <c r="A100" i="153"/>
  <c r="B100" i="153" s="1"/>
  <c r="G100" i="153"/>
  <c r="Q100" i="153" s="1"/>
  <c r="I100" i="153"/>
  <c r="S100" i="153" s="1"/>
  <c r="N100" i="153"/>
  <c r="A101" i="153"/>
  <c r="G101" i="153"/>
  <c r="Q101" i="153" s="1"/>
  <c r="I101" i="153"/>
  <c r="S101" i="153" s="1"/>
  <c r="N101" i="153"/>
  <c r="A102" i="153"/>
  <c r="B102" i="153" s="1"/>
  <c r="G102" i="153"/>
  <c r="Q102" i="153" s="1"/>
  <c r="I102" i="153"/>
  <c r="S102" i="153" s="1"/>
  <c r="N102" i="153"/>
  <c r="A103" i="153"/>
  <c r="B103" i="153" s="1"/>
  <c r="G103" i="153"/>
  <c r="Q103" i="153" s="1"/>
  <c r="I103" i="153"/>
  <c r="S103" i="153" s="1"/>
  <c r="N103" i="153"/>
  <c r="A104" i="153"/>
  <c r="C104" i="153" s="1"/>
  <c r="G104" i="153"/>
  <c r="Q104" i="153" s="1"/>
  <c r="I104" i="153"/>
  <c r="S104" i="153" s="1"/>
  <c r="N104" i="153"/>
  <c r="A105" i="153"/>
  <c r="C105" i="153" s="1"/>
  <c r="G105" i="153"/>
  <c r="Q105" i="153" s="1"/>
  <c r="I105" i="153"/>
  <c r="S105" i="153" s="1"/>
  <c r="N105" i="153"/>
  <c r="A106" i="153"/>
  <c r="B106" i="153" s="1"/>
  <c r="G106" i="153"/>
  <c r="Q106" i="153" s="1"/>
  <c r="I106" i="153"/>
  <c r="S106" i="153" s="1"/>
  <c r="N106" i="153"/>
  <c r="A107" i="153"/>
  <c r="C107" i="153" s="1"/>
  <c r="G107" i="153"/>
  <c r="Q107" i="153" s="1"/>
  <c r="I107" i="153"/>
  <c r="S107" i="153" s="1"/>
  <c r="N107" i="153"/>
  <c r="A108" i="153"/>
  <c r="B108" i="153" s="1"/>
  <c r="G108" i="153"/>
  <c r="Q108" i="153" s="1"/>
  <c r="I108" i="153"/>
  <c r="S108" i="153" s="1"/>
  <c r="N108" i="153"/>
  <c r="A109" i="153"/>
  <c r="G109" i="153"/>
  <c r="Q109" i="153" s="1"/>
  <c r="I109" i="153"/>
  <c r="S109" i="153" s="1"/>
  <c r="N109" i="153"/>
  <c r="A97" i="157"/>
  <c r="B97" i="157" s="1"/>
  <c r="G97" i="157"/>
  <c r="L97" i="157" s="1"/>
  <c r="I97" i="157"/>
  <c r="A98" i="157"/>
  <c r="C98" i="157" s="1"/>
  <c r="G98" i="157"/>
  <c r="L98" i="157" s="1"/>
  <c r="I98" i="157"/>
  <c r="A99" i="157"/>
  <c r="B99" i="157" s="1"/>
  <c r="G99" i="157"/>
  <c r="L99" i="157" s="1"/>
  <c r="I99" i="157"/>
  <c r="A100" i="157"/>
  <c r="B100" i="157" s="1"/>
  <c r="G100" i="157"/>
  <c r="L100" i="157" s="1"/>
  <c r="I100" i="157"/>
  <c r="A101" i="157"/>
  <c r="B101" i="157" s="1"/>
  <c r="G101" i="157"/>
  <c r="L101" i="157" s="1"/>
  <c r="I101" i="157"/>
  <c r="A102" i="157"/>
  <c r="B102" i="157" s="1"/>
  <c r="G102" i="157"/>
  <c r="L102" i="157" s="1"/>
  <c r="I102" i="157"/>
  <c r="A103" i="157"/>
  <c r="B103" i="157" s="1"/>
  <c r="G103" i="157"/>
  <c r="L103" i="157" s="1"/>
  <c r="I103" i="157"/>
  <c r="A104" i="157"/>
  <c r="B104" i="157" s="1"/>
  <c r="G104" i="157"/>
  <c r="L104" i="157" s="1"/>
  <c r="I104" i="157"/>
  <c r="A105" i="157"/>
  <c r="C105" i="157" s="1"/>
  <c r="G105" i="157"/>
  <c r="L105" i="157" s="1"/>
  <c r="I105" i="157"/>
  <c r="A106" i="157"/>
  <c r="G106" i="157"/>
  <c r="L106" i="157" s="1"/>
  <c r="I106" i="157"/>
  <c r="A107" i="157"/>
  <c r="B107" i="157" s="1"/>
  <c r="G107" i="157"/>
  <c r="L107" i="157" s="1"/>
  <c r="I107" i="157"/>
  <c r="A108" i="157"/>
  <c r="B108" i="157" s="1"/>
  <c r="G108" i="157"/>
  <c r="L108" i="157" s="1"/>
  <c r="I108" i="157"/>
  <c r="A109" i="157"/>
  <c r="B109" i="157" s="1"/>
  <c r="G109" i="157"/>
  <c r="L109" i="157" s="1"/>
  <c r="I109" i="157"/>
  <c r="A98" i="32"/>
  <c r="C98" i="32" s="1"/>
  <c r="F98" i="32"/>
  <c r="K98" i="32" s="1"/>
  <c r="I98" i="32"/>
  <c r="A99" i="32"/>
  <c r="B99" i="32" s="1"/>
  <c r="F99" i="32"/>
  <c r="K99" i="32" s="1"/>
  <c r="I99" i="32"/>
  <c r="A100" i="32"/>
  <c r="B100" i="32" s="1"/>
  <c r="F100" i="32"/>
  <c r="K100" i="32" s="1"/>
  <c r="I100" i="32"/>
  <c r="A101" i="32"/>
  <c r="B101" i="32" s="1"/>
  <c r="F101" i="32"/>
  <c r="K101" i="32" s="1"/>
  <c r="I101" i="32"/>
  <c r="A102" i="32"/>
  <c r="B102" i="32" s="1"/>
  <c r="F102" i="32"/>
  <c r="K102" i="32" s="1"/>
  <c r="I102" i="32"/>
  <c r="A103" i="32"/>
  <c r="B103" i="32" s="1"/>
  <c r="F103" i="32"/>
  <c r="K103" i="32" s="1"/>
  <c r="I103" i="32"/>
  <c r="A104" i="32"/>
  <c r="B104" i="32" s="1"/>
  <c r="F104" i="32"/>
  <c r="K104" i="32" s="1"/>
  <c r="I104" i="32"/>
  <c r="A105" i="32"/>
  <c r="B105" i="32" s="1"/>
  <c r="F105" i="32"/>
  <c r="K105" i="32" s="1"/>
  <c r="I105" i="32"/>
  <c r="A106" i="32"/>
  <c r="B106" i="32" s="1"/>
  <c r="F106" i="32"/>
  <c r="K106" i="32" s="1"/>
  <c r="I106" i="32"/>
  <c r="A107" i="32"/>
  <c r="B107" i="32" s="1"/>
  <c r="F107" i="32"/>
  <c r="K107" i="32" s="1"/>
  <c r="I107" i="32"/>
  <c r="A108" i="32"/>
  <c r="B108" i="32" s="1"/>
  <c r="F108" i="32"/>
  <c r="K108" i="32" s="1"/>
  <c r="I108" i="32"/>
  <c r="A109" i="32"/>
  <c r="B109" i="32" s="1"/>
  <c r="F109" i="32"/>
  <c r="K109" i="32" s="1"/>
  <c r="I109" i="32"/>
  <c r="A98" i="150"/>
  <c r="B98" i="150" s="1"/>
  <c r="G98" i="150"/>
  <c r="P98" i="150" s="1"/>
  <c r="M98" i="150"/>
  <c r="A99" i="150"/>
  <c r="G99" i="150"/>
  <c r="P99" i="150" s="1"/>
  <c r="M99" i="150"/>
  <c r="A100" i="150"/>
  <c r="B100" i="150" s="1"/>
  <c r="G100" i="150"/>
  <c r="P100" i="150" s="1"/>
  <c r="M100" i="150"/>
  <c r="A101" i="150"/>
  <c r="B101" i="150" s="1"/>
  <c r="G101" i="150"/>
  <c r="P101" i="150" s="1"/>
  <c r="M101" i="150"/>
  <c r="A102" i="150"/>
  <c r="B102" i="150" s="1"/>
  <c r="G102" i="150"/>
  <c r="P102" i="150" s="1"/>
  <c r="M102" i="150"/>
  <c r="A103" i="150"/>
  <c r="C103" i="150" s="1"/>
  <c r="G103" i="150"/>
  <c r="P103" i="150" s="1"/>
  <c r="M103" i="150"/>
  <c r="A104" i="150"/>
  <c r="C104" i="150" s="1"/>
  <c r="G104" i="150"/>
  <c r="P104" i="150" s="1"/>
  <c r="M104" i="150"/>
  <c r="A105" i="150"/>
  <c r="C105" i="150" s="1"/>
  <c r="G105" i="150"/>
  <c r="P105" i="150" s="1"/>
  <c r="M105" i="150"/>
  <c r="A106" i="150"/>
  <c r="B106" i="150" s="1"/>
  <c r="G106" i="150"/>
  <c r="P106" i="150" s="1"/>
  <c r="M106" i="150"/>
  <c r="A107" i="150"/>
  <c r="B107" i="150" s="1"/>
  <c r="G107" i="150"/>
  <c r="P107" i="150" s="1"/>
  <c r="M107" i="150"/>
  <c r="A108" i="150"/>
  <c r="B108" i="150" s="1"/>
  <c r="G108" i="150"/>
  <c r="P108" i="150" s="1"/>
  <c r="M108" i="150"/>
  <c r="A109" i="150"/>
  <c r="C109" i="150" s="1"/>
  <c r="G109" i="150"/>
  <c r="P109" i="150" s="1"/>
  <c r="M109" i="150"/>
  <c r="A98" i="30"/>
  <c r="B98" i="30" s="1"/>
  <c r="G98" i="30"/>
  <c r="O98" i="30" s="1"/>
  <c r="L98" i="30"/>
  <c r="A99" i="30"/>
  <c r="C99" i="30" s="1"/>
  <c r="G99" i="30"/>
  <c r="O99" i="30" s="1"/>
  <c r="L99" i="30"/>
  <c r="A100" i="30"/>
  <c r="C100" i="30" s="1"/>
  <c r="G100" i="30"/>
  <c r="O100" i="30" s="1"/>
  <c r="L100" i="30"/>
  <c r="A101" i="30"/>
  <c r="B101" i="30" s="1"/>
  <c r="G101" i="30"/>
  <c r="O101" i="30" s="1"/>
  <c r="L101" i="30"/>
  <c r="A102" i="30"/>
  <c r="B102" i="30" s="1"/>
  <c r="G102" i="30"/>
  <c r="O102" i="30" s="1"/>
  <c r="L102" i="30"/>
  <c r="A103" i="30"/>
  <c r="B103" i="30" s="1"/>
  <c r="G103" i="30"/>
  <c r="O103" i="30" s="1"/>
  <c r="L103" i="30"/>
  <c r="A104" i="30"/>
  <c r="C104" i="30" s="1"/>
  <c r="G104" i="30"/>
  <c r="O104" i="30" s="1"/>
  <c r="L104" i="30"/>
  <c r="A105" i="30"/>
  <c r="G105" i="30"/>
  <c r="O105" i="30" s="1"/>
  <c r="L105" i="30"/>
  <c r="A106" i="30"/>
  <c r="B106" i="30" s="1"/>
  <c r="G106" i="30"/>
  <c r="O106" i="30" s="1"/>
  <c r="L106" i="30"/>
  <c r="A107" i="30"/>
  <c r="B107" i="30" s="1"/>
  <c r="G107" i="30"/>
  <c r="O107" i="30" s="1"/>
  <c r="L107" i="30"/>
  <c r="A108" i="30"/>
  <c r="G108" i="30"/>
  <c r="O108" i="30" s="1"/>
  <c r="L108" i="30"/>
  <c r="A109" i="30"/>
  <c r="G109" i="30"/>
  <c r="O109" i="30" s="1"/>
  <c r="L109" i="30"/>
  <c r="A98" i="28"/>
  <c r="B98" i="28" s="1"/>
  <c r="G98" i="28"/>
  <c r="Q98" i="28" s="1"/>
  <c r="N98" i="28"/>
  <c r="A99" i="28"/>
  <c r="B99" i="28" s="1"/>
  <c r="G99" i="28"/>
  <c r="Q99" i="28" s="1"/>
  <c r="N99" i="28"/>
  <c r="A100" i="28"/>
  <c r="G100" i="28"/>
  <c r="Q100" i="28" s="1"/>
  <c r="N100" i="28"/>
  <c r="A101" i="28"/>
  <c r="B101" i="28" s="1"/>
  <c r="G101" i="28"/>
  <c r="Q101" i="28" s="1"/>
  <c r="N101" i="28"/>
  <c r="A102" i="28"/>
  <c r="C102" i="28" s="1"/>
  <c r="G102" i="28"/>
  <c r="Q102" i="28" s="1"/>
  <c r="N102" i="28"/>
  <c r="A103" i="28"/>
  <c r="B103" i="28" s="1"/>
  <c r="G103" i="28"/>
  <c r="Q103" i="28" s="1"/>
  <c r="N103" i="28"/>
  <c r="A104" i="28"/>
  <c r="B104" i="28" s="1"/>
  <c r="G104" i="28"/>
  <c r="Q104" i="28" s="1"/>
  <c r="N104" i="28"/>
  <c r="A105" i="28"/>
  <c r="B105" i="28" s="1"/>
  <c r="G105" i="28"/>
  <c r="Q105" i="28" s="1"/>
  <c r="N105" i="28"/>
  <c r="A106" i="28"/>
  <c r="B106" i="28" s="1"/>
  <c r="G106" i="28"/>
  <c r="Q106" i="28" s="1"/>
  <c r="N106" i="28"/>
  <c r="A107" i="28"/>
  <c r="B107" i="28" s="1"/>
  <c r="G107" i="28"/>
  <c r="Q107" i="28" s="1"/>
  <c r="N107" i="28"/>
  <c r="A108" i="28"/>
  <c r="C108" i="28" s="1"/>
  <c r="G108" i="28"/>
  <c r="Q108" i="28" s="1"/>
  <c r="N108" i="28"/>
  <c r="A109" i="28"/>
  <c r="B109" i="28" s="1"/>
  <c r="G109" i="28"/>
  <c r="Q109" i="28" s="1"/>
  <c r="N109" i="28"/>
  <c r="AP105" i="67"/>
  <c r="AQ105" i="67"/>
  <c r="AR105" i="67"/>
  <c r="AS105" i="67"/>
  <c r="AP106" i="67"/>
  <c r="AO106" i="67"/>
  <c r="I106" i="30" s="1"/>
  <c r="Q106" i="30" s="1"/>
  <c r="AO105" i="67"/>
  <c r="AO104" i="67"/>
  <c r="I104" i="30" s="1"/>
  <c r="Q104" i="30" s="1"/>
  <c r="AP101" i="67"/>
  <c r="AS101" i="67"/>
  <c r="AP102" i="67"/>
  <c r="AQ102" i="67"/>
  <c r="AR102" i="67"/>
  <c r="AS102" i="67"/>
  <c r="AP103" i="67"/>
  <c r="AO102" i="67"/>
  <c r="I102" i="30" s="1"/>
  <c r="Q102" i="30" s="1"/>
  <c r="AO103" i="67"/>
  <c r="AO101" i="67"/>
  <c r="AQ100" i="67"/>
  <c r="AR100" i="67"/>
  <c r="AS100" i="67"/>
  <c r="BC98" i="67"/>
  <c r="BD98" i="67"/>
  <c r="CZ98" i="67" s="1"/>
  <c r="BE98" i="67"/>
  <c r="DA98" i="67" s="1"/>
  <c r="BF98" i="67"/>
  <c r="G98" i="75" s="1"/>
  <c r="BG98" i="67"/>
  <c r="DC98" i="67" s="1"/>
  <c r="BH98" i="67"/>
  <c r="DD98" i="67" s="1"/>
  <c r="BI98" i="67"/>
  <c r="DE98" i="67" s="1"/>
  <c r="BJ98" i="67"/>
  <c r="BK98" i="67"/>
  <c r="F98" i="157" s="1"/>
  <c r="K98" i="157" s="1"/>
  <c r="BL98" i="67"/>
  <c r="DV98" i="67" s="1"/>
  <c r="BM98" i="67"/>
  <c r="BN98" i="67"/>
  <c r="BO98" i="67"/>
  <c r="DY98" i="67" s="1"/>
  <c r="BP98" i="67"/>
  <c r="DL98" i="67" s="1"/>
  <c r="BQ98" i="67"/>
  <c r="DM98" i="67" s="1"/>
  <c r="BC99" i="67"/>
  <c r="BD99" i="67"/>
  <c r="CZ99" i="67" s="1"/>
  <c r="BE99" i="67"/>
  <c r="DO99" i="67" s="1"/>
  <c r="BF99" i="67"/>
  <c r="DB99" i="67" s="1"/>
  <c r="BG99" i="67"/>
  <c r="DQ99" i="67" s="1"/>
  <c r="BH99" i="67"/>
  <c r="BI99" i="67"/>
  <c r="DE99" i="67" s="1"/>
  <c r="BJ99" i="67"/>
  <c r="DF99" i="67" s="1"/>
  <c r="BK99" i="67"/>
  <c r="F99" i="30" s="1"/>
  <c r="N99" i="30" s="1"/>
  <c r="BL99" i="67"/>
  <c r="DH99" i="67" s="1"/>
  <c r="BM99" i="67"/>
  <c r="F99" i="153" s="1"/>
  <c r="P99" i="153" s="1"/>
  <c r="BN99" i="67"/>
  <c r="DJ99" i="67" s="1"/>
  <c r="BO99" i="67"/>
  <c r="DY99" i="67" s="1"/>
  <c r="BP99" i="67"/>
  <c r="DZ99" i="67" s="1"/>
  <c r="BQ99" i="67"/>
  <c r="EA99" i="67" s="1"/>
  <c r="BC100" i="67"/>
  <c r="BD100" i="67"/>
  <c r="DN100" i="67" s="1"/>
  <c r="BE100" i="67"/>
  <c r="DO100" i="67" s="1"/>
  <c r="BF100" i="67"/>
  <c r="DP100" i="67" s="1"/>
  <c r="BG100" i="67"/>
  <c r="DQ100" i="67" s="1"/>
  <c r="BH100" i="67"/>
  <c r="BI100" i="67"/>
  <c r="DE100" i="67" s="1"/>
  <c r="BJ100" i="67"/>
  <c r="BK100" i="67"/>
  <c r="DG100" i="67" s="1"/>
  <c r="N100" i="75" s="1"/>
  <c r="BL100" i="67"/>
  <c r="DH100" i="67" s="1"/>
  <c r="BM100" i="67"/>
  <c r="DW100" i="67" s="1"/>
  <c r="BN100" i="67"/>
  <c r="DX100" i="67" s="1"/>
  <c r="BO100" i="67"/>
  <c r="DY100" i="67" s="1"/>
  <c r="BP100" i="67"/>
  <c r="DZ100" i="67" s="1"/>
  <c r="BQ100" i="67"/>
  <c r="DM100" i="67" s="1"/>
  <c r="BC101" i="67"/>
  <c r="BD101" i="67"/>
  <c r="CZ101" i="67" s="1"/>
  <c r="BE101" i="67"/>
  <c r="DA101" i="67" s="1"/>
  <c r="BF101" i="67"/>
  <c r="DP101" i="67" s="1"/>
  <c r="BG101" i="67"/>
  <c r="DQ101" i="67" s="1"/>
  <c r="BH101" i="67"/>
  <c r="DR101" i="67" s="1"/>
  <c r="BI101" i="67"/>
  <c r="DS101" i="67" s="1"/>
  <c r="BJ101" i="67"/>
  <c r="DF101" i="67" s="1"/>
  <c r="BK101" i="67"/>
  <c r="DU101" i="67" s="1"/>
  <c r="BL101" i="67"/>
  <c r="BM101" i="67"/>
  <c r="H101" i="155" s="1"/>
  <c r="BN101" i="67"/>
  <c r="DX101" i="67" s="1"/>
  <c r="BO101" i="67"/>
  <c r="DY101" i="67" s="1"/>
  <c r="BP101" i="67"/>
  <c r="DL101" i="67" s="1"/>
  <c r="BQ101" i="67"/>
  <c r="DM101" i="67" s="1"/>
  <c r="BC102" i="67"/>
  <c r="BD102" i="67"/>
  <c r="DN102" i="67" s="1"/>
  <c r="BE102" i="67"/>
  <c r="DA102" i="67" s="1"/>
  <c r="BF102" i="67"/>
  <c r="DP102" i="67" s="1"/>
  <c r="BG102" i="67"/>
  <c r="DC102" i="67" s="1"/>
  <c r="BH102" i="67"/>
  <c r="DD102" i="67" s="1"/>
  <c r="BI102" i="67"/>
  <c r="DE102" i="67" s="1"/>
  <c r="BJ102" i="67"/>
  <c r="BK102" i="67"/>
  <c r="BL102" i="67"/>
  <c r="DV102" i="67" s="1"/>
  <c r="BM102" i="67"/>
  <c r="BN102" i="67"/>
  <c r="DX102" i="67" s="1"/>
  <c r="BO102" i="67"/>
  <c r="DK102" i="67" s="1"/>
  <c r="BP102" i="67"/>
  <c r="DL102" i="67" s="1"/>
  <c r="BQ102" i="67"/>
  <c r="EA102" i="67" s="1"/>
  <c r="BC103" i="67"/>
  <c r="BD103" i="67"/>
  <c r="CZ103" i="67" s="1"/>
  <c r="BE103" i="67"/>
  <c r="DA103" i="67" s="1"/>
  <c r="BF103" i="67"/>
  <c r="E103" i="28" s="1"/>
  <c r="O103" i="28" s="1"/>
  <c r="BG103" i="67"/>
  <c r="DQ103" i="67" s="1"/>
  <c r="BH103" i="67"/>
  <c r="DR103" i="67" s="1"/>
  <c r="BI103" i="67"/>
  <c r="DS103" i="67" s="1"/>
  <c r="BJ103" i="67"/>
  <c r="DF103" i="67" s="1"/>
  <c r="BK103" i="67"/>
  <c r="F103" i="28" s="1"/>
  <c r="P103" i="28" s="1"/>
  <c r="BL103" i="67"/>
  <c r="DH103" i="67" s="1"/>
  <c r="BM103" i="67"/>
  <c r="DW103" i="67" s="1"/>
  <c r="BN103" i="67"/>
  <c r="BO103" i="67"/>
  <c r="DY103" i="67" s="1"/>
  <c r="BP103" i="67"/>
  <c r="DZ103" i="67" s="1"/>
  <c r="BQ103" i="67"/>
  <c r="EA103" i="67" s="1"/>
  <c r="BC104" i="67"/>
  <c r="BD104" i="67"/>
  <c r="DN104" i="67" s="1"/>
  <c r="BE104" i="67"/>
  <c r="DO104" i="67" s="1"/>
  <c r="BF104" i="67"/>
  <c r="E104" i="28" s="1"/>
  <c r="O104" i="28" s="1"/>
  <c r="BG104" i="67"/>
  <c r="DC104" i="67" s="1"/>
  <c r="BH104" i="67"/>
  <c r="DD104" i="67" s="1"/>
  <c r="BI104" i="67"/>
  <c r="DE104" i="67" s="1"/>
  <c r="BJ104" i="67"/>
  <c r="E104" i="150" s="1"/>
  <c r="N104" i="150" s="1"/>
  <c r="BK104" i="67"/>
  <c r="DG104" i="67" s="1"/>
  <c r="BL104" i="67"/>
  <c r="DH104" i="67" s="1"/>
  <c r="BM104" i="67"/>
  <c r="DI104" i="67" s="1"/>
  <c r="BN104" i="67"/>
  <c r="DX104" i="67" s="1"/>
  <c r="BO104" i="67"/>
  <c r="DK104" i="67" s="1"/>
  <c r="BP104" i="67"/>
  <c r="DL104" i="67" s="1"/>
  <c r="BQ104" i="67"/>
  <c r="BC105" i="67"/>
  <c r="BD105" i="67"/>
  <c r="DN105" i="67" s="1"/>
  <c r="BE105" i="67"/>
  <c r="DA105" i="67" s="1"/>
  <c r="BF105" i="67"/>
  <c r="BG105" i="67"/>
  <c r="DQ105" i="67" s="1"/>
  <c r="BH105" i="67"/>
  <c r="DR105" i="67" s="1"/>
  <c r="BI105" i="67"/>
  <c r="DS105" i="67" s="1"/>
  <c r="BJ105" i="67"/>
  <c r="BK105" i="67"/>
  <c r="H105" i="75" s="1"/>
  <c r="BL105" i="67"/>
  <c r="DH105" i="67" s="1"/>
  <c r="BM105" i="67"/>
  <c r="DW105" i="67" s="1"/>
  <c r="BN105" i="67"/>
  <c r="BO105" i="67"/>
  <c r="DY105" i="67" s="1"/>
  <c r="BP105" i="67"/>
  <c r="DL105" i="67" s="1"/>
  <c r="BQ105" i="67"/>
  <c r="EA105" i="67" s="1"/>
  <c r="BC106" i="67"/>
  <c r="BD106" i="67"/>
  <c r="CZ106" i="67" s="1"/>
  <c r="BE106" i="67"/>
  <c r="DA106" i="67" s="1"/>
  <c r="BF106" i="67"/>
  <c r="G106" i="75" s="1"/>
  <c r="BG106" i="67"/>
  <c r="DQ106" i="67" s="1"/>
  <c r="BH106" i="67"/>
  <c r="DD106" i="67" s="1"/>
  <c r="BI106" i="67"/>
  <c r="DE106" i="67" s="1"/>
  <c r="BJ106" i="67"/>
  <c r="E106" i="150" s="1"/>
  <c r="N106" i="150" s="1"/>
  <c r="BK106" i="67"/>
  <c r="F106" i="28" s="1"/>
  <c r="P106" i="28" s="1"/>
  <c r="BL106" i="67"/>
  <c r="DV106" i="67" s="1"/>
  <c r="BM106" i="67"/>
  <c r="BN106" i="67"/>
  <c r="DX106" i="67" s="1"/>
  <c r="BO106" i="67"/>
  <c r="DK106" i="67" s="1"/>
  <c r="BP106" i="67"/>
  <c r="DL106" i="67" s="1"/>
  <c r="BQ106" i="67"/>
  <c r="EA106" i="67" s="1"/>
  <c r="BC107" i="67"/>
  <c r="BD107" i="67"/>
  <c r="CZ107" i="67" s="1"/>
  <c r="BE107" i="67"/>
  <c r="DA107" i="67" s="1"/>
  <c r="BF107" i="67"/>
  <c r="BG107" i="67"/>
  <c r="DQ107" i="67" s="1"/>
  <c r="BH107" i="67"/>
  <c r="DD107" i="67" s="1"/>
  <c r="BI107" i="67"/>
  <c r="DS107" i="67" s="1"/>
  <c r="BJ107" i="67"/>
  <c r="BK107" i="67"/>
  <c r="F107" i="30" s="1"/>
  <c r="N107" i="30" s="1"/>
  <c r="BL107" i="67"/>
  <c r="DH107" i="67" s="1"/>
  <c r="BM107" i="67"/>
  <c r="F107" i="153" s="1"/>
  <c r="P107" i="153" s="1"/>
  <c r="BN107" i="67"/>
  <c r="DJ107" i="67" s="1"/>
  <c r="BO107" i="67"/>
  <c r="DY107" i="67" s="1"/>
  <c r="BP107" i="67"/>
  <c r="DZ107" i="67" s="1"/>
  <c r="BQ107" i="67"/>
  <c r="EA107" i="67" s="1"/>
  <c r="BC108" i="67"/>
  <c r="BD108" i="67"/>
  <c r="DN108" i="67" s="1"/>
  <c r="BE108" i="67"/>
  <c r="DO108" i="67" s="1"/>
  <c r="BF108" i="67"/>
  <c r="E108" i="28" s="1"/>
  <c r="O108" i="28" s="1"/>
  <c r="BG108" i="67"/>
  <c r="DQ108" i="67" s="1"/>
  <c r="BH108" i="67"/>
  <c r="DD108" i="67" s="1"/>
  <c r="BI108" i="67"/>
  <c r="DE108" i="67" s="1"/>
  <c r="BJ108" i="67"/>
  <c r="BK108" i="67"/>
  <c r="F108" i="28" s="1"/>
  <c r="P108" i="28" s="1"/>
  <c r="BL108" i="67"/>
  <c r="DV108" i="67" s="1"/>
  <c r="BM108" i="67"/>
  <c r="H108" i="155" s="1"/>
  <c r="BN108" i="67"/>
  <c r="DX108" i="67" s="1"/>
  <c r="BO108" i="67"/>
  <c r="DK108" i="67" s="1"/>
  <c r="BP108" i="67"/>
  <c r="DZ108" i="67" s="1"/>
  <c r="BQ108" i="67"/>
  <c r="DM108" i="67" s="1"/>
  <c r="BC109" i="67"/>
  <c r="BD109" i="67"/>
  <c r="CZ109" i="67" s="1"/>
  <c r="BE109" i="67"/>
  <c r="DA109" i="67" s="1"/>
  <c r="BF109" i="67"/>
  <c r="DP109" i="67" s="1"/>
  <c r="BG109" i="67"/>
  <c r="DQ109" i="67" s="1"/>
  <c r="BH109" i="67"/>
  <c r="DR109" i="67" s="1"/>
  <c r="BI109" i="67"/>
  <c r="DS109" i="67" s="1"/>
  <c r="BJ109" i="67"/>
  <c r="BK109" i="67"/>
  <c r="F109" i="157" s="1"/>
  <c r="K109" i="157" s="1"/>
  <c r="BL109" i="67"/>
  <c r="DH109" i="67" s="1"/>
  <c r="BM109" i="67"/>
  <c r="DW109" i="67" s="1"/>
  <c r="BN109" i="67"/>
  <c r="DX109" i="67" s="1"/>
  <c r="BO109" i="67"/>
  <c r="BP109" i="67"/>
  <c r="DL109" i="67" s="1"/>
  <c r="BQ109" i="67"/>
  <c r="DM109" i="67" s="1"/>
  <c r="AP98" i="67"/>
  <c r="AQ98" i="67"/>
  <c r="AR98" i="67"/>
  <c r="AS98" i="67"/>
  <c r="AT98" i="67"/>
  <c r="AU98" i="67"/>
  <c r="AV98" i="67"/>
  <c r="AW98" i="67"/>
  <c r="AY98" i="67"/>
  <c r="AP99" i="67"/>
  <c r="AQ99" i="67"/>
  <c r="AR99" i="67"/>
  <c r="AS99" i="67"/>
  <c r="AT99" i="67"/>
  <c r="AU99" i="67"/>
  <c r="AV99" i="67"/>
  <c r="AW99" i="67"/>
  <c r="AY99" i="67"/>
  <c r="AP100" i="67"/>
  <c r="AT100" i="67"/>
  <c r="AU100" i="67"/>
  <c r="AV100" i="67"/>
  <c r="AW100" i="67"/>
  <c r="AY100" i="67"/>
  <c r="AQ101" i="67"/>
  <c r="AR101" i="67"/>
  <c r="AT101" i="67"/>
  <c r="AU101" i="67"/>
  <c r="AV101" i="67"/>
  <c r="AW101" i="67"/>
  <c r="AY101" i="67"/>
  <c r="AT102" i="67"/>
  <c r="AU102" i="67"/>
  <c r="AV102" i="67"/>
  <c r="AW102" i="67"/>
  <c r="AY102" i="67"/>
  <c r="AQ103" i="67"/>
  <c r="AR103" i="67"/>
  <c r="AS103" i="67"/>
  <c r="AT103" i="67"/>
  <c r="AU103" i="67"/>
  <c r="AV103" i="67"/>
  <c r="AW103" i="67"/>
  <c r="AY103" i="67"/>
  <c r="AP104" i="67"/>
  <c r="AQ104" i="67"/>
  <c r="AR104" i="67"/>
  <c r="AS104" i="67"/>
  <c r="AT104" i="67"/>
  <c r="AU104" i="67"/>
  <c r="AV104" i="67"/>
  <c r="AW104" i="67"/>
  <c r="AY104" i="67"/>
  <c r="AT105" i="67"/>
  <c r="AU105" i="67"/>
  <c r="AV105" i="67"/>
  <c r="AW105" i="67"/>
  <c r="AY105" i="67"/>
  <c r="AQ106" i="67"/>
  <c r="AR106" i="67"/>
  <c r="AS106" i="67"/>
  <c r="AT106" i="67"/>
  <c r="AU106" i="67"/>
  <c r="AV106" i="67"/>
  <c r="AW106" i="67"/>
  <c r="AY106" i="67"/>
  <c r="AT107" i="67"/>
  <c r="AU107" i="67"/>
  <c r="AV107" i="67"/>
  <c r="AW107" i="67"/>
  <c r="AY107" i="67"/>
  <c r="AT108" i="67"/>
  <c r="AU108" i="67"/>
  <c r="AV108" i="67"/>
  <c r="AW108" i="67"/>
  <c r="AY108" i="67"/>
  <c r="AT109" i="67"/>
  <c r="AU109" i="67"/>
  <c r="AV109" i="67"/>
  <c r="AW109" i="67"/>
  <c r="AY109" i="67"/>
  <c r="AF46" i="23" l="1"/>
  <c r="AF44" i="23"/>
  <c r="AF40" i="23"/>
  <c r="AF38" i="23"/>
  <c r="AF37" i="23"/>
  <c r="AB46" i="23"/>
  <c r="AB44" i="23"/>
  <c r="AB38" i="23"/>
  <c r="T46" i="23"/>
  <c r="T42" i="23"/>
  <c r="T41" i="23"/>
  <c r="L46" i="23"/>
  <c r="DS102" i="67"/>
  <c r="DK100" i="67"/>
  <c r="C104" i="34"/>
  <c r="DO106" i="67"/>
  <c r="DR102" i="67"/>
  <c r="DI108" i="67"/>
  <c r="DJ106" i="67"/>
  <c r="DO105" i="67"/>
  <c r="C106" i="30"/>
  <c r="B105" i="157"/>
  <c r="D39" i="23"/>
  <c r="D37" i="23"/>
  <c r="DB104" i="67"/>
  <c r="M104" i="75" s="1"/>
  <c r="DV103" i="67"/>
  <c r="DU107" i="67"/>
  <c r="DU103" i="67"/>
  <c r="EA98" i="67"/>
  <c r="DG108" i="67"/>
  <c r="N108" i="75" s="1"/>
  <c r="DJ108" i="67"/>
  <c r="B106" i="77"/>
  <c r="F105" i="30"/>
  <c r="N105" i="30" s="1"/>
  <c r="DG107" i="67"/>
  <c r="DT106" i="67"/>
  <c r="DC100" i="67"/>
  <c r="DG99" i="67"/>
  <c r="B99" i="76"/>
  <c r="I106" i="150"/>
  <c r="R106" i="150" s="1"/>
  <c r="DA99" i="67"/>
  <c r="CZ105" i="67"/>
  <c r="DY104" i="67"/>
  <c r="B104" i="30"/>
  <c r="DJ104" i="67"/>
  <c r="E100" i="28"/>
  <c r="O100" i="28" s="1"/>
  <c r="DS104" i="67"/>
  <c r="B105" i="150"/>
  <c r="B99" i="36"/>
  <c r="E109" i="28"/>
  <c r="O109" i="28" s="1"/>
  <c r="DZ102" i="67"/>
  <c r="F99" i="28"/>
  <c r="P99" i="28" s="1"/>
  <c r="DO109" i="67"/>
  <c r="DN109" i="67"/>
  <c r="C102" i="157"/>
  <c r="L39" i="23"/>
  <c r="L37" i="23"/>
  <c r="DY108" i="67"/>
  <c r="EA100" i="67"/>
  <c r="B108" i="28"/>
  <c r="H46" i="23"/>
  <c r="H43" i="23"/>
  <c r="H42" i="23"/>
  <c r="H40" i="23"/>
  <c r="H37" i="23"/>
  <c r="E106" i="28"/>
  <c r="O106" i="28" s="1"/>
  <c r="C98" i="150"/>
  <c r="B104" i="36"/>
  <c r="B107" i="151"/>
  <c r="B105" i="77"/>
  <c r="DP106" i="67"/>
  <c r="DC103" i="67"/>
  <c r="C103" i="36"/>
  <c r="C106" i="151"/>
  <c r="DS99" i="67"/>
  <c r="DB103" i="67"/>
  <c r="M103" i="75" s="1"/>
  <c r="DM106" i="67"/>
  <c r="DY102" i="67"/>
  <c r="F105" i="150"/>
  <c r="O105" i="150" s="1"/>
  <c r="F101" i="150"/>
  <c r="O101" i="150" s="1"/>
  <c r="F105" i="157"/>
  <c r="K105" i="157" s="1"/>
  <c r="C100" i="34"/>
  <c r="L44" i="23"/>
  <c r="DR98" i="67"/>
  <c r="AF47" i="23"/>
  <c r="CL85" i="67"/>
  <c r="H73" i="152"/>
  <c r="G73" i="151"/>
  <c r="L73" i="151" s="1"/>
  <c r="G73" i="32"/>
  <c r="L73" i="32" s="1"/>
  <c r="DO102" i="67"/>
  <c r="DM102" i="67"/>
  <c r="DN98" i="67"/>
  <c r="E98" i="28"/>
  <c r="O98" i="28" s="1"/>
  <c r="AB47" i="23"/>
  <c r="D46" i="23"/>
  <c r="D44" i="23"/>
  <c r="L120" i="151"/>
  <c r="G132" i="151"/>
  <c r="L132" i="151" s="1"/>
  <c r="C98" i="28"/>
  <c r="B100" i="75"/>
  <c r="A104" i="76"/>
  <c r="B104" i="76" s="1"/>
  <c r="AF43" i="23"/>
  <c r="DZ104" i="67"/>
  <c r="DJ101" i="67"/>
  <c r="AB41" i="23"/>
  <c r="AB37" i="23"/>
  <c r="DI101" i="67"/>
  <c r="X37" i="23"/>
  <c r="C100" i="36"/>
  <c r="T37" i="23"/>
  <c r="DC99" i="67"/>
  <c r="DW108" i="67"/>
  <c r="DS100" i="67"/>
  <c r="P37" i="23"/>
  <c r="CL83" i="67"/>
  <c r="H71" i="152"/>
  <c r="G71" i="32"/>
  <c r="L71" i="32" s="1"/>
  <c r="G71" i="151"/>
  <c r="L71" i="151" s="1"/>
  <c r="E107" i="30"/>
  <c r="M107" i="30" s="1"/>
  <c r="E107" i="153"/>
  <c r="O107" i="153" s="1"/>
  <c r="G107" i="155"/>
  <c r="DC106" i="67"/>
  <c r="DB106" i="67"/>
  <c r="DZ105" i="67"/>
  <c r="EA109" i="67"/>
  <c r="DO98" i="67"/>
  <c r="F105" i="28"/>
  <c r="P105" i="28" s="1"/>
  <c r="F98" i="28"/>
  <c r="P98" i="28" s="1"/>
  <c r="B100" i="77"/>
  <c r="T47" i="23"/>
  <c r="X45" i="23"/>
  <c r="AB43" i="23"/>
  <c r="AF41" i="23"/>
  <c r="L38" i="23"/>
  <c r="CL56" i="67"/>
  <c r="H44" i="152"/>
  <c r="G44" i="151"/>
  <c r="L44" i="151" s="1"/>
  <c r="G44" i="32"/>
  <c r="L44" i="32" s="1"/>
  <c r="X43" i="23"/>
  <c r="G102" i="155"/>
  <c r="E102" i="153"/>
  <c r="O102" i="153" s="1"/>
  <c r="T43" i="23"/>
  <c r="D40" i="23"/>
  <c r="H38" i="23"/>
  <c r="L36" i="23"/>
  <c r="G124" i="151"/>
  <c r="L124" i="151" s="1"/>
  <c r="L112" i="151"/>
  <c r="DN107" i="67"/>
  <c r="E103" i="153"/>
  <c r="O103" i="153" s="1"/>
  <c r="G103" i="155"/>
  <c r="G101" i="155"/>
  <c r="E101" i="153"/>
  <c r="O101" i="153" s="1"/>
  <c r="E103" i="30"/>
  <c r="M103" i="30" s="1"/>
  <c r="DC107" i="67"/>
  <c r="DK105" i="67"/>
  <c r="DT103" i="67"/>
  <c r="CZ102" i="67"/>
  <c r="EA101" i="67"/>
  <c r="DB100" i="67"/>
  <c r="DX99" i="67"/>
  <c r="G99" i="155"/>
  <c r="E99" i="153"/>
  <c r="O99" i="153" s="1"/>
  <c r="DB98" i="67"/>
  <c r="I102" i="150"/>
  <c r="R102" i="150" s="1"/>
  <c r="P43" i="23"/>
  <c r="X41" i="23"/>
  <c r="D38" i="23"/>
  <c r="H36" i="23"/>
  <c r="G100" i="155"/>
  <c r="E100" i="153"/>
  <c r="O100" i="153" s="1"/>
  <c r="DZ98" i="67"/>
  <c r="DV109" i="67"/>
  <c r="DI105" i="67"/>
  <c r="DO103" i="67"/>
  <c r="DW101" i="67"/>
  <c r="DW99" i="67"/>
  <c r="H45" i="23"/>
  <c r="L43" i="23"/>
  <c r="AB39" i="23"/>
  <c r="DZ106" i="67"/>
  <c r="E106" i="153"/>
  <c r="O106" i="153" s="1"/>
  <c r="G106" i="155"/>
  <c r="DG105" i="67"/>
  <c r="DN103" i="67"/>
  <c r="DT99" i="67"/>
  <c r="C104" i="28"/>
  <c r="C106" i="36"/>
  <c r="D45" i="23"/>
  <c r="X39" i="23"/>
  <c r="DM105" i="67"/>
  <c r="DJ102" i="67"/>
  <c r="F107" i="28"/>
  <c r="P107" i="28" s="1"/>
  <c r="B109" i="150"/>
  <c r="E99" i="32"/>
  <c r="J99" i="32" s="1"/>
  <c r="B104" i="38"/>
  <c r="C98" i="36"/>
  <c r="CL50" i="67"/>
  <c r="H38" i="152"/>
  <c r="G38" i="32"/>
  <c r="L38" i="32" s="1"/>
  <c r="G38" i="151"/>
  <c r="L38" i="151" s="1"/>
  <c r="DJ109" i="67"/>
  <c r="CL55" i="67"/>
  <c r="G43" i="151"/>
  <c r="L43" i="151" s="1"/>
  <c r="H43" i="152"/>
  <c r="G43" i="32"/>
  <c r="L43" i="32" s="1"/>
  <c r="E108" i="153"/>
  <c r="O108" i="153" s="1"/>
  <c r="G108" i="155"/>
  <c r="DS108" i="67"/>
  <c r="DN106" i="67"/>
  <c r="G104" i="155"/>
  <c r="E104" i="153"/>
  <c r="O104" i="153" s="1"/>
  <c r="DL108" i="67"/>
  <c r="DQ104" i="67"/>
  <c r="DV100" i="67"/>
  <c r="K103" i="28"/>
  <c r="U103" i="28" s="1"/>
  <c r="C108" i="150"/>
  <c r="B98" i="32"/>
  <c r="B105" i="36"/>
  <c r="B109" i="151"/>
  <c r="G125" i="151"/>
  <c r="L125" i="151" s="1"/>
  <c r="L113" i="151"/>
  <c r="CL51" i="67"/>
  <c r="G39" i="32"/>
  <c r="L39" i="32" s="1"/>
  <c r="H39" i="152"/>
  <c r="G39" i="151"/>
  <c r="L39" i="151" s="1"/>
  <c r="X38" i="23"/>
  <c r="DJ100" i="67"/>
  <c r="DQ98" i="67"/>
  <c r="G98" i="155"/>
  <c r="E98" i="153"/>
  <c r="O98" i="153" s="1"/>
  <c r="G105" i="155"/>
  <c r="E105" i="153"/>
  <c r="O105" i="153" s="1"/>
  <c r="E109" i="153"/>
  <c r="O109" i="153" s="1"/>
  <c r="G109" i="155"/>
  <c r="DW107" i="67"/>
  <c r="DV105" i="67"/>
  <c r="DF104" i="67"/>
  <c r="DP98" i="67"/>
  <c r="X47" i="23"/>
  <c r="AB45" i="23"/>
  <c r="D42" i="23"/>
  <c r="L40" i="23"/>
  <c r="CL54" i="67"/>
  <c r="G42" i="151"/>
  <c r="L42" i="151" s="1"/>
  <c r="G42" i="32"/>
  <c r="L42" i="32" s="1"/>
  <c r="H42" i="152"/>
  <c r="C107" i="30"/>
  <c r="C102" i="32"/>
  <c r="B104" i="75"/>
  <c r="C103" i="76"/>
  <c r="X44" i="23"/>
  <c r="T38" i="23"/>
  <c r="B100" i="30"/>
  <c r="C109" i="77"/>
  <c r="B99" i="77"/>
  <c r="T44" i="23"/>
  <c r="P38" i="23"/>
  <c r="D43" i="23"/>
  <c r="C102" i="76"/>
  <c r="B103" i="77"/>
  <c r="AF45" i="23"/>
  <c r="AF42" i="23"/>
  <c r="AF39" i="23"/>
  <c r="C103" i="30"/>
  <c r="C100" i="157"/>
  <c r="B106" i="38"/>
  <c r="C103" i="38"/>
  <c r="C106" i="75"/>
  <c r="C97" i="75"/>
  <c r="B108" i="77"/>
  <c r="AB42" i="23"/>
  <c r="P41" i="23"/>
  <c r="B99" i="30"/>
  <c r="B103" i="151"/>
  <c r="P47" i="23"/>
  <c r="H44" i="23"/>
  <c r="X42" i="23"/>
  <c r="L41" i="23"/>
  <c r="C107" i="34"/>
  <c r="C102" i="77"/>
  <c r="L47" i="23"/>
  <c r="H41" i="23"/>
  <c r="C107" i="150"/>
  <c r="C100" i="150"/>
  <c r="H47" i="23"/>
  <c r="D41" i="23"/>
  <c r="C105" i="75"/>
  <c r="C108" i="76"/>
  <c r="D47" i="23"/>
  <c r="T45" i="23"/>
  <c r="L42" i="23"/>
  <c r="T39" i="23"/>
  <c r="C102" i="30"/>
  <c r="C98" i="30"/>
  <c r="AB40" i="23"/>
  <c r="P39" i="23"/>
  <c r="B102" i="28"/>
  <c r="C98" i="34"/>
  <c r="C101" i="77"/>
  <c r="P45" i="23"/>
  <c r="X40" i="23"/>
  <c r="B108" i="38"/>
  <c r="C106" i="34"/>
  <c r="B107" i="76"/>
  <c r="B105" i="155"/>
  <c r="C100" i="155"/>
  <c r="X46" i="23"/>
  <c r="L45" i="23"/>
  <c r="T40" i="23"/>
  <c r="H39" i="23"/>
  <c r="B103" i="155"/>
  <c r="C102" i="155"/>
  <c r="C98" i="155"/>
  <c r="B109" i="155"/>
  <c r="C108" i="155"/>
  <c r="B99" i="155"/>
  <c r="B99" i="152"/>
  <c r="C101" i="152"/>
  <c r="B107" i="152"/>
  <c r="C106" i="152"/>
  <c r="B98" i="152"/>
  <c r="B104" i="152"/>
  <c r="B106" i="154"/>
  <c r="C108" i="154"/>
  <c r="C100" i="154"/>
  <c r="B102" i="154"/>
  <c r="C98" i="154"/>
  <c r="B99" i="153"/>
  <c r="B105" i="153"/>
  <c r="C105" i="151"/>
  <c r="B101" i="151"/>
  <c r="B104" i="151"/>
  <c r="B100" i="151"/>
  <c r="K99" i="28"/>
  <c r="U99" i="28" s="1"/>
  <c r="M99" i="75"/>
  <c r="N104" i="75"/>
  <c r="L104" i="28"/>
  <c r="V104" i="28" s="1"/>
  <c r="N107" i="75"/>
  <c r="L107" i="28"/>
  <c r="V107" i="28" s="1"/>
  <c r="DY109" i="67"/>
  <c r="DK109" i="67"/>
  <c r="DV107" i="67"/>
  <c r="DM104" i="67"/>
  <c r="EA104" i="67"/>
  <c r="DW102" i="67"/>
  <c r="H102" i="155"/>
  <c r="DX98" i="67"/>
  <c r="DJ98" i="67"/>
  <c r="K103" i="77"/>
  <c r="K103" i="76"/>
  <c r="I103" i="30"/>
  <c r="Q103" i="30" s="1"/>
  <c r="I103" i="36"/>
  <c r="R103" i="36" s="1"/>
  <c r="I103" i="34"/>
  <c r="Q103" i="34" s="1"/>
  <c r="B100" i="28"/>
  <c r="C100" i="28"/>
  <c r="B109" i="30"/>
  <c r="C109" i="30"/>
  <c r="C106" i="150"/>
  <c r="B104" i="150"/>
  <c r="C105" i="32"/>
  <c r="C103" i="157"/>
  <c r="K101" i="77"/>
  <c r="K101" i="76"/>
  <c r="I101" i="34"/>
  <c r="Q101" i="34" s="1"/>
  <c r="I101" i="36"/>
  <c r="R101" i="36" s="1"/>
  <c r="DZ109" i="67"/>
  <c r="DY106" i="67"/>
  <c r="DX105" i="67"/>
  <c r="DJ105" i="67"/>
  <c r="DJ103" i="67"/>
  <c r="DX103" i="67"/>
  <c r="DO101" i="67"/>
  <c r="DD100" i="67"/>
  <c r="DR100" i="67"/>
  <c r="DW98" i="67"/>
  <c r="H98" i="155"/>
  <c r="F98" i="153"/>
  <c r="P98" i="153" s="1"/>
  <c r="F109" i="153"/>
  <c r="P109" i="153" s="1"/>
  <c r="H109" i="155"/>
  <c r="DT107" i="67"/>
  <c r="H105" i="155"/>
  <c r="F105" i="153"/>
  <c r="P105" i="153" s="1"/>
  <c r="DN101" i="67"/>
  <c r="DI100" i="67"/>
  <c r="K104" i="28"/>
  <c r="U104" i="28" s="1"/>
  <c r="B106" i="157"/>
  <c r="C106" i="157"/>
  <c r="DV104" i="67"/>
  <c r="DI103" i="67"/>
  <c r="F103" i="153"/>
  <c r="P103" i="153" s="1"/>
  <c r="H103" i="155"/>
  <c r="DU102" i="67"/>
  <c r="F102" i="152"/>
  <c r="H102" i="75"/>
  <c r="H102" i="77"/>
  <c r="H102" i="76"/>
  <c r="F102" i="157"/>
  <c r="K102" i="157" s="1"/>
  <c r="F102" i="150"/>
  <c r="O102" i="150" s="1"/>
  <c r="DR108" i="67"/>
  <c r="DR107" i="67"/>
  <c r="H107" i="77"/>
  <c r="H107" i="76"/>
  <c r="F107" i="152"/>
  <c r="E107" i="32"/>
  <c r="J107" i="32" s="1"/>
  <c r="H107" i="75"/>
  <c r="F107" i="157"/>
  <c r="K107" i="157" s="1"/>
  <c r="DS106" i="67"/>
  <c r="DQ102" i="67"/>
  <c r="DF102" i="67"/>
  <c r="E102" i="150"/>
  <c r="N102" i="150" s="1"/>
  <c r="G102" i="77"/>
  <c r="G102" i="76"/>
  <c r="E102" i="157"/>
  <c r="J102" i="157" s="1"/>
  <c r="M102" i="157" s="1"/>
  <c r="DT102" i="67"/>
  <c r="DK101" i="67"/>
  <c r="DB101" i="67"/>
  <c r="G101" i="75"/>
  <c r="E101" i="28"/>
  <c r="O101" i="28" s="1"/>
  <c r="DT108" i="67"/>
  <c r="G108" i="77"/>
  <c r="E108" i="157"/>
  <c r="J108" i="157" s="1"/>
  <c r="G108" i="76"/>
  <c r="E108" i="30"/>
  <c r="M108" i="30" s="1"/>
  <c r="DB105" i="67"/>
  <c r="G105" i="75"/>
  <c r="DT101" i="67"/>
  <c r="E101" i="150"/>
  <c r="N101" i="150" s="1"/>
  <c r="G101" i="76"/>
  <c r="G101" i="77"/>
  <c r="DL100" i="67"/>
  <c r="DT100" i="67"/>
  <c r="G100" i="77"/>
  <c r="E100" i="157"/>
  <c r="J100" i="157" s="1"/>
  <c r="G100" i="76"/>
  <c r="E100" i="30"/>
  <c r="M100" i="30" s="1"/>
  <c r="E100" i="150"/>
  <c r="N100" i="150" s="1"/>
  <c r="N99" i="75"/>
  <c r="L99" i="28"/>
  <c r="V99" i="28" s="1"/>
  <c r="DU109" i="67"/>
  <c r="F109" i="152"/>
  <c r="E109" i="32"/>
  <c r="J109" i="32" s="1"/>
  <c r="H109" i="75"/>
  <c r="H109" i="77"/>
  <c r="F109" i="30"/>
  <c r="N109" i="30" s="1"/>
  <c r="H109" i="76"/>
  <c r="F109" i="28"/>
  <c r="P109" i="28" s="1"/>
  <c r="DO107" i="67"/>
  <c r="G107" i="77"/>
  <c r="G107" i="76"/>
  <c r="DR106" i="67"/>
  <c r="DW106" i="67"/>
  <c r="H106" i="155"/>
  <c r="F106" i="153"/>
  <c r="P106" i="153" s="1"/>
  <c r="DP105" i="67"/>
  <c r="DR104" i="67"/>
  <c r="H104" i="155"/>
  <c r="DW104" i="67"/>
  <c r="H103" i="77"/>
  <c r="F103" i="152"/>
  <c r="H103" i="76"/>
  <c r="F103" i="30"/>
  <c r="N103" i="30" s="1"/>
  <c r="F103" i="150"/>
  <c r="O103" i="150" s="1"/>
  <c r="DG103" i="67"/>
  <c r="F103" i="157"/>
  <c r="K103" i="157" s="1"/>
  <c r="E103" i="32"/>
  <c r="J103" i="32" s="1"/>
  <c r="H103" i="75"/>
  <c r="DS98" i="67"/>
  <c r="DF98" i="67"/>
  <c r="G98" i="77"/>
  <c r="G98" i="76"/>
  <c r="E98" i="157"/>
  <c r="J98" i="157" s="1"/>
  <c r="M98" i="157" s="1"/>
  <c r="E98" i="150"/>
  <c r="N98" i="150" s="1"/>
  <c r="E98" i="30"/>
  <c r="M98" i="30" s="1"/>
  <c r="DT98" i="67"/>
  <c r="C106" i="28"/>
  <c r="B105" i="30"/>
  <c r="C105" i="30"/>
  <c r="I101" i="30"/>
  <c r="Q101" i="30" s="1"/>
  <c r="F109" i="150"/>
  <c r="O109" i="150" s="1"/>
  <c r="I103" i="150"/>
  <c r="R103" i="150" s="1"/>
  <c r="I101" i="150"/>
  <c r="R101" i="150" s="1"/>
  <c r="F99" i="150"/>
  <c r="O99" i="150" s="1"/>
  <c r="F99" i="157"/>
  <c r="K99" i="157" s="1"/>
  <c r="DU106" i="67"/>
  <c r="F106" i="157"/>
  <c r="K106" i="157" s="1"/>
  <c r="E106" i="32"/>
  <c r="J106" i="32" s="1"/>
  <c r="M106" i="32" s="1"/>
  <c r="H106" i="75"/>
  <c r="F106" i="152"/>
  <c r="H106" i="76"/>
  <c r="H106" i="77"/>
  <c r="F106" i="30"/>
  <c r="N106" i="30" s="1"/>
  <c r="DT109" i="67"/>
  <c r="G109" i="77"/>
  <c r="E109" i="30"/>
  <c r="M109" i="30" s="1"/>
  <c r="G109" i="76"/>
  <c r="E109" i="150"/>
  <c r="N109" i="150" s="1"/>
  <c r="E109" i="157"/>
  <c r="J109" i="157" s="1"/>
  <c r="M109" i="157" s="1"/>
  <c r="DU108" i="67"/>
  <c r="F108" i="152"/>
  <c r="H108" i="77"/>
  <c r="H108" i="76"/>
  <c r="F108" i="157"/>
  <c r="K108" i="157" s="1"/>
  <c r="F108" i="30"/>
  <c r="N108" i="30" s="1"/>
  <c r="E108" i="32"/>
  <c r="J108" i="32" s="1"/>
  <c r="M108" i="32" s="1"/>
  <c r="F108" i="150"/>
  <c r="O108" i="150" s="1"/>
  <c r="H108" i="75"/>
  <c r="DT105" i="67"/>
  <c r="G105" i="77"/>
  <c r="E105" i="150"/>
  <c r="N105" i="150" s="1"/>
  <c r="E105" i="30"/>
  <c r="M105" i="30" s="1"/>
  <c r="G105" i="76"/>
  <c r="E103" i="150"/>
  <c r="N103" i="150" s="1"/>
  <c r="G103" i="77"/>
  <c r="G103" i="76"/>
  <c r="E103" i="157"/>
  <c r="J103" i="157" s="1"/>
  <c r="DF100" i="67"/>
  <c r="B99" i="150"/>
  <c r="C99" i="150"/>
  <c r="E105" i="157"/>
  <c r="J105" i="157" s="1"/>
  <c r="M105" i="157" s="1"/>
  <c r="DF107" i="67"/>
  <c r="G102" i="75"/>
  <c r="DB102" i="67"/>
  <c r="E102" i="28"/>
  <c r="O102" i="28" s="1"/>
  <c r="H99" i="77"/>
  <c r="H99" i="75"/>
  <c r="F99" i="152"/>
  <c r="DU99" i="67"/>
  <c r="H99" i="76"/>
  <c r="E101" i="30"/>
  <c r="M101" i="30" s="1"/>
  <c r="F107" i="150"/>
  <c r="O107" i="150" s="1"/>
  <c r="DH108" i="67"/>
  <c r="DE107" i="67"/>
  <c r="DP107" i="67"/>
  <c r="G107" i="75"/>
  <c r="DB107" i="67"/>
  <c r="E107" i="28"/>
  <c r="O107" i="28" s="1"/>
  <c r="G99" i="77"/>
  <c r="E99" i="157"/>
  <c r="J99" i="157" s="1"/>
  <c r="G99" i="76"/>
  <c r="E99" i="150"/>
  <c r="N99" i="150" s="1"/>
  <c r="E99" i="30"/>
  <c r="M99" i="30" s="1"/>
  <c r="C101" i="30"/>
  <c r="E107" i="150"/>
  <c r="N107" i="150" s="1"/>
  <c r="C101" i="150"/>
  <c r="DI109" i="67"/>
  <c r="DF108" i="67"/>
  <c r="DP108" i="67"/>
  <c r="G108" i="75"/>
  <c r="DE103" i="67"/>
  <c r="DD99" i="67"/>
  <c r="DR99" i="67"/>
  <c r="K105" i="77"/>
  <c r="I105" i="150"/>
  <c r="R105" i="150" s="1"/>
  <c r="I105" i="30"/>
  <c r="Q105" i="30" s="1"/>
  <c r="I105" i="36"/>
  <c r="R105" i="36" s="1"/>
  <c r="K105" i="76"/>
  <c r="I105" i="34"/>
  <c r="Q105" i="34" s="1"/>
  <c r="C108" i="30"/>
  <c r="B108" i="30"/>
  <c r="E101" i="157"/>
  <c r="J101" i="157" s="1"/>
  <c r="F102" i="153"/>
  <c r="P102" i="153" s="1"/>
  <c r="DG109" i="67"/>
  <c r="DF105" i="67"/>
  <c r="DP104" i="67"/>
  <c r="G104" i="75"/>
  <c r="DD103" i="67"/>
  <c r="DV99" i="67"/>
  <c r="DK98" i="67"/>
  <c r="I106" i="36"/>
  <c r="R106" i="36" s="1"/>
  <c r="K106" i="77"/>
  <c r="K106" i="76"/>
  <c r="I106" i="34"/>
  <c r="Q106" i="34" s="1"/>
  <c r="F102" i="28"/>
  <c r="P102" i="28" s="1"/>
  <c r="L100" i="28"/>
  <c r="V100" i="28" s="1"/>
  <c r="DC108" i="67"/>
  <c r="L108" i="28"/>
  <c r="V108" i="28" s="1"/>
  <c r="E108" i="150"/>
  <c r="N108" i="150" s="1"/>
  <c r="E102" i="32"/>
  <c r="J102" i="32" s="1"/>
  <c r="E107" i="157"/>
  <c r="J107" i="157" s="1"/>
  <c r="DF109" i="67"/>
  <c r="F100" i="153"/>
  <c r="P100" i="153" s="1"/>
  <c r="H100" i="155"/>
  <c r="DP99" i="67"/>
  <c r="G99" i="75"/>
  <c r="E99" i="28"/>
  <c r="O99" i="28" s="1"/>
  <c r="E105" i="28"/>
  <c r="O105" i="28" s="1"/>
  <c r="F102" i="30"/>
  <c r="N102" i="30" s="1"/>
  <c r="DU104" i="67"/>
  <c r="F104" i="152"/>
  <c r="H104" i="75"/>
  <c r="H104" i="76"/>
  <c r="F104" i="157"/>
  <c r="K104" i="157" s="1"/>
  <c r="H104" i="77"/>
  <c r="E104" i="32"/>
  <c r="J104" i="32" s="1"/>
  <c r="F104" i="28"/>
  <c r="P104" i="28" s="1"/>
  <c r="F104" i="150"/>
  <c r="O104" i="150" s="1"/>
  <c r="EA108" i="67"/>
  <c r="DB108" i="67"/>
  <c r="DZ101" i="67"/>
  <c r="DH101" i="67"/>
  <c r="DV101" i="67"/>
  <c r="DX107" i="67"/>
  <c r="F101" i="152"/>
  <c r="H101" i="77"/>
  <c r="E101" i="32"/>
  <c r="J101" i="32" s="1"/>
  <c r="M101" i="32" s="1"/>
  <c r="H101" i="76"/>
  <c r="H101" i="75"/>
  <c r="F101" i="30"/>
  <c r="N101" i="30" s="1"/>
  <c r="DG101" i="67"/>
  <c r="F101" i="157"/>
  <c r="K101" i="157" s="1"/>
  <c r="F101" i="28"/>
  <c r="P101" i="28" s="1"/>
  <c r="DU100" i="67"/>
  <c r="H100" i="76"/>
  <c r="H100" i="77"/>
  <c r="F100" i="152"/>
  <c r="F100" i="157"/>
  <c r="K100" i="157" s="1"/>
  <c r="E100" i="32"/>
  <c r="J100" i="32" s="1"/>
  <c r="M100" i="32" s="1"/>
  <c r="F100" i="150"/>
  <c r="O100" i="150" s="1"/>
  <c r="H100" i="75"/>
  <c r="F100" i="28"/>
  <c r="P100" i="28" s="1"/>
  <c r="F104" i="30"/>
  <c r="N104" i="30" s="1"/>
  <c r="E102" i="30"/>
  <c r="M102" i="30" s="1"/>
  <c r="F100" i="30"/>
  <c r="N100" i="30" s="1"/>
  <c r="F106" i="150"/>
  <c r="O106" i="150" s="1"/>
  <c r="F104" i="153"/>
  <c r="P104" i="153" s="1"/>
  <c r="B109" i="153"/>
  <c r="C109" i="153"/>
  <c r="B104" i="154"/>
  <c r="C104" i="154"/>
  <c r="DT104" i="67"/>
  <c r="G104" i="77"/>
  <c r="DN99" i="67"/>
  <c r="E104" i="30"/>
  <c r="M104" i="30" s="1"/>
  <c r="C106" i="32"/>
  <c r="B108" i="34"/>
  <c r="C108" i="34"/>
  <c r="B99" i="151"/>
  <c r="C99" i="151"/>
  <c r="G100" i="75"/>
  <c r="G104" i="76"/>
  <c r="DB109" i="67"/>
  <c r="G109" i="75"/>
  <c r="DF106" i="67"/>
  <c r="G106" i="77"/>
  <c r="G106" i="76"/>
  <c r="DI99" i="67"/>
  <c r="H99" i="155"/>
  <c r="I104" i="36"/>
  <c r="R104" i="36" s="1"/>
  <c r="I104" i="150"/>
  <c r="R104" i="150" s="1"/>
  <c r="K104" i="76"/>
  <c r="E106" i="30"/>
  <c r="M106" i="30" s="1"/>
  <c r="C97" i="157"/>
  <c r="B107" i="153"/>
  <c r="F101" i="153"/>
  <c r="P101" i="153" s="1"/>
  <c r="C98" i="38"/>
  <c r="C107" i="36"/>
  <c r="B107" i="36"/>
  <c r="B103" i="75"/>
  <c r="C103" i="75"/>
  <c r="B101" i="153"/>
  <c r="C101" i="153"/>
  <c r="C100" i="38"/>
  <c r="B100" i="38"/>
  <c r="C102" i="36"/>
  <c r="B102" i="36"/>
  <c r="K104" i="77"/>
  <c r="B98" i="151"/>
  <c r="C107" i="155"/>
  <c r="B107" i="155"/>
  <c r="DI107" i="67"/>
  <c r="H107" i="155"/>
  <c r="DU105" i="67"/>
  <c r="F105" i="152"/>
  <c r="H105" i="76"/>
  <c r="H105" i="77"/>
  <c r="E105" i="32"/>
  <c r="J105" i="32" s="1"/>
  <c r="M105" i="32" s="1"/>
  <c r="F108" i="153"/>
  <c r="P108" i="153" s="1"/>
  <c r="B104" i="153"/>
  <c r="C102" i="38"/>
  <c r="C99" i="34"/>
  <c r="B102" i="75"/>
  <c r="C102" i="75"/>
  <c r="B105" i="152"/>
  <c r="C105" i="152"/>
  <c r="C105" i="34"/>
  <c r="B105" i="34"/>
  <c r="I102" i="34"/>
  <c r="Q102" i="34" s="1"/>
  <c r="K102" i="76"/>
  <c r="I102" i="36"/>
  <c r="R102" i="36" s="1"/>
  <c r="K102" i="77"/>
  <c r="F98" i="30"/>
  <c r="N98" i="30" s="1"/>
  <c r="I104" i="34"/>
  <c r="Q104" i="34" s="1"/>
  <c r="F98" i="150"/>
  <c r="O98" i="150" s="1"/>
  <c r="E104" i="157"/>
  <c r="J104" i="157" s="1"/>
  <c r="M104" i="157" s="1"/>
  <c r="C109" i="38"/>
  <c r="DP103" i="67"/>
  <c r="G103" i="75"/>
  <c r="DU98" i="67"/>
  <c r="F98" i="152"/>
  <c r="H98" i="77"/>
  <c r="H98" i="75"/>
  <c r="H98" i="76"/>
  <c r="E106" i="157"/>
  <c r="J106" i="157" s="1"/>
  <c r="B98" i="157"/>
  <c r="C105" i="38"/>
  <c r="C102" i="34"/>
  <c r="C108" i="36"/>
  <c r="B105" i="76"/>
  <c r="C105" i="76"/>
  <c r="B103" i="150"/>
  <c r="E98" i="32"/>
  <c r="J98" i="32" s="1"/>
  <c r="C108" i="157"/>
  <c r="C104" i="157"/>
  <c r="C103" i="153"/>
  <c r="C109" i="76"/>
  <c r="C104" i="77"/>
  <c r="B100" i="152"/>
  <c r="B108" i="151"/>
  <c r="C98" i="75"/>
  <c r="C101" i="76"/>
  <c r="C101" i="155"/>
  <c r="B108" i="75"/>
  <c r="P40" i="23"/>
  <c r="C106" i="155"/>
  <c r="C100" i="76"/>
  <c r="P42" i="23"/>
  <c r="B102" i="152"/>
  <c r="B104" i="155"/>
  <c r="P44" i="23"/>
  <c r="C109" i="152"/>
  <c r="P46" i="23"/>
  <c r="C108" i="152"/>
  <c r="N14" i="23"/>
  <c r="C103" i="152"/>
  <c r="C107" i="77"/>
  <c r="C98" i="77"/>
  <c r="C106" i="76"/>
  <c r="C104" i="76"/>
  <c r="C109" i="75"/>
  <c r="C101" i="75"/>
  <c r="C107" i="75"/>
  <c r="C99" i="75"/>
  <c r="C109" i="154"/>
  <c r="C105" i="154"/>
  <c r="C101" i="154"/>
  <c r="C107" i="154"/>
  <c r="C103" i="154"/>
  <c r="C99" i="154"/>
  <c r="C102" i="151"/>
  <c r="C109" i="36"/>
  <c r="C101" i="36"/>
  <c r="C103" i="34"/>
  <c r="C109" i="34"/>
  <c r="C101" i="34"/>
  <c r="C99" i="38"/>
  <c r="C101" i="38"/>
  <c r="C107" i="38"/>
  <c r="T13" i="15"/>
  <c r="C108" i="153"/>
  <c r="C100" i="153"/>
  <c r="C102" i="153"/>
  <c r="C106" i="153"/>
  <c r="C98" i="153"/>
  <c r="C107" i="157"/>
  <c r="C99" i="157"/>
  <c r="C109" i="157"/>
  <c r="C101" i="157"/>
  <c r="C107" i="32"/>
  <c r="C103" i="32"/>
  <c r="C99" i="32"/>
  <c r="C108" i="32"/>
  <c r="C104" i="32"/>
  <c r="C100" i="32"/>
  <c r="C109" i="32"/>
  <c r="C101" i="32"/>
  <c r="C102" i="150"/>
  <c r="C109" i="28"/>
  <c r="C107" i="28"/>
  <c r="C105" i="28"/>
  <c r="C103" i="28"/>
  <c r="C101" i="28"/>
  <c r="C99" i="28"/>
  <c r="AO99" i="67"/>
  <c r="AO98" i="67"/>
  <c r="AO100" i="67"/>
  <c r="DE109" i="67"/>
  <c r="DM107" i="67"/>
  <c r="DI106" i="67"/>
  <c r="DE105" i="67"/>
  <c r="DA104" i="67"/>
  <c r="DM103" i="67"/>
  <c r="DI102" i="67"/>
  <c r="DE101" i="67"/>
  <c r="DA100" i="67"/>
  <c r="DM99" i="67"/>
  <c r="DI98" i="67"/>
  <c r="DA108" i="67"/>
  <c r="DD109" i="67"/>
  <c r="CZ108" i="67"/>
  <c r="DL107" i="67"/>
  <c r="DH106" i="67"/>
  <c r="DD105" i="67"/>
  <c r="CZ104" i="67"/>
  <c r="DL103" i="67"/>
  <c r="DH102" i="67"/>
  <c r="DD101" i="67"/>
  <c r="CZ100" i="67"/>
  <c r="DL99" i="67"/>
  <c r="DH98" i="67"/>
  <c r="DC109" i="67"/>
  <c r="DK107" i="67"/>
  <c r="DG106" i="67"/>
  <c r="DC105" i="67"/>
  <c r="DK103" i="67"/>
  <c r="DG102" i="67"/>
  <c r="DC101" i="67"/>
  <c r="DK99" i="67"/>
  <c r="DG98" i="67"/>
  <c r="B98" i="67"/>
  <c r="C98" i="67"/>
  <c r="B99" i="67"/>
  <c r="C99" i="67"/>
  <c r="B100" i="67"/>
  <c r="C100" i="67"/>
  <c r="B101" i="67"/>
  <c r="C101" i="67"/>
  <c r="B102" i="67"/>
  <c r="C102" i="67"/>
  <c r="B103" i="67"/>
  <c r="C103" i="67"/>
  <c r="B104" i="67"/>
  <c r="C104" i="67"/>
  <c r="B105" i="67"/>
  <c r="C105" i="67"/>
  <c r="B106" i="67"/>
  <c r="C106" i="67"/>
  <c r="B107" i="67"/>
  <c r="C107" i="67"/>
  <c r="B108" i="67"/>
  <c r="C108" i="67"/>
  <c r="B109" i="67"/>
  <c r="C109" i="67"/>
  <c r="CL97" i="67" l="1"/>
  <c r="G85" i="32"/>
  <c r="L85" i="32" s="1"/>
  <c r="G85" i="151"/>
  <c r="L85" i="151" s="1"/>
  <c r="H85" i="152"/>
  <c r="CL95" i="67"/>
  <c r="G83" i="32"/>
  <c r="L83" i="32" s="1"/>
  <c r="H83" i="152"/>
  <c r="G83" i="151"/>
  <c r="L83" i="151" s="1"/>
  <c r="CL62" i="67"/>
  <c r="G50" i="151"/>
  <c r="L50" i="151" s="1"/>
  <c r="G50" i="32"/>
  <c r="L50" i="32" s="1"/>
  <c r="H50" i="152"/>
  <c r="CL66" i="67"/>
  <c r="H54" i="152"/>
  <c r="G54" i="32"/>
  <c r="L54" i="32" s="1"/>
  <c r="G54" i="151"/>
  <c r="L54" i="151" s="1"/>
  <c r="M98" i="75"/>
  <c r="K98" i="28"/>
  <c r="U98" i="28" s="1"/>
  <c r="M106" i="157"/>
  <c r="M101" i="157"/>
  <c r="M100" i="75"/>
  <c r="K100" i="28"/>
  <c r="U100" i="28" s="1"/>
  <c r="CL63" i="67"/>
  <c r="H51" i="152"/>
  <c r="G51" i="32"/>
  <c r="L51" i="32" s="1"/>
  <c r="G51" i="151"/>
  <c r="L51" i="151" s="1"/>
  <c r="M106" i="75"/>
  <c r="K106" i="28"/>
  <c r="U106" i="28" s="1"/>
  <c r="CL67" i="67"/>
  <c r="G55" i="32"/>
  <c r="L55" i="32" s="1"/>
  <c r="H55" i="152"/>
  <c r="G55" i="151"/>
  <c r="L55" i="151" s="1"/>
  <c r="N105" i="75"/>
  <c r="L105" i="28"/>
  <c r="V105" i="28" s="1"/>
  <c r="CL68" i="67"/>
  <c r="G56" i="32"/>
  <c r="L56" i="32" s="1"/>
  <c r="G56" i="151"/>
  <c r="L56" i="151" s="1"/>
  <c r="H56" i="152"/>
  <c r="M100" i="157"/>
  <c r="M103" i="157"/>
  <c r="M99" i="157"/>
  <c r="M102" i="75"/>
  <c r="K102" i="28"/>
  <c r="U102" i="28" s="1"/>
  <c r="M109" i="75"/>
  <c r="K109" i="28"/>
  <c r="U109" i="28" s="1"/>
  <c r="K100" i="76"/>
  <c r="K100" i="77"/>
  <c r="I100" i="34"/>
  <c r="Q100" i="34" s="1"/>
  <c r="I100" i="30"/>
  <c r="Q100" i="30" s="1"/>
  <c r="I100" i="36"/>
  <c r="R100" i="36" s="1"/>
  <c r="I100" i="150"/>
  <c r="R100" i="150" s="1"/>
  <c r="M107" i="75"/>
  <c r="K107" i="28"/>
  <c r="U107" i="28" s="1"/>
  <c r="M105" i="75"/>
  <c r="K105" i="28"/>
  <c r="U105" i="28" s="1"/>
  <c r="M108" i="75"/>
  <c r="K108" i="28"/>
  <c r="U108" i="28" s="1"/>
  <c r="M108" i="157"/>
  <c r="N98" i="75"/>
  <c r="L98" i="28"/>
  <c r="V98" i="28" s="1"/>
  <c r="I98" i="36"/>
  <c r="R98" i="36" s="1"/>
  <c r="K98" i="77"/>
  <c r="K98" i="76"/>
  <c r="I98" i="34"/>
  <c r="Q98" i="34" s="1"/>
  <c r="I98" i="30"/>
  <c r="Q98" i="30" s="1"/>
  <c r="I98" i="150"/>
  <c r="R98" i="150" s="1"/>
  <c r="K99" i="76"/>
  <c r="K99" i="77"/>
  <c r="I99" i="34"/>
  <c r="Q99" i="34" s="1"/>
  <c r="I99" i="36"/>
  <c r="R99" i="36" s="1"/>
  <c r="I99" i="150"/>
  <c r="R99" i="150" s="1"/>
  <c r="I99" i="30"/>
  <c r="Q99" i="30" s="1"/>
  <c r="M107" i="157"/>
  <c r="N102" i="75"/>
  <c r="L102" i="28"/>
  <c r="V102" i="28" s="1"/>
  <c r="N109" i="75"/>
  <c r="L109" i="28"/>
  <c r="V109" i="28" s="1"/>
  <c r="N101" i="75"/>
  <c r="L101" i="28"/>
  <c r="V101" i="28" s="1"/>
  <c r="N106" i="75"/>
  <c r="L106" i="28"/>
  <c r="V106" i="28" s="1"/>
  <c r="N103" i="75"/>
  <c r="L103" i="28"/>
  <c r="V103" i="28" s="1"/>
  <c r="K101" i="28"/>
  <c r="U101" i="28" s="1"/>
  <c r="M101" i="75"/>
  <c r="B11" i="158"/>
  <c r="B67" i="74"/>
  <c r="B42" i="74"/>
  <c r="B42" i="25"/>
  <c r="B67" i="25" s="1"/>
  <c r="AK25" i="156"/>
  <c r="AK5" i="156"/>
  <c r="AK5" i="24"/>
  <c r="B30" i="158"/>
  <c r="B31" i="158"/>
  <c r="B32" i="158"/>
  <c r="B33" i="158"/>
  <c r="B29" i="158"/>
  <c r="B46" i="158"/>
  <c r="B10" i="158" s="1"/>
  <c r="B45" i="158"/>
  <c r="B9" i="158" s="1"/>
  <c r="B44" i="158"/>
  <c r="B8" i="158" s="1"/>
  <c r="B43" i="158"/>
  <c r="B7" i="158" s="1"/>
  <c r="B42" i="158"/>
  <c r="B6" i="158" s="1"/>
  <c r="B41" i="158"/>
  <c r="B5" i="158" s="1"/>
  <c r="B40" i="158"/>
  <c r="B4" i="158" s="1"/>
  <c r="B39" i="158"/>
  <c r="B3" i="158" s="1"/>
  <c r="AQ26" i="25"/>
  <c r="M28" i="158" s="1"/>
  <c r="AP26" i="25"/>
  <c r="L28" i="158" s="1"/>
  <c r="K28" i="158"/>
  <c r="AN26" i="25"/>
  <c r="J28" i="158" s="1"/>
  <c r="AM26" i="25"/>
  <c r="I28" i="158" s="1"/>
  <c r="AL26" i="25"/>
  <c r="H28" i="158" s="1"/>
  <c r="AK26" i="25"/>
  <c r="G28" i="158" s="1"/>
  <c r="AJ26" i="25"/>
  <c r="F28" i="158" s="1"/>
  <c r="AI26" i="25"/>
  <c r="E28" i="158" s="1"/>
  <c r="AH26" i="25"/>
  <c r="D28" i="158" s="1"/>
  <c r="AG26" i="25"/>
  <c r="C28" i="158" s="1"/>
  <c r="AH2" i="25"/>
  <c r="D16" i="158" s="1"/>
  <c r="AI2" i="25"/>
  <c r="E16" i="158" s="1"/>
  <c r="AJ2" i="25"/>
  <c r="F16" i="158" s="1"/>
  <c r="AK2" i="25"/>
  <c r="G16" i="158" s="1"/>
  <c r="AL2" i="25"/>
  <c r="H16" i="158" s="1"/>
  <c r="AM2" i="25"/>
  <c r="I16" i="158" s="1"/>
  <c r="AN2" i="25"/>
  <c r="J16" i="158" s="1"/>
  <c r="AP2" i="25"/>
  <c r="L16" i="158" s="1"/>
  <c r="AQ2" i="25"/>
  <c r="M16" i="158" s="1"/>
  <c r="AG2" i="25"/>
  <c r="C16" i="158" s="1"/>
  <c r="AG4" i="72"/>
  <c r="N3" i="155"/>
  <c r="N4" i="155"/>
  <c r="N5" i="155"/>
  <c r="N6" i="155"/>
  <c r="N7" i="155"/>
  <c r="N8" i="155"/>
  <c r="N9" i="155"/>
  <c r="N10" i="155"/>
  <c r="N11" i="155"/>
  <c r="N12" i="155"/>
  <c r="N13" i="155"/>
  <c r="N2" i="155"/>
  <c r="N1" i="155"/>
  <c r="X1" i="155" s="1"/>
  <c r="F1" i="155"/>
  <c r="H1" i="155"/>
  <c r="F1" i="154"/>
  <c r="L3" i="154"/>
  <c r="V3" i="154" s="1"/>
  <c r="L4" i="154"/>
  <c r="V4" i="154" s="1"/>
  <c r="L5" i="154"/>
  <c r="V5" i="154" s="1"/>
  <c r="L6" i="154"/>
  <c r="V6" i="154" s="1"/>
  <c r="L7" i="154"/>
  <c r="V7" i="154" s="1"/>
  <c r="L8" i="154"/>
  <c r="V8" i="154" s="1"/>
  <c r="L9" i="154"/>
  <c r="V9" i="154" s="1"/>
  <c r="L10" i="154"/>
  <c r="V10" i="154" s="1"/>
  <c r="L11" i="154"/>
  <c r="V11" i="154" s="1"/>
  <c r="L12" i="154"/>
  <c r="V12" i="154" s="1"/>
  <c r="L13" i="154"/>
  <c r="V13" i="154" s="1"/>
  <c r="L2" i="154"/>
  <c r="V2" i="154" s="1"/>
  <c r="L1" i="154"/>
  <c r="V1" i="154" s="1"/>
  <c r="L3" i="153"/>
  <c r="V3" i="153" s="1"/>
  <c r="L4" i="153"/>
  <c r="V4" i="153" s="1"/>
  <c r="L5" i="153"/>
  <c r="V5" i="153" s="1"/>
  <c r="L6" i="153"/>
  <c r="V6" i="153" s="1"/>
  <c r="L7" i="153"/>
  <c r="V7" i="153" s="1"/>
  <c r="L8" i="153"/>
  <c r="V8" i="153" s="1"/>
  <c r="L9" i="153"/>
  <c r="V9" i="153" s="1"/>
  <c r="L10" i="153"/>
  <c r="V10" i="153" s="1"/>
  <c r="L11" i="153"/>
  <c r="V11" i="153" s="1"/>
  <c r="L12" i="153"/>
  <c r="V12" i="153" s="1"/>
  <c r="L13" i="153"/>
  <c r="V13" i="153" s="1"/>
  <c r="L2" i="153"/>
  <c r="V2" i="153" s="1"/>
  <c r="L1" i="153"/>
  <c r="V1" i="153" s="1"/>
  <c r="F1" i="153"/>
  <c r="G110" i="152"/>
  <c r="L110" i="152" s="1"/>
  <c r="G111" i="152"/>
  <c r="L111" i="152" s="1"/>
  <c r="G112" i="152"/>
  <c r="L112" i="152" s="1"/>
  <c r="G113" i="152"/>
  <c r="L113" i="152" s="1"/>
  <c r="G114" i="152"/>
  <c r="L114" i="152" s="1"/>
  <c r="G115" i="152"/>
  <c r="L115" i="152" s="1"/>
  <c r="G116" i="152"/>
  <c r="L116" i="152" s="1"/>
  <c r="G117" i="152"/>
  <c r="L117" i="152" s="1"/>
  <c r="G118" i="152"/>
  <c r="L118" i="152" s="1"/>
  <c r="G119" i="152"/>
  <c r="L119" i="152" s="1"/>
  <c r="G120" i="152"/>
  <c r="L120" i="152" s="1"/>
  <c r="G121" i="152"/>
  <c r="L121" i="152" s="1"/>
  <c r="G122" i="152"/>
  <c r="L122" i="152" s="1"/>
  <c r="G123" i="152"/>
  <c r="L123" i="152" s="1"/>
  <c r="G124" i="152"/>
  <c r="L124" i="152" s="1"/>
  <c r="G125" i="152"/>
  <c r="L125" i="152" s="1"/>
  <c r="G126" i="152"/>
  <c r="L126" i="152" s="1"/>
  <c r="G127" i="152"/>
  <c r="L127" i="152" s="1"/>
  <c r="G128" i="152"/>
  <c r="L128" i="152" s="1"/>
  <c r="G129" i="152"/>
  <c r="L129" i="152" s="1"/>
  <c r="G130" i="152"/>
  <c r="L130" i="152" s="1"/>
  <c r="G131" i="152"/>
  <c r="L131" i="152" s="1"/>
  <c r="G132" i="152"/>
  <c r="L132" i="152" s="1"/>
  <c r="G133" i="152"/>
  <c r="L133" i="152" s="1"/>
  <c r="G3" i="152"/>
  <c r="G4" i="152"/>
  <c r="G5" i="152"/>
  <c r="G6" i="152"/>
  <c r="G7" i="152"/>
  <c r="G8" i="152"/>
  <c r="G9" i="152"/>
  <c r="G10" i="152"/>
  <c r="G11" i="152"/>
  <c r="G12" i="152"/>
  <c r="G13" i="152"/>
  <c r="G14" i="152"/>
  <c r="G15" i="152"/>
  <c r="G16" i="152"/>
  <c r="G17" i="152"/>
  <c r="G18" i="152"/>
  <c r="G19" i="152"/>
  <c r="G20" i="152"/>
  <c r="G21" i="152"/>
  <c r="G22" i="152"/>
  <c r="G23" i="152"/>
  <c r="G24" i="152"/>
  <c r="G25" i="152"/>
  <c r="G26" i="152"/>
  <c r="G27" i="152"/>
  <c r="G28" i="152"/>
  <c r="G29" i="152"/>
  <c r="G30" i="152"/>
  <c r="G31" i="152"/>
  <c r="G32" i="152"/>
  <c r="G33" i="152"/>
  <c r="G34" i="152"/>
  <c r="G35" i="152"/>
  <c r="G36" i="152"/>
  <c r="G37" i="152"/>
  <c r="G38" i="152"/>
  <c r="G39" i="152"/>
  <c r="G40" i="152"/>
  <c r="G41" i="152"/>
  <c r="G42" i="152"/>
  <c r="G43" i="152"/>
  <c r="G44" i="152"/>
  <c r="G45" i="152"/>
  <c r="G46" i="152"/>
  <c r="G47" i="152"/>
  <c r="G48" i="152"/>
  <c r="G49" i="152"/>
  <c r="G50" i="152"/>
  <c r="G51" i="152"/>
  <c r="G52" i="152"/>
  <c r="G53" i="152"/>
  <c r="G54" i="152"/>
  <c r="G55" i="152"/>
  <c r="G56" i="152"/>
  <c r="G57" i="152"/>
  <c r="G58" i="152"/>
  <c r="G59" i="152"/>
  <c r="G60" i="152"/>
  <c r="G61" i="152"/>
  <c r="G62" i="152"/>
  <c r="G63" i="152"/>
  <c r="G64" i="152"/>
  <c r="G65" i="152"/>
  <c r="G66" i="152"/>
  <c r="G67" i="152"/>
  <c r="G68" i="152"/>
  <c r="G69" i="152"/>
  <c r="G70" i="152"/>
  <c r="G71" i="152"/>
  <c r="G72" i="152"/>
  <c r="G73" i="152"/>
  <c r="G74" i="152"/>
  <c r="G75" i="152"/>
  <c r="G76" i="152"/>
  <c r="G77" i="152"/>
  <c r="G78" i="152"/>
  <c r="G79" i="152"/>
  <c r="G80" i="152"/>
  <c r="G81" i="152"/>
  <c r="G82" i="152"/>
  <c r="G83" i="152"/>
  <c r="G84" i="152"/>
  <c r="G85" i="152"/>
  <c r="G86" i="152"/>
  <c r="G87" i="152"/>
  <c r="G88" i="152"/>
  <c r="G89" i="152"/>
  <c r="G90" i="152"/>
  <c r="G91" i="152"/>
  <c r="G92" i="152"/>
  <c r="G93" i="152"/>
  <c r="G94" i="152"/>
  <c r="G95" i="152"/>
  <c r="G96" i="152"/>
  <c r="G97" i="152"/>
  <c r="G2" i="152"/>
  <c r="CL107" i="67" l="1"/>
  <c r="G95" i="32"/>
  <c r="L95" i="32" s="1"/>
  <c r="G95" i="151"/>
  <c r="L95" i="151" s="1"/>
  <c r="H95" i="152"/>
  <c r="CL109" i="67"/>
  <c r="G97" i="151"/>
  <c r="L97" i="151" s="1"/>
  <c r="G97" i="32"/>
  <c r="L97" i="32" s="1"/>
  <c r="H97" i="152"/>
  <c r="CL80" i="67"/>
  <c r="H68" i="152"/>
  <c r="G68" i="151"/>
  <c r="L68" i="151" s="1"/>
  <c r="G68" i="32"/>
  <c r="L68" i="32" s="1"/>
  <c r="CL78" i="67"/>
  <c r="G66" i="151"/>
  <c r="L66" i="151" s="1"/>
  <c r="G66" i="32"/>
  <c r="L66" i="32" s="1"/>
  <c r="H66" i="152"/>
  <c r="CL79" i="67"/>
  <c r="H67" i="152"/>
  <c r="G67" i="151"/>
  <c r="L67" i="151" s="1"/>
  <c r="G67" i="32"/>
  <c r="L67" i="32" s="1"/>
  <c r="CL74" i="67"/>
  <c r="G62" i="32"/>
  <c r="L62" i="32" s="1"/>
  <c r="H62" i="152"/>
  <c r="G62" i="151"/>
  <c r="L62" i="151" s="1"/>
  <c r="CL75" i="67"/>
  <c r="G63" i="151"/>
  <c r="L63" i="151" s="1"/>
  <c r="G63" i="32"/>
  <c r="L63" i="32" s="1"/>
  <c r="H63" i="152"/>
  <c r="K110" i="151"/>
  <c r="K111" i="151"/>
  <c r="K112" i="151"/>
  <c r="K113" i="151"/>
  <c r="K114" i="151"/>
  <c r="K115" i="151"/>
  <c r="K116" i="151"/>
  <c r="K117" i="151"/>
  <c r="K118" i="151"/>
  <c r="K119" i="151"/>
  <c r="K120" i="151"/>
  <c r="K121" i="151"/>
  <c r="K122" i="151"/>
  <c r="K123" i="151"/>
  <c r="K124" i="151"/>
  <c r="K125" i="151"/>
  <c r="K126" i="151"/>
  <c r="K127" i="151"/>
  <c r="K128" i="151"/>
  <c r="K129" i="151"/>
  <c r="K130" i="151"/>
  <c r="K131" i="151"/>
  <c r="K132" i="151"/>
  <c r="K133" i="151"/>
  <c r="F4" i="151"/>
  <c r="K4" i="151" s="1"/>
  <c r="F5" i="151"/>
  <c r="K5" i="151" s="1"/>
  <c r="F6" i="151"/>
  <c r="K6" i="151" s="1"/>
  <c r="F7" i="151"/>
  <c r="K7" i="151" s="1"/>
  <c r="F8" i="151"/>
  <c r="K8" i="151" s="1"/>
  <c r="F9" i="151"/>
  <c r="K9" i="151" s="1"/>
  <c r="F10" i="151"/>
  <c r="K10" i="151" s="1"/>
  <c r="F11" i="151"/>
  <c r="K11" i="151" s="1"/>
  <c r="F12" i="151"/>
  <c r="K12" i="151" s="1"/>
  <c r="F13" i="151"/>
  <c r="K13" i="151" s="1"/>
  <c r="F14" i="151"/>
  <c r="K14" i="151" s="1"/>
  <c r="F15" i="151"/>
  <c r="K15" i="151" s="1"/>
  <c r="F16" i="151"/>
  <c r="K16" i="151" s="1"/>
  <c r="F17" i="151"/>
  <c r="K17" i="151" s="1"/>
  <c r="F18" i="151"/>
  <c r="K18" i="151" s="1"/>
  <c r="F19" i="151"/>
  <c r="K19" i="151" s="1"/>
  <c r="F20" i="151"/>
  <c r="K20" i="151" s="1"/>
  <c r="F21" i="151"/>
  <c r="K21" i="151" s="1"/>
  <c r="F22" i="151"/>
  <c r="K22" i="151" s="1"/>
  <c r="F23" i="151"/>
  <c r="K23" i="151" s="1"/>
  <c r="F24" i="151"/>
  <c r="K24" i="151" s="1"/>
  <c r="F25" i="151"/>
  <c r="K25" i="151" s="1"/>
  <c r="F26" i="151"/>
  <c r="K26" i="151" s="1"/>
  <c r="F27" i="151"/>
  <c r="K27" i="151" s="1"/>
  <c r="F28" i="151"/>
  <c r="K28" i="151" s="1"/>
  <c r="F29" i="151"/>
  <c r="K29" i="151" s="1"/>
  <c r="F30" i="151"/>
  <c r="K30" i="151" s="1"/>
  <c r="F31" i="151"/>
  <c r="K31" i="151" s="1"/>
  <c r="F32" i="151"/>
  <c r="K32" i="151" s="1"/>
  <c r="F33" i="151"/>
  <c r="K33" i="151" s="1"/>
  <c r="F34" i="151"/>
  <c r="K34" i="151" s="1"/>
  <c r="F35" i="151"/>
  <c r="K35" i="151" s="1"/>
  <c r="F36" i="151"/>
  <c r="K36" i="151" s="1"/>
  <c r="F37" i="151"/>
  <c r="K37" i="151" s="1"/>
  <c r="F38" i="151"/>
  <c r="K38" i="151" s="1"/>
  <c r="F39" i="151"/>
  <c r="K39" i="151" s="1"/>
  <c r="F40" i="151"/>
  <c r="K40" i="151" s="1"/>
  <c r="F41" i="151"/>
  <c r="K41" i="151" s="1"/>
  <c r="F42" i="151"/>
  <c r="K42" i="151" s="1"/>
  <c r="F43" i="151"/>
  <c r="K43" i="151" s="1"/>
  <c r="F44" i="151"/>
  <c r="K44" i="151" s="1"/>
  <c r="F45" i="151"/>
  <c r="K45" i="151" s="1"/>
  <c r="F46" i="151"/>
  <c r="K46" i="151" s="1"/>
  <c r="F47" i="151"/>
  <c r="K47" i="151" s="1"/>
  <c r="F48" i="151"/>
  <c r="K48" i="151" s="1"/>
  <c r="F49" i="151"/>
  <c r="K49" i="151" s="1"/>
  <c r="F50" i="151"/>
  <c r="K50" i="151" s="1"/>
  <c r="F51" i="151"/>
  <c r="K51" i="151" s="1"/>
  <c r="F52" i="151"/>
  <c r="K52" i="151" s="1"/>
  <c r="F53" i="151"/>
  <c r="K53" i="151" s="1"/>
  <c r="F54" i="151"/>
  <c r="K54" i="151" s="1"/>
  <c r="F55" i="151"/>
  <c r="K55" i="151" s="1"/>
  <c r="F56" i="151"/>
  <c r="K56" i="151" s="1"/>
  <c r="F57" i="151"/>
  <c r="K57" i="151" s="1"/>
  <c r="F58" i="151"/>
  <c r="K58" i="151" s="1"/>
  <c r="F59" i="151"/>
  <c r="K59" i="151" s="1"/>
  <c r="F60" i="151"/>
  <c r="K60" i="151" s="1"/>
  <c r="F61" i="151"/>
  <c r="K61" i="151" s="1"/>
  <c r="F62" i="151"/>
  <c r="K62" i="151" s="1"/>
  <c r="F63" i="151"/>
  <c r="K63" i="151" s="1"/>
  <c r="F64" i="151"/>
  <c r="K64" i="151" s="1"/>
  <c r="F65" i="151"/>
  <c r="K65" i="151" s="1"/>
  <c r="F66" i="151"/>
  <c r="K66" i="151" s="1"/>
  <c r="F67" i="151"/>
  <c r="K67" i="151" s="1"/>
  <c r="F68" i="151"/>
  <c r="K68" i="151" s="1"/>
  <c r="F69" i="151"/>
  <c r="K69" i="151" s="1"/>
  <c r="F70" i="151"/>
  <c r="K70" i="151" s="1"/>
  <c r="F71" i="151"/>
  <c r="K71" i="151" s="1"/>
  <c r="F72" i="151"/>
  <c r="K72" i="151" s="1"/>
  <c r="F73" i="151"/>
  <c r="K73" i="151" s="1"/>
  <c r="F74" i="151"/>
  <c r="K74" i="151" s="1"/>
  <c r="F75" i="151"/>
  <c r="K75" i="151" s="1"/>
  <c r="F76" i="151"/>
  <c r="K76" i="151" s="1"/>
  <c r="F77" i="151"/>
  <c r="K77" i="151" s="1"/>
  <c r="F78" i="151"/>
  <c r="K78" i="151" s="1"/>
  <c r="F79" i="151"/>
  <c r="K79" i="151" s="1"/>
  <c r="F80" i="151"/>
  <c r="K80" i="151" s="1"/>
  <c r="F81" i="151"/>
  <c r="K81" i="151" s="1"/>
  <c r="F82" i="151"/>
  <c r="K82" i="151" s="1"/>
  <c r="F83" i="151"/>
  <c r="K83" i="151" s="1"/>
  <c r="F84" i="151"/>
  <c r="K84" i="151" s="1"/>
  <c r="F85" i="151"/>
  <c r="K85" i="151" s="1"/>
  <c r="F86" i="151"/>
  <c r="K86" i="151" s="1"/>
  <c r="F87" i="151"/>
  <c r="K87" i="151" s="1"/>
  <c r="F88" i="151"/>
  <c r="K88" i="151" s="1"/>
  <c r="F89" i="151"/>
  <c r="K89" i="151" s="1"/>
  <c r="F90" i="151"/>
  <c r="K90" i="151" s="1"/>
  <c r="F91" i="151"/>
  <c r="K91" i="151" s="1"/>
  <c r="F92" i="151"/>
  <c r="K92" i="151" s="1"/>
  <c r="F93" i="151"/>
  <c r="K93" i="151" s="1"/>
  <c r="F94" i="151"/>
  <c r="K94" i="151" s="1"/>
  <c r="F95" i="151"/>
  <c r="K95" i="151" s="1"/>
  <c r="F96" i="151"/>
  <c r="K96" i="151" s="1"/>
  <c r="F97" i="151"/>
  <c r="K97" i="151" s="1"/>
  <c r="F2" i="151"/>
  <c r="K2" i="151" s="1"/>
  <c r="F3" i="151"/>
  <c r="K3" i="151" s="1"/>
  <c r="F1" i="151"/>
  <c r="K1" i="151" s="1"/>
  <c r="E1" i="157"/>
  <c r="J1" i="157" s="1"/>
  <c r="I96" i="157"/>
  <c r="G96" i="157"/>
  <c r="L96" i="157" s="1"/>
  <c r="A96" i="157"/>
  <c r="C96" i="157" s="1"/>
  <c r="I95" i="157"/>
  <c r="G95" i="157"/>
  <c r="L95" i="157" s="1"/>
  <c r="A95" i="157"/>
  <c r="C95" i="157" s="1"/>
  <c r="I94" i="157"/>
  <c r="G94" i="157"/>
  <c r="L94" i="157" s="1"/>
  <c r="A94" i="157"/>
  <c r="C94" i="157" s="1"/>
  <c r="I93" i="157"/>
  <c r="G93" i="157"/>
  <c r="L93" i="157" s="1"/>
  <c r="A93" i="157"/>
  <c r="C93" i="157" s="1"/>
  <c r="I92" i="157"/>
  <c r="G92" i="157"/>
  <c r="L92" i="157" s="1"/>
  <c r="A92" i="157"/>
  <c r="C92" i="157" s="1"/>
  <c r="I91" i="157"/>
  <c r="G91" i="157"/>
  <c r="L91" i="157" s="1"/>
  <c r="A91" i="157"/>
  <c r="I90" i="157"/>
  <c r="G90" i="157"/>
  <c r="L90" i="157" s="1"/>
  <c r="A90" i="157"/>
  <c r="B90" i="157" s="1"/>
  <c r="I89" i="157"/>
  <c r="G89" i="157"/>
  <c r="L89" i="157" s="1"/>
  <c r="A89" i="157"/>
  <c r="C89" i="157" s="1"/>
  <c r="I88" i="157"/>
  <c r="G88" i="157"/>
  <c r="L88" i="157" s="1"/>
  <c r="A88" i="157"/>
  <c r="C88" i="157" s="1"/>
  <c r="I87" i="157"/>
  <c r="G87" i="157"/>
  <c r="L87" i="157" s="1"/>
  <c r="A87" i="157"/>
  <c r="C87" i="157" s="1"/>
  <c r="I86" i="157"/>
  <c r="G86" i="157"/>
  <c r="L86" i="157" s="1"/>
  <c r="A86" i="157"/>
  <c r="B86" i="157" s="1"/>
  <c r="I85" i="157"/>
  <c r="G85" i="157"/>
  <c r="L85" i="157" s="1"/>
  <c r="A85" i="157"/>
  <c r="C85" i="157" s="1"/>
  <c r="I84" i="157"/>
  <c r="G84" i="157"/>
  <c r="L84" i="157" s="1"/>
  <c r="A84" i="157"/>
  <c r="C84" i="157" s="1"/>
  <c r="I83" i="157"/>
  <c r="G83" i="157"/>
  <c r="L83" i="157" s="1"/>
  <c r="A83" i="157"/>
  <c r="C83" i="157" s="1"/>
  <c r="I82" i="157"/>
  <c r="G82" i="157"/>
  <c r="L82" i="157" s="1"/>
  <c r="A82" i="157"/>
  <c r="B82" i="157" s="1"/>
  <c r="I81" i="157"/>
  <c r="G81" i="157"/>
  <c r="L81" i="157" s="1"/>
  <c r="A81" i="157"/>
  <c r="B81" i="157" s="1"/>
  <c r="I80" i="157"/>
  <c r="G80" i="157"/>
  <c r="L80" i="157" s="1"/>
  <c r="A80" i="157"/>
  <c r="C80" i="157" s="1"/>
  <c r="I79" i="157"/>
  <c r="G79" i="157"/>
  <c r="L79" i="157" s="1"/>
  <c r="A79" i="157"/>
  <c r="C79" i="157" s="1"/>
  <c r="I78" i="157"/>
  <c r="G78" i="157"/>
  <c r="L78" i="157" s="1"/>
  <c r="A78" i="157"/>
  <c r="C78" i="157" s="1"/>
  <c r="I77" i="157"/>
  <c r="G77" i="157"/>
  <c r="L77" i="157" s="1"/>
  <c r="A77" i="157"/>
  <c r="C77" i="157" s="1"/>
  <c r="I76" i="157"/>
  <c r="G76" i="157"/>
  <c r="L76" i="157" s="1"/>
  <c r="A76" i="157"/>
  <c r="B76" i="157" s="1"/>
  <c r="I75" i="157"/>
  <c r="G75" i="157"/>
  <c r="L75" i="157" s="1"/>
  <c r="A75" i="157"/>
  <c r="C75" i="157" s="1"/>
  <c r="I74" i="157"/>
  <c r="G74" i="157"/>
  <c r="L74" i="157" s="1"/>
  <c r="A74" i="157"/>
  <c r="C74" i="157" s="1"/>
  <c r="I73" i="157"/>
  <c r="G73" i="157"/>
  <c r="L73" i="157" s="1"/>
  <c r="A73" i="157"/>
  <c r="C73" i="157" s="1"/>
  <c r="I72" i="157"/>
  <c r="G72" i="157"/>
  <c r="L72" i="157" s="1"/>
  <c r="A72" i="157"/>
  <c r="B72" i="157" s="1"/>
  <c r="I71" i="157"/>
  <c r="G71" i="157"/>
  <c r="L71" i="157" s="1"/>
  <c r="A71" i="157"/>
  <c r="C71" i="157" s="1"/>
  <c r="I70" i="157"/>
  <c r="G70" i="157"/>
  <c r="L70" i="157" s="1"/>
  <c r="A70" i="157"/>
  <c r="B70" i="157" s="1"/>
  <c r="I69" i="157"/>
  <c r="G69" i="157"/>
  <c r="L69" i="157" s="1"/>
  <c r="A69" i="157"/>
  <c r="B69" i="157" s="1"/>
  <c r="I68" i="157"/>
  <c r="G68" i="157"/>
  <c r="L68" i="157" s="1"/>
  <c r="A68" i="157"/>
  <c r="I67" i="157"/>
  <c r="G67" i="157"/>
  <c r="L67" i="157" s="1"/>
  <c r="A67" i="157"/>
  <c r="C67" i="157" s="1"/>
  <c r="I66" i="157"/>
  <c r="G66" i="157"/>
  <c r="L66" i="157" s="1"/>
  <c r="A66" i="157"/>
  <c r="C66" i="157" s="1"/>
  <c r="I65" i="157"/>
  <c r="G65" i="157"/>
  <c r="L65" i="157" s="1"/>
  <c r="A65" i="157"/>
  <c r="B65" i="157" s="1"/>
  <c r="I64" i="157"/>
  <c r="G64" i="157"/>
  <c r="L64" i="157" s="1"/>
  <c r="A64" i="157"/>
  <c r="B64" i="157" s="1"/>
  <c r="I63" i="157"/>
  <c r="G63" i="157"/>
  <c r="L63" i="157" s="1"/>
  <c r="A63" i="157"/>
  <c r="C63" i="157" s="1"/>
  <c r="I62" i="157"/>
  <c r="G62" i="157"/>
  <c r="L62" i="157" s="1"/>
  <c r="A62" i="157"/>
  <c r="B62" i="157" s="1"/>
  <c r="I61" i="157"/>
  <c r="G61" i="157"/>
  <c r="L61" i="157" s="1"/>
  <c r="A61" i="157"/>
  <c r="C61" i="157" s="1"/>
  <c r="I60" i="157"/>
  <c r="G60" i="157"/>
  <c r="L60" i="157" s="1"/>
  <c r="A60" i="157"/>
  <c r="B60" i="157" s="1"/>
  <c r="I59" i="157"/>
  <c r="G59" i="157"/>
  <c r="L59" i="157" s="1"/>
  <c r="A59" i="157"/>
  <c r="C59" i="157" s="1"/>
  <c r="I58" i="157"/>
  <c r="G58" i="157"/>
  <c r="L58" i="157" s="1"/>
  <c r="A58" i="157"/>
  <c r="C58" i="157" s="1"/>
  <c r="I57" i="157"/>
  <c r="G57" i="157"/>
  <c r="L57" i="157" s="1"/>
  <c r="A57" i="157"/>
  <c r="C57" i="157" s="1"/>
  <c r="I56" i="157"/>
  <c r="G56" i="157"/>
  <c r="L56" i="157" s="1"/>
  <c r="A56" i="157"/>
  <c r="C56" i="157" s="1"/>
  <c r="I55" i="157"/>
  <c r="G55" i="157"/>
  <c r="L55" i="157" s="1"/>
  <c r="A55" i="157"/>
  <c r="C55" i="157" s="1"/>
  <c r="I54" i="157"/>
  <c r="G54" i="157"/>
  <c r="L54" i="157" s="1"/>
  <c r="A54" i="157"/>
  <c r="C54" i="157" s="1"/>
  <c r="I53" i="157"/>
  <c r="G53" i="157"/>
  <c r="L53" i="157" s="1"/>
  <c r="A53" i="157"/>
  <c r="B53" i="157" s="1"/>
  <c r="I52" i="157"/>
  <c r="G52" i="157"/>
  <c r="L52" i="157" s="1"/>
  <c r="A52" i="157"/>
  <c r="C52" i="157" s="1"/>
  <c r="I51" i="157"/>
  <c r="G51" i="157"/>
  <c r="L51" i="157" s="1"/>
  <c r="A51" i="157"/>
  <c r="B51" i="157" s="1"/>
  <c r="I50" i="157"/>
  <c r="G50" i="157"/>
  <c r="L50" i="157" s="1"/>
  <c r="A50" i="157"/>
  <c r="C50" i="157" s="1"/>
  <c r="I49" i="157"/>
  <c r="G49" i="157"/>
  <c r="L49" i="157" s="1"/>
  <c r="A49" i="157"/>
  <c r="C49" i="157" s="1"/>
  <c r="I48" i="157"/>
  <c r="G48" i="157"/>
  <c r="L48" i="157" s="1"/>
  <c r="A48" i="157"/>
  <c r="C48" i="157" s="1"/>
  <c r="I47" i="157"/>
  <c r="G47" i="157"/>
  <c r="L47" i="157" s="1"/>
  <c r="A47" i="157"/>
  <c r="C47" i="157" s="1"/>
  <c r="I46" i="157"/>
  <c r="G46" i="157"/>
  <c r="L46" i="157" s="1"/>
  <c r="A46" i="157"/>
  <c r="C46" i="157" s="1"/>
  <c r="I45" i="157"/>
  <c r="G45" i="157"/>
  <c r="L45" i="157" s="1"/>
  <c r="A45" i="157"/>
  <c r="B45" i="157" s="1"/>
  <c r="I44" i="157"/>
  <c r="G44" i="157"/>
  <c r="L44" i="157" s="1"/>
  <c r="A44" i="157"/>
  <c r="C44" i="157" s="1"/>
  <c r="I43" i="157"/>
  <c r="G43" i="157"/>
  <c r="L43" i="157" s="1"/>
  <c r="A43" i="157"/>
  <c r="C43" i="157" s="1"/>
  <c r="I42" i="157"/>
  <c r="G42" i="157"/>
  <c r="L42" i="157" s="1"/>
  <c r="A42" i="157"/>
  <c r="C42" i="157" s="1"/>
  <c r="I41" i="157"/>
  <c r="G41" i="157"/>
  <c r="L41" i="157" s="1"/>
  <c r="A41" i="157"/>
  <c r="C41" i="157" s="1"/>
  <c r="I40" i="157"/>
  <c r="G40" i="157"/>
  <c r="L40" i="157" s="1"/>
  <c r="A40" i="157"/>
  <c r="C40" i="157" s="1"/>
  <c r="I39" i="157"/>
  <c r="G39" i="157"/>
  <c r="L39" i="157" s="1"/>
  <c r="A39" i="157"/>
  <c r="C39" i="157" s="1"/>
  <c r="I38" i="157"/>
  <c r="G38" i="157"/>
  <c r="L38" i="157" s="1"/>
  <c r="A38" i="157"/>
  <c r="C38" i="157" s="1"/>
  <c r="I37" i="157"/>
  <c r="G37" i="157"/>
  <c r="L37" i="157" s="1"/>
  <c r="A37" i="157"/>
  <c r="B37" i="157" s="1"/>
  <c r="I36" i="157"/>
  <c r="G36" i="157"/>
  <c r="L36" i="157" s="1"/>
  <c r="A36" i="157"/>
  <c r="C36" i="157" s="1"/>
  <c r="I35" i="157"/>
  <c r="G35" i="157"/>
  <c r="L35" i="157" s="1"/>
  <c r="A35" i="157"/>
  <c r="B35" i="157" s="1"/>
  <c r="I34" i="157"/>
  <c r="G34" i="157"/>
  <c r="L34" i="157" s="1"/>
  <c r="A34" i="157"/>
  <c r="C34" i="157" s="1"/>
  <c r="I33" i="157"/>
  <c r="G33" i="157"/>
  <c r="L33" i="157" s="1"/>
  <c r="A33" i="157"/>
  <c r="C33" i="157" s="1"/>
  <c r="I32" i="157"/>
  <c r="G32" i="157"/>
  <c r="L32" i="157" s="1"/>
  <c r="A32" i="157"/>
  <c r="C32" i="157" s="1"/>
  <c r="I31" i="157"/>
  <c r="G31" i="157"/>
  <c r="L31" i="157" s="1"/>
  <c r="A31" i="157"/>
  <c r="C31" i="157" s="1"/>
  <c r="I30" i="157"/>
  <c r="G30" i="157"/>
  <c r="L30" i="157" s="1"/>
  <c r="A30" i="157"/>
  <c r="C30" i="157" s="1"/>
  <c r="I29" i="157"/>
  <c r="G29" i="157"/>
  <c r="L29" i="157" s="1"/>
  <c r="A29" i="157"/>
  <c r="C29" i="157" s="1"/>
  <c r="I28" i="157"/>
  <c r="G28" i="157"/>
  <c r="L28" i="157" s="1"/>
  <c r="A28" i="157"/>
  <c r="C28" i="157" s="1"/>
  <c r="I27" i="157"/>
  <c r="G27" i="157"/>
  <c r="L27" i="157" s="1"/>
  <c r="A27" i="157"/>
  <c r="C27" i="157" s="1"/>
  <c r="I26" i="157"/>
  <c r="G26" i="157"/>
  <c r="L26" i="157" s="1"/>
  <c r="A26" i="157"/>
  <c r="C26" i="157" s="1"/>
  <c r="I25" i="157"/>
  <c r="G25" i="157"/>
  <c r="L25" i="157" s="1"/>
  <c r="A25" i="157"/>
  <c r="B25" i="157" s="1"/>
  <c r="I24" i="157"/>
  <c r="G24" i="157"/>
  <c r="L24" i="157" s="1"/>
  <c r="A24" i="157"/>
  <c r="C24" i="157" s="1"/>
  <c r="I23" i="157"/>
  <c r="G23" i="157"/>
  <c r="L23" i="157" s="1"/>
  <c r="A23" i="157"/>
  <c r="C23" i="157" s="1"/>
  <c r="I22" i="157"/>
  <c r="G22" i="157"/>
  <c r="L22" i="157" s="1"/>
  <c r="A22" i="157"/>
  <c r="C22" i="157" s="1"/>
  <c r="I21" i="157"/>
  <c r="G21" i="157"/>
  <c r="L21" i="157" s="1"/>
  <c r="A21" i="157"/>
  <c r="C21" i="157" s="1"/>
  <c r="I20" i="157"/>
  <c r="G20" i="157"/>
  <c r="L20" i="157" s="1"/>
  <c r="A20" i="157"/>
  <c r="C20" i="157" s="1"/>
  <c r="I19" i="157"/>
  <c r="G19" i="157"/>
  <c r="L19" i="157" s="1"/>
  <c r="A19" i="157"/>
  <c r="C19" i="157" s="1"/>
  <c r="I18" i="157"/>
  <c r="G18" i="157"/>
  <c r="L18" i="157" s="1"/>
  <c r="A18" i="157"/>
  <c r="C18" i="157" s="1"/>
  <c r="I17" i="157"/>
  <c r="G17" i="157"/>
  <c r="L17" i="157" s="1"/>
  <c r="A17" i="157"/>
  <c r="B17" i="157" s="1"/>
  <c r="I16" i="157"/>
  <c r="G16" i="157"/>
  <c r="L16" i="157" s="1"/>
  <c r="A16" i="157"/>
  <c r="C16" i="157" s="1"/>
  <c r="I15" i="157"/>
  <c r="G15" i="157"/>
  <c r="L15" i="157" s="1"/>
  <c r="A15" i="157"/>
  <c r="C15" i="157" s="1"/>
  <c r="I14" i="157"/>
  <c r="G14" i="157"/>
  <c r="L14" i="157" s="1"/>
  <c r="A14" i="157"/>
  <c r="C14" i="157" s="1"/>
  <c r="I13" i="157"/>
  <c r="G13" i="157"/>
  <c r="L13" i="157" s="1"/>
  <c r="A13" i="157"/>
  <c r="C13" i="157" s="1"/>
  <c r="I12" i="157"/>
  <c r="G12" i="157"/>
  <c r="L12" i="157" s="1"/>
  <c r="A12" i="157"/>
  <c r="C12" i="157" s="1"/>
  <c r="I11" i="157"/>
  <c r="G11" i="157"/>
  <c r="L11" i="157" s="1"/>
  <c r="A11" i="157"/>
  <c r="B11" i="157" s="1"/>
  <c r="I10" i="157"/>
  <c r="G10" i="157"/>
  <c r="L10" i="157" s="1"/>
  <c r="A10" i="157"/>
  <c r="C10" i="157" s="1"/>
  <c r="I9" i="157"/>
  <c r="G9" i="157"/>
  <c r="L9" i="157" s="1"/>
  <c r="A9" i="157"/>
  <c r="C9" i="157" s="1"/>
  <c r="I8" i="157"/>
  <c r="G8" i="157"/>
  <c r="L8" i="157" s="1"/>
  <c r="A8" i="157"/>
  <c r="C8" i="157" s="1"/>
  <c r="I7" i="157"/>
  <c r="G7" i="157"/>
  <c r="L7" i="157" s="1"/>
  <c r="A7" i="157"/>
  <c r="C7" i="157" s="1"/>
  <c r="I6" i="157"/>
  <c r="G6" i="157"/>
  <c r="L6" i="157" s="1"/>
  <c r="A6" i="157"/>
  <c r="C6" i="157" s="1"/>
  <c r="I5" i="157"/>
  <c r="G5" i="157"/>
  <c r="L5" i="157" s="1"/>
  <c r="A5" i="157"/>
  <c r="C5" i="157" s="1"/>
  <c r="I4" i="157"/>
  <c r="G4" i="157"/>
  <c r="L4" i="157" s="1"/>
  <c r="A4" i="157"/>
  <c r="C4" i="157" s="1"/>
  <c r="I3" i="157"/>
  <c r="G3" i="157"/>
  <c r="L3" i="157" s="1"/>
  <c r="A3" i="157"/>
  <c r="C3" i="157" s="1"/>
  <c r="I2" i="157"/>
  <c r="G2" i="157"/>
  <c r="L2" i="157" s="1"/>
  <c r="A2" i="157"/>
  <c r="C2" i="157" s="1"/>
  <c r="G1" i="157"/>
  <c r="L1" i="157" s="1"/>
  <c r="F1" i="157"/>
  <c r="K1" i="157" s="1"/>
  <c r="D1" i="157"/>
  <c r="A1" i="157"/>
  <c r="F3" i="32"/>
  <c r="K3" i="32" s="1"/>
  <c r="F4" i="32"/>
  <c r="K4" i="32" s="1"/>
  <c r="F5" i="32"/>
  <c r="K5" i="32" s="1"/>
  <c r="F6" i="32"/>
  <c r="K6" i="32" s="1"/>
  <c r="F7" i="32"/>
  <c r="K7" i="32" s="1"/>
  <c r="F8" i="32"/>
  <c r="K8" i="32" s="1"/>
  <c r="F9" i="32"/>
  <c r="K9" i="32" s="1"/>
  <c r="F10" i="32"/>
  <c r="K10" i="32" s="1"/>
  <c r="F11" i="32"/>
  <c r="K11" i="32" s="1"/>
  <c r="F12" i="32"/>
  <c r="K12" i="32" s="1"/>
  <c r="F13" i="32"/>
  <c r="K13" i="32" s="1"/>
  <c r="F14" i="32"/>
  <c r="K14" i="32" s="1"/>
  <c r="F15" i="32"/>
  <c r="K15" i="32" s="1"/>
  <c r="F16" i="32"/>
  <c r="K16" i="32" s="1"/>
  <c r="F17" i="32"/>
  <c r="K17" i="32" s="1"/>
  <c r="F18" i="32"/>
  <c r="K18" i="32" s="1"/>
  <c r="F19" i="32"/>
  <c r="K19" i="32" s="1"/>
  <c r="F20" i="32"/>
  <c r="K20" i="32" s="1"/>
  <c r="F21" i="32"/>
  <c r="K21" i="32" s="1"/>
  <c r="F22" i="32"/>
  <c r="K22" i="32" s="1"/>
  <c r="F23" i="32"/>
  <c r="K23" i="32" s="1"/>
  <c r="F24" i="32"/>
  <c r="K24" i="32" s="1"/>
  <c r="F25" i="32"/>
  <c r="K25" i="32" s="1"/>
  <c r="F26" i="32"/>
  <c r="K26" i="32" s="1"/>
  <c r="F27" i="32"/>
  <c r="K27" i="32" s="1"/>
  <c r="F28" i="32"/>
  <c r="K28" i="32" s="1"/>
  <c r="F29" i="32"/>
  <c r="K29" i="32" s="1"/>
  <c r="F30" i="32"/>
  <c r="K30" i="32" s="1"/>
  <c r="F31" i="32"/>
  <c r="K31" i="32" s="1"/>
  <c r="F32" i="32"/>
  <c r="K32" i="32" s="1"/>
  <c r="F33" i="32"/>
  <c r="K33" i="32" s="1"/>
  <c r="F34" i="32"/>
  <c r="K34" i="32" s="1"/>
  <c r="F35" i="32"/>
  <c r="K35" i="32" s="1"/>
  <c r="F36" i="32"/>
  <c r="K36" i="32" s="1"/>
  <c r="F37" i="32"/>
  <c r="K37" i="32" s="1"/>
  <c r="F38" i="32"/>
  <c r="K38" i="32" s="1"/>
  <c r="F39" i="32"/>
  <c r="K39" i="32" s="1"/>
  <c r="F40" i="32"/>
  <c r="K40" i="32" s="1"/>
  <c r="F41" i="32"/>
  <c r="K41" i="32" s="1"/>
  <c r="F42" i="32"/>
  <c r="K42" i="32" s="1"/>
  <c r="F43" i="32"/>
  <c r="K43" i="32" s="1"/>
  <c r="F44" i="32"/>
  <c r="K44" i="32" s="1"/>
  <c r="F45" i="32"/>
  <c r="K45" i="32" s="1"/>
  <c r="F46" i="32"/>
  <c r="K46" i="32" s="1"/>
  <c r="F47" i="32"/>
  <c r="K47" i="32" s="1"/>
  <c r="F48" i="32"/>
  <c r="K48" i="32" s="1"/>
  <c r="F49" i="32"/>
  <c r="K49" i="32" s="1"/>
  <c r="F50" i="32"/>
  <c r="K50" i="32" s="1"/>
  <c r="F51" i="32"/>
  <c r="K51" i="32" s="1"/>
  <c r="F52" i="32"/>
  <c r="K52" i="32" s="1"/>
  <c r="F53" i="32"/>
  <c r="K53" i="32" s="1"/>
  <c r="F54" i="32"/>
  <c r="K54" i="32" s="1"/>
  <c r="F55" i="32"/>
  <c r="K55" i="32" s="1"/>
  <c r="F56" i="32"/>
  <c r="K56" i="32" s="1"/>
  <c r="F57" i="32"/>
  <c r="K57" i="32" s="1"/>
  <c r="F58" i="32"/>
  <c r="K58" i="32" s="1"/>
  <c r="F59" i="32"/>
  <c r="K59" i="32" s="1"/>
  <c r="F60" i="32"/>
  <c r="K60" i="32" s="1"/>
  <c r="F61" i="32"/>
  <c r="K61" i="32" s="1"/>
  <c r="F62" i="32"/>
  <c r="K62" i="32" s="1"/>
  <c r="F63" i="32"/>
  <c r="K63" i="32" s="1"/>
  <c r="F64" i="32"/>
  <c r="K64" i="32" s="1"/>
  <c r="F65" i="32"/>
  <c r="K65" i="32" s="1"/>
  <c r="F66" i="32"/>
  <c r="K66" i="32" s="1"/>
  <c r="F67" i="32"/>
  <c r="K67" i="32" s="1"/>
  <c r="F68" i="32"/>
  <c r="K68" i="32" s="1"/>
  <c r="F69" i="32"/>
  <c r="K69" i="32" s="1"/>
  <c r="F70" i="32"/>
  <c r="K70" i="32" s="1"/>
  <c r="F71" i="32"/>
  <c r="K71" i="32" s="1"/>
  <c r="F72" i="32"/>
  <c r="K72" i="32" s="1"/>
  <c r="F73" i="32"/>
  <c r="K73" i="32" s="1"/>
  <c r="F74" i="32"/>
  <c r="K74" i="32" s="1"/>
  <c r="F75" i="32"/>
  <c r="K75" i="32" s="1"/>
  <c r="F76" i="32"/>
  <c r="K76" i="32" s="1"/>
  <c r="F77" i="32"/>
  <c r="K77" i="32" s="1"/>
  <c r="F78" i="32"/>
  <c r="K78" i="32" s="1"/>
  <c r="F79" i="32"/>
  <c r="K79" i="32" s="1"/>
  <c r="F80" i="32"/>
  <c r="K80" i="32" s="1"/>
  <c r="F81" i="32"/>
  <c r="K81" i="32" s="1"/>
  <c r="F82" i="32"/>
  <c r="K82" i="32" s="1"/>
  <c r="F83" i="32"/>
  <c r="K83" i="32" s="1"/>
  <c r="F84" i="32"/>
  <c r="K84" i="32" s="1"/>
  <c r="F85" i="32"/>
  <c r="K85" i="32" s="1"/>
  <c r="F86" i="32"/>
  <c r="K86" i="32" s="1"/>
  <c r="F87" i="32"/>
  <c r="K87" i="32" s="1"/>
  <c r="F88" i="32"/>
  <c r="K88" i="32" s="1"/>
  <c r="F89" i="32"/>
  <c r="K89" i="32" s="1"/>
  <c r="F90" i="32"/>
  <c r="K90" i="32" s="1"/>
  <c r="F91" i="32"/>
  <c r="K91" i="32" s="1"/>
  <c r="F92" i="32"/>
  <c r="K92" i="32" s="1"/>
  <c r="F93" i="32"/>
  <c r="K93" i="32" s="1"/>
  <c r="F94" i="32"/>
  <c r="K94" i="32" s="1"/>
  <c r="F95" i="32"/>
  <c r="K95" i="32" s="1"/>
  <c r="F96" i="32"/>
  <c r="K96" i="32" s="1"/>
  <c r="F97" i="32"/>
  <c r="K97" i="32" s="1"/>
  <c r="F2" i="32"/>
  <c r="K2" i="32" s="1"/>
  <c r="F1" i="32"/>
  <c r="K1" i="32" s="1"/>
  <c r="M3" i="77"/>
  <c r="M4" i="77"/>
  <c r="M5" i="77"/>
  <c r="M6" i="77"/>
  <c r="M7" i="77"/>
  <c r="M8" i="77"/>
  <c r="M9" i="77"/>
  <c r="M10" i="77"/>
  <c r="M11" i="77"/>
  <c r="M12" i="77"/>
  <c r="M13" i="77"/>
  <c r="M14" i="77"/>
  <c r="M15" i="77"/>
  <c r="M16" i="77"/>
  <c r="M17" i="77"/>
  <c r="M18" i="77"/>
  <c r="M19" i="77"/>
  <c r="M20" i="77"/>
  <c r="M21" i="77"/>
  <c r="M22" i="77"/>
  <c r="M23" i="77"/>
  <c r="M24" i="77"/>
  <c r="M25" i="77"/>
  <c r="M26" i="77"/>
  <c r="M27" i="77"/>
  <c r="M28" i="77"/>
  <c r="M29" i="77"/>
  <c r="M30" i="77"/>
  <c r="M31" i="77"/>
  <c r="M32" i="77"/>
  <c r="M33" i="77"/>
  <c r="M34" i="77"/>
  <c r="M35" i="77"/>
  <c r="M36" i="77"/>
  <c r="M37" i="77"/>
  <c r="M38" i="77"/>
  <c r="M39" i="77"/>
  <c r="M40" i="77"/>
  <c r="M41" i="77"/>
  <c r="M42" i="77"/>
  <c r="M43" i="77"/>
  <c r="M44" i="77"/>
  <c r="M45" i="77"/>
  <c r="M46" i="77"/>
  <c r="M47" i="77"/>
  <c r="M48" i="77"/>
  <c r="M49" i="77"/>
  <c r="M50" i="77"/>
  <c r="M51" i="77"/>
  <c r="M52" i="77"/>
  <c r="M53" i="77"/>
  <c r="M54" i="77"/>
  <c r="M55" i="77"/>
  <c r="M56" i="77"/>
  <c r="M57" i="77"/>
  <c r="M58" i="77"/>
  <c r="M59" i="77"/>
  <c r="M60" i="77"/>
  <c r="M61" i="77"/>
  <c r="M2" i="77"/>
  <c r="M1" i="77"/>
  <c r="G1" i="77"/>
  <c r="E1" i="77"/>
  <c r="K3" i="36"/>
  <c r="K4" i="36"/>
  <c r="K5" i="36"/>
  <c r="K6" i="36"/>
  <c r="K7" i="36"/>
  <c r="K8" i="36"/>
  <c r="K9" i="36"/>
  <c r="K10" i="36"/>
  <c r="K11" i="36"/>
  <c r="K12" i="36"/>
  <c r="K13" i="36"/>
  <c r="K14" i="36"/>
  <c r="K15" i="36"/>
  <c r="K16" i="36"/>
  <c r="K17" i="36"/>
  <c r="K18" i="36"/>
  <c r="K19" i="36"/>
  <c r="K20" i="36"/>
  <c r="K21" i="36"/>
  <c r="K22" i="36"/>
  <c r="K23" i="36"/>
  <c r="K24" i="36"/>
  <c r="K25" i="36"/>
  <c r="K26" i="36"/>
  <c r="K27" i="36"/>
  <c r="K28" i="36"/>
  <c r="K29" i="36"/>
  <c r="K30" i="36"/>
  <c r="K31" i="36"/>
  <c r="K32" i="36"/>
  <c r="K33" i="36"/>
  <c r="K34" i="36"/>
  <c r="K35" i="36"/>
  <c r="K36" i="36"/>
  <c r="K37" i="36"/>
  <c r="K38" i="36"/>
  <c r="K39" i="36"/>
  <c r="K40" i="36"/>
  <c r="K41" i="36"/>
  <c r="K42" i="36"/>
  <c r="K43" i="36"/>
  <c r="K44" i="36"/>
  <c r="K45" i="36"/>
  <c r="K46" i="36"/>
  <c r="K47" i="36"/>
  <c r="K48" i="36"/>
  <c r="K49" i="36"/>
  <c r="K50" i="36"/>
  <c r="K51" i="36"/>
  <c r="K52" i="36"/>
  <c r="K53" i="36"/>
  <c r="K54" i="36"/>
  <c r="K55" i="36"/>
  <c r="K56" i="36"/>
  <c r="K57" i="36"/>
  <c r="K58" i="36"/>
  <c r="K59" i="36"/>
  <c r="K60" i="36"/>
  <c r="K61" i="36"/>
  <c r="K2" i="36"/>
  <c r="K1" i="36"/>
  <c r="T1" i="36" s="1"/>
  <c r="E1" i="150"/>
  <c r="K3" i="150"/>
  <c r="T3" i="150" s="1"/>
  <c r="K4" i="150"/>
  <c r="T4" i="150" s="1"/>
  <c r="K5" i="150"/>
  <c r="T5" i="150" s="1"/>
  <c r="K6" i="150"/>
  <c r="T6" i="150" s="1"/>
  <c r="K7" i="150"/>
  <c r="T7" i="150" s="1"/>
  <c r="K8" i="150"/>
  <c r="T8" i="150" s="1"/>
  <c r="K9" i="150"/>
  <c r="T9" i="150" s="1"/>
  <c r="K10" i="150"/>
  <c r="T10" i="150" s="1"/>
  <c r="K11" i="150"/>
  <c r="T11" i="150" s="1"/>
  <c r="K12" i="150"/>
  <c r="T12" i="150" s="1"/>
  <c r="K13" i="150"/>
  <c r="T13" i="150" s="1"/>
  <c r="K14" i="150"/>
  <c r="T14" i="150" s="1"/>
  <c r="K15" i="150"/>
  <c r="T15" i="150" s="1"/>
  <c r="K16" i="150"/>
  <c r="T16" i="150" s="1"/>
  <c r="K17" i="150"/>
  <c r="T17" i="150" s="1"/>
  <c r="K18" i="150"/>
  <c r="T18" i="150" s="1"/>
  <c r="K19" i="150"/>
  <c r="T19" i="150" s="1"/>
  <c r="K20" i="150"/>
  <c r="T20" i="150" s="1"/>
  <c r="K21" i="150"/>
  <c r="T21" i="150" s="1"/>
  <c r="K22" i="150"/>
  <c r="T22" i="150" s="1"/>
  <c r="K23" i="150"/>
  <c r="T23" i="150" s="1"/>
  <c r="K24" i="150"/>
  <c r="T24" i="150" s="1"/>
  <c r="K25" i="150"/>
  <c r="T25" i="150" s="1"/>
  <c r="K26" i="150"/>
  <c r="T26" i="150" s="1"/>
  <c r="K27" i="150"/>
  <c r="T27" i="150" s="1"/>
  <c r="K28" i="150"/>
  <c r="T28" i="150" s="1"/>
  <c r="K29" i="150"/>
  <c r="T29" i="150" s="1"/>
  <c r="K30" i="150"/>
  <c r="T30" i="150" s="1"/>
  <c r="K31" i="150"/>
  <c r="T31" i="150" s="1"/>
  <c r="K32" i="150"/>
  <c r="T32" i="150" s="1"/>
  <c r="K33" i="150"/>
  <c r="T33" i="150" s="1"/>
  <c r="K34" i="150"/>
  <c r="T34" i="150" s="1"/>
  <c r="K35" i="150"/>
  <c r="T35" i="150" s="1"/>
  <c r="K36" i="150"/>
  <c r="T36" i="150" s="1"/>
  <c r="K37" i="150"/>
  <c r="T37" i="150" s="1"/>
  <c r="K38" i="150"/>
  <c r="T38" i="150" s="1"/>
  <c r="K39" i="150"/>
  <c r="T39" i="150" s="1"/>
  <c r="K40" i="150"/>
  <c r="T40" i="150" s="1"/>
  <c r="K41" i="150"/>
  <c r="T41" i="150" s="1"/>
  <c r="K42" i="150"/>
  <c r="T42" i="150" s="1"/>
  <c r="K43" i="150"/>
  <c r="T43" i="150" s="1"/>
  <c r="K44" i="150"/>
  <c r="T44" i="150" s="1"/>
  <c r="K45" i="150"/>
  <c r="T45" i="150" s="1"/>
  <c r="K46" i="150"/>
  <c r="T46" i="150" s="1"/>
  <c r="K47" i="150"/>
  <c r="T47" i="150" s="1"/>
  <c r="K48" i="150"/>
  <c r="T48" i="150" s="1"/>
  <c r="K49" i="150"/>
  <c r="T49" i="150" s="1"/>
  <c r="K50" i="150"/>
  <c r="T50" i="150" s="1"/>
  <c r="K51" i="150"/>
  <c r="T51" i="150" s="1"/>
  <c r="K52" i="150"/>
  <c r="T52" i="150" s="1"/>
  <c r="K53" i="150"/>
  <c r="T53" i="150" s="1"/>
  <c r="K54" i="150"/>
  <c r="T54" i="150" s="1"/>
  <c r="K55" i="150"/>
  <c r="T55" i="150" s="1"/>
  <c r="K56" i="150"/>
  <c r="T56" i="150" s="1"/>
  <c r="K57" i="150"/>
  <c r="T57" i="150" s="1"/>
  <c r="K58" i="150"/>
  <c r="T58" i="150" s="1"/>
  <c r="K59" i="150"/>
  <c r="T59" i="150" s="1"/>
  <c r="K60" i="150"/>
  <c r="T60" i="150" s="1"/>
  <c r="K61" i="150"/>
  <c r="T61" i="150" s="1"/>
  <c r="K2" i="150"/>
  <c r="T2" i="150" s="1"/>
  <c r="K1" i="150"/>
  <c r="T1" i="150" s="1"/>
  <c r="I110" i="76"/>
  <c r="L3" i="76"/>
  <c r="L4" i="76"/>
  <c r="L5" i="76"/>
  <c r="L6" i="76"/>
  <c r="L7" i="76"/>
  <c r="L8" i="76"/>
  <c r="L9" i="76"/>
  <c r="L10" i="76"/>
  <c r="L11" i="76"/>
  <c r="L12" i="76"/>
  <c r="L13" i="76"/>
  <c r="L14" i="76"/>
  <c r="L15" i="76"/>
  <c r="L16" i="76"/>
  <c r="L17" i="76"/>
  <c r="L18" i="76"/>
  <c r="L19" i="76"/>
  <c r="L20" i="76"/>
  <c r="L21" i="76"/>
  <c r="L22" i="76"/>
  <c r="L23" i="76"/>
  <c r="L24" i="76"/>
  <c r="L25" i="76"/>
  <c r="L26" i="76"/>
  <c r="L27" i="76"/>
  <c r="L28" i="76"/>
  <c r="L29" i="76"/>
  <c r="L30" i="76"/>
  <c r="L31" i="76"/>
  <c r="L32" i="76"/>
  <c r="L33" i="76"/>
  <c r="L34" i="76"/>
  <c r="L35" i="76"/>
  <c r="L36" i="76"/>
  <c r="L37" i="76"/>
  <c r="L38" i="76"/>
  <c r="L39" i="76"/>
  <c r="L40" i="76"/>
  <c r="L41" i="76"/>
  <c r="L42" i="76"/>
  <c r="L43" i="76"/>
  <c r="L44" i="76"/>
  <c r="L45" i="76"/>
  <c r="L46" i="76"/>
  <c r="L47" i="76"/>
  <c r="L48" i="76"/>
  <c r="L49" i="76"/>
  <c r="L50" i="76"/>
  <c r="L51" i="76"/>
  <c r="L52" i="76"/>
  <c r="L53" i="76"/>
  <c r="L54" i="76"/>
  <c r="L55" i="76"/>
  <c r="L56" i="76"/>
  <c r="L57" i="76"/>
  <c r="L58" i="76"/>
  <c r="L59" i="76"/>
  <c r="L60" i="76"/>
  <c r="L61" i="76"/>
  <c r="L2" i="76"/>
  <c r="L1" i="76"/>
  <c r="T1" i="76" s="1"/>
  <c r="G1" i="76"/>
  <c r="E1" i="76"/>
  <c r="E1" i="36"/>
  <c r="J3" i="34"/>
  <c r="R3" i="34" s="1"/>
  <c r="J4" i="34"/>
  <c r="R4" i="34" s="1"/>
  <c r="J5" i="34"/>
  <c r="R5" i="34" s="1"/>
  <c r="J6" i="34"/>
  <c r="R6" i="34" s="1"/>
  <c r="J7" i="34"/>
  <c r="R7" i="34" s="1"/>
  <c r="J8" i="34"/>
  <c r="R8" i="34" s="1"/>
  <c r="J9" i="34"/>
  <c r="R9" i="34" s="1"/>
  <c r="J10" i="34"/>
  <c r="R10" i="34" s="1"/>
  <c r="J11" i="34"/>
  <c r="R11" i="34" s="1"/>
  <c r="J12" i="34"/>
  <c r="R12" i="34" s="1"/>
  <c r="J13" i="34"/>
  <c r="R13" i="34" s="1"/>
  <c r="J14" i="34"/>
  <c r="R14" i="34" s="1"/>
  <c r="J15" i="34"/>
  <c r="R15" i="34" s="1"/>
  <c r="J16" i="34"/>
  <c r="R16" i="34" s="1"/>
  <c r="J17" i="34"/>
  <c r="R17" i="34" s="1"/>
  <c r="J18" i="34"/>
  <c r="R18" i="34" s="1"/>
  <c r="J19" i="34"/>
  <c r="R19" i="34" s="1"/>
  <c r="J20" i="34"/>
  <c r="R20" i="34" s="1"/>
  <c r="J21" i="34"/>
  <c r="R21" i="34" s="1"/>
  <c r="J22" i="34"/>
  <c r="R22" i="34" s="1"/>
  <c r="J23" i="34"/>
  <c r="R23" i="34" s="1"/>
  <c r="J24" i="34"/>
  <c r="R24" i="34" s="1"/>
  <c r="J25" i="34"/>
  <c r="R25" i="34" s="1"/>
  <c r="J26" i="34"/>
  <c r="R26" i="34" s="1"/>
  <c r="J27" i="34"/>
  <c r="R27" i="34" s="1"/>
  <c r="J28" i="34"/>
  <c r="R28" i="34" s="1"/>
  <c r="J29" i="34"/>
  <c r="R29" i="34" s="1"/>
  <c r="J30" i="34"/>
  <c r="R30" i="34" s="1"/>
  <c r="J31" i="34"/>
  <c r="R31" i="34" s="1"/>
  <c r="J32" i="34"/>
  <c r="R32" i="34" s="1"/>
  <c r="J33" i="34"/>
  <c r="R33" i="34" s="1"/>
  <c r="J34" i="34"/>
  <c r="R34" i="34" s="1"/>
  <c r="J35" i="34"/>
  <c r="R35" i="34" s="1"/>
  <c r="J36" i="34"/>
  <c r="R36" i="34" s="1"/>
  <c r="J37" i="34"/>
  <c r="R37" i="34" s="1"/>
  <c r="J38" i="34"/>
  <c r="R38" i="34" s="1"/>
  <c r="J39" i="34"/>
  <c r="R39" i="34" s="1"/>
  <c r="J40" i="34"/>
  <c r="R40" i="34" s="1"/>
  <c r="J41" i="34"/>
  <c r="R41" i="34" s="1"/>
  <c r="J42" i="34"/>
  <c r="R42" i="34" s="1"/>
  <c r="J43" i="34"/>
  <c r="R43" i="34" s="1"/>
  <c r="J44" i="34"/>
  <c r="R44" i="34" s="1"/>
  <c r="J45" i="34"/>
  <c r="R45" i="34" s="1"/>
  <c r="J46" i="34"/>
  <c r="R46" i="34" s="1"/>
  <c r="J47" i="34"/>
  <c r="R47" i="34" s="1"/>
  <c r="J48" i="34"/>
  <c r="R48" i="34" s="1"/>
  <c r="J49" i="34"/>
  <c r="R49" i="34" s="1"/>
  <c r="J50" i="34"/>
  <c r="J51" i="34"/>
  <c r="J52" i="34"/>
  <c r="J53" i="34"/>
  <c r="J54" i="34"/>
  <c r="J55" i="34"/>
  <c r="R55" i="34" s="1"/>
  <c r="J56" i="34"/>
  <c r="J57" i="34"/>
  <c r="R57" i="34" s="1"/>
  <c r="J58" i="34"/>
  <c r="J59" i="34"/>
  <c r="J60" i="34"/>
  <c r="J61" i="34"/>
  <c r="J2" i="34"/>
  <c r="R2" i="34" s="1"/>
  <c r="J1" i="34"/>
  <c r="R1" i="34" s="1"/>
  <c r="I1" i="34"/>
  <c r="H1" i="34"/>
  <c r="G1" i="34"/>
  <c r="F1" i="34"/>
  <c r="E1" i="34"/>
  <c r="J3" i="30"/>
  <c r="R3" i="30" s="1"/>
  <c r="J4" i="30"/>
  <c r="R4" i="30" s="1"/>
  <c r="J5" i="30"/>
  <c r="R5" i="30" s="1"/>
  <c r="J6" i="30"/>
  <c r="R6" i="30" s="1"/>
  <c r="J7" i="30"/>
  <c r="R7" i="30" s="1"/>
  <c r="J8" i="30"/>
  <c r="R8" i="30" s="1"/>
  <c r="J9" i="30"/>
  <c r="R9" i="30" s="1"/>
  <c r="J10" i="30"/>
  <c r="R10" i="30" s="1"/>
  <c r="J11" i="30"/>
  <c r="R11" i="30" s="1"/>
  <c r="J12" i="30"/>
  <c r="R12" i="30" s="1"/>
  <c r="J13" i="30"/>
  <c r="R13" i="30" s="1"/>
  <c r="J14" i="30"/>
  <c r="R14" i="30" s="1"/>
  <c r="J15" i="30"/>
  <c r="R15" i="30" s="1"/>
  <c r="J16" i="30"/>
  <c r="R16" i="30" s="1"/>
  <c r="J17" i="30"/>
  <c r="R17" i="30" s="1"/>
  <c r="J18" i="30"/>
  <c r="R18" i="30" s="1"/>
  <c r="J19" i="30"/>
  <c r="R19" i="30" s="1"/>
  <c r="J20" i="30"/>
  <c r="R20" i="30" s="1"/>
  <c r="J21" i="30"/>
  <c r="R21" i="30" s="1"/>
  <c r="J22" i="30"/>
  <c r="R22" i="30" s="1"/>
  <c r="J23" i="30"/>
  <c r="R23" i="30" s="1"/>
  <c r="J24" i="30"/>
  <c r="R24" i="30" s="1"/>
  <c r="J25" i="30"/>
  <c r="R25" i="30" s="1"/>
  <c r="J26" i="30"/>
  <c r="R26" i="30" s="1"/>
  <c r="J27" i="30"/>
  <c r="R27" i="30" s="1"/>
  <c r="J28" i="30"/>
  <c r="R28" i="30" s="1"/>
  <c r="J29" i="30"/>
  <c r="R29" i="30" s="1"/>
  <c r="J30" i="30"/>
  <c r="R30" i="30" s="1"/>
  <c r="J31" i="30"/>
  <c r="R31" i="30" s="1"/>
  <c r="J32" i="30"/>
  <c r="R32" i="30" s="1"/>
  <c r="J33" i="30"/>
  <c r="R33" i="30" s="1"/>
  <c r="J34" i="30"/>
  <c r="R34" i="30" s="1"/>
  <c r="J35" i="30"/>
  <c r="R35" i="30" s="1"/>
  <c r="J36" i="30"/>
  <c r="R36" i="30" s="1"/>
  <c r="J37" i="30"/>
  <c r="R37" i="30" s="1"/>
  <c r="J38" i="30"/>
  <c r="R38" i="30" s="1"/>
  <c r="J39" i="30"/>
  <c r="R39" i="30" s="1"/>
  <c r="J40" i="30"/>
  <c r="R40" i="30" s="1"/>
  <c r="J41" i="30"/>
  <c r="R41" i="30" s="1"/>
  <c r="J42" i="30"/>
  <c r="R42" i="30" s="1"/>
  <c r="J43" i="30"/>
  <c r="R43" i="30" s="1"/>
  <c r="J44" i="30"/>
  <c r="R44" i="30" s="1"/>
  <c r="J45" i="30"/>
  <c r="R45" i="30" s="1"/>
  <c r="J46" i="30"/>
  <c r="R46" i="30" s="1"/>
  <c r="J47" i="30"/>
  <c r="R47" i="30" s="1"/>
  <c r="J48" i="30"/>
  <c r="R48" i="30" s="1"/>
  <c r="J49" i="30"/>
  <c r="R49" i="30" s="1"/>
  <c r="J50" i="30"/>
  <c r="R50" i="30" s="1"/>
  <c r="J51" i="30"/>
  <c r="R51" i="30" s="1"/>
  <c r="J52" i="30"/>
  <c r="R52" i="30" s="1"/>
  <c r="J53" i="30"/>
  <c r="R53" i="30" s="1"/>
  <c r="J54" i="30"/>
  <c r="R54" i="30" s="1"/>
  <c r="J55" i="30"/>
  <c r="R55" i="30" s="1"/>
  <c r="J56" i="30"/>
  <c r="R56" i="30" s="1"/>
  <c r="J57" i="30"/>
  <c r="R57" i="30" s="1"/>
  <c r="J58" i="30"/>
  <c r="R58" i="30" s="1"/>
  <c r="J59" i="30"/>
  <c r="R59" i="30" s="1"/>
  <c r="J60" i="30"/>
  <c r="R60" i="30" s="1"/>
  <c r="J61" i="30"/>
  <c r="R61" i="30" s="1"/>
  <c r="J2" i="30"/>
  <c r="R2" i="30" s="1"/>
  <c r="J1" i="30"/>
  <c r="R1" i="30" s="1"/>
  <c r="E1" i="30"/>
  <c r="Z74" i="30"/>
  <c r="J4" i="150"/>
  <c r="S4" i="150" s="1"/>
  <c r="J5" i="150"/>
  <c r="S5" i="150" s="1"/>
  <c r="J6" i="150"/>
  <c r="S6" i="150" s="1"/>
  <c r="J7" i="150"/>
  <c r="S7" i="150" s="1"/>
  <c r="J8" i="150"/>
  <c r="S8" i="150" s="1"/>
  <c r="J9" i="150"/>
  <c r="S9" i="150" s="1"/>
  <c r="J10" i="150"/>
  <c r="S10" i="150" s="1"/>
  <c r="J11" i="150"/>
  <c r="S11" i="150" s="1"/>
  <c r="J12" i="150"/>
  <c r="S12" i="150" s="1"/>
  <c r="J13" i="150"/>
  <c r="S13" i="150" s="1"/>
  <c r="J14" i="150"/>
  <c r="S14" i="150" s="1"/>
  <c r="J15" i="150"/>
  <c r="S15" i="150" s="1"/>
  <c r="J16" i="150"/>
  <c r="S16" i="150" s="1"/>
  <c r="J17" i="150"/>
  <c r="S17" i="150" s="1"/>
  <c r="J18" i="150"/>
  <c r="S18" i="150" s="1"/>
  <c r="J19" i="150"/>
  <c r="S19" i="150" s="1"/>
  <c r="J20" i="150"/>
  <c r="S20" i="150" s="1"/>
  <c r="J21" i="150"/>
  <c r="S21" i="150" s="1"/>
  <c r="J22" i="150"/>
  <c r="S22" i="150" s="1"/>
  <c r="J23" i="150"/>
  <c r="S23" i="150" s="1"/>
  <c r="J24" i="150"/>
  <c r="S24" i="150" s="1"/>
  <c r="J25" i="150"/>
  <c r="S25" i="150" s="1"/>
  <c r="J26" i="150"/>
  <c r="S26" i="150" s="1"/>
  <c r="J27" i="150"/>
  <c r="S27" i="150" s="1"/>
  <c r="J28" i="150"/>
  <c r="S28" i="150" s="1"/>
  <c r="J29" i="150"/>
  <c r="S29" i="150" s="1"/>
  <c r="J30" i="150"/>
  <c r="S30" i="150" s="1"/>
  <c r="J31" i="150"/>
  <c r="S31" i="150" s="1"/>
  <c r="J32" i="150"/>
  <c r="S32" i="150" s="1"/>
  <c r="J33" i="150"/>
  <c r="S33" i="150" s="1"/>
  <c r="J34" i="150"/>
  <c r="S34" i="150" s="1"/>
  <c r="J35" i="150"/>
  <c r="S35" i="150" s="1"/>
  <c r="J36" i="150"/>
  <c r="S36" i="150" s="1"/>
  <c r="J37" i="150"/>
  <c r="S37" i="150" s="1"/>
  <c r="J38" i="150"/>
  <c r="S38" i="150" s="1"/>
  <c r="J39" i="150"/>
  <c r="S39" i="150" s="1"/>
  <c r="J40" i="150"/>
  <c r="S40" i="150" s="1"/>
  <c r="J41" i="150"/>
  <c r="S41" i="150" s="1"/>
  <c r="J42" i="150"/>
  <c r="S42" i="150" s="1"/>
  <c r="J43" i="150"/>
  <c r="S43" i="150" s="1"/>
  <c r="J44" i="150"/>
  <c r="S44" i="150" s="1"/>
  <c r="J45" i="150"/>
  <c r="S45" i="150" s="1"/>
  <c r="J46" i="150"/>
  <c r="S46" i="150" s="1"/>
  <c r="J47" i="150"/>
  <c r="S47" i="150" s="1"/>
  <c r="J48" i="150"/>
  <c r="S48" i="150" s="1"/>
  <c r="J49" i="150"/>
  <c r="S49" i="150" s="1"/>
  <c r="J2" i="150"/>
  <c r="S2" i="150" s="1"/>
  <c r="J3" i="150"/>
  <c r="S3" i="150" s="1"/>
  <c r="J1" i="150"/>
  <c r="S1" i="150" s="1"/>
  <c r="H1" i="150"/>
  <c r="K3" i="75"/>
  <c r="L3" i="75"/>
  <c r="K4" i="75"/>
  <c r="L4" i="75"/>
  <c r="K5" i="75"/>
  <c r="L5" i="75"/>
  <c r="K6" i="75"/>
  <c r="L6" i="75"/>
  <c r="K7" i="75"/>
  <c r="L7" i="75"/>
  <c r="K8" i="75"/>
  <c r="L8" i="75"/>
  <c r="K9" i="75"/>
  <c r="L9" i="75"/>
  <c r="K10" i="75"/>
  <c r="L10" i="75"/>
  <c r="K11" i="75"/>
  <c r="L11" i="75"/>
  <c r="K12" i="75"/>
  <c r="L12" i="75"/>
  <c r="K13" i="75"/>
  <c r="L13" i="75"/>
  <c r="K14" i="75"/>
  <c r="K15" i="75"/>
  <c r="K16" i="75"/>
  <c r="K17" i="75"/>
  <c r="K18" i="75"/>
  <c r="K19" i="75"/>
  <c r="K20" i="75"/>
  <c r="K21" i="75"/>
  <c r="K22" i="75"/>
  <c r="K23" i="75"/>
  <c r="K24" i="75"/>
  <c r="K25" i="75"/>
  <c r="K26" i="75"/>
  <c r="K27" i="75"/>
  <c r="K28" i="75"/>
  <c r="K29" i="75"/>
  <c r="K30" i="75"/>
  <c r="K31" i="75"/>
  <c r="K32" i="75"/>
  <c r="K33" i="75"/>
  <c r="K34" i="75"/>
  <c r="K35" i="75"/>
  <c r="K36" i="75"/>
  <c r="K37" i="75"/>
  <c r="K38" i="75"/>
  <c r="K39" i="75"/>
  <c r="K40" i="75"/>
  <c r="K41" i="75"/>
  <c r="K42" i="75"/>
  <c r="K43" i="75"/>
  <c r="K44" i="75"/>
  <c r="K45" i="75"/>
  <c r="K46" i="75"/>
  <c r="K47" i="75"/>
  <c r="K48" i="75"/>
  <c r="K49" i="75"/>
  <c r="L2" i="75"/>
  <c r="L1" i="75"/>
  <c r="E95" i="23"/>
  <c r="D91" i="23" s="1"/>
  <c r="C91" i="23" s="1"/>
  <c r="B91" i="23"/>
  <c r="B92" i="23" s="1"/>
  <c r="B93" i="23" s="1"/>
  <c r="B94" i="23" s="1"/>
  <c r="CJ3" i="67"/>
  <c r="CJ4" i="67"/>
  <c r="CJ5" i="67"/>
  <c r="CJ6" i="67"/>
  <c r="CJ7" i="67"/>
  <c r="CJ8" i="67"/>
  <c r="CJ9" i="67"/>
  <c r="CJ10" i="67"/>
  <c r="CJ11" i="67"/>
  <c r="CJ12" i="67"/>
  <c r="CJ13" i="67"/>
  <c r="CJ2" i="67"/>
  <c r="CI3" i="67"/>
  <c r="CI15" i="67" s="1"/>
  <c r="CI27" i="67" s="1"/>
  <c r="CI39" i="67" s="1"/>
  <c r="CI51" i="67" s="1"/>
  <c r="CI63" i="67" s="1"/>
  <c r="CI75" i="67" s="1"/>
  <c r="CI87" i="67" s="1"/>
  <c r="CI99" i="67" s="1"/>
  <c r="CI4" i="67"/>
  <c r="CI16" i="67" s="1"/>
  <c r="CI28" i="67" s="1"/>
  <c r="CI40" i="67" s="1"/>
  <c r="CI52" i="67" s="1"/>
  <c r="CI64" i="67" s="1"/>
  <c r="CI76" i="67" s="1"/>
  <c r="CI88" i="67" s="1"/>
  <c r="CI100" i="67" s="1"/>
  <c r="CI5" i="67"/>
  <c r="CI17" i="67" s="1"/>
  <c r="CI29" i="67" s="1"/>
  <c r="CI41" i="67" s="1"/>
  <c r="CI53" i="67" s="1"/>
  <c r="CI65" i="67" s="1"/>
  <c r="CI77" i="67" s="1"/>
  <c r="CI89" i="67" s="1"/>
  <c r="CI101" i="67" s="1"/>
  <c r="CI6" i="67"/>
  <c r="CI18" i="67" s="1"/>
  <c r="CI30" i="67" s="1"/>
  <c r="CI42" i="67" s="1"/>
  <c r="CI54" i="67" s="1"/>
  <c r="CI66" i="67" s="1"/>
  <c r="CI78" i="67" s="1"/>
  <c r="CI90" i="67" s="1"/>
  <c r="CI102" i="67" s="1"/>
  <c r="CI7" i="67"/>
  <c r="CI19" i="67" s="1"/>
  <c r="CI31" i="67" s="1"/>
  <c r="CI43" i="67" s="1"/>
  <c r="CI55" i="67" s="1"/>
  <c r="CI67" i="67" s="1"/>
  <c r="CI79" i="67" s="1"/>
  <c r="CI91" i="67" s="1"/>
  <c r="CI103" i="67" s="1"/>
  <c r="CI8" i="67"/>
  <c r="CI20" i="67" s="1"/>
  <c r="CI32" i="67" s="1"/>
  <c r="CI44" i="67" s="1"/>
  <c r="CI56" i="67" s="1"/>
  <c r="CI68" i="67" s="1"/>
  <c r="CI80" i="67" s="1"/>
  <c r="CI92" i="67" s="1"/>
  <c r="CI104" i="67" s="1"/>
  <c r="CI9" i="67"/>
  <c r="CI21" i="67" s="1"/>
  <c r="CI33" i="67" s="1"/>
  <c r="CI45" i="67" s="1"/>
  <c r="CI57" i="67" s="1"/>
  <c r="CI69" i="67" s="1"/>
  <c r="CI81" i="67" s="1"/>
  <c r="CI93" i="67" s="1"/>
  <c r="CI105" i="67" s="1"/>
  <c r="CI10" i="67"/>
  <c r="CI22" i="67" s="1"/>
  <c r="CI34" i="67" s="1"/>
  <c r="CI46" i="67" s="1"/>
  <c r="CI58" i="67" s="1"/>
  <c r="CI70" i="67" s="1"/>
  <c r="CI82" i="67" s="1"/>
  <c r="CI94" i="67" s="1"/>
  <c r="CI106" i="67" s="1"/>
  <c r="CI11" i="67"/>
  <c r="CI23" i="67" s="1"/>
  <c r="CI35" i="67" s="1"/>
  <c r="CI47" i="67" s="1"/>
  <c r="CI59" i="67" s="1"/>
  <c r="CI71" i="67" s="1"/>
  <c r="CI83" i="67" s="1"/>
  <c r="CI95" i="67" s="1"/>
  <c r="CI107" i="67" s="1"/>
  <c r="CI12" i="67"/>
  <c r="CI24" i="67" s="1"/>
  <c r="CI36" i="67" s="1"/>
  <c r="CI48" i="67" s="1"/>
  <c r="CI60" i="67" s="1"/>
  <c r="CI72" i="67" s="1"/>
  <c r="CI84" i="67" s="1"/>
  <c r="CI96" i="67" s="1"/>
  <c r="CI108" i="67" s="1"/>
  <c r="CI13" i="67"/>
  <c r="CI25" i="67" s="1"/>
  <c r="CI37" i="67" s="1"/>
  <c r="CI49" i="67" s="1"/>
  <c r="CI61" i="67" s="1"/>
  <c r="CI73" i="67" s="1"/>
  <c r="CI85" i="67" s="1"/>
  <c r="CI97" i="67" s="1"/>
  <c r="CI109" i="67" s="1"/>
  <c r="CI2" i="67"/>
  <c r="CI14" i="67" s="1"/>
  <c r="CI26" i="67" s="1"/>
  <c r="CI38" i="67" s="1"/>
  <c r="CI50" i="67" s="1"/>
  <c r="CI62" i="67" s="1"/>
  <c r="CI74" i="67" s="1"/>
  <c r="CI86" i="67" s="1"/>
  <c r="CI98" i="67" s="1"/>
  <c r="CG25" i="67"/>
  <c r="CG37" i="67" s="1"/>
  <c r="CG49" i="67" s="1"/>
  <c r="CG61" i="67" s="1"/>
  <c r="CG73" i="67" s="1"/>
  <c r="CG85" i="67" s="1"/>
  <c r="CG97" i="67" s="1"/>
  <c r="CG109" i="67" s="1"/>
  <c r="CG24" i="67"/>
  <c r="CG36" i="67" s="1"/>
  <c r="CG48" i="67" s="1"/>
  <c r="CG60" i="67" s="1"/>
  <c r="CG72" i="67" s="1"/>
  <c r="CG84" i="67" s="1"/>
  <c r="CG96" i="67" s="1"/>
  <c r="CG108" i="67" s="1"/>
  <c r="CG23" i="67"/>
  <c r="CG35" i="67" s="1"/>
  <c r="CG47" i="67" s="1"/>
  <c r="CG59" i="67" s="1"/>
  <c r="CG71" i="67" s="1"/>
  <c r="CG83" i="67" s="1"/>
  <c r="CG95" i="67" s="1"/>
  <c r="CG107" i="67" s="1"/>
  <c r="CG22" i="67"/>
  <c r="CG34" i="67" s="1"/>
  <c r="CG46" i="67" s="1"/>
  <c r="CG58" i="67" s="1"/>
  <c r="CG70" i="67" s="1"/>
  <c r="CG82" i="67" s="1"/>
  <c r="CG94" i="67" s="1"/>
  <c r="CG106" i="67" s="1"/>
  <c r="CG21" i="67"/>
  <c r="CG33" i="67" s="1"/>
  <c r="CG45" i="67" s="1"/>
  <c r="CG57" i="67" s="1"/>
  <c r="CG69" i="67" s="1"/>
  <c r="CG81" i="67" s="1"/>
  <c r="CG93" i="67" s="1"/>
  <c r="CG105" i="67" s="1"/>
  <c r="CG20" i="67"/>
  <c r="CG32" i="67" s="1"/>
  <c r="CG44" i="67" s="1"/>
  <c r="CG56" i="67" s="1"/>
  <c r="CG68" i="67" s="1"/>
  <c r="CG80" i="67" s="1"/>
  <c r="CG92" i="67" s="1"/>
  <c r="CG104" i="67" s="1"/>
  <c r="CG19" i="67"/>
  <c r="CG31" i="67" s="1"/>
  <c r="CG43" i="67" s="1"/>
  <c r="CG55" i="67" s="1"/>
  <c r="CG67" i="67" s="1"/>
  <c r="CG79" i="67" s="1"/>
  <c r="CG91" i="67" s="1"/>
  <c r="CG103" i="67" s="1"/>
  <c r="CG18" i="67"/>
  <c r="CG30" i="67" s="1"/>
  <c r="CG42" i="67" s="1"/>
  <c r="CG54" i="67" s="1"/>
  <c r="CG66" i="67" s="1"/>
  <c r="CG78" i="67" s="1"/>
  <c r="CG90" i="67" s="1"/>
  <c r="CG102" i="67" s="1"/>
  <c r="CG17" i="67"/>
  <c r="CG29" i="67" s="1"/>
  <c r="CG41" i="67" s="1"/>
  <c r="CG53" i="67" s="1"/>
  <c r="CG65" i="67" s="1"/>
  <c r="CG77" i="67" s="1"/>
  <c r="CG89" i="67" s="1"/>
  <c r="CG101" i="67" s="1"/>
  <c r="CG16" i="67"/>
  <c r="CG28" i="67" s="1"/>
  <c r="CG40" i="67" s="1"/>
  <c r="CG52" i="67" s="1"/>
  <c r="CG64" i="67" s="1"/>
  <c r="CG76" i="67" s="1"/>
  <c r="CG88" i="67" s="1"/>
  <c r="CG100" i="67" s="1"/>
  <c r="CG15" i="67"/>
  <c r="CG27" i="67" s="1"/>
  <c r="CG39" i="67" s="1"/>
  <c r="CG51" i="67" s="1"/>
  <c r="CG63" i="67" s="1"/>
  <c r="CG75" i="67" s="1"/>
  <c r="CG87" i="67" s="1"/>
  <c r="CG99" i="67" s="1"/>
  <c r="CG14" i="67"/>
  <c r="CG26" i="67" s="1"/>
  <c r="CG38" i="67" s="1"/>
  <c r="CG50" i="67" s="1"/>
  <c r="CG62" i="67" s="1"/>
  <c r="CG74" i="67" s="1"/>
  <c r="CG86" i="67" s="1"/>
  <c r="CG98" i="67" s="1"/>
  <c r="CE15" i="67"/>
  <c r="CE27" i="67" s="1"/>
  <c r="CE39" i="67" s="1"/>
  <c r="CE51" i="67" s="1"/>
  <c r="CE63" i="67" s="1"/>
  <c r="CE75" i="67" s="1"/>
  <c r="CE87" i="67" s="1"/>
  <c r="CE99" i="67" s="1"/>
  <c r="CE16" i="67"/>
  <c r="CE28" i="67" s="1"/>
  <c r="CE17" i="67"/>
  <c r="CE29" i="67" s="1"/>
  <c r="CE41" i="67" s="1"/>
  <c r="CE53" i="67" s="1"/>
  <c r="CE65" i="67" s="1"/>
  <c r="CE77" i="67" s="1"/>
  <c r="CE89" i="67" s="1"/>
  <c r="CE101" i="67" s="1"/>
  <c r="CE18" i="67"/>
  <c r="CE30" i="67" s="1"/>
  <c r="CE19" i="67"/>
  <c r="CE31" i="67" s="1"/>
  <c r="CE43" i="67" s="1"/>
  <c r="CE55" i="67" s="1"/>
  <c r="CE67" i="67" s="1"/>
  <c r="CE79" i="67" s="1"/>
  <c r="CE91" i="67" s="1"/>
  <c r="CE103" i="67" s="1"/>
  <c r="CE20" i="67"/>
  <c r="CE32" i="67" s="1"/>
  <c r="CE44" i="67" s="1"/>
  <c r="CE21" i="67"/>
  <c r="CE33" i="67" s="1"/>
  <c r="CE45" i="67" s="1"/>
  <c r="CE57" i="67" s="1"/>
  <c r="CE69" i="67" s="1"/>
  <c r="CE81" i="67" s="1"/>
  <c r="CE93" i="67" s="1"/>
  <c r="CE105" i="67" s="1"/>
  <c r="CE22" i="67"/>
  <c r="CE34" i="67" s="1"/>
  <c r="CE23" i="67"/>
  <c r="CE35" i="67" s="1"/>
  <c r="CE47" i="67" s="1"/>
  <c r="CE59" i="67" s="1"/>
  <c r="CE71" i="67" s="1"/>
  <c r="CE83" i="67" s="1"/>
  <c r="CE95" i="67" s="1"/>
  <c r="CE107" i="67" s="1"/>
  <c r="CE24" i="67"/>
  <c r="CE36" i="67" s="1"/>
  <c r="CE48" i="67" s="1"/>
  <c r="CE60" i="67" s="1"/>
  <c r="CE25" i="67"/>
  <c r="CE37" i="67" s="1"/>
  <c r="CE49" i="67" s="1"/>
  <c r="CE61" i="67" s="1"/>
  <c r="CE73" i="67" s="1"/>
  <c r="CE85" i="67" s="1"/>
  <c r="CE97" i="67" s="1"/>
  <c r="CE109" i="67" s="1"/>
  <c r="CE14" i="67"/>
  <c r="CE26" i="67" s="1"/>
  <c r="CE38" i="67" s="1"/>
  <c r="CE50" i="67" s="1"/>
  <c r="CE62" i="67" s="1"/>
  <c r="CE74" i="67" s="1"/>
  <c r="CE86" i="67" s="1"/>
  <c r="CE98" i="67" s="1"/>
  <c r="CK15" i="67"/>
  <c r="CK16" i="67"/>
  <c r="CK17" i="67"/>
  <c r="CK18" i="67"/>
  <c r="CK19" i="67"/>
  <c r="CK20" i="67"/>
  <c r="CK21" i="67"/>
  <c r="CK22" i="67"/>
  <c r="CK23" i="67"/>
  <c r="CK24" i="67"/>
  <c r="CK25" i="67"/>
  <c r="CK14" i="67"/>
  <c r="G8" i="73"/>
  <c r="G9" i="73" s="1"/>
  <c r="G10" i="73" s="1"/>
  <c r="G11" i="73" s="1"/>
  <c r="G12" i="73" s="1"/>
  <c r="G13" i="73" s="1"/>
  <c r="G14" i="73" s="1"/>
  <c r="AE6" i="156"/>
  <c r="X6" i="156"/>
  <c r="X7" i="156" s="1"/>
  <c r="X8" i="156" s="1"/>
  <c r="X9" i="156" s="1"/>
  <c r="X10" i="156" s="1"/>
  <c r="X11" i="156" s="1"/>
  <c r="X12" i="156" s="1"/>
  <c r="AE18" i="24"/>
  <c r="AE6" i="24"/>
  <c r="X18" i="24"/>
  <c r="X19" i="24" s="1"/>
  <c r="X20" i="24" s="1"/>
  <c r="X6" i="24"/>
  <c r="X7" i="24" s="1"/>
  <c r="X8" i="24" s="1"/>
  <c r="X9" i="24" s="1"/>
  <c r="X10" i="24" s="1"/>
  <c r="X11" i="24" s="1"/>
  <c r="X12" i="24" s="1"/>
  <c r="G109" i="32" l="1"/>
  <c r="L109" i="32" s="1"/>
  <c r="M109" i="32" s="1"/>
  <c r="G109" i="151"/>
  <c r="H109" i="152"/>
  <c r="H121" i="152" s="1"/>
  <c r="H107" i="152"/>
  <c r="H119" i="152" s="1"/>
  <c r="G107" i="151"/>
  <c r="G107" i="32"/>
  <c r="L107" i="32" s="1"/>
  <c r="M107" i="32" s="1"/>
  <c r="J14" i="38"/>
  <c r="J14" i="28"/>
  <c r="J18" i="38"/>
  <c r="J18" i="28"/>
  <c r="J25" i="38"/>
  <c r="J25" i="28"/>
  <c r="CL86" i="67"/>
  <c r="G74" i="151"/>
  <c r="L74" i="151" s="1"/>
  <c r="G74" i="32"/>
  <c r="L74" i="32" s="1"/>
  <c r="H74" i="152"/>
  <c r="J23" i="38"/>
  <c r="J23" i="28"/>
  <c r="J22" i="38"/>
  <c r="J22" i="28"/>
  <c r="L21" i="75"/>
  <c r="J21" i="38"/>
  <c r="J21" i="28"/>
  <c r="J15" i="38"/>
  <c r="J15" i="28"/>
  <c r="CK36" i="67"/>
  <c r="L36" i="154" s="1"/>
  <c r="V36" i="154" s="1"/>
  <c r="J24" i="38"/>
  <c r="J24" i="28"/>
  <c r="J20" i="38"/>
  <c r="J20" i="28"/>
  <c r="CL91" i="67"/>
  <c r="G79" i="151"/>
  <c r="L79" i="151" s="1"/>
  <c r="G79" i="32"/>
  <c r="L79" i="32" s="1"/>
  <c r="H79" i="152"/>
  <c r="J19" i="38"/>
  <c r="J19" i="28"/>
  <c r="J16" i="38"/>
  <c r="J16" i="28"/>
  <c r="CL90" i="67"/>
  <c r="G78" i="32"/>
  <c r="L78" i="32" s="1"/>
  <c r="H78" i="152"/>
  <c r="G78" i="151"/>
  <c r="L78" i="151" s="1"/>
  <c r="J17" i="38"/>
  <c r="J17" i="28"/>
  <c r="CL87" i="67"/>
  <c r="G75" i="151"/>
  <c r="L75" i="151" s="1"/>
  <c r="H75" i="152"/>
  <c r="G75" i="32"/>
  <c r="L75" i="32" s="1"/>
  <c r="CL92" i="67"/>
  <c r="G80" i="151"/>
  <c r="L80" i="151" s="1"/>
  <c r="G80" i="32"/>
  <c r="L80" i="32" s="1"/>
  <c r="H80" i="152"/>
  <c r="AE7" i="24"/>
  <c r="AK6" i="24"/>
  <c r="AE19" i="24"/>
  <c r="AK18" i="24"/>
  <c r="AE7" i="156"/>
  <c r="AK6" i="156"/>
  <c r="CJ22" i="67"/>
  <c r="R56" i="34"/>
  <c r="CJ29" i="67"/>
  <c r="CJ19" i="67"/>
  <c r="CJ33" i="67"/>
  <c r="CJ25" i="67"/>
  <c r="C60" i="157"/>
  <c r="R51" i="34"/>
  <c r="B50" i="157"/>
  <c r="B75" i="157"/>
  <c r="CJ18" i="67"/>
  <c r="R50" i="34"/>
  <c r="C35" i="157"/>
  <c r="CJ41" i="67"/>
  <c r="CJ16" i="67"/>
  <c r="CJ38" i="67"/>
  <c r="CJ37" i="67"/>
  <c r="C11" i="157"/>
  <c r="B31" i="157"/>
  <c r="CJ49" i="67"/>
  <c r="CJ32" i="67"/>
  <c r="B7" i="157"/>
  <c r="CJ31" i="67"/>
  <c r="C17" i="157"/>
  <c r="CJ26" i="67"/>
  <c r="R58" i="34"/>
  <c r="CJ23" i="67"/>
  <c r="C64" i="157"/>
  <c r="CJ21" i="67"/>
  <c r="CJ14" i="67"/>
  <c r="R54" i="34"/>
  <c r="CJ20" i="67"/>
  <c r="R53" i="34"/>
  <c r="B14" i="157"/>
  <c r="B24" i="157"/>
  <c r="CE46" i="67"/>
  <c r="CJ34" i="67"/>
  <c r="CK28" i="67"/>
  <c r="N16" i="155"/>
  <c r="L16" i="154"/>
  <c r="V16" i="154" s="1"/>
  <c r="L16" i="153"/>
  <c r="V16" i="153" s="1"/>
  <c r="CK30" i="67"/>
  <c r="N18" i="155"/>
  <c r="L18" i="154"/>
  <c r="V18" i="154" s="1"/>
  <c r="L18" i="153"/>
  <c r="V18" i="153" s="1"/>
  <c r="L18" i="75"/>
  <c r="R60" i="34"/>
  <c r="CJ15" i="67"/>
  <c r="CJ36" i="67"/>
  <c r="CJ35" i="67"/>
  <c r="CJ17" i="67"/>
  <c r="CK27" i="67"/>
  <c r="N15" i="155"/>
  <c r="L15" i="154"/>
  <c r="V15" i="154" s="1"/>
  <c r="L15" i="153"/>
  <c r="V15" i="153" s="1"/>
  <c r="L15" i="75"/>
  <c r="CK26" i="67"/>
  <c r="L14" i="154"/>
  <c r="V14" i="154" s="1"/>
  <c r="L14" i="153"/>
  <c r="V14" i="153" s="1"/>
  <c r="N14" i="155"/>
  <c r="L14" i="75"/>
  <c r="CE72" i="67"/>
  <c r="L16" i="75"/>
  <c r="R52" i="34"/>
  <c r="CK48" i="67"/>
  <c r="N36" i="155"/>
  <c r="L36" i="153"/>
  <c r="V36" i="153" s="1"/>
  <c r="CK29" i="67"/>
  <c r="N17" i="155"/>
  <c r="L17" i="153"/>
  <c r="V17" i="153" s="1"/>
  <c r="L17" i="154"/>
  <c r="V17" i="154" s="1"/>
  <c r="L17" i="75"/>
  <c r="CK35" i="67"/>
  <c r="N23" i="155"/>
  <c r="L23" i="154"/>
  <c r="V23" i="154" s="1"/>
  <c r="L23" i="153"/>
  <c r="V23" i="153" s="1"/>
  <c r="L23" i="75"/>
  <c r="CE56" i="67"/>
  <c r="CJ44" i="67"/>
  <c r="CJ48" i="67"/>
  <c r="CK33" i="67"/>
  <c r="N21" i="155"/>
  <c r="L21" i="154"/>
  <c r="V21" i="154" s="1"/>
  <c r="L21" i="153"/>
  <c r="V21" i="153" s="1"/>
  <c r="CE42" i="67"/>
  <c r="CJ30" i="67"/>
  <c r="CJ45" i="67"/>
  <c r="N24" i="155"/>
  <c r="L24" i="154"/>
  <c r="V24" i="154" s="1"/>
  <c r="L24" i="153"/>
  <c r="V24" i="153" s="1"/>
  <c r="L24" i="75"/>
  <c r="CK34" i="67"/>
  <c r="N22" i="155"/>
  <c r="L22" i="154"/>
  <c r="V22" i="154" s="1"/>
  <c r="L22" i="153"/>
  <c r="V22" i="153" s="1"/>
  <c r="CJ47" i="67"/>
  <c r="CK32" i="67"/>
  <c r="N20" i="155"/>
  <c r="L20" i="154"/>
  <c r="V20" i="154" s="1"/>
  <c r="L20" i="153"/>
  <c r="V20" i="153" s="1"/>
  <c r="L20" i="75"/>
  <c r="CJ43" i="67"/>
  <c r="CJ39" i="67"/>
  <c r="CK37" i="67"/>
  <c r="N25" i="155"/>
  <c r="L25" i="154"/>
  <c r="V25" i="154" s="1"/>
  <c r="L25" i="153"/>
  <c r="V25" i="153" s="1"/>
  <c r="L25" i="75"/>
  <c r="CJ27" i="67"/>
  <c r="CK31" i="67"/>
  <c r="N19" i="155"/>
  <c r="L19" i="154"/>
  <c r="V19" i="154" s="1"/>
  <c r="L19" i="153"/>
  <c r="V19" i="153" s="1"/>
  <c r="L19" i="75"/>
  <c r="CE40" i="67"/>
  <c r="CJ28" i="67"/>
  <c r="CJ24" i="67"/>
  <c r="L22" i="75"/>
  <c r="R59" i="34"/>
  <c r="R61" i="34"/>
  <c r="C51" i="157"/>
  <c r="B23" i="157"/>
  <c r="B34" i="157"/>
  <c r="C37" i="157"/>
  <c r="B9" i="157"/>
  <c r="C65" i="157"/>
  <c r="B43" i="157"/>
  <c r="B36" i="157"/>
  <c r="C45" i="157"/>
  <c r="B22" i="157"/>
  <c r="B57" i="157"/>
  <c r="C25" i="157"/>
  <c r="B33" i="157"/>
  <c r="B52" i="157"/>
  <c r="C76" i="157"/>
  <c r="B58" i="157"/>
  <c r="B10" i="157"/>
  <c r="C53" i="157"/>
  <c r="C69" i="157"/>
  <c r="B92" i="157"/>
  <c r="B5" i="157"/>
  <c r="B29" i="157"/>
  <c r="B42" i="157"/>
  <c r="B44" i="157"/>
  <c r="B73" i="157"/>
  <c r="B3" i="157"/>
  <c r="B27" i="157"/>
  <c r="B38" i="157"/>
  <c r="B40" i="157"/>
  <c r="B55" i="157"/>
  <c r="B88" i="157"/>
  <c r="B96" i="157"/>
  <c r="B21" i="157"/>
  <c r="B49" i="157"/>
  <c r="B19" i="157"/>
  <c r="B47" i="157"/>
  <c r="B6" i="157"/>
  <c r="B30" i="157"/>
  <c r="B15" i="157"/>
  <c r="B41" i="157"/>
  <c r="C72" i="157"/>
  <c r="B74" i="157"/>
  <c r="B79" i="157"/>
  <c r="B2" i="157"/>
  <c r="B13" i="157"/>
  <c r="B26" i="157"/>
  <c r="B39" i="157"/>
  <c r="B54" i="157"/>
  <c r="B56" i="157"/>
  <c r="B84" i="157"/>
  <c r="C70" i="157"/>
  <c r="B18" i="157"/>
  <c r="B20" i="157"/>
  <c r="B46" i="157"/>
  <c r="B48" i="157"/>
  <c r="B4" i="157"/>
  <c r="B8" i="157"/>
  <c r="B16" i="157"/>
  <c r="B12" i="157"/>
  <c r="B28" i="157"/>
  <c r="B32" i="157"/>
  <c r="C91" i="157"/>
  <c r="B91" i="157"/>
  <c r="B68" i="157"/>
  <c r="C68" i="157"/>
  <c r="B63" i="157"/>
  <c r="C90" i="157"/>
  <c r="B61" i="157"/>
  <c r="C62" i="157"/>
  <c r="B71" i="157"/>
  <c r="B80" i="157"/>
  <c r="C81" i="157"/>
  <c r="B94" i="157"/>
  <c r="C82" i="157"/>
  <c r="C86" i="157"/>
  <c r="B59" i="157"/>
  <c r="B78" i="157"/>
  <c r="B85" i="157"/>
  <c r="B89" i="157"/>
  <c r="B93" i="157"/>
  <c r="B77" i="157"/>
  <c r="B67" i="157"/>
  <c r="B83" i="157"/>
  <c r="B87" i="157"/>
  <c r="B95" i="157"/>
  <c r="B66" i="157"/>
  <c r="Z75" i="30"/>
  <c r="D92" i="23"/>
  <c r="D93" i="23" s="1"/>
  <c r="P15" i="23"/>
  <c r="B54" i="25"/>
  <c r="B66" i="25" s="1"/>
  <c r="B53" i="25"/>
  <c r="B65" i="25" s="1"/>
  <c r="B52" i="25"/>
  <c r="B64" i="25" s="1"/>
  <c r="B51" i="25"/>
  <c r="B63" i="25" s="1"/>
  <c r="B50" i="25"/>
  <c r="B62" i="25" s="1"/>
  <c r="B49" i="25"/>
  <c r="B61" i="25" s="1"/>
  <c r="B48" i="25"/>
  <c r="B60" i="25" s="1"/>
  <c r="B47" i="25"/>
  <c r="B59" i="25" s="1"/>
  <c r="B22" i="25"/>
  <c r="B14" i="73" s="1"/>
  <c r="B21" i="25"/>
  <c r="B20" i="25"/>
  <c r="B19" i="25"/>
  <c r="B18" i="25"/>
  <c r="B17" i="25"/>
  <c r="B16" i="25"/>
  <c r="B8" i="73" s="1"/>
  <c r="B15" i="25"/>
  <c r="B7" i="73" s="1"/>
  <c r="O22" i="73"/>
  <c r="L27" i="73"/>
  <c r="D26" i="73"/>
  <c r="B48" i="74"/>
  <c r="B49" i="74"/>
  <c r="B50" i="74"/>
  <c r="B62" i="74" s="1"/>
  <c r="B51" i="74"/>
  <c r="B63" i="74" s="1"/>
  <c r="B52" i="74"/>
  <c r="B64" i="74" s="1"/>
  <c r="B53" i="74"/>
  <c r="B65" i="74" s="1"/>
  <c r="B54" i="74"/>
  <c r="B66" i="74" s="1"/>
  <c r="B17" i="74"/>
  <c r="B27" i="74" s="1"/>
  <c r="B37" i="74" s="1"/>
  <c r="B18" i="74"/>
  <c r="B28" i="74" s="1"/>
  <c r="B38" i="74" s="1"/>
  <c r="B19" i="74"/>
  <c r="B29" i="74" s="1"/>
  <c r="B39" i="74" s="1"/>
  <c r="B20" i="74"/>
  <c r="B30" i="74" s="1"/>
  <c r="B40" i="74" s="1"/>
  <c r="B21" i="74"/>
  <c r="B31" i="74" s="1"/>
  <c r="B41" i="74" s="1"/>
  <c r="B22" i="74"/>
  <c r="AE26" i="156"/>
  <c r="AE24" i="156"/>
  <c r="X26" i="156"/>
  <c r="X27" i="156" s="1"/>
  <c r="X28" i="156" s="1"/>
  <c r="X24" i="156"/>
  <c r="X23" i="156" s="1"/>
  <c r="X22" i="156" s="1"/>
  <c r="X21" i="156" s="1"/>
  <c r="X20" i="156" s="1"/>
  <c r="X19" i="156" s="1"/>
  <c r="X18" i="156" s="1"/>
  <c r="P26" i="156"/>
  <c r="P27" i="156" s="1"/>
  <c r="P28" i="156" s="1"/>
  <c r="P24" i="156"/>
  <c r="P23" i="156" s="1"/>
  <c r="P22" i="156" s="1"/>
  <c r="P21" i="156" s="1"/>
  <c r="P20" i="156" s="1"/>
  <c r="P19" i="156" s="1"/>
  <c r="P18" i="156" s="1"/>
  <c r="I26" i="156"/>
  <c r="I27" i="156" s="1"/>
  <c r="I28" i="156" s="1"/>
  <c r="I24" i="156"/>
  <c r="I23" i="156" s="1"/>
  <c r="I22" i="156" s="1"/>
  <c r="I21" i="156" s="1"/>
  <c r="I20" i="156" s="1"/>
  <c r="I19" i="156" s="1"/>
  <c r="I18" i="156" s="1"/>
  <c r="B24" i="156"/>
  <c r="B23" i="156" s="1"/>
  <c r="B22" i="156" s="1"/>
  <c r="B21" i="156" s="1"/>
  <c r="B20" i="156" s="1"/>
  <c r="B19" i="156" s="1"/>
  <c r="B18" i="156" s="1"/>
  <c r="B26" i="156"/>
  <c r="B27" i="156" s="1"/>
  <c r="B28" i="156" s="1"/>
  <c r="P6" i="156"/>
  <c r="P7" i="156" s="1"/>
  <c r="I6" i="156"/>
  <c r="I7" i="156" s="1"/>
  <c r="B6" i="156"/>
  <c r="D1" i="155"/>
  <c r="I4" i="155"/>
  <c r="J4" i="155"/>
  <c r="K4" i="155"/>
  <c r="L4" i="155"/>
  <c r="I5" i="155"/>
  <c r="J5" i="155"/>
  <c r="K5" i="155"/>
  <c r="L5" i="155"/>
  <c r="I6" i="155"/>
  <c r="J6" i="155"/>
  <c r="K6" i="155"/>
  <c r="L6" i="155"/>
  <c r="I7" i="155"/>
  <c r="J7" i="155"/>
  <c r="K7" i="155"/>
  <c r="L7" i="155"/>
  <c r="I8" i="155"/>
  <c r="J8" i="155"/>
  <c r="K8" i="155"/>
  <c r="L8" i="155"/>
  <c r="I9" i="155"/>
  <c r="J9" i="155"/>
  <c r="K9" i="155"/>
  <c r="L9" i="155"/>
  <c r="I10" i="155"/>
  <c r="J10" i="155"/>
  <c r="K10" i="155"/>
  <c r="L10" i="155"/>
  <c r="I11" i="155"/>
  <c r="J11" i="155"/>
  <c r="K11" i="155"/>
  <c r="L11" i="155"/>
  <c r="I12" i="155"/>
  <c r="J12" i="155"/>
  <c r="K12" i="155"/>
  <c r="L12" i="155"/>
  <c r="I13" i="155"/>
  <c r="J13" i="155"/>
  <c r="K13" i="155"/>
  <c r="L13" i="155"/>
  <c r="I14" i="155"/>
  <c r="J14" i="155"/>
  <c r="K14" i="155"/>
  <c r="L14" i="155"/>
  <c r="I15" i="155"/>
  <c r="J15" i="155"/>
  <c r="K15" i="155"/>
  <c r="L15" i="155"/>
  <c r="I16" i="155"/>
  <c r="J16" i="155"/>
  <c r="K16" i="155"/>
  <c r="L16" i="155"/>
  <c r="I17" i="155"/>
  <c r="J17" i="155"/>
  <c r="K17" i="155"/>
  <c r="L17" i="155"/>
  <c r="I18" i="155"/>
  <c r="J18" i="155"/>
  <c r="K18" i="155"/>
  <c r="L18" i="155"/>
  <c r="I19" i="155"/>
  <c r="J19" i="155"/>
  <c r="K19" i="155"/>
  <c r="L19" i="155"/>
  <c r="I20" i="155"/>
  <c r="J20" i="155"/>
  <c r="K20" i="155"/>
  <c r="L20" i="155"/>
  <c r="I21" i="155"/>
  <c r="J21" i="155"/>
  <c r="K21" i="155"/>
  <c r="L21" i="155"/>
  <c r="I22" i="155"/>
  <c r="J22" i="155"/>
  <c r="K22" i="155"/>
  <c r="L22" i="155"/>
  <c r="I23" i="155"/>
  <c r="J23" i="155"/>
  <c r="K23" i="155"/>
  <c r="L23" i="155"/>
  <c r="I24" i="155"/>
  <c r="J24" i="155"/>
  <c r="K24" i="155"/>
  <c r="L24" i="155"/>
  <c r="I25" i="155"/>
  <c r="J25" i="155"/>
  <c r="K25" i="155"/>
  <c r="L25" i="155"/>
  <c r="I26" i="155"/>
  <c r="J26" i="155"/>
  <c r="K26" i="155"/>
  <c r="L26" i="155"/>
  <c r="I27" i="155"/>
  <c r="J27" i="155"/>
  <c r="K27" i="155"/>
  <c r="L27" i="155"/>
  <c r="I28" i="155"/>
  <c r="J28" i="155"/>
  <c r="K28" i="155"/>
  <c r="L28" i="155"/>
  <c r="I29" i="155"/>
  <c r="J29" i="155"/>
  <c r="K29" i="155"/>
  <c r="L29" i="155"/>
  <c r="I30" i="155"/>
  <c r="J30" i="155"/>
  <c r="K30" i="155"/>
  <c r="L30" i="155"/>
  <c r="I31" i="155"/>
  <c r="J31" i="155"/>
  <c r="K31" i="155"/>
  <c r="L31" i="155"/>
  <c r="I32" i="155"/>
  <c r="J32" i="155"/>
  <c r="K32" i="155"/>
  <c r="L32" i="155"/>
  <c r="I33" i="155"/>
  <c r="J33" i="155"/>
  <c r="K33" i="155"/>
  <c r="L33" i="155"/>
  <c r="I34" i="155"/>
  <c r="J34" i="155"/>
  <c r="K34" i="155"/>
  <c r="L34" i="155"/>
  <c r="I35" i="155"/>
  <c r="J35" i="155"/>
  <c r="K35" i="155"/>
  <c r="L35" i="155"/>
  <c r="I36" i="155"/>
  <c r="J36" i="155"/>
  <c r="K36" i="155"/>
  <c r="L36" i="155"/>
  <c r="I37" i="155"/>
  <c r="J37" i="155"/>
  <c r="K37" i="155"/>
  <c r="L37" i="155"/>
  <c r="I38" i="155"/>
  <c r="J38" i="155"/>
  <c r="K38" i="155"/>
  <c r="L38" i="155"/>
  <c r="I39" i="155"/>
  <c r="J39" i="155"/>
  <c r="K39" i="155"/>
  <c r="L39" i="155"/>
  <c r="I40" i="155"/>
  <c r="J40" i="155"/>
  <c r="K40" i="155"/>
  <c r="L40" i="155"/>
  <c r="I41" i="155"/>
  <c r="J41" i="155"/>
  <c r="K41" i="155"/>
  <c r="L41" i="155"/>
  <c r="I42" i="155"/>
  <c r="J42" i="155"/>
  <c r="K42" i="155"/>
  <c r="L42" i="155"/>
  <c r="I43" i="155"/>
  <c r="J43" i="155"/>
  <c r="K43" i="155"/>
  <c r="L43" i="155"/>
  <c r="I44" i="155"/>
  <c r="J44" i="155"/>
  <c r="K44" i="155"/>
  <c r="L44" i="155"/>
  <c r="I45" i="155"/>
  <c r="J45" i="155"/>
  <c r="K45" i="155"/>
  <c r="L45" i="155"/>
  <c r="I46" i="155"/>
  <c r="J46" i="155"/>
  <c r="K46" i="155"/>
  <c r="L46" i="155"/>
  <c r="I47" i="155"/>
  <c r="J47" i="155"/>
  <c r="K47" i="155"/>
  <c r="L47" i="155"/>
  <c r="I48" i="155"/>
  <c r="J48" i="155"/>
  <c r="K48" i="155"/>
  <c r="L48" i="155"/>
  <c r="I49" i="155"/>
  <c r="J49" i="155"/>
  <c r="K49" i="155"/>
  <c r="L49" i="155"/>
  <c r="I50" i="155"/>
  <c r="K50" i="155"/>
  <c r="I51" i="155"/>
  <c r="K51" i="155"/>
  <c r="I52" i="155"/>
  <c r="K52" i="155"/>
  <c r="I53" i="155"/>
  <c r="K53" i="155"/>
  <c r="I54" i="155"/>
  <c r="K54" i="155"/>
  <c r="I55" i="155"/>
  <c r="K55" i="155"/>
  <c r="I56" i="155"/>
  <c r="K56" i="155"/>
  <c r="I57" i="155"/>
  <c r="K57" i="155"/>
  <c r="I58" i="155"/>
  <c r="K58" i="155"/>
  <c r="I59" i="155"/>
  <c r="K59" i="155"/>
  <c r="I60" i="155"/>
  <c r="K60" i="155"/>
  <c r="I61" i="155"/>
  <c r="K61" i="155"/>
  <c r="I62" i="155"/>
  <c r="K62" i="155"/>
  <c r="I63" i="155"/>
  <c r="K63" i="155"/>
  <c r="I64" i="155"/>
  <c r="K64" i="155"/>
  <c r="I65" i="155"/>
  <c r="K65" i="155"/>
  <c r="I66" i="155"/>
  <c r="K66" i="155"/>
  <c r="I67" i="155"/>
  <c r="K67" i="155"/>
  <c r="I68" i="155"/>
  <c r="K68" i="155"/>
  <c r="I69" i="155"/>
  <c r="K69" i="155"/>
  <c r="I70" i="155"/>
  <c r="K70" i="155"/>
  <c r="I71" i="155"/>
  <c r="K71" i="155"/>
  <c r="I72" i="155"/>
  <c r="K72" i="155"/>
  <c r="I73" i="155"/>
  <c r="K73" i="155"/>
  <c r="I74" i="155"/>
  <c r="K74" i="155"/>
  <c r="I75" i="155"/>
  <c r="K75" i="155"/>
  <c r="I76" i="155"/>
  <c r="K76" i="155"/>
  <c r="I77" i="155"/>
  <c r="K77" i="155"/>
  <c r="I78" i="155"/>
  <c r="K78" i="155"/>
  <c r="I79" i="155"/>
  <c r="K79" i="155"/>
  <c r="I80" i="155"/>
  <c r="K80" i="155"/>
  <c r="I81" i="155"/>
  <c r="K81" i="155"/>
  <c r="I82" i="155"/>
  <c r="K82" i="155"/>
  <c r="I83" i="155"/>
  <c r="K83" i="155"/>
  <c r="I84" i="155"/>
  <c r="K84" i="155"/>
  <c r="I85" i="155"/>
  <c r="K85" i="155"/>
  <c r="I86" i="155"/>
  <c r="K86" i="155"/>
  <c r="I87" i="155"/>
  <c r="K87" i="155"/>
  <c r="I88" i="155"/>
  <c r="K88" i="155"/>
  <c r="I89" i="155"/>
  <c r="K89" i="155"/>
  <c r="I90" i="155"/>
  <c r="K90" i="155"/>
  <c r="I91" i="155"/>
  <c r="K91" i="155"/>
  <c r="I92" i="155"/>
  <c r="K92" i="155"/>
  <c r="I93" i="155"/>
  <c r="K93" i="155"/>
  <c r="I94" i="155"/>
  <c r="K94" i="155"/>
  <c r="I95" i="155"/>
  <c r="K95" i="155"/>
  <c r="I96" i="155"/>
  <c r="K96" i="155"/>
  <c r="I97" i="155"/>
  <c r="K97" i="155"/>
  <c r="K110" i="155"/>
  <c r="U110" i="155" s="1"/>
  <c r="U111" i="155"/>
  <c r="U112" i="155"/>
  <c r="U113" i="155"/>
  <c r="U114" i="155"/>
  <c r="U115" i="155"/>
  <c r="U116" i="155"/>
  <c r="U117" i="155"/>
  <c r="U118" i="155"/>
  <c r="U119" i="155"/>
  <c r="U120" i="155"/>
  <c r="U121" i="155"/>
  <c r="U122" i="155"/>
  <c r="U123" i="155"/>
  <c r="U124" i="155"/>
  <c r="U125" i="155"/>
  <c r="U126" i="155"/>
  <c r="U127" i="155"/>
  <c r="U128" i="155"/>
  <c r="U129" i="155"/>
  <c r="U130" i="155"/>
  <c r="U131" i="155"/>
  <c r="U132" i="155"/>
  <c r="U133" i="155"/>
  <c r="I3" i="155"/>
  <c r="J3" i="155"/>
  <c r="K3" i="155"/>
  <c r="L3" i="155"/>
  <c r="I2" i="155"/>
  <c r="J2" i="155"/>
  <c r="K2" i="155"/>
  <c r="L2" i="155"/>
  <c r="M2" i="155"/>
  <c r="M1" i="155"/>
  <c r="W1" i="155" s="1"/>
  <c r="L1" i="155"/>
  <c r="V1" i="155" s="1"/>
  <c r="K1" i="155"/>
  <c r="U1" i="155" s="1"/>
  <c r="J1" i="155"/>
  <c r="T1" i="155" s="1"/>
  <c r="I1" i="155"/>
  <c r="S1" i="155" s="1"/>
  <c r="I93" i="154"/>
  <c r="S93" i="154" s="1"/>
  <c r="I94" i="154"/>
  <c r="S94" i="154" s="1"/>
  <c r="I95" i="154"/>
  <c r="S95" i="154" s="1"/>
  <c r="I96" i="154"/>
  <c r="S96" i="154" s="1"/>
  <c r="I97" i="154"/>
  <c r="S97" i="154" s="1"/>
  <c r="I110" i="154"/>
  <c r="S110" i="154" s="1"/>
  <c r="S111" i="154"/>
  <c r="S112" i="154"/>
  <c r="S113" i="154"/>
  <c r="S114" i="154"/>
  <c r="S115" i="154"/>
  <c r="S116" i="154"/>
  <c r="S117" i="154"/>
  <c r="S118" i="154"/>
  <c r="S119" i="154"/>
  <c r="S120" i="154"/>
  <c r="S121" i="154"/>
  <c r="S122" i="154"/>
  <c r="S123" i="154"/>
  <c r="S124" i="154"/>
  <c r="S125" i="154"/>
  <c r="S126" i="154"/>
  <c r="S127" i="154"/>
  <c r="S128" i="154"/>
  <c r="S129" i="154"/>
  <c r="S130" i="154"/>
  <c r="S131" i="154"/>
  <c r="S132" i="154"/>
  <c r="S133" i="154"/>
  <c r="G4" i="154"/>
  <c r="Q4" i="154" s="1"/>
  <c r="H4" i="154"/>
  <c r="R4" i="154" s="1"/>
  <c r="I4" i="154"/>
  <c r="S4" i="154" s="1"/>
  <c r="J4" i="154"/>
  <c r="T4" i="154" s="1"/>
  <c r="G5" i="154"/>
  <c r="Q5" i="154" s="1"/>
  <c r="H5" i="154"/>
  <c r="R5" i="154" s="1"/>
  <c r="I5" i="154"/>
  <c r="S5" i="154" s="1"/>
  <c r="J5" i="154"/>
  <c r="T5" i="154" s="1"/>
  <c r="G6" i="154"/>
  <c r="Q6" i="154" s="1"/>
  <c r="H6" i="154"/>
  <c r="R6" i="154" s="1"/>
  <c r="I6" i="154"/>
  <c r="S6" i="154" s="1"/>
  <c r="J6" i="154"/>
  <c r="T6" i="154" s="1"/>
  <c r="G7" i="154"/>
  <c r="Q7" i="154" s="1"/>
  <c r="H7" i="154"/>
  <c r="R7" i="154" s="1"/>
  <c r="I7" i="154"/>
  <c r="S7" i="154" s="1"/>
  <c r="J7" i="154"/>
  <c r="T7" i="154" s="1"/>
  <c r="G8" i="154"/>
  <c r="Q8" i="154" s="1"/>
  <c r="H8" i="154"/>
  <c r="R8" i="154" s="1"/>
  <c r="I8" i="154"/>
  <c r="S8" i="154" s="1"/>
  <c r="J8" i="154"/>
  <c r="T8" i="154" s="1"/>
  <c r="G9" i="154"/>
  <c r="Q9" i="154" s="1"/>
  <c r="H9" i="154"/>
  <c r="R9" i="154" s="1"/>
  <c r="I9" i="154"/>
  <c r="S9" i="154" s="1"/>
  <c r="J9" i="154"/>
  <c r="T9" i="154" s="1"/>
  <c r="G10" i="154"/>
  <c r="Q10" i="154" s="1"/>
  <c r="H10" i="154"/>
  <c r="R10" i="154" s="1"/>
  <c r="I10" i="154"/>
  <c r="S10" i="154" s="1"/>
  <c r="J10" i="154"/>
  <c r="T10" i="154" s="1"/>
  <c r="G11" i="154"/>
  <c r="Q11" i="154" s="1"/>
  <c r="H11" i="154"/>
  <c r="R11" i="154" s="1"/>
  <c r="I11" i="154"/>
  <c r="S11" i="154" s="1"/>
  <c r="J11" i="154"/>
  <c r="T11" i="154" s="1"/>
  <c r="G12" i="154"/>
  <c r="Q12" i="154" s="1"/>
  <c r="H12" i="154"/>
  <c r="R12" i="154" s="1"/>
  <c r="I12" i="154"/>
  <c r="S12" i="154" s="1"/>
  <c r="J12" i="154"/>
  <c r="T12" i="154" s="1"/>
  <c r="G13" i="154"/>
  <c r="Q13" i="154" s="1"/>
  <c r="H13" i="154"/>
  <c r="R13" i="154" s="1"/>
  <c r="I13" i="154"/>
  <c r="S13" i="154" s="1"/>
  <c r="J13" i="154"/>
  <c r="T13" i="154" s="1"/>
  <c r="G14" i="154"/>
  <c r="Q14" i="154" s="1"/>
  <c r="H14" i="154"/>
  <c r="R14" i="154" s="1"/>
  <c r="I14" i="154"/>
  <c r="S14" i="154" s="1"/>
  <c r="J14" i="154"/>
  <c r="T14" i="154" s="1"/>
  <c r="G15" i="154"/>
  <c r="Q15" i="154" s="1"/>
  <c r="H15" i="154"/>
  <c r="R15" i="154" s="1"/>
  <c r="I15" i="154"/>
  <c r="S15" i="154" s="1"/>
  <c r="J15" i="154"/>
  <c r="T15" i="154" s="1"/>
  <c r="G16" i="154"/>
  <c r="Q16" i="154" s="1"/>
  <c r="H16" i="154"/>
  <c r="R16" i="154" s="1"/>
  <c r="I16" i="154"/>
  <c r="S16" i="154" s="1"/>
  <c r="J16" i="154"/>
  <c r="T16" i="154" s="1"/>
  <c r="G17" i="154"/>
  <c r="Q17" i="154" s="1"/>
  <c r="H17" i="154"/>
  <c r="R17" i="154" s="1"/>
  <c r="I17" i="154"/>
  <c r="S17" i="154" s="1"/>
  <c r="J17" i="154"/>
  <c r="T17" i="154" s="1"/>
  <c r="G18" i="154"/>
  <c r="Q18" i="154" s="1"/>
  <c r="H18" i="154"/>
  <c r="R18" i="154" s="1"/>
  <c r="I18" i="154"/>
  <c r="S18" i="154" s="1"/>
  <c r="J18" i="154"/>
  <c r="T18" i="154" s="1"/>
  <c r="G19" i="154"/>
  <c r="Q19" i="154" s="1"/>
  <c r="H19" i="154"/>
  <c r="R19" i="154" s="1"/>
  <c r="I19" i="154"/>
  <c r="S19" i="154" s="1"/>
  <c r="J19" i="154"/>
  <c r="T19" i="154" s="1"/>
  <c r="G20" i="154"/>
  <c r="Q20" i="154" s="1"/>
  <c r="H20" i="154"/>
  <c r="R20" i="154" s="1"/>
  <c r="I20" i="154"/>
  <c r="S20" i="154" s="1"/>
  <c r="J20" i="154"/>
  <c r="T20" i="154" s="1"/>
  <c r="G21" i="154"/>
  <c r="Q21" i="154" s="1"/>
  <c r="H21" i="154"/>
  <c r="R21" i="154" s="1"/>
  <c r="I21" i="154"/>
  <c r="S21" i="154" s="1"/>
  <c r="J21" i="154"/>
  <c r="T21" i="154" s="1"/>
  <c r="G22" i="154"/>
  <c r="Q22" i="154" s="1"/>
  <c r="H22" i="154"/>
  <c r="R22" i="154" s="1"/>
  <c r="I22" i="154"/>
  <c r="S22" i="154" s="1"/>
  <c r="J22" i="154"/>
  <c r="T22" i="154" s="1"/>
  <c r="G23" i="154"/>
  <c r="Q23" i="154" s="1"/>
  <c r="H23" i="154"/>
  <c r="R23" i="154" s="1"/>
  <c r="I23" i="154"/>
  <c r="S23" i="154" s="1"/>
  <c r="J23" i="154"/>
  <c r="T23" i="154" s="1"/>
  <c r="G24" i="154"/>
  <c r="Q24" i="154" s="1"/>
  <c r="H24" i="154"/>
  <c r="R24" i="154" s="1"/>
  <c r="I24" i="154"/>
  <c r="S24" i="154" s="1"/>
  <c r="J24" i="154"/>
  <c r="T24" i="154" s="1"/>
  <c r="G25" i="154"/>
  <c r="Q25" i="154" s="1"/>
  <c r="H25" i="154"/>
  <c r="R25" i="154" s="1"/>
  <c r="I25" i="154"/>
  <c r="S25" i="154" s="1"/>
  <c r="J25" i="154"/>
  <c r="T25" i="154" s="1"/>
  <c r="G26" i="154"/>
  <c r="Q26" i="154" s="1"/>
  <c r="H26" i="154"/>
  <c r="R26" i="154" s="1"/>
  <c r="I26" i="154"/>
  <c r="S26" i="154" s="1"/>
  <c r="J26" i="154"/>
  <c r="T26" i="154" s="1"/>
  <c r="G27" i="154"/>
  <c r="Q27" i="154" s="1"/>
  <c r="H27" i="154"/>
  <c r="R27" i="154" s="1"/>
  <c r="I27" i="154"/>
  <c r="S27" i="154" s="1"/>
  <c r="J27" i="154"/>
  <c r="T27" i="154" s="1"/>
  <c r="G28" i="154"/>
  <c r="Q28" i="154" s="1"/>
  <c r="H28" i="154"/>
  <c r="R28" i="154" s="1"/>
  <c r="I28" i="154"/>
  <c r="S28" i="154" s="1"/>
  <c r="J28" i="154"/>
  <c r="T28" i="154" s="1"/>
  <c r="G29" i="154"/>
  <c r="Q29" i="154" s="1"/>
  <c r="H29" i="154"/>
  <c r="R29" i="154" s="1"/>
  <c r="I29" i="154"/>
  <c r="S29" i="154" s="1"/>
  <c r="J29" i="154"/>
  <c r="T29" i="154" s="1"/>
  <c r="G30" i="154"/>
  <c r="Q30" i="154" s="1"/>
  <c r="H30" i="154"/>
  <c r="R30" i="154" s="1"/>
  <c r="I30" i="154"/>
  <c r="S30" i="154" s="1"/>
  <c r="J30" i="154"/>
  <c r="T30" i="154" s="1"/>
  <c r="G31" i="154"/>
  <c r="Q31" i="154" s="1"/>
  <c r="H31" i="154"/>
  <c r="R31" i="154" s="1"/>
  <c r="I31" i="154"/>
  <c r="S31" i="154" s="1"/>
  <c r="J31" i="154"/>
  <c r="T31" i="154" s="1"/>
  <c r="G32" i="154"/>
  <c r="Q32" i="154" s="1"/>
  <c r="H32" i="154"/>
  <c r="R32" i="154" s="1"/>
  <c r="I32" i="154"/>
  <c r="S32" i="154" s="1"/>
  <c r="J32" i="154"/>
  <c r="T32" i="154" s="1"/>
  <c r="G33" i="154"/>
  <c r="Q33" i="154" s="1"/>
  <c r="H33" i="154"/>
  <c r="R33" i="154" s="1"/>
  <c r="I33" i="154"/>
  <c r="S33" i="154" s="1"/>
  <c r="J33" i="154"/>
  <c r="T33" i="154" s="1"/>
  <c r="G34" i="154"/>
  <c r="Q34" i="154" s="1"/>
  <c r="H34" i="154"/>
  <c r="R34" i="154" s="1"/>
  <c r="I34" i="154"/>
  <c r="S34" i="154" s="1"/>
  <c r="J34" i="154"/>
  <c r="T34" i="154" s="1"/>
  <c r="G35" i="154"/>
  <c r="Q35" i="154" s="1"/>
  <c r="H35" i="154"/>
  <c r="R35" i="154" s="1"/>
  <c r="I35" i="154"/>
  <c r="S35" i="154" s="1"/>
  <c r="J35" i="154"/>
  <c r="T35" i="154" s="1"/>
  <c r="G36" i="154"/>
  <c r="Q36" i="154" s="1"/>
  <c r="H36" i="154"/>
  <c r="R36" i="154" s="1"/>
  <c r="I36" i="154"/>
  <c r="S36" i="154" s="1"/>
  <c r="J36" i="154"/>
  <c r="T36" i="154" s="1"/>
  <c r="G37" i="154"/>
  <c r="Q37" i="154" s="1"/>
  <c r="H37" i="154"/>
  <c r="R37" i="154" s="1"/>
  <c r="I37" i="154"/>
  <c r="S37" i="154" s="1"/>
  <c r="J37" i="154"/>
  <c r="T37" i="154" s="1"/>
  <c r="G38" i="154"/>
  <c r="Q38" i="154" s="1"/>
  <c r="H38" i="154"/>
  <c r="R38" i="154" s="1"/>
  <c r="I38" i="154"/>
  <c r="S38" i="154" s="1"/>
  <c r="J38" i="154"/>
  <c r="T38" i="154" s="1"/>
  <c r="G39" i="154"/>
  <c r="Q39" i="154" s="1"/>
  <c r="H39" i="154"/>
  <c r="R39" i="154" s="1"/>
  <c r="I39" i="154"/>
  <c r="S39" i="154" s="1"/>
  <c r="J39" i="154"/>
  <c r="T39" i="154" s="1"/>
  <c r="G40" i="154"/>
  <c r="Q40" i="154" s="1"/>
  <c r="H40" i="154"/>
  <c r="R40" i="154" s="1"/>
  <c r="I40" i="154"/>
  <c r="S40" i="154" s="1"/>
  <c r="J40" i="154"/>
  <c r="T40" i="154" s="1"/>
  <c r="G41" i="154"/>
  <c r="Q41" i="154" s="1"/>
  <c r="H41" i="154"/>
  <c r="R41" i="154" s="1"/>
  <c r="I41" i="154"/>
  <c r="S41" i="154" s="1"/>
  <c r="J41" i="154"/>
  <c r="T41" i="154" s="1"/>
  <c r="G42" i="154"/>
  <c r="Q42" i="154" s="1"/>
  <c r="H42" i="154"/>
  <c r="R42" i="154" s="1"/>
  <c r="I42" i="154"/>
  <c r="S42" i="154" s="1"/>
  <c r="J42" i="154"/>
  <c r="T42" i="154" s="1"/>
  <c r="G43" i="154"/>
  <c r="Q43" i="154" s="1"/>
  <c r="H43" i="154"/>
  <c r="R43" i="154" s="1"/>
  <c r="I43" i="154"/>
  <c r="S43" i="154" s="1"/>
  <c r="J43" i="154"/>
  <c r="T43" i="154" s="1"/>
  <c r="G44" i="154"/>
  <c r="Q44" i="154" s="1"/>
  <c r="H44" i="154"/>
  <c r="R44" i="154" s="1"/>
  <c r="I44" i="154"/>
  <c r="S44" i="154" s="1"/>
  <c r="J44" i="154"/>
  <c r="T44" i="154" s="1"/>
  <c r="G45" i="154"/>
  <c r="Q45" i="154" s="1"/>
  <c r="H45" i="154"/>
  <c r="R45" i="154" s="1"/>
  <c r="I45" i="154"/>
  <c r="S45" i="154" s="1"/>
  <c r="J45" i="154"/>
  <c r="T45" i="154" s="1"/>
  <c r="G46" i="154"/>
  <c r="Q46" i="154" s="1"/>
  <c r="H46" i="154"/>
  <c r="R46" i="154" s="1"/>
  <c r="I46" i="154"/>
  <c r="S46" i="154" s="1"/>
  <c r="J46" i="154"/>
  <c r="T46" i="154" s="1"/>
  <c r="G47" i="154"/>
  <c r="Q47" i="154" s="1"/>
  <c r="H47" i="154"/>
  <c r="R47" i="154" s="1"/>
  <c r="I47" i="154"/>
  <c r="S47" i="154" s="1"/>
  <c r="J47" i="154"/>
  <c r="T47" i="154" s="1"/>
  <c r="G48" i="154"/>
  <c r="Q48" i="154" s="1"/>
  <c r="H48" i="154"/>
  <c r="R48" i="154" s="1"/>
  <c r="I48" i="154"/>
  <c r="S48" i="154" s="1"/>
  <c r="J48" i="154"/>
  <c r="T48" i="154" s="1"/>
  <c r="G49" i="154"/>
  <c r="Q49" i="154" s="1"/>
  <c r="H49" i="154"/>
  <c r="R49" i="154" s="1"/>
  <c r="I49" i="154"/>
  <c r="S49" i="154" s="1"/>
  <c r="J49" i="154"/>
  <c r="T49" i="154" s="1"/>
  <c r="G50" i="154"/>
  <c r="Q50" i="154" s="1"/>
  <c r="I50" i="154"/>
  <c r="S50" i="154" s="1"/>
  <c r="G51" i="154"/>
  <c r="Q51" i="154" s="1"/>
  <c r="I51" i="154"/>
  <c r="S51" i="154" s="1"/>
  <c r="G52" i="154"/>
  <c r="Q52" i="154" s="1"/>
  <c r="I52" i="154"/>
  <c r="S52" i="154" s="1"/>
  <c r="G53" i="154"/>
  <c r="Q53" i="154" s="1"/>
  <c r="I53" i="154"/>
  <c r="S53" i="154" s="1"/>
  <c r="G54" i="154"/>
  <c r="Q54" i="154" s="1"/>
  <c r="I54" i="154"/>
  <c r="S54" i="154" s="1"/>
  <c r="G55" i="154"/>
  <c r="Q55" i="154" s="1"/>
  <c r="I55" i="154"/>
  <c r="S55" i="154" s="1"/>
  <c r="G56" i="154"/>
  <c r="Q56" i="154" s="1"/>
  <c r="I56" i="154"/>
  <c r="S56" i="154" s="1"/>
  <c r="G57" i="154"/>
  <c r="Q57" i="154" s="1"/>
  <c r="I57" i="154"/>
  <c r="S57" i="154" s="1"/>
  <c r="G58" i="154"/>
  <c r="Q58" i="154" s="1"/>
  <c r="I58" i="154"/>
  <c r="S58" i="154" s="1"/>
  <c r="G59" i="154"/>
  <c r="Q59" i="154" s="1"/>
  <c r="I59" i="154"/>
  <c r="S59" i="154" s="1"/>
  <c r="G60" i="154"/>
  <c r="Q60" i="154" s="1"/>
  <c r="I60" i="154"/>
  <c r="S60" i="154" s="1"/>
  <c r="G61" i="154"/>
  <c r="Q61" i="154" s="1"/>
  <c r="I61" i="154"/>
  <c r="S61" i="154" s="1"/>
  <c r="G62" i="154"/>
  <c r="Q62" i="154" s="1"/>
  <c r="I62" i="154"/>
  <c r="S62" i="154" s="1"/>
  <c r="G63" i="154"/>
  <c r="Q63" i="154" s="1"/>
  <c r="I63" i="154"/>
  <c r="S63" i="154" s="1"/>
  <c r="G64" i="154"/>
  <c r="Q64" i="154" s="1"/>
  <c r="I64" i="154"/>
  <c r="S64" i="154" s="1"/>
  <c r="G65" i="154"/>
  <c r="Q65" i="154" s="1"/>
  <c r="I65" i="154"/>
  <c r="S65" i="154" s="1"/>
  <c r="G66" i="154"/>
  <c r="Q66" i="154" s="1"/>
  <c r="I66" i="154"/>
  <c r="S66" i="154" s="1"/>
  <c r="G67" i="154"/>
  <c r="Q67" i="154" s="1"/>
  <c r="I67" i="154"/>
  <c r="S67" i="154" s="1"/>
  <c r="G68" i="154"/>
  <c r="Q68" i="154" s="1"/>
  <c r="I68" i="154"/>
  <c r="S68" i="154" s="1"/>
  <c r="G69" i="154"/>
  <c r="Q69" i="154" s="1"/>
  <c r="I69" i="154"/>
  <c r="S69" i="154" s="1"/>
  <c r="G70" i="154"/>
  <c r="Q70" i="154" s="1"/>
  <c r="I70" i="154"/>
  <c r="S70" i="154" s="1"/>
  <c r="G71" i="154"/>
  <c r="Q71" i="154" s="1"/>
  <c r="I71" i="154"/>
  <c r="S71" i="154" s="1"/>
  <c r="G72" i="154"/>
  <c r="Q72" i="154" s="1"/>
  <c r="I72" i="154"/>
  <c r="S72" i="154" s="1"/>
  <c r="G73" i="154"/>
  <c r="Q73" i="154" s="1"/>
  <c r="I73" i="154"/>
  <c r="S73" i="154" s="1"/>
  <c r="G74" i="154"/>
  <c r="Q74" i="154" s="1"/>
  <c r="I74" i="154"/>
  <c r="S74" i="154" s="1"/>
  <c r="G75" i="154"/>
  <c r="Q75" i="154" s="1"/>
  <c r="I75" i="154"/>
  <c r="S75" i="154" s="1"/>
  <c r="G76" i="154"/>
  <c r="Q76" i="154" s="1"/>
  <c r="I76" i="154"/>
  <c r="S76" i="154" s="1"/>
  <c r="G77" i="154"/>
  <c r="Q77" i="154" s="1"/>
  <c r="I77" i="154"/>
  <c r="S77" i="154" s="1"/>
  <c r="G78" i="154"/>
  <c r="Q78" i="154" s="1"/>
  <c r="I78" i="154"/>
  <c r="S78" i="154" s="1"/>
  <c r="G79" i="154"/>
  <c r="Q79" i="154" s="1"/>
  <c r="I79" i="154"/>
  <c r="S79" i="154" s="1"/>
  <c r="G80" i="154"/>
  <c r="Q80" i="154" s="1"/>
  <c r="I80" i="154"/>
  <c r="S80" i="154" s="1"/>
  <c r="G81" i="154"/>
  <c r="Q81" i="154" s="1"/>
  <c r="I81" i="154"/>
  <c r="S81" i="154" s="1"/>
  <c r="G82" i="154"/>
  <c r="Q82" i="154" s="1"/>
  <c r="I82" i="154"/>
  <c r="S82" i="154" s="1"/>
  <c r="G83" i="154"/>
  <c r="Q83" i="154" s="1"/>
  <c r="I83" i="154"/>
  <c r="S83" i="154" s="1"/>
  <c r="G84" i="154"/>
  <c r="Q84" i="154" s="1"/>
  <c r="I84" i="154"/>
  <c r="S84" i="154" s="1"/>
  <c r="G85" i="154"/>
  <c r="Q85" i="154" s="1"/>
  <c r="I85" i="154"/>
  <c r="S85" i="154" s="1"/>
  <c r="G86" i="154"/>
  <c r="Q86" i="154" s="1"/>
  <c r="I86" i="154"/>
  <c r="S86" i="154" s="1"/>
  <c r="G87" i="154"/>
  <c r="Q87" i="154" s="1"/>
  <c r="I87" i="154"/>
  <c r="S87" i="154" s="1"/>
  <c r="G88" i="154"/>
  <c r="Q88" i="154" s="1"/>
  <c r="I88" i="154"/>
  <c r="S88" i="154" s="1"/>
  <c r="G89" i="154"/>
  <c r="Q89" i="154" s="1"/>
  <c r="I89" i="154"/>
  <c r="S89" i="154" s="1"/>
  <c r="G90" i="154"/>
  <c r="Q90" i="154" s="1"/>
  <c r="I90" i="154"/>
  <c r="S90" i="154" s="1"/>
  <c r="G91" i="154"/>
  <c r="Q91" i="154" s="1"/>
  <c r="I91" i="154"/>
  <c r="S91" i="154" s="1"/>
  <c r="G92" i="154"/>
  <c r="Q92" i="154" s="1"/>
  <c r="I92" i="154"/>
  <c r="S92" i="154" s="1"/>
  <c r="G93" i="154"/>
  <c r="Q93" i="154" s="1"/>
  <c r="G94" i="154"/>
  <c r="Q94" i="154" s="1"/>
  <c r="G95" i="154"/>
  <c r="Q95" i="154" s="1"/>
  <c r="G96" i="154"/>
  <c r="Q96" i="154" s="1"/>
  <c r="G97" i="154"/>
  <c r="Q97" i="154" s="1"/>
  <c r="J3" i="154"/>
  <c r="T3" i="154" s="1"/>
  <c r="I3" i="154"/>
  <c r="S3" i="154" s="1"/>
  <c r="H3" i="154"/>
  <c r="R3" i="154" s="1"/>
  <c r="G3" i="154"/>
  <c r="Q3" i="154" s="1"/>
  <c r="K2" i="154"/>
  <c r="U2" i="154" s="1"/>
  <c r="J2" i="154"/>
  <c r="T2" i="154" s="1"/>
  <c r="I2" i="154"/>
  <c r="S2" i="154" s="1"/>
  <c r="H2" i="154"/>
  <c r="R2" i="154" s="1"/>
  <c r="G2" i="154"/>
  <c r="Q2" i="154" s="1"/>
  <c r="K1" i="154"/>
  <c r="U1" i="154" s="1"/>
  <c r="J1" i="154"/>
  <c r="T1" i="154" s="1"/>
  <c r="I1" i="154"/>
  <c r="S1" i="154" s="1"/>
  <c r="H1" i="154"/>
  <c r="R1" i="154" s="1"/>
  <c r="G1" i="154"/>
  <c r="Q1" i="154" s="1"/>
  <c r="P1" i="154"/>
  <c r="D1" i="154"/>
  <c r="H4" i="153"/>
  <c r="R4" i="153" s="1"/>
  <c r="I4" i="153"/>
  <c r="S4" i="153" s="1"/>
  <c r="J4" i="153"/>
  <c r="T4" i="153" s="1"/>
  <c r="H5" i="153"/>
  <c r="R5" i="153" s="1"/>
  <c r="I5" i="153"/>
  <c r="S5" i="153" s="1"/>
  <c r="J5" i="153"/>
  <c r="T5" i="153" s="1"/>
  <c r="H6" i="153"/>
  <c r="R6" i="153" s="1"/>
  <c r="I6" i="153"/>
  <c r="S6" i="153" s="1"/>
  <c r="J6" i="153"/>
  <c r="T6" i="153" s="1"/>
  <c r="H7" i="153"/>
  <c r="R7" i="153" s="1"/>
  <c r="I7" i="153"/>
  <c r="S7" i="153" s="1"/>
  <c r="J7" i="153"/>
  <c r="T7" i="153" s="1"/>
  <c r="H8" i="153"/>
  <c r="R8" i="153" s="1"/>
  <c r="I8" i="153"/>
  <c r="S8" i="153" s="1"/>
  <c r="J8" i="153"/>
  <c r="T8" i="153" s="1"/>
  <c r="H9" i="153"/>
  <c r="R9" i="153" s="1"/>
  <c r="I9" i="153"/>
  <c r="S9" i="153" s="1"/>
  <c r="J9" i="153"/>
  <c r="T9" i="153" s="1"/>
  <c r="H10" i="153"/>
  <c r="R10" i="153" s="1"/>
  <c r="I10" i="153"/>
  <c r="S10" i="153" s="1"/>
  <c r="J10" i="153"/>
  <c r="T10" i="153" s="1"/>
  <c r="H11" i="153"/>
  <c r="R11" i="153" s="1"/>
  <c r="I11" i="153"/>
  <c r="S11" i="153" s="1"/>
  <c r="J11" i="153"/>
  <c r="T11" i="153" s="1"/>
  <c r="H12" i="153"/>
  <c r="R12" i="153" s="1"/>
  <c r="I12" i="153"/>
  <c r="S12" i="153" s="1"/>
  <c r="J12" i="153"/>
  <c r="T12" i="153" s="1"/>
  <c r="H13" i="153"/>
  <c r="R13" i="153" s="1"/>
  <c r="I13" i="153"/>
  <c r="S13" i="153" s="1"/>
  <c r="J13" i="153"/>
  <c r="T13" i="153" s="1"/>
  <c r="H14" i="153"/>
  <c r="R14" i="153" s="1"/>
  <c r="I14" i="153"/>
  <c r="S14" i="153" s="1"/>
  <c r="J14" i="153"/>
  <c r="T14" i="153" s="1"/>
  <c r="H15" i="153"/>
  <c r="R15" i="153" s="1"/>
  <c r="I15" i="153"/>
  <c r="S15" i="153" s="1"/>
  <c r="J15" i="153"/>
  <c r="T15" i="153" s="1"/>
  <c r="H16" i="153"/>
  <c r="R16" i="153" s="1"/>
  <c r="I16" i="153"/>
  <c r="S16" i="153" s="1"/>
  <c r="J16" i="153"/>
  <c r="T16" i="153" s="1"/>
  <c r="H17" i="153"/>
  <c r="R17" i="153" s="1"/>
  <c r="I17" i="153"/>
  <c r="S17" i="153" s="1"/>
  <c r="J17" i="153"/>
  <c r="T17" i="153" s="1"/>
  <c r="H18" i="153"/>
  <c r="R18" i="153" s="1"/>
  <c r="I18" i="153"/>
  <c r="S18" i="153" s="1"/>
  <c r="J18" i="153"/>
  <c r="T18" i="153" s="1"/>
  <c r="H19" i="153"/>
  <c r="R19" i="153" s="1"/>
  <c r="I19" i="153"/>
  <c r="S19" i="153" s="1"/>
  <c r="J19" i="153"/>
  <c r="T19" i="153" s="1"/>
  <c r="H20" i="153"/>
  <c r="R20" i="153" s="1"/>
  <c r="I20" i="153"/>
  <c r="S20" i="153" s="1"/>
  <c r="J20" i="153"/>
  <c r="T20" i="153" s="1"/>
  <c r="H21" i="153"/>
  <c r="R21" i="153" s="1"/>
  <c r="I21" i="153"/>
  <c r="S21" i="153" s="1"/>
  <c r="J21" i="153"/>
  <c r="T21" i="153" s="1"/>
  <c r="H22" i="153"/>
  <c r="R22" i="153" s="1"/>
  <c r="I22" i="153"/>
  <c r="S22" i="153" s="1"/>
  <c r="J22" i="153"/>
  <c r="T22" i="153" s="1"/>
  <c r="H23" i="153"/>
  <c r="R23" i="153" s="1"/>
  <c r="I23" i="153"/>
  <c r="S23" i="153" s="1"/>
  <c r="J23" i="153"/>
  <c r="T23" i="153" s="1"/>
  <c r="H24" i="153"/>
  <c r="R24" i="153" s="1"/>
  <c r="I24" i="153"/>
  <c r="S24" i="153" s="1"/>
  <c r="J24" i="153"/>
  <c r="T24" i="153" s="1"/>
  <c r="H25" i="153"/>
  <c r="R25" i="153" s="1"/>
  <c r="I25" i="153"/>
  <c r="S25" i="153" s="1"/>
  <c r="J25" i="153"/>
  <c r="T25" i="153" s="1"/>
  <c r="H26" i="153"/>
  <c r="R26" i="153" s="1"/>
  <c r="I26" i="153"/>
  <c r="S26" i="153" s="1"/>
  <c r="J26" i="153"/>
  <c r="T26" i="153" s="1"/>
  <c r="H27" i="153"/>
  <c r="R27" i="153" s="1"/>
  <c r="I27" i="153"/>
  <c r="S27" i="153" s="1"/>
  <c r="J27" i="153"/>
  <c r="T27" i="153" s="1"/>
  <c r="H28" i="153"/>
  <c r="R28" i="153" s="1"/>
  <c r="I28" i="153"/>
  <c r="S28" i="153" s="1"/>
  <c r="J28" i="153"/>
  <c r="T28" i="153" s="1"/>
  <c r="H29" i="153"/>
  <c r="R29" i="153" s="1"/>
  <c r="I29" i="153"/>
  <c r="S29" i="153" s="1"/>
  <c r="J29" i="153"/>
  <c r="T29" i="153" s="1"/>
  <c r="H30" i="153"/>
  <c r="R30" i="153" s="1"/>
  <c r="I30" i="153"/>
  <c r="S30" i="153" s="1"/>
  <c r="J30" i="153"/>
  <c r="T30" i="153" s="1"/>
  <c r="H31" i="153"/>
  <c r="R31" i="153" s="1"/>
  <c r="I31" i="153"/>
  <c r="S31" i="153" s="1"/>
  <c r="J31" i="153"/>
  <c r="T31" i="153" s="1"/>
  <c r="H32" i="153"/>
  <c r="R32" i="153" s="1"/>
  <c r="I32" i="153"/>
  <c r="S32" i="153" s="1"/>
  <c r="J32" i="153"/>
  <c r="T32" i="153" s="1"/>
  <c r="H33" i="153"/>
  <c r="R33" i="153" s="1"/>
  <c r="I33" i="153"/>
  <c r="S33" i="153" s="1"/>
  <c r="J33" i="153"/>
  <c r="T33" i="153" s="1"/>
  <c r="H34" i="153"/>
  <c r="R34" i="153" s="1"/>
  <c r="I34" i="153"/>
  <c r="S34" i="153" s="1"/>
  <c r="J34" i="153"/>
  <c r="T34" i="153" s="1"/>
  <c r="H35" i="153"/>
  <c r="R35" i="153" s="1"/>
  <c r="I35" i="153"/>
  <c r="S35" i="153" s="1"/>
  <c r="J35" i="153"/>
  <c r="T35" i="153" s="1"/>
  <c r="H36" i="153"/>
  <c r="R36" i="153" s="1"/>
  <c r="I36" i="153"/>
  <c r="S36" i="153" s="1"/>
  <c r="J36" i="153"/>
  <c r="T36" i="153" s="1"/>
  <c r="H37" i="153"/>
  <c r="R37" i="153" s="1"/>
  <c r="I37" i="153"/>
  <c r="S37" i="153" s="1"/>
  <c r="J37" i="153"/>
  <c r="T37" i="153" s="1"/>
  <c r="H38" i="153"/>
  <c r="R38" i="153" s="1"/>
  <c r="I38" i="153"/>
  <c r="S38" i="153" s="1"/>
  <c r="J38" i="153"/>
  <c r="T38" i="153" s="1"/>
  <c r="H39" i="153"/>
  <c r="R39" i="153" s="1"/>
  <c r="I39" i="153"/>
  <c r="S39" i="153" s="1"/>
  <c r="J39" i="153"/>
  <c r="T39" i="153" s="1"/>
  <c r="H40" i="153"/>
  <c r="R40" i="153" s="1"/>
  <c r="I40" i="153"/>
  <c r="S40" i="153" s="1"/>
  <c r="J40" i="153"/>
  <c r="T40" i="153" s="1"/>
  <c r="H41" i="153"/>
  <c r="R41" i="153" s="1"/>
  <c r="I41" i="153"/>
  <c r="S41" i="153" s="1"/>
  <c r="J41" i="153"/>
  <c r="T41" i="153" s="1"/>
  <c r="H42" i="153"/>
  <c r="R42" i="153" s="1"/>
  <c r="I42" i="153"/>
  <c r="S42" i="153" s="1"/>
  <c r="J42" i="153"/>
  <c r="T42" i="153" s="1"/>
  <c r="H43" i="153"/>
  <c r="R43" i="153" s="1"/>
  <c r="I43" i="153"/>
  <c r="S43" i="153" s="1"/>
  <c r="J43" i="153"/>
  <c r="T43" i="153" s="1"/>
  <c r="H44" i="153"/>
  <c r="R44" i="153" s="1"/>
  <c r="I44" i="153"/>
  <c r="S44" i="153" s="1"/>
  <c r="J44" i="153"/>
  <c r="T44" i="153" s="1"/>
  <c r="H45" i="153"/>
  <c r="R45" i="153" s="1"/>
  <c r="I45" i="153"/>
  <c r="S45" i="153" s="1"/>
  <c r="J45" i="153"/>
  <c r="T45" i="153" s="1"/>
  <c r="H46" i="153"/>
  <c r="R46" i="153" s="1"/>
  <c r="I46" i="153"/>
  <c r="S46" i="153" s="1"/>
  <c r="J46" i="153"/>
  <c r="T46" i="153" s="1"/>
  <c r="H47" i="153"/>
  <c r="R47" i="153" s="1"/>
  <c r="I47" i="153"/>
  <c r="S47" i="153" s="1"/>
  <c r="J47" i="153"/>
  <c r="T47" i="153" s="1"/>
  <c r="H48" i="153"/>
  <c r="R48" i="153" s="1"/>
  <c r="I48" i="153"/>
  <c r="S48" i="153" s="1"/>
  <c r="J48" i="153"/>
  <c r="T48" i="153" s="1"/>
  <c r="H49" i="153"/>
  <c r="R49" i="153" s="1"/>
  <c r="I49" i="153"/>
  <c r="S49" i="153" s="1"/>
  <c r="J49" i="153"/>
  <c r="T49" i="153" s="1"/>
  <c r="I50" i="153"/>
  <c r="S50" i="153" s="1"/>
  <c r="I51" i="153"/>
  <c r="S51" i="153" s="1"/>
  <c r="I52" i="153"/>
  <c r="S52" i="153" s="1"/>
  <c r="I53" i="153"/>
  <c r="S53" i="153" s="1"/>
  <c r="I54" i="153"/>
  <c r="S54" i="153" s="1"/>
  <c r="I55" i="153"/>
  <c r="S55" i="153" s="1"/>
  <c r="I56" i="153"/>
  <c r="S56" i="153" s="1"/>
  <c r="I57" i="153"/>
  <c r="S57" i="153" s="1"/>
  <c r="I58" i="153"/>
  <c r="S58" i="153" s="1"/>
  <c r="I59" i="153"/>
  <c r="S59" i="153" s="1"/>
  <c r="I60" i="153"/>
  <c r="S60" i="153" s="1"/>
  <c r="I61" i="153"/>
  <c r="S61" i="153" s="1"/>
  <c r="I62" i="153"/>
  <c r="S62" i="153" s="1"/>
  <c r="I63" i="153"/>
  <c r="S63" i="153" s="1"/>
  <c r="I64" i="153"/>
  <c r="S64" i="153" s="1"/>
  <c r="I65" i="153"/>
  <c r="S65" i="153" s="1"/>
  <c r="I66" i="153"/>
  <c r="S66" i="153" s="1"/>
  <c r="I67" i="153"/>
  <c r="S67" i="153" s="1"/>
  <c r="I68" i="153"/>
  <c r="S68" i="153" s="1"/>
  <c r="I69" i="153"/>
  <c r="S69" i="153" s="1"/>
  <c r="I70" i="153"/>
  <c r="S70" i="153" s="1"/>
  <c r="I71" i="153"/>
  <c r="S71" i="153" s="1"/>
  <c r="I72" i="153"/>
  <c r="S72" i="153" s="1"/>
  <c r="I73" i="153"/>
  <c r="S73" i="153" s="1"/>
  <c r="I74" i="153"/>
  <c r="S74" i="153" s="1"/>
  <c r="I75" i="153"/>
  <c r="S75" i="153" s="1"/>
  <c r="I76" i="153"/>
  <c r="S76" i="153" s="1"/>
  <c r="I77" i="153"/>
  <c r="S77" i="153" s="1"/>
  <c r="I78" i="153"/>
  <c r="S78" i="153" s="1"/>
  <c r="I79" i="153"/>
  <c r="S79" i="153" s="1"/>
  <c r="I80" i="153"/>
  <c r="S80" i="153" s="1"/>
  <c r="I81" i="153"/>
  <c r="S81" i="153" s="1"/>
  <c r="I82" i="153"/>
  <c r="S82" i="153" s="1"/>
  <c r="I83" i="153"/>
  <c r="S83" i="153" s="1"/>
  <c r="I84" i="153"/>
  <c r="S84" i="153" s="1"/>
  <c r="I85" i="153"/>
  <c r="S85" i="153" s="1"/>
  <c r="I86" i="153"/>
  <c r="S86" i="153" s="1"/>
  <c r="I87" i="153"/>
  <c r="S87" i="153" s="1"/>
  <c r="I88" i="153"/>
  <c r="S88" i="153" s="1"/>
  <c r="I89" i="153"/>
  <c r="S89" i="153" s="1"/>
  <c r="I90" i="153"/>
  <c r="S90" i="153" s="1"/>
  <c r="I91" i="153"/>
  <c r="S91" i="153" s="1"/>
  <c r="I92" i="153"/>
  <c r="S92" i="153" s="1"/>
  <c r="I93" i="153"/>
  <c r="S93" i="153" s="1"/>
  <c r="I94" i="153"/>
  <c r="S94" i="153" s="1"/>
  <c r="I95" i="153"/>
  <c r="S95" i="153" s="1"/>
  <c r="I96" i="153"/>
  <c r="S96" i="153" s="1"/>
  <c r="I97" i="153"/>
  <c r="S97" i="153" s="1"/>
  <c r="H2" i="153"/>
  <c r="R2" i="153" s="1"/>
  <c r="I2" i="153"/>
  <c r="S2" i="153" s="1"/>
  <c r="J2" i="153"/>
  <c r="T2" i="153" s="1"/>
  <c r="K2" i="153"/>
  <c r="U2" i="153" s="1"/>
  <c r="H3" i="153"/>
  <c r="R3" i="153" s="1"/>
  <c r="I3" i="153"/>
  <c r="S3" i="153" s="1"/>
  <c r="J3" i="153"/>
  <c r="T3" i="153" s="1"/>
  <c r="K1" i="153"/>
  <c r="U1" i="153" s="1"/>
  <c r="J1" i="153"/>
  <c r="T1" i="153" s="1"/>
  <c r="I1" i="153"/>
  <c r="S1" i="153" s="1"/>
  <c r="H1" i="153"/>
  <c r="R1" i="153" s="1"/>
  <c r="G3" i="153"/>
  <c r="Q3" i="153" s="1"/>
  <c r="G4" i="153"/>
  <c r="Q4" i="153" s="1"/>
  <c r="G5" i="153"/>
  <c r="Q5" i="153" s="1"/>
  <c r="G6" i="153"/>
  <c r="Q6" i="153" s="1"/>
  <c r="G7" i="153"/>
  <c r="Q7" i="153" s="1"/>
  <c r="G8" i="153"/>
  <c r="Q8" i="153" s="1"/>
  <c r="G9" i="153"/>
  <c r="Q9" i="153" s="1"/>
  <c r="G10" i="153"/>
  <c r="Q10" i="153" s="1"/>
  <c r="G11" i="153"/>
  <c r="Q11" i="153" s="1"/>
  <c r="G12" i="153"/>
  <c r="Q12" i="153" s="1"/>
  <c r="G13" i="153"/>
  <c r="Q13" i="153" s="1"/>
  <c r="G14" i="153"/>
  <c r="Q14" i="153" s="1"/>
  <c r="G15" i="153"/>
  <c r="Q15" i="153" s="1"/>
  <c r="G16" i="153"/>
  <c r="Q16" i="153" s="1"/>
  <c r="G17" i="153"/>
  <c r="Q17" i="153" s="1"/>
  <c r="G18" i="153"/>
  <c r="Q18" i="153" s="1"/>
  <c r="G19" i="153"/>
  <c r="Q19" i="153" s="1"/>
  <c r="G20" i="153"/>
  <c r="Q20" i="153" s="1"/>
  <c r="G21" i="153"/>
  <c r="Q21" i="153" s="1"/>
  <c r="G22" i="153"/>
  <c r="Q22" i="153" s="1"/>
  <c r="G23" i="153"/>
  <c r="Q23" i="153" s="1"/>
  <c r="G24" i="153"/>
  <c r="Q24" i="153" s="1"/>
  <c r="G25" i="153"/>
  <c r="Q25" i="153" s="1"/>
  <c r="G26" i="153"/>
  <c r="Q26" i="153" s="1"/>
  <c r="G27" i="153"/>
  <c r="Q27" i="153" s="1"/>
  <c r="G28" i="153"/>
  <c r="Q28" i="153" s="1"/>
  <c r="G29" i="153"/>
  <c r="Q29" i="153" s="1"/>
  <c r="G30" i="153"/>
  <c r="Q30" i="153" s="1"/>
  <c r="G31" i="153"/>
  <c r="Q31" i="153" s="1"/>
  <c r="G32" i="153"/>
  <c r="Q32" i="153" s="1"/>
  <c r="G33" i="153"/>
  <c r="Q33" i="153" s="1"/>
  <c r="G34" i="153"/>
  <c r="Q34" i="153" s="1"/>
  <c r="G35" i="153"/>
  <c r="Q35" i="153" s="1"/>
  <c r="G36" i="153"/>
  <c r="Q36" i="153" s="1"/>
  <c r="G37" i="153"/>
  <c r="Q37" i="153" s="1"/>
  <c r="G38" i="153"/>
  <c r="Q38" i="153" s="1"/>
  <c r="G39" i="153"/>
  <c r="Q39" i="153" s="1"/>
  <c r="G40" i="153"/>
  <c r="Q40" i="153" s="1"/>
  <c r="G41" i="153"/>
  <c r="Q41" i="153" s="1"/>
  <c r="G42" i="153"/>
  <c r="Q42" i="153" s="1"/>
  <c r="G43" i="153"/>
  <c r="Q43" i="153" s="1"/>
  <c r="G44" i="153"/>
  <c r="Q44" i="153" s="1"/>
  <c r="G45" i="153"/>
  <c r="Q45" i="153" s="1"/>
  <c r="G46" i="153"/>
  <c r="Q46" i="153" s="1"/>
  <c r="G47" i="153"/>
  <c r="Q47" i="153" s="1"/>
  <c r="G48" i="153"/>
  <c r="Q48" i="153" s="1"/>
  <c r="G49" i="153"/>
  <c r="Q49" i="153" s="1"/>
  <c r="G50" i="153"/>
  <c r="Q50" i="153" s="1"/>
  <c r="G51" i="153"/>
  <c r="Q51" i="153" s="1"/>
  <c r="G52" i="153"/>
  <c r="Q52" i="153" s="1"/>
  <c r="G53" i="153"/>
  <c r="Q53" i="153" s="1"/>
  <c r="G54" i="153"/>
  <c r="Q54" i="153" s="1"/>
  <c r="G55" i="153"/>
  <c r="Q55" i="153" s="1"/>
  <c r="G56" i="153"/>
  <c r="Q56" i="153" s="1"/>
  <c r="G57" i="153"/>
  <c r="Q57" i="153" s="1"/>
  <c r="G58" i="153"/>
  <c r="Q58" i="153" s="1"/>
  <c r="G59" i="153"/>
  <c r="Q59" i="153" s="1"/>
  <c r="G60" i="153"/>
  <c r="Q60" i="153" s="1"/>
  <c r="G61" i="153"/>
  <c r="Q61" i="153" s="1"/>
  <c r="G62" i="153"/>
  <c r="Q62" i="153" s="1"/>
  <c r="G63" i="153"/>
  <c r="Q63" i="153" s="1"/>
  <c r="G64" i="153"/>
  <c r="Q64" i="153" s="1"/>
  <c r="G65" i="153"/>
  <c r="Q65" i="153" s="1"/>
  <c r="G66" i="153"/>
  <c r="Q66" i="153" s="1"/>
  <c r="G67" i="153"/>
  <c r="Q67" i="153" s="1"/>
  <c r="G68" i="153"/>
  <c r="Q68" i="153" s="1"/>
  <c r="G69" i="153"/>
  <c r="Q69" i="153" s="1"/>
  <c r="G70" i="153"/>
  <c r="Q70" i="153" s="1"/>
  <c r="G71" i="153"/>
  <c r="Q71" i="153" s="1"/>
  <c r="G72" i="153"/>
  <c r="Q72" i="153" s="1"/>
  <c r="G73" i="153"/>
  <c r="Q73" i="153" s="1"/>
  <c r="G74" i="153"/>
  <c r="Q74" i="153" s="1"/>
  <c r="G75" i="153"/>
  <c r="Q75" i="153" s="1"/>
  <c r="G76" i="153"/>
  <c r="Q76" i="153" s="1"/>
  <c r="G77" i="153"/>
  <c r="Q77" i="153" s="1"/>
  <c r="G78" i="153"/>
  <c r="Q78" i="153" s="1"/>
  <c r="G79" i="153"/>
  <c r="Q79" i="153" s="1"/>
  <c r="G80" i="153"/>
  <c r="Q80" i="153" s="1"/>
  <c r="G81" i="153"/>
  <c r="Q81" i="153" s="1"/>
  <c r="G82" i="153"/>
  <c r="Q82" i="153" s="1"/>
  <c r="G83" i="153"/>
  <c r="Q83" i="153" s="1"/>
  <c r="G84" i="153"/>
  <c r="Q84" i="153" s="1"/>
  <c r="G85" i="153"/>
  <c r="Q85" i="153" s="1"/>
  <c r="G86" i="153"/>
  <c r="Q86" i="153" s="1"/>
  <c r="G87" i="153"/>
  <c r="Q87" i="153" s="1"/>
  <c r="G88" i="153"/>
  <c r="Q88" i="153" s="1"/>
  <c r="G89" i="153"/>
  <c r="Q89" i="153" s="1"/>
  <c r="G90" i="153"/>
  <c r="Q90" i="153" s="1"/>
  <c r="G91" i="153"/>
  <c r="Q91" i="153" s="1"/>
  <c r="G92" i="153"/>
  <c r="Q92" i="153" s="1"/>
  <c r="G93" i="153"/>
  <c r="Q93" i="153" s="1"/>
  <c r="G94" i="153"/>
  <c r="Q94" i="153" s="1"/>
  <c r="G95" i="153"/>
  <c r="Q95" i="153" s="1"/>
  <c r="G96" i="153"/>
  <c r="Q96" i="153" s="1"/>
  <c r="G97" i="153"/>
  <c r="Q97" i="153" s="1"/>
  <c r="D1" i="153"/>
  <c r="G2" i="153"/>
  <c r="Q2" i="153" s="1"/>
  <c r="G1" i="153"/>
  <c r="Q1" i="153" s="1"/>
  <c r="P133" i="155"/>
  <c r="P132" i="155"/>
  <c r="P131" i="155"/>
  <c r="P130" i="155"/>
  <c r="P129" i="155"/>
  <c r="P128" i="155"/>
  <c r="P127" i="155"/>
  <c r="P126" i="155"/>
  <c r="P125" i="155"/>
  <c r="P124" i="155"/>
  <c r="P123" i="155"/>
  <c r="P122" i="155"/>
  <c r="P121" i="155"/>
  <c r="P120" i="155"/>
  <c r="P119" i="155"/>
  <c r="P118" i="155"/>
  <c r="P117" i="155"/>
  <c r="P116" i="155"/>
  <c r="P115" i="155"/>
  <c r="P114" i="155"/>
  <c r="P113" i="155"/>
  <c r="P112" i="155"/>
  <c r="P111" i="155"/>
  <c r="P110" i="155"/>
  <c r="A97" i="155"/>
  <c r="B97" i="155" s="1"/>
  <c r="A96" i="155"/>
  <c r="C96" i="155" s="1"/>
  <c r="A95" i="155"/>
  <c r="C95" i="155" s="1"/>
  <c r="A94" i="155"/>
  <c r="B94" i="155" s="1"/>
  <c r="A93" i="155"/>
  <c r="A92" i="155"/>
  <c r="C92" i="155" s="1"/>
  <c r="A91" i="155"/>
  <c r="A90" i="155"/>
  <c r="C90" i="155" s="1"/>
  <c r="A89" i="155"/>
  <c r="A88" i="155"/>
  <c r="C88" i="155" s="1"/>
  <c r="A87" i="155"/>
  <c r="A86" i="155"/>
  <c r="C86" i="155" s="1"/>
  <c r="A85" i="155"/>
  <c r="A84" i="155"/>
  <c r="B84" i="155" s="1"/>
  <c r="A83" i="155"/>
  <c r="A82" i="155"/>
  <c r="C82" i="155" s="1"/>
  <c r="A81" i="155"/>
  <c r="A80" i="155"/>
  <c r="B80" i="155" s="1"/>
  <c r="A79" i="155"/>
  <c r="A78" i="155"/>
  <c r="C78" i="155" s="1"/>
  <c r="A77" i="155"/>
  <c r="A76" i="155"/>
  <c r="C76" i="155" s="1"/>
  <c r="A75" i="155"/>
  <c r="A74" i="155"/>
  <c r="A73" i="155"/>
  <c r="A72" i="155"/>
  <c r="C72" i="155" s="1"/>
  <c r="A71" i="155"/>
  <c r="A70" i="155"/>
  <c r="C70" i="155" s="1"/>
  <c r="A69" i="155"/>
  <c r="A68" i="155"/>
  <c r="C68" i="155" s="1"/>
  <c r="A67" i="155"/>
  <c r="A66" i="155"/>
  <c r="A65" i="155"/>
  <c r="A64" i="155"/>
  <c r="C64" i="155" s="1"/>
  <c r="A63" i="155"/>
  <c r="A62" i="155"/>
  <c r="B62" i="155" s="1"/>
  <c r="A61" i="155"/>
  <c r="A60" i="155"/>
  <c r="C60" i="155" s="1"/>
  <c r="A59" i="155"/>
  <c r="A58" i="155"/>
  <c r="C58" i="155" s="1"/>
  <c r="A57" i="155"/>
  <c r="A56" i="155"/>
  <c r="C56" i="155" s="1"/>
  <c r="A55" i="155"/>
  <c r="A54" i="155"/>
  <c r="C54" i="155" s="1"/>
  <c r="A53" i="155"/>
  <c r="A52" i="155"/>
  <c r="B52" i="155" s="1"/>
  <c r="A51" i="155"/>
  <c r="A50" i="155"/>
  <c r="C50" i="155" s="1"/>
  <c r="A49" i="155"/>
  <c r="A48" i="155"/>
  <c r="C48" i="155" s="1"/>
  <c r="A47" i="155"/>
  <c r="A46" i="155"/>
  <c r="C46" i="155" s="1"/>
  <c r="A45" i="155"/>
  <c r="A44" i="155"/>
  <c r="C44" i="155" s="1"/>
  <c r="A43" i="155"/>
  <c r="A42" i="155"/>
  <c r="C42" i="155" s="1"/>
  <c r="A41" i="155"/>
  <c r="A40" i="155"/>
  <c r="C40" i="155" s="1"/>
  <c r="A39" i="155"/>
  <c r="A38" i="155"/>
  <c r="C38" i="155" s="1"/>
  <c r="A37" i="155"/>
  <c r="A36" i="155"/>
  <c r="C36" i="155" s="1"/>
  <c r="A35" i="155"/>
  <c r="A34" i="155"/>
  <c r="A33" i="155"/>
  <c r="A32" i="155"/>
  <c r="C32" i="155" s="1"/>
  <c r="A31" i="155"/>
  <c r="A30" i="155"/>
  <c r="B30" i="155" s="1"/>
  <c r="A29" i="155"/>
  <c r="A28" i="155"/>
  <c r="C28" i="155" s="1"/>
  <c r="A27" i="155"/>
  <c r="A26" i="155"/>
  <c r="C26" i="155" s="1"/>
  <c r="A25" i="155"/>
  <c r="A24" i="155"/>
  <c r="C24" i="155" s="1"/>
  <c r="A23" i="155"/>
  <c r="A22" i="155"/>
  <c r="B22" i="155" s="1"/>
  <c r="A21" i="155"/>
  <c r="A20" i="155"/>
  <c r="B20" i="155" s="1"/>
  <c r="A19" i="155"/>
  <c r="A18" i="155"/>
  <c r="C18" i="155" s="1"/>
  <c r="A17" i="155"/>
  <c r="A16" i="155"/>
  <c r="A15" i="155"/>
  <c r="A14" i="155"/>
  <c r="C14" i="155" s="1"/>
  <c r="A13" i="155"/>
  <c r="A12" i="155"/>
  <c r="B12" i="155" s="1"/>
  <c r="A11" i="155"/>
  <c r="A10" i="155"/>
  <c r="B10" i="155" s="1"/>
  <c r="A9" i="155"/>
  <c r="A8" i="155"/>
  <c r="B8" i="155" s="1"/>
  <c r="A7" i="155"/>
  <c r="A6" i="155"/>
  <c r="B6" i="155" s="1"/>
  <c r="A5" i="155"/>
  <c r="A4" i="155"/>
  <c r="B4" i="155" s="1"/>
  <c r="A3" i="155"/>
  <c r="A2" i="155"/>
  <c r="C2" i="155" s="1"/>
  <c r="R1" i="155"/>
  <c r="A1" i="155"/>
  <c r="N133" i="154"/>
  <c r="N132" i="154"/>
  <c r="N131" i="154"/>
  <c r="N130" i="154"/>
  <c r="N129" i="154"/>
  <c r="N128" i="154"/>
  <c r="N127" i="154"/>
  <c r="N126" i="154"/>
  <c r="N125" i="154"/>
  <c r="N124" i="154"/>
  <c r="N123" i="154"/>
  <c r="N122" i="154"/>
  <c r="N121" i="154"/>
  <c r="N120" i="154"/>
  <c r="N119" i="154"/>
  <c r="N118" i="154"/>
  <c r="N117" i="154"/>
  <c r="N116" i="154"/>
  <c r="N115" i="154"/>
  <c r="N114" i="154"/>
  <c r="N113" i="154"/>
  <c r="N112" i="154"/>
  <c r="N111" i="154"/>
  <c r="N110" i="154"/>
  <c r="N97" i="154"/>
  <c r="A97" i="154"/>
  <c r="C97" i="154" s="1"/>
  <c r="N96" i="154"/>
  <c r="A96" i="154"/>
  <c r="C96" i="154" s="1"/>
  <c r="N95" i="154"/>
  <c r="A95" i="154"/>
  <c r="C95" i="154" s="1"/>
  <c r="N94" i="154"/>
  <c r="A94" i="154"/>
  <c r="C94" i="154" s="1"/>
  <c r="N93" i="154"/>
  <c r="A93" i="154"/>
  <c r="C93" i="154" s="1"/>
  <c r="N92" i="154"/>
  <c r="A92" i="154"/>
  <c r="C92" i="154" s="1"/>
  <c r="N91" i="154"/>
  <c r="A91" i="154"/>
  <c r="C91" i="154" s="1"/>
  <c r="N90" i="154"/>
  <c r="A90" i="154"/>
  <c r="C90" i="154" s="1"/>
  <c r="N89" i="154"/>
  <c r="A89" i="154"/>
  <c r="C89" i="154" s="1"/>
  <c r="N88" i="154"/>
  <c r="A88" i="154"/>
  <c r="B88" i="154" s="1"/>
  <c r="N87" i="154"/>
  <c r="A87" i="154"/>
  <c r="C87" i="154" s="1"/>
  <c r="N86" i="154"/>
  <c r="A86" i="154"/>
  <c r="N85" i="154"/>
  <c r="A85" i="154"/>
  <c r="C85" i="154" s="1"/>
  <c r="N84" i="154"/>
  <c r="A84" i="154"/>
  <c r="C84" i="154" s="1"/>
  <c r="N83" i="154"/>
  <c r="A83" i="154"/>
  <c r="C83" i="154" s="1"/>
  <c r="N82" i="154"/>
  <c r="A82" i="154"/>
  <c r="B82" i="154" s="1"/>
  <c r="N81" i="154"/>
  <c r="A81" i="154"/>
  <c r="C81" i="154" s="1"/>
  <c r="N80" i="154"/>
  <c r="A80" i="154"/>
  <c r="N79" i="154"/>
  <c r="A79" i="154"/>
  <c r="C79" i="154" s="1"/>
  <c r="N78" i="154"/>
  <c r="A78" i="154"/>
  <c r="C78" i="154" s="1"/>
  <c r="N77" i="154"/>
  <c r="A77" i="154"/>
  <c r="B77" i="154" s="1"/>
  <c r="N76" i="154"/>
  <c r="A76" i="154"/>
  <c r="B76" i="154" s="1"/>
  <c r="N75" i="154"/>
  <c r="A75" i="154"/>
  <c r="C75" i="154" s="1"/>
  <c r="N74" i="154"/>
  <c r="A74" i="154"/>
  <c r="B74" i="154" s="1"/>
  <c r="N73" i="154"/>
  <c r="A73" i="154"/>
  <c r="C73" i="154" s="1"/>
  <c r="N72" i="154"/>
  <c r="A72" i="154"/>
  <c r="C72" i="154" s="1"/>
  <c r="N71" i="154"/>
  <c r="A71" i="154"/>
  <c r="C71" i="154" s="1"/>
  <c r="N70" i="154"/>
  <c r="A70" i="154"/>
  <c r="B70" i="154" s="1"/>
  <c r="N69" i="154"/>
  <c r="A69" i="154"/>
  <c r="C69" i="154" s="1"/>
  <c r="N68" i="154"/>
  <c r="A68" i="154"/>
  <c r="C68" i="154" s="1"/>
  <c r="N67" i="154"/>
  <c r="A67" i="154"/>
  <c r="C67" i="154" s="1"/>
  <c r="N66" i="154"/>
  <c r="A66" i="154"/>
  <c r="C66" i="154" s="1"/>
  <c r="N65" i="154"/>
  <c r="A65" i="154"/>
  <c r="C65" i="154" s="1"/>
  <c r="N64" i="154"/>
  <c r="A64" i="154"/>
  <c r="C64" i="154" s="1"/>
  <c r="N63" i="154"/>
  <c r="A63" i="154"/>
  <c r="C63" i="154" s="1"/>
  <c r="N62" i="154"/>
  <c r="A62" i="154"/>
  <c r="C62" i="154" s="1"/>
  <c r="N61" i="154"/>
  <c r="A61" i="154"/>
  <c r="C61" i="154" s="1"/>
  <c r="N60" i="154"/>
  <c r="A60" i="154"/>
  <c r="C60" i="154" s="1"/>
  <c r="N59" i="154"/>
  <c r="A59" i="154"/>
  <c r="C59" i="154" s="1"/>
  <c r="N58" i="154"/>
  <c r="A58" i="154"/>
  <c r="C58" i="154" s="1"/>
  <c r="N57" i="154"/>
  <c r="A57" i="154"/>
  <c r="N56" i="154"/>
  <c r="A56" i="154"/>
  <c r="C56" i="154" s="1"/>
  <c r="N55" i="154"/>
  <c r="A55" i="154"/>
  <c r="B55" i="154" s="1"/>
  <c r="N54" i="154"/>
  <c r="A54" i="154"/>
  <c r="N53" i="154"/>
  <c r="A53" i="154"/>
  <c r="C53" i="154" s="1"/>
  <c r="N52" i="154"/>
  <c r="A52" i="154"/>
  <c r="C52" i="154" s="1"/>
  <c r="N51" i="154"/>
  <c r="A51" i="154"/>
  <c r="C51" i="154" s="1"/>
  <c r="N50" i="154"/>
  <c r="A50" i="154"/>
  <c r="C50" i="154" s="1"/>
  <c r="N49" i="154"/>
  <c r="A49" i="154"/>
  <c r="C49" i="154" s="1"/>
  <c r="N48" i="154"/>
  <c r="A48" i="154"/>
  <c r="B48" i="154" s="1"/>
  <c r="N47" i="154"/>
  <c r="A47" i="154"/>
  <c r="C47" i="154" s="1"/>
  <c r="N46" i="154"/>
  <c r="A46" i="154"/>
  <c r="C46" i="154" s="1"/>
  <c r="N45" i="154"/>
  <c r="A45" i="154"/>
  <c r="C45" i="154" s="1"/>
  <c r="N44" i="154"/>
  <c r="A44" i="154"/>
  <c r="B44" i="154" s="1"/>
  <c r="N43" i="154"/>
  <c r="A43" i="154"/>
  <c r="C43" i="154" s="1"/>
  <c r="N42" i="154"/>
  <c r="A42" i="154"/>
  <c r="B42" i="154" s="1"/>
  <c r="N41" i="154"/>
  <c r="A41" i="154"/>
  <c r="C41" i="154" s="1"/>
  <c r="N40" i="154"/>
  <c r="A40" i="154"/>
  <c r="C40" i="154" s="1"/>
  <c r="N39" i="154"/>
  <c r="A39" i="154"/>
  <c r="C39" i="154" s="1"/>
  <c r="N38" i="154"/>
  <c r="A38" i="154"/>
  <c r="C38" i="154" s="1"/>
  <c r="N37" i="154"/>
  <c r="A37" i="154"/>
  <c r="C37" i="154" s="1"/>
  <c r="N36" i="154"/>
  <c r="A36" i="154"/>
  <c r="C36" i="154" s="1"/>
  <c r="N35" i="154"/>
  <c r="A35" i="154"/>
  <c r="C35" i="154" s="1"/>
  <c r="N34" i="154"/>
  <c r="A34" i="154"/>
  <c r="C34" i="154" s="1"/>
  <c r="N33" i="154"/>
  <c r="A33" i="154"/>
  <c r="C33" i="154" s="1"/>
  <c r="N32" i="154"/>
  <c r="A32" i="154"/>
  <c r="C32" i="154" s="1"/>
  <c r="N31" i="154"/>
  <c r="A31" i="154"/>
  <c r="B31" i="154" s="1"/>
  <c r="N30" i="154"/>
  <c r="A30" i="154"/>
  <c r="N29" i="154"/>
  <c r="A29" i="154"/>
  <c r="C29" i="154" s="1"/>
  <c r="N28" i="154"/>
  <c r="A28" i="154"/>
  <c r="C28" i="154" s="1"/>
  <c r="N27" i="154"/>
  <c r="A27" i="154"/>
  <c r="C27" i="154" s="1"/>
  <c r="N26" i="154"/>
  <c r="A26" i="154"/>
  <c r="C26" i="154" s="1"/>
  <c r="N25" i="154"/>
  <c r="A25" i="154"/>
  <c r="C25" i="154" s="1"/>
  <c r="N24" i="154"/>
  <c r="A24" i="154"/>
  <c r="C24" i="154" s="1"/>
  <c r="N23" i="154"/>
  <c r="A23" i="154"/>
  <c r="C23" i="154" s="1"/>
  <c r="N22" i="154"/>
  <c r="A22" i="154"/>
  <c r="N21" i="154"/>
  <c r="A21" i="154"/>
  <c r="C21" i="154" s="1"/>
  <c r="N20" i="154"/>
  <c r="A20" i="154"/>
  <c r="C20" i="154" s="1"/>
  <c r="N19" i="154"/>
  <c r="A19" i="154"/>
  <c r="C19" i="154" s="1"/>
  <c r="N18" i="154"/>
  <c r="A18" i="154"/>
  <c r="N17" i="154"/>
  <c r="A17" i="154"/>
  <c r="C17" i="154" s="1"/>
  <c r="N16" i="154"/>
  <c r="A16" i="154"/>
  <c r="C16" i="154" s="1"/>
  <c r="N15" i="154"/>
  <c r="A15" i="154"/>
  <c r="C15" i="154" s="1"/>
  <c r="N14" i="154"/>
  <c r="A14" i="154"/>
  <c r="C14" i="154" s="1"/>
  <c r="N13" i="154"/>
  <c r="A13" i="154"/>
  <c r="C13" i="154" s="1"/>
  <c r="N12" i="154"/>
  <c r="A12" i="154"/>
  <c r="B12" i="154" s="1"/>
  <c r="N11" i="154"/>
  <c r="A11" i="154"/>
  <c r="C11" i="154" s="1"/>
  <c r="N10" i="154"/>
  <c r="A10" i="154"/>
  <c r="B10" i="154" s="1"/>
  <c r="N9" i="154"/>
  <c r="A9" i="154"/>
  <c r="C9" i="154" s="1"/>
  <c r="N8" i="154"/>
  <c r="A8" i="154"/>
  <c r="C8" i="154" s="1"/>
  <c r="N7" i="154"/>
  <c r="A7" i="154"/>
  <c r="C7" i="154" s="1"/>
  <c r="N6" i="154"/>
  <c r="A6" i="154"/>
  <c r="B6" i="154" s="1"/>
  <c r="N5" i="154"/>
  <c r="A5" i="154"/>
  <c r="C5" i="154" s="1"/>
  <c r="N4" i="154"/>
  <c r="A4" i="154"/>
  <c r="C4" i="154" s="1"/>
  <c r="N3" i="154"/>
  <c r="A3" i="154"/>
  <c r="C3" i="154" s="1"/>
  <c r="N2" i="154"/>
  <c r="A2" i="154"/>
  <c r="C2" i="154" s="1"/>
  <c r="A1" i="154"/>
  <c r="N97" i="153"/>
  <c r="A97" i="153"/>
  <c r="C97" i="153" s="1"/>
  <c r="N96" i="153"/>
  <c r="A96" i="153"/>
  <c r="C96" i="153" s="1"/>
  <c r="N95" i="153"/>
  <c r="A95" i="153"/>
  <c r="N94" i="153"/>
  <c r="A94" i="153"/>
  <c r="N93" i="153"/>
  <c r="A93" i="153"/>
  <c r="B93" i="153" s="1"/>
  <c r="N92" i="153"/>
  <c r="A92" i="153"/>
  <c r="C92" i="153" s="1"/>
  <c r="N91" i="153"/>
  <c r="A91" i="153"/>
  <c r="N90" i="153"/>
  <c r="A90" i="153"/>
  <c r="N89" i="153"/>
  <c r="A89" i="153"/>
  <c r="C89" i="153" s="1"/>
  <c r="N88" i="153"/>
  <c r="A88" i="153"/>
  <c r="C88" i="153" s="1"/>
  <c r="N87" i="153"/>
  <c r="A87" i="153"/>
  <c r="C87" i="153" s="1"/>
  <c r="N86" i="153"/>
  <c r="A86" i="153"/>
  <c r="B86" i="153" s="1"/>
  <c r="N85" i="153"/>
  <c r="A85" i="153"/>
  <c r="C85" i="153" s="1"/>
  <c r="N84" i="153"/>
  <c r="A84" i="153"/>
  <c r="C84" i="153" s="1"/>
  <c r="N83" i="153"/>
  <c r="A83" i="153"/>
  <c r="C83" i="153" s="1"/>
  <c r="N82" i="153"/>
  <c r="A82" i="153"/>
  <c r="C82" i="153" s="1"/>
  <c r="N81" i="153"/>
  <c r="A81" i="153"/>
  <c r="C81" i="153" s="1"/>
  <c r="N80" i="153"/>
  <c r="A80" i="153"/>
  <c r="C80" i="153" s="1"/>
  <c r="N79" i="153"/>
  <c r="A79" i="153"/>
  <c r="B79" i="153" s="1"/>
  <c r="N78" i="153"/>
  <c r="A78" i="153"/>
  <c r="C78" i="153" s="1"/>
  <c r="N77" i="153"/>
  <c r="A77" i="153"/>
  <c r="N76" i="153"/>
  <c r="A76" i="153"/>
  <c r="C76" i="153" s="1"/>
  <c r="N75" i="153"/>
  <c r="A75" i="153"/>
  <c r="C75" i="153" s="1"/>
  <c r="N74" i="153"/>
  <c r="A74" i="153"/>
  <c r="B74" i="153" s="1"/>
  <c r="N73" i="153"/>
  <c r="A73" i="153"/>
  <c r="C73" i="153" s="1"/>
  <c r="N72" i="153"/>
  <c r="A72" i="153"/>
  <c r="C72" i="153" s="1"/>
  <c r="N71" i="153"/>
  <c r="A71" i="153"/>
  <c r="B71" i="153" s="1"/>
  <c r="N70" i="153"/>
  <c r="A70" i="153"/>
  <c r="C70" i="153" s="1"/>
  <c r="N69" i="153"/>
  <c r="A69" i="153"/>
  <c r="B69" i="153" s="1"/>
  <c r="N68" i="153"/>
  <c r="A68" i="153"/>
  <c r="C68" i="153" s="1"/>
  <c r="N67" i="153"/>
  <c r="A67" i="153"/>
  <c r="C67" i="153" s="1"/>
  <c r="N66" i="153"/>
  <c r="A66" i="153"/>
  <c r="B66" i="153" s="1"/>
  <c r="N65" i="153"/>
  <c r="A65" i="153"/>
  <c r="C65" i="153" s="1"/>
  <c r="N64" i="153"/>
  <c r="A64" i="153"/>
  <c r="C64" i="153" s="1"/>
  <c r="N63" i="153"/>
  <c r="A63" i="153"/>
  <c r="C63" i="153" s="1"/>
  <c r="N62" i="153"/>
  <c r="A62" i="153"/>
  <c r="C62" i="153" s="1"/>
  <c r="N61" i="153"/>
  <c r="A61" i="153"/>
  <c r="C61" i="153" s="1"/>
  <c r="N60" i="153"/>
  <c r="A60" i="153"/>
  <c r="N59" i="153"/>
  <c r="A59" i="153"/>
  <c r="C59" i="153" s="1"/>
  <c r="N58" i="153"/>
  <c r="A58" i="153"/>
  <c r="B58" i="153" s="1"/>
  <c r="N57" i="153"/>
  <c r="A57" i="153"/>
  <c r="C57" i="153" s="1"/>
  <c r="N56" i="153"/>
  <c r="A56" i="153"/>
  <c r="N55" i="153"/>
  <c r="A55" i="153"/>
  <c r="C55" i="153" s="1"/>
  <c r="N54" i="153"/>
  <c r="A54" i="153"/>
  <c r="B54" i="153" s="1"/>
  <c r="N53" i="153"/>
  <c r="A53" i="153"/>
  <c r="C53" i="153" s="1"/>
  <c r="N52" i="153"/>
  <c r="A52" i="153"/>
  <c r="C52" i="153" s="1"/>
  <c r="N51" i="153"/>
  <c r="A51" i="153"/>
  <c r="B51" i="153" s="1"/>
  <c r="N50" i="153"/>
  <c r="A50" i="153"/>
  <c r="C50" i="153" s="1"/>
  <c r="N49" i="153"/>
  <c r="A49" i="153"/>
  <c r="C49" i="153" s="1"/>
  <c r="N48" i="153"/>
  <c r="A48" i="153"/>
  <c r="N47" i="153"/>
  <c r="A47" i="153"/>
  <c r="C47" i="153" s="1"/>
  <c r="N46" i="153"/>
  <c r="A46" i="153"/>
  <c r="B46" i="153" s="1"/>
  <c r="N45" i="153"/>
  <c r="A45" i="153"/>
  <c r="C45" i="153" s="1"/>
  <c r="N44" i="153"/>
  <c r="A44" i="153"/>
  <c r="C44" i="153" s="1"/>
  <c r="N43" i="153"/>
  <c r="A43" i="153"/>
  <c r="B43" i="153" s="1"/>
  <c r="N42" i="153"/>
  <c r="A42" i="153"/>
  <c r="C42" i="153" s="1"/>
  <c r="N41" i="153"/>
  <c r="A41" i="153"/>
  <c r="C41" i="153" s="1"/>
  <c r="N40" i="153"/>
  <c r="A40" i="153"/>
  <c r="N39" i="153"/>
  <c r="A39" i="153"/>
  <c r="C39" i="153" s="1"/>
  <c r="N38" i="153"/>
  <c r="A38" i="153"/>
  <c r="B38" i="153" s="1"/>
  <c r="N37" i="153"/>
  <c r="A37" i="153"/>
  <c r="C37" i="153" s="1"/>
  <c r="N36" i="153"/>
  <c r="A36" i="153"/>
  <c r="C36" i="153" s="1"/>
  <c r="N35" i="153"/>
  <c r="A35" i="153"/>
  <c r="B35" i="153" s="1"/>
  <c r="N34" i="153"/>
  <c r="A34" i="153"/>
  <c r="C34" i="153" s="1"/>
  <c r="N33" i="153"/>
  <c r="A33" i="153"/>
  <c r="N32" i="153"/>
  <c r="A32" i="153"/>
  <c r="N31" i="153"/>
  <c r="A31" i="153"/>
  <c r="B31" i="153" s="1"/>
  <c r="N30" i="153"/>
  <c r="A30" i="153"/>
  <c r="B30" i="153" s="1"/>
  <c r="N29" i="153"/>
  <c r="A29" i="153"/>
  <c r="C29" i="153" s="1"/>
  <c r="N28" i="153"/>
  <c r="A28" i="153"/>
  <c r="C28" i="153" s="1"/>
  <c r="N27" i="153"/>
  <c r="A27" i="153"/>
  <c r="B27" i="153" s="1"/>
  <c r="N26" i="153"/>
  <c r="A26" i="153"/>
  <c r="C26" i="153" s="1"/>
  <c r="N25" i="153"/>
  <c r="A25" i="153"/>
  <c r="C25" i="153" s="1"/>
  <c r="N24" i="153"/>
  <c r="A24" i="153"/>
  <c r="N23" i="153"/>
  <c r="A23" i="153"/>
  <c r="B23" i="153" s="1"/>
  <c r="N22" i="153"/>
  <c r="A22" i="153"/>
  <c r="B22" i="153" s="1"/>
  <c r="N21" i="153"/>
  <c r="A21" i="153"/>
  <c r="N20" i="153"/>
  <c r="A20" i="153"/>
  <c r="C20" i="153" s="1"/>
  <c r="N19" i="153"/>
  <c r="A19" i="153"/>
  <c r="B19" i="153" s="1"/>
  <c r="N18" i="153"/>
  <c r="A18" i="153"/>
  <c r="C18" i="153" s="1"/>
  <c r="N17" i="153"/>
  <c r="A17" i="153"/>
  <c r="C17" i="153" s="1"/>
  <c r="N16" i="153"/>
  <c r="A16" i="153"/>
  <c r="N15" i="153"/>
  <c r="A15" i="153"/>
  <c r="C15" i="153" s="1"/>
  <c r="N14" i="153"/>
  <c r="A14" i="153"/>
  <c r="B14" i="153" s="1"/>
  <c r="N13" i="153"/>
  <c r="A13" i="153"/>
  <c r="C13" i="153" s="1"/>
  <c r="N12" i="153"/>
  <c r="A12" i="153"/>
  <c r="C12" i="153" s="1"/>
  <c r="N11" i="153"/>
  <c r="A11" i="153"/>
  <c r="B11" i="153" s="1"/>
  <c r="N10" i="153"/>
  <c r="A10" i="153"/>
  <c r="C10" i="153" s="1"/>
  <c r="N9" i="153"/>
  <c r="A9" i="153"/>
  <c r="C9" i="153" s="1"/>
  <c r="N8" i="153"/>
  <c r="A8" i="153"/>
  <c r="N7" i="153"/>
  <c r="A7" i="153"/>
  <c r="B7" i="153" s="1"/>
  <c r="N6" i="153"/>
  <c r="A6" i="153"/>
  <c r="B6" i="153" s="1"/>
  <c r="N5" i="153"/>
  <c r="A5" i="153"/>
  <c r="C5" i="153" s="1"/>
  <c r="N4" i="153"/>
  <c r="A4" i="153"/>
  <c r="C4" i="153" s="1"/>
  <c r="N3" i="153"/>
  <c r="A3" i="153"/>
  <c r="B3" i="153" s="1"/>
  <c r="N2" i="153"/>
  <c r="A2" i="153"/>
  <c r="C2" i="153" s="1"/>
  <c r="P1" i="153"/>
  <c r="A1" i="153"/>
  <c r="J110" i="152"/>
  <c r="J111" i="152"/>
  <c r="J112" i="152"/>
  <c r="J113" i="152"/>
  <c r="J114" i="152"/>
  <c r="J115" i="152"/>
  <c r="J116" i="152"/>
  <c r="J117" i="152"/>
  <c r="J118" i="152"/>
  <c r="J119" i="152"/>
  <c r="J120" i="152"/>
  <c r="J121" i="152"/>
  <c r="J122" i="152"/>
  <c r="J123" i="152"/>
  <c r="J124" i="152"/>
  <c r="J125" i="152"/>
  <c r="J126" i="152"/>
  <c r="J127" i="152"/>
  <c r="J128" i="152"/>
  <c r="J129" i="152"/>
  <c r="J130" i="152"/>
  <c r="J131" i="152"/>
  <c r="J132" i="152"/>
  <c r="J133" i="152"/>
  <c r="D1" i="152"/>
  <c r="O110" i="77"/>
  <c r="O111" i="77"/>
  <c r="O112" i="77"/>
  <c r="O113" i="77"/>
  <c r="O114" i="77"/>
  <c r="O115" i="77"/>
  <c r="O116" i="77"/>
  <c r="O117" i="77"/>
  <c r="O118" i="77"/>
  <c r="O119" i="77"/>
  <c r="O120" i="77"/>
  <c r="O121" i="77"/>
  <c r="O122" i="77"/>
  <c r="O123" i="77"/>
  <c r="O124" i="77"/>
  <c r="O125" i="77"/>
  <c r="O126" i="77"/>
  <c r="O127" i="77"/>
  <c r="O128" i="77"/>
  <c r="O129" i="77"/>
  <c r="O130" i="77"/>
  <c r="O131" i="77"/>
  <c r="O132" i="77"/>
  <c r="O133" i="77"/>
  <c r="D1" i="151"/>
  <c r="I3" i="151"/>
  <c r="I4" i="151"/>
  <c r="I5" i="151"/>
  <c r="I6" i="151"/>
  <c r="I7" i="151"/>
  <c r="I8" i="151"/>
  <c r="I9" i="151"/>
  <c r="I10" i="151"/>
  <c r="I11" i="151"/>
  <c r="I12" i="151"/>
  <c r="I13" i="151"/>
  <c r="I14" i="151"/>
  <c r="I15" i="151"/>
  <c r="I16" i="151"/>
  <c r="I17" i="151"/>
  <c r="I18" i="151"/>
  <c r="I19" i="151"/>
  <c r="I20" i="151"/>
  <c r="I21" i="151"/>
  <c r="I22" i="151"/>
  <c r="I23" i="151"/>
  <c r="I24" i="151"/>
  <c r="I25" i="151"/>
  <c r="I26" i="151"/>
  <c r="I27" i="151"/>
  <c r="I28" i="151"/>
  <c r="I29" i="151"/>
  <c r="I30" i="151"/>
  <c r="I31" i="151"/>
  <c r="I32" i="151"/>
  <c r="I33" i="151"/>
  <c r="I34" i="151"/>
  <c r="I35" i="151"/>
  <c r="I36" i="151"/>
  <c r="I37" i="151"/>
  <c r="I38" i="151"/>
  <c r="I39" i="151"/>
  <c r="I40" i="151"/>
  <c r="I41" i="151"/>
  <c r="I42" i="151"/>
  <c r="I43" i="151"/>
  <c r="I44" i="151"/>
  <c r="I45" i="151"/>
  <c r="I46" i="151"/>
  <c r="I47" i="151"/>
  <c r="I48" i="151"/>
  <c r="I49" i="151"/>
  <c r="I50" i="151"/>
  <c r="I51" i="151"/>
  <c r="I52" i="151"/>
  <c r="I53" i="151"/>
  <c r="I54" i="151"/>
  <c r="I55" i="151"/>
  <c r="I56" i="151"/>
  <c r="I57" i="151"/>
  <c r="I58" i="151"/>
  <c r="I59" i="151"/>
  <c r="I60" i="151"/>
  <c r="I61" i="151"/>
  <c r="I62" i="151"/>
  <c r="I63" i="151"/>
  <c r="I64" i="151"/>
  <c r="I65" i="151"/>
  <c r="I66" i="151"/>
  <c r="I67" i="151"/>
  <c r="I68" i="151"/>
  <c r="I69" i="151"/>
  <c r="I70" i="151"/>
  <c r="I71" i="151"/>
  <c r="I72" i="151"/>
  <c r="I73" i="151"/>
  <c r="I74" i="151"/>
  <c r="I75" i="151"/>
  <c r="I76" i="151"/>
  <c r="I77" i="151"/>
  <c r="I78" i="151"/>
  <c r="I79" i="151"/>
  <c r="I80" i="151"/>
  <c r="I81" i="151"/>
  <c r="I82" i="151"/>
  <c r="I83" i="151"/>
  <c r="I84" i="151"/>
  <c r="I85" i="151"/>
  <c r="I86" i="151"/>
  <c r="I87" i="151"/>
  <c r="I88" i="151"/>
  <c r="I89" i="151"/>
  <c r="I90" i="151"/>
  <c r="I91" i="151"/>
  <c r="I92" i="151"/>
  <c r="I93" i="151"/>
  <c r="I94" i="151"/>
  <c r="I95" i="151"/>
  <c r="I96" i="151"/>
  <c r="I97" i="151"/>
  <c r="I110" i="151"/>
  <c r="I111" i="151"/>
  <c r="I112" i="151"/>
  <c r="I113" i="151"/>
  <c r="I114" i="151"/>
  <c r="I115" i="151"/>
  <c r="I116" i="151"/>
  <c r="I117" i="151"/>
  <c r="I118" i="151"/>
  <c r="I119" i="151"/>
  <c r="I120" i="151"/>
  <c r="I121" i="151"/>
  <c r="I122" i="151"/>
  <c r="I123" i="151"/>
  <c r="I124" i="151"/>
  <c r="I125" i="151"/>
  <c r="I126" i="151"/>
  <c r="I127" i="151"/>
  <c r="I128" i="151"/>
  <c r="I129" i="151"/>
  <c r="I130" i="151"/>
  <c r="I131" i="151"/>
  <c r="I132" i="151"/>
  <c r="I133" i="151"/>
  <c r="I2" i="151"/>
  <c r="M3" i="36"/>
  <c r="M4" i="36"/>
  <c r="M5" i="36"/>
  <c r="M6" i="36"/>
  <c r="M7" i="36"/>
  <c r="M8" i="36"/>
  <c r="M9" i="36"/>
  <c r="M10" i="36"/>
  <c r="M11" i="36"/>
  <c r="M12" i="36"/>
  <c r="M13" i="36"/>
  <c r="M14" i="36"/>
  <c r="M15" i="36"/>
  <c r="M16" i="36"/>
  <c r="M17" i="36"/>
  <c r="M18" i="36"/>
  <c r="M19" i="36"/>
  <c r="M20" i="36"/>
  <c r="M21" i="36"/>
  <c r="M22" i="36"/>
  <c r="M23" i="36"/>
  <c r="M24" i="36"/>
  <c r="M25" i="36"/>
  <c r="M26" i="36"/>
  <c r="M27" i="36"/>
  <c r="M28" i="36"/>
  <c r="M29" i="36"/>
  <c r="M30" i="36"/>
  <c r="M31" i="36"/>
  <c r="M32" i="36"/>
  <c r="M33" i="36"/>
  <c r="M34" i="36"/>
  <c r="M35" i="36"/>
  <c r="M36" i="36"/>
  <c r="M37" i="36"/>
  <c r="M38" i="36"/>
  <c r="M39" i="36"/>
  <c r="M40" i="36"/>
  <c r="M41" i="36"/>
  <c r="M42" i="36"/>
  <c r="M43" i="36"/>
  <c r="M44" i="36"/>
  <c r="M45" i="36"/>
  <c r="M46" i="36"/>
  <c r="M47" i="36"/>
  <c r="M48" i="36"/>
  <c r="M49" i="36"/>
  <c r="M50" i="36"/>
  <c r="M51" i="36"/>
  <c r="M52" i="36"/>
  <c r="M53" i="36"/>
  <c r="M54" i="36"/>
  <c r="M55" i="36"/>
  <c r="M56" i="36"/>
  <c r="M57" i="36"/>
  <c r="M58" i="36"/>
  <c r="M59" i="36"/>
  <c r="M60" i="36"/>
  <c r="M61" i="36"/>
  <c r="M62" i="36"/>
  <c r="M63" i="36"/>
  <c r="M64" i="36"/>
  <c r="M65" i="36"/>
  <c r="M66" i="36"/>
  <c r="M67" i="36"/>
  <c r="M68" i="36"/>
  <c r="M69" i="36"/>
  <c r="M70" i="36"/>
  <c r="M71" i="36"/>
  <c r="M72" i="36"/>
  <c r="M73" i="36"/>
  <c r="M74" i="36"/>
  <c r="M75" i="36"/>
  <c r="M76" i="36"/>
  <c r="M77" i="36"/>
  <c r="M78" i="36"/>
  <c r="M79" i="36"/>
  <c r="M80" i="36"/>
  <c r="M81" i="36"/>
  <c r="M82" i="36"/>
  <c r="M83" i="36"/>
  <c r="M84" i="36"/>
  <c r="M85" i="36"/>
  <c r="M86" i="36"/>
  <c r="M87" i="36"/>
  <c r="M88" i="36"/>
  <c r="M89" i="36"/>
  <c r="M90" i="36"/>
  <c r="M91" i="36"/>
  <c r="M92" i="36"/>
  <c r="M93" i="36"/>
  <c r="M94" i="36"/>
  <c r="M95" i="36"/>
  <c r="M96" i="36"/>
  <c r="M97" i="36"/>
  <c r="M110" i="36"/>
  <c r="M111" i="36"/>
  <c r="M112" i="36"/>
  <c r="M113" i="36"/>
  <c r="M114" i="36"/>
  <c r="M115" i="36"/>
  <c r="M116" i="36"/>
  <c r="M117" i="36"/>
  <c r="M118" i="36"/>
  <c r="M119" i="36"/>
  <c r="M120" i="36"/>
  <c r="M121" i="36"/>
  <c r="M122" i="36"/>
  <c r="M123" i="36"/>
  <c r="M124" i="36"/>
  <c r="M125" i="36"/>
  <c r="M126" i="36"/>
  <c r="M127" i="36"/>
  <c r="M128" i="36"/>
  <c r="M129" i="36"/>
  <c r="M130" i="36"/>
  <c r="M131" i="36"/>
  <c r="M132" i="36"/>
  <c r="M133" i="36"/>
  <c r="M2" i="36"/>
  <c r="D1" i="32"/>
  <c r="I2" i="32"/>
  <c r="A97" i="152"/>
  <c r="C97" i="152" s="1"/>
  <c r="A96" i="152"/>
  <c r="B96" i="152" s="1"/>
  <c r="A95" i="152"/>
  <c r="B95" i="152" s="1"/>
  <c r="A94" i="152"/>
  <c r="C94" i="152" s="1"/>
  <c r="A93" i="152"/>
  <c r="B93" i="152" s="1"/>
  <c r="A92" i="152"/>
  <c r="A91" i="152"/>
  <c r="B91" i="152" s="1"/>
  <c r="A90" i="152"/>
  <c r="A89" i="152"/>
  <c r="C89" i="152" s="1"/>
  <c r="A88" i="152"/>
  <c r="A87" i="152"/>
  <c r="A86" i="152"/>
  <c r="B86" i="152" s="1"/>
  <c r="A85" i="152"/>
  <c r="A84" i="152"/>
  <c r="B84" i="152" s="1"/>
  <c r="A83" i="152"/>
  <c r="C83" i="152" s="1"/>
  <c r="A82" i="152"/>
  <c r="A81" i="152"/>
  <c r="C81" i="152" s="1"/>
  <c r="A80" i="152"/>
  <c r="C80" i="152" s="1"/>
  <c r="A79" i="152"/>
  <c r="A78" i="152"/>
  <c r="C78" i="152" s="1"/>
  <c r="A77" i="152"/>
  <c r="B77" i="152" s="1"/>
  <c r="A76" i="152"/>
  <c r="A75" i="152"/>
  <c r="C75" i="152" s="1"/>
  <c r="A74" i="152"/>
  <c r="A73" i="152"/>
  <c r="C73" i="152" s="1"/>
  <c r="A72" i="152"/>
  <c r="C72" i="152" s="1"/>
  <c r="A71" i="152"/>
  <c r="A70" i="152"/>
  <c r="B70" i="152" s="1"/>
  <c r="A69" i="152"/>
  <c r="B69" i="152" s="1"/>
  <c r="A68" i="152"/>
  <c r="B68" i="152" s="1"/>
  <c r="A67" i="152"/>
  <c r="C67" i="152" s="1"/>
  <c r="A66" i="152"/>
  <c r="C66" i="152" s="1"/>
  <c r="A65" i="152"/>
  <c r="C65" i="152" s="1"/>
  <c r="A64" i="152"/>
  <c r="C64" i="152" s="1"/>
  <c r="A63" i="152"/>
  <c r="A62" i="152"/>
  <c r="C62" i="152" s="1"/>
  <c r="A61" i="152"/>
  <c r="A60" i="152"/>
  <c r="C60" i="152" s="1"/>
  <c r="A59" i="152"/>
  <c r="A58" i="152"/>
  <c r="C58" i="152" s="1"/>
  <c r="A57" i="152"/>
  <c r="C57" i="152" s="1"/>
  <c r="A56" i="152"/>
  <c r="B56" i="152" s="1"/>
  <c r="A55" i="152"/>
  <c r="B55" i="152" s="1"/>
  <c r="A54" i="152"/>
  <c r="C54" i="152" s="1"/>
  <c r="A53" i="152"/>
  <c r="B53" i="152" s="1"/>
  <c r="A52" i="152"/>
  <c r="C52" i="152" s="1"/>
  <c r="A51" i="152"/>
  <c r="C51" i="152" s="1"/>
  <c r="A50" i="152"/>
  <c r="C50" i="152" s="1"/>
  <c r="A49" i="152"/>
  <c r="C49" i="152" s="1"/>
  <c r="A48" i="152"/>
  <c r="C48" i="152" s="1"/>
  <c r="A47" i="152"/>
  <c r="B47" i="152" s="1"/>
  <c r="A46" i="152"/>
  <c r="B46" i="152" s="1"/>
  <c r="A45" i="152"/>
  <c r="A44" i="152"/>
  <c r="C44" i="152" s="1"/>
  <c r="A43" i="152"/>
  <c r="C43" i="152" s="1"/>
  <c r="A42" i="152"/>
  <c r="C42" i="152" s="1"/>
  <c r="A41" i="152"/>
  <c r="C41" i="152" s="1"/>
  <c r="A40" i="152"/>
  <c r="B40" i="152" s="1"/>
  <c r="A39" i="152"/>
  <c r="A38" i="152"/>
  <c r="B38" i="152" s="1"/>
  <c r="A37" i="152"/>
  <c r="B37" i="152" s="1"/>
  <c r="A36" i="152"/>
  <c r="A35" i="152"/>
  <c r="C35" i="152" s="1"/>
  <c r="A34" i="152"/>
  <c r="C34" i="152" s="1"/>
  <c r="A33" i="152"/>
  <c r="C33" i="152" s="1"/>
  <c r="A32" i="152"/>
  <c r="B32" i="152" s="1"/>
  <c r="A31" i="152"/>
  <c r="B31" i="152" s="1"/>
  <c r="A30" i="152"/>
  <c r="C30" i="152" s="1"/>
  <c r="A29" i="152"/>
  <c r="A28" i="152"/>
  <c r="C28" i="152" s="1"/>
  <c r="A27" i="152"/>
  <c r="B27" i="152" s="1"/>
  <c r="A26" i="152"/>
  <c r="A25" i="152"/>
  <c r="C25" i="152" s="1"/>
  <c r="A24" i="152"/>
  <c r="C24" i="152" s="1"/>
  <c r="A23" i="152"/>
  <c r="B23" i="152" s="1"/>
  <c r="A22" i="152"/>
  <c r="B22" i="152" s="1"/>
  <c r="A21" i="152"/>
  <c r="B21" i="152" s="1"/>
  <c r="A20" i="152"/>
  <c r="B20" i="152" s="1"/>
  <c r="A19" i="152"/>
  <c r="C19" i="152" s="1"/>
  <c r="A18" i="152"/>
  <c r="C18" i="152" s="1"/>
  <c r="A17" i="152"/>
  <c r="C17" i="152" s="1"/>
  <c r="A16" i="152"/>
  <c r="B16" i="152" s="1"/>
  <c r="A15" i="152"/>
  <c r="B15" i="152" s="1"/>
  <c r="A14" i="152"/>
  <c r="A13" i="152"/>
  <c r="B13" i="152" s="1"/>
  <c r="A12" i="152"/>
  <c r="C12" i="152" s="1"/>
  <c r="A11" i="152"/>
  <c r="B11" i="152" s="1"/>
  <c r="A10" i="152"/>
  <c r="C10" i="152" s="1"/>
  <c r="A9" i="152"/>
  <c r="C9" i="152" s="1"/>
  <c r="A8" i="152"/>
  <c r="B8" i="152" s="1"/>
  <c r="A7" i="152"/>
  <c r="B7" i="152" s="1"/>
  <c r="A6" i="152"/>
  <c r="C6" i="152" s="1"/>
  <c r="A5" i="152"/>
  <c r="B5" i="152" s="1"/>
  <c r="A4" i="152"/>
  <c r="C4" i="152" s="1"/>
  <c r="A3" i="152"/>
  <c r="C3" i="152" s="1"/>
  <c r="A2" i="152"/>
  <c r="C2" i="152" s="1"/>
  <c r="F1" i="152"/>
  <c r="K1" i="152" s="1"/>
  <c r="E1" i="152"/>
  <c r="A1" i="152"/>
  <c r="A97" i="151"/>
  <c r="A96" i="151"/>
  <c r="C96" i="151" s="1"/>
  <c r="A95" i="151"/>
  <c r="C95" i="151" s="1"/>
  <c r="A94" i="151"/>
  <c r="C94" i="151" s="1"/>
  <c r="A93" i="151"/>
  <c r="C93" i="151" s="1"/>
  <c r="A92" i="151"/>
  <c r="B92" i="151" s="1"/>
  <c r="A91" i="151"/>
  <c r="A90" i="151"/>
  <c r="C90" i="151" s="1"/>
  <c r="A89" i="151"/>
  <c r="C89" i="151" s="1"/>
  <c r="A88" i="151"/>
  <c r="A87" i="151"/>
  <c r="C87" i="151" s="1"/>
  <c r="A86" i="151"/>
  <c r="C86" i="151" s="1"/>
  <c r="A85" i="151"/>
  <c r="C85" i="151" s="1"/>
  <c r="A84" i="151"/>
  <c r="C84" i="151" s="1"/>
  <c r="A83" i="151"/>
  <c r="C83" i="151" s="1"/>
  <c r="A82" i="151"/>
  <c r="B82" i="151" s="1"/>
  <c r="A81" i="151"/>
  <c r="C81" i="151" s="1"/>
  <c r="A80" i="151"/>
  <c r="C80" i="151" s="1"/>
  <c r="A79" i="151"/>
  <c r="C79" i="151" s="1"/>
  <c r="A78" i="151"/>
  <c r="B78" i="151" s="1"/>
  <c r="A77" i="151"/>
  <c r="B77" i="151" s="1"/>
  <c r="A76" i="151"/>
  <c r="B76" i="151" s="1"/>
  <c r="A75" i="151"/>
  <c r="A74" i="151"/>
  <c r="C74" i="151" s="1"/>
  <c r="A73" i="151"/>
  <c r="C73" i="151" s="1"/>
  <c r="A72" i="151"/>
  <c r="A71" i="151"/>
  <c r="B71" i="151" s="1"/>
  <c r="A70" i="151"/>
  <c r="C70" i="151" s="1"/>
  <c r="A69" i="151"/>
  <c r="C69" i="151" s="1"/>
  <c r="A68" i="151"/>
  <c r="C68" i="151" s="1"/>
  <c r="A67" i="151"/>
  <c r="C67" i="151" s="1"/>
  <c r="A66" i="151"/>
  <c r="B66" i="151" s="1"/>
  <c r="A65" i="151"/>
  <c r="C65" i="151" s="1"/>
  <c r="A64" i="151"/>
  <c r="B64" i="151" s="1"/>
  <c r="A63" i="151"/>
  <c r="B63" i="151" s="1"/>
  <c r="A62" i="151"/>
  <c r="C62" i="151" s="1"/>
  <c r="A61" i="151"/>
  <c r="B61" i="151" s="1"/>
  <c r="A60" i="151"/>
  <c r="C60" i="151" s="1"/>
  <c r="A59" i="151"/>
  <c r="C59" i="151" s="1"/>
  <c r="A58" i="151"/>
  <c r="C58" i="151" s="1"/>
  <c r="A57" i="151"/>
  <c r="A56" i="151"/>
  <c r="B56" i="151" s="1"/>
  <c r="A55" i="151"/>
  <c r="B55" i="151" s="1"/>
  <c r="A54" i="151"/>
  <c r="C54" i="151" s="1"/>
  <c r="A53" i="151"/>
  <c r="C53" i="151" s="1"/>
  <c r="A52" i="151"/>
  <c r="C52" i="151" s="1"/>
  <c r="A51" i="151"/>
  <c r="C51" i="151" s="1"/>
  <c r="A50" i="151"/>
  <c r="B50" i="151" s="1"/>
  <c r="A49" i="151"/>
  <c r="C49" i="151" s="1"/>
  <c r="A48" i="151"/>
  <c r="A47" i="151"/>
  <c r="B47" i="151" s="1"/>
  <c r="A46" i="151"/>
  <c r="C46" i="151" s="1"/>
  <c r="A45" i="151"/>
  <c r="C45" i="151" s="1"/>
  <c r="A44" i="151"/>
  <c r="C44" i="151" s="1"/>
  <c r="A43" i="151"/>
  <c r="B43" i="151" s="1"/>
  <c r="A42" i="151"/>
  <c r="C42" i="151" s="1"/>
  <c r="A41" i="151"/>
  <c r="B41" i="151" s="1"/>
  <c r="A40" i="151"/>
  <c r="C40" i="151" s="1"/>
  <c r="A39" i="151"/>
  <c r="A38" i="151"/>
  <c r="A37" i="151"/>
  <c r="B37" i="151" s="1"/>
  <c r="A36" i="151"/>
  <c r="C36" i="151" s="1"/>
  <c r="A35" i="151"/>
  <c r="A34" i="151"/>
  <c r="C34" i="151" s="1"/>
  <c r="A33" i="151"/>
  <c r="C33" i="151" s="1"/>
  <c r="A32" i="151"/>
  <c r="C32" i="151" s="1"/>
  <c r="A31" i="151"/>
  <c r="C31" i="151" s="1"/>
  <c r="A30" i="151"/>
  <c r="A29" i="151"/>
  <c r="C29" i="151" s="1"/>
  <c r="A28" i="151"/>
  <c r="C28" i="151" s="1"/>
  <c r="A27" i="151"/>
  <c r="A26" i="151"/>
  <c r="C26" i="151" s="1"/>
  <c r="A25" i="151"/>
  <c r="B25" i="151" s="1"/>
  <c r="A24" i="151"/>
  <c r="C24" i="151" s="1"/>
  <c r="A23" i="151"/>
  <c r="B23" i="151" s="1"/>
  <c r="A22" i="151"/>
  <c r="C22" i="151" s="1"/>
  <c r="A21" i="151"/>
  <c r="C21" i="151" s="1"/>
  <c r="A20" i="151"/>
  <c r="C20" i="151" s="1"/>
  <c r="A19" i="151"/>
  <c r="C19" i="151" s="1"/>
  <c r="A18" i="151"/>
  <c r="A17" i="151"/>
  <c r="B17" i="151" s="1"/>
  <c r="A16" i="151"/>
  <c r="B16" i="151" s="1"/>
  <c r="A15" i="151"/>
  <c r="C15" i="151" s="1"/>
  <c r="A14" i="151"/>
  <c r="C14" i="151" s="1"/>
  <c r="A13" i="151"/>
  <c r="C13" i="151" s="1"/>
  <c r="A12" i="151"/>
  <c r="C12" i="151" s="1"/>
  <c r="A11" i="151"/>
  <c r="C11" i="151" s="1"/>
  <c r="A10" i="151"/>
  <c r="B10" i="151" s="1"/>
  <c r="A9" i="151"/>
  <c r="B9" i="151" s="1"/>
  <c r="A8" i="151"/>
  <c r="A7" i="151"/>
  <c r="B7" i="151" s="1"/>
  <c r="A6" i="151"/>
  <c r="C6" i="151" s="1"/>
  <c r="A5" i="151"/>
  <c r="B5" i="151" s="1"/>
  <c r="A4" i="151"/>
  <c r="C4" i="151" s="1"/>
  <c r="A3" i="151"/>
  <c r="C3" i="151" s="1"/>
  <c r="A2" i="151"/>
  <c r="C2" i="151" s="1"/>
  <c r="E1" i="151"/>
  <c r="J1" i="151" s="1"/>
  <c r="A1" i="151"/>
  <c r="M97" i="150"/>
  <c r="G97" i="150"/>
  <c r="P97" i="150" s="1"/>
  <c r="A97" i="150"/>
  <c r="C97" i="150" s="1"/>
  <c r="M96" i="150"/>
  <c r="G96" i="150"/>
  <c r="P96" i="150" s="1"/>
  <c r="A96" i="150"/>
  <c r="B96" i="150" s="1"/>
  <c r="M95" i="150"/>
  <c r="G95" i="150"/>
  <c r="P95" i="150" s="1"/>
  <c r="A95" i="150"/>
  <c r="C95" i="150" s="1"/>
  <c r="M94" i="150"/>
  <c r="G94" i="150"/>
  <c r="P94" i="150" s="1"/>
  <c r="A94" i="150"/>
  <c r="B94" i="150" s="1"/>
  <c r="M93" i="150"/>
  <c r="G93" i="150"/>
  <c r="P93" i="150" s="1"/>
  <c r="A93" i="150"/>
  <c r="B93" i="150" s="1"/>
  <c r="M92" i="150"/>
  <c r="G92" i="150"/>
  <c r="P92" i="150" s="1"/>
  <c r="A92" i="150"/>
  <c r="M91" i="150"/>
  <c r="G91" i="150"/>
  <c r="P91" i="150" s="1"/>
  <c r="A91" i="150"/>
  <c r="C91" i="150" s="1"/>
  <c r="M90" i="150"/>
  <c r="G90" i="150"/>
  <c r="P90" i="150" s="1"/>
  <c r="A90" i="150"/>
  <c r="C90" i="150" s="1"/>
  <c r="M89" i="150"/>
  <c r="G89" i="150"/>
  <c r="P89" i="150" s="1"/>
  <c r="A89" i="150"/>
  <c r="C89" i="150" s="1"/>
  <c r="M88" i="150"/>
  <c r="G88" i="150"/>
  <c r="P88" i="150" s="1"/>
  <c r="A88" i="150"/>
  <c r="M87" i="150"/>
  <c r="G87" i="150"/>
  <c r="P87" i="150" s="1"/>
  <c r="A87" i="150"/>
  <c r="C87" i="150" s="1"/>
  <c r="M86" i="150"/>
  <c r="G86" i="150"/>
  <c r="P86" i="150" s="1"/>
  <c r="A86" i="150"/>
  <c r="C86" i="150" s="1"/>
  <c r="M85" i="150"/>
  <c r="G85" i="150"/>
  <c r="P85" i="150" s="1"/>
  <c r="A85" i="150"/>
  <c r="C85" i="150" s="1"/>
  <c r="M84" i="150"/>
  <c r="G84" i="150"/>
  <c r="P84" i="150" s="1"/>
  <c r="A84" i="150"/>
  <c r="B84" i="150" s="1"/>
  <c r="M83" i="150"/>
  <c r="G83" i="150"/>
  <c r="P83" i="150" s="1"/>
  <c r="A83" i="150"/>
  <c r="M82" i="150"/>
  <c r="G82" i="150"/>
  <c r="P82" i="150" s="1"/>
  <c r="A82" i="150"/>
  <c r="B82" i="150" s="1"/>
  <c r="M81" i="150"/>
  <c r="G81" i="150"/>
  <c r="P81" i="150" s="1"/>
  <c r="A81" i="150"/>
  <c r="B81" i="150" s="1"/>
  <c r="M80" i="150"/>
  <c r="G80" i="150"/>
  <c r="P80" i="150" s="1"/>
  <c r="A80" i="150"/>
  <c r="M79" i="150"/>
  <c r="G79" i="150"/>
  <c r="P79" i="150" s="1"/>
  <c r="A79" i="150"/>
  <c r="C79" i="150" s="1"/>
  <c r="M78" i="150"/>
  <c r="G78" i="150"/>
  <c r="P78" i="150" s="1"/>
  <c r="A78" i="150"/>
  <c r="C78" i="150" s="1"/>
  <c r="M77" i="150"/>
  <c r="G77" i="150"/>
  <c r="P77" i="150" s="1"/>
  <c r="A77" i="150"/>
  <c r="C77" i="150" s="1"/>
  <c r="M76" i="150"/>
  <c r="G76" i="150"/>
  <c r="P76" i="150" s="1"/>
  <c r="A76" i="150"/>
  <c r="M75" i="150"/>
  <c r="G75" i="150"/>
  <c r="P75" i="150" s="1"/>
  <c r="A75" i="150"/>
  <c r="B75" i="150" s="1"/>
  <c r="M74" i="150"/>
  <c r="G74" i="150"/>
  <c r="P74" i="150" s="1"/>
  <c r="A74" i="150"/>
  <c r="B74" i="150" s="1"/>
  <c r="M73" i="150"/>
  <c r="G73" i="150"/>
  <c r="P73" i="150" s="1"/>
  <c r="A73" i="150"/>
  <c r="M72" i="150"/>
  <c r="G72" i="150"/>
  <c r="P72" i="150" s="1"/>
  <c r="A72" i="150"/>
  <c r="B72" i="150" s="1"/>
  <c r="M71" i="150"/>
  <c r="G71" i="150"/>
  <c r="P71" i="150" s="1"/>
  <c r="A71" i="150"/>
  <c r="C71" i="150" s="1"/>
  <c r="M70" i="150"/>
  <c r="G70" i="150"/>
  <c r="P70" i="150" s="1"/>
  <c r="A70" i="150"/>
  <c r="C70" i="150" s="1"/>
  <c r="M69" i="150"/>
  <c r="G69" i="150"/>
  <c r="P69" i="150" s="1"/>
  <c r="A69" i="150"/>
  <c r="M68" i="150"/>
  <c r="G68" i="150"/>
  <c r="P68" i="150" s="1"/>
  <c r="A68" i="150"/>
  <c r="C68" i="150" s="1"/>
  <c r="M67" i="150"/>
  <c r="G67" i="150"/>
  <c r="P67" i="150" s="1"/>
  <c r="A67" i="150"/>
  <c r="C67" i="150" s="1"/>
  <c r="M66" i="150"/>
  <c r="G66" i="150"/>
  <c r="P66" i="150" s="1"/>
  <c r="A66" i="150"/>
  <c r="C66" i="150" s="1"/>
  <c r="M65" i="150"/>
  <c r="G65" i="150"/>
  <c r="P65" i="150" s="1"/>
  <c r="A65" i="150"/>
  <c r="C65" i="150" s="1"/>
  <c r="M64" i="150"/>
  <c r="G64" i="150"/>
  <c r="P64" i="150" s="1"/>
  <c r="A64" i="150"/>
  <c r="B64" i="150" s="1"/>
  <c r="M63" i="150"/>
  <c r="G63" i="150"/>
  <c r="P63" i="150" s="1"/>
  <c r="A63" i="150"/>
  <c r="C63" i="150" s="1"/>
  <c r="M62" i="150"/>
  <c r="G62" i="150"/>
  <c r="P62" i="150" s="1"/>
  <c r="A62" i="150"/>
  <c r="B62" i="150" s="1"/>
  <c r="M61" i="150"/>
  <c r="G61" i="150"/>
  <c r="P61" i="150" s="1"/>
  <c r="A61" i="150"/>
  <c r="B61" i="150" s="1"/>
  <c r="M60" i="150"/>
  <c r="G60" i="150"/>
  <c r="P60" i="150" s="1"/>
  <c r="A60" i="150"/>
  <c r="M59" i="150"/>
  <c r="G59" i="150"/>
  <c r="P59" i="150" s="1"/>
  <c r="A59" i="150"/>
  <c r="C59" i="150" s="1"/>
  <c r="M58" i="150"/>
  <c r="G58" i="150"/>
  <c r="P58" i="150" s="1"/>
  <c r="A58" i="150"/>
  <c r="C58" i="150" s="1"/>
  <c r="M57" i="150"/>
  <c r="G57" i="150"/>
  <c r="P57" i="150" s="1"/>
  <c r="A57" i="150"/>
  <c r="C57" i="150" s="1"/>
  <c r="M56" i="150"/>
  <c r="G56" i="150"/>
  <c r="P56" i="150" s="1"/>
  <c r="A56" i="150"/>
  <c r="B56" i="150" s="1"/>
  <c r="M55" i="150"/>
  <c r="G55" i="150"/>
  <c r="P55" i="150" s="1"/>
  <c r="A55" i="150"/>
  <c r="C55" i="150" s="1"/>
  <c r="M54" i="150"/>
  <c r="G54" i="150"/>
  <c r="P54" i="150" s="1"/>
  <c r="A54" i="150"/>
  <c r="C54" i="150" s="1"/>
  <c r="M53" i="150"/>
  <c r="G53" i="150"/>
  <c r="P53" i="150" s="1"/>
  <c r="A53" i="150"/>
  <c r="B53" i="150" s="1"/>
  <c r="M52" i="150"/>
  <c r="G52" i="150"/>
  <c r="P52" i="150" s="1"/>
  <c r="A52" i="150"/>
  <c r="C52" i="150" s="1"/>
  <c r="M51" i="150"/>
  <c r="G51" i="150"/>
  <c r="P51" i="150" s="1"/>
  <c r="A51" i="150"/>
  <c r="C51" i="150" s="1"/>
  <c r="M50" i="150"/>
  <c r="G50" i="150"/>
  <c r="P50" i="150" s="1"/>
  <c r="A50" i="150"/>
  <c r="C50" i="150" s="1"/>
  <c r="M49" i="150"/>
  <c r="H49" i="150"/>
  <c r="Q49" i="150" s="1"/>
  <c r="G49" i="150"/>
  <c r="P49" i="150" s="1"/>
  <c r="A49" i="150"/>
  <c r="C49" i="150" s="1"/>
  <c r="M48" i="150"/>
  <c r="H48" i="150"/>
  <c r="Q48" i="150" s="1"/>
  <c r="G48" i="150"/>
  <c r="P48" i="150" s="1"/>
  <c r="A48" i="150"/>
  <c r="B48" i="150" s="1"/>
  <c r="M47" i="150"/>
  <c r="H47" i="150"/>
  <c r="Q47" i="150" s="1"/>
  <c r="G47" i="150"/>
  <c r="P47" i="150" s="1"/>
  <c r="A47" i="150"/>
  <c r="B47" i="150" s="1"/>
  <c r="M46" i="150"/>
  <c r="H46" i="150"/>
  <c r="Q46" i="150" s="1"/>
  <c r="G46" i="150"/>
  <c r="P46" i="150" s="1"/>
  <c r="A46" i="150"/>
  <c r="C46" i="150" s="1"/>
  <c r="M45" i="150"/>
  <c r="H45" i="150"/>
  <c r="Q45" i="150" s="1"/>
  <c r="G45" i="150"/>
  <c r="P45" i="150" s="1"/>
  <c r="A45" i="150"/>
  <c r="M44" i="150"/>
  <c r="H44" i="150"/>
  <c r="Q44" i="150" s="1"/>
  <c r="G44" i="150"/>
  <c r="P44" i="150" s="1"/>
  <c r="A44" i="150"/>
  <c r="M43" i="150"/>
  <c r="H43" i="150"/>
  <c r="Q43" i="150" s="1"/>
  <c r="G43" i="150"/>
  <c r="P43" i="150" s="1"/>
  <c r="A43" i="150"/>
  <c r="C43" i="150" s="1"/>
  <c r="M42" i="150"/>
  <c r="H42" i="150"/>
  <c r="Q42" i="150" s="1"/>
  <c r="G42" i="150"/>
  <c r="P42" i="150" s="1"/>
  <c r="A42" i="150"/>
  <c r="C42" i="150" s="1"/>
  <c r="M41" i="150"/>
  <c r="H41" i="150"/>
  <c r="Q41" i="150" s="1"/>
  <c r="G41" i="150"/>
  <c r="P41" i="150" s="1"/>
  <c r="A41" i="150"/>
  <c r="B41" i="150" s="1"/>
  <c r="M40" i="150"/>
  <c r="H40" i="150"/>
  <c r="Q40" i="150" s="1"/>
  <c r="G40" i="150"/>
  <c r="P40" i="150" s="1"/>
  <c r="A40" i="150"/>
  <c r="C40" i="150" s="1"/>
  <c r="M39" i="150"/>
  <c r="H39" i="150"/>
  <c r="Q39" i="150" s="1"/>
  <c r="G39" i="150"/>
  <c r="P39" i="150" s="1"/>
  <c r="A39" i="150"/>
  <c r="M38" i="150"/>
  <c r="H38" i="150"/>
  <c r="Q38" i="150" s="1"/>
  <c r="G38" i="150"/>
  <c r="P38" i="150" s="1"/>
  <c r="A38" i="150"/>
  <c r="C38" i="150" s="1"/>
  <c r="M37" i="150"/>
  <c r="H37" i="150"/>
  <c r="Q37" i="150" s="1"/>
  <c r="G37" i="150"/>
  <c r="P37" i="150" s="1"/>
  <c r="A37" i="150"/>
  <c r="C37" i="150" s="1"/>
  <c r="M36" i="150"/>
  <c r="H36" i="150"/>
  <c r="Q36" i="150" s="1"/>
  <c r="G36" i="150"/>
  <c r="P36" i="150" s="1"/>
  <c r="A36" i="150"/>
  <c r="C36" i="150" s="1"/>
  <c r="M35" i="150"/>
  <c r="H35" i="150"/>
  <c r="Q35" i="150" s="1"/>
  <c r="G35" i="150"/>
  <c r="P35" i="150" s="1"/>
  <c r="A35" i="150"/>
  <c r="C35" i="150" s="1"/>
  <c r="M34" i="150"/>
  <c r="H34" i="150"/>
  <c r="Q34" i="150" s="1"/>
  <c r="G34" i="150"/>
  <c r="P34" i="150" s="1"/>
  <c r="A34" i="150"/>
  <c r="B34" i="150" s="1"/>
  <c r="M33" i="150"/>
  <c r="H33" i="150"/>
  <c r="Q33" i="150" s="1"/>
  <c r="G33" i="150"/>
  <c r="P33" i="150" s="1"/>
  <c r="A33" i="150"/>
  <c r="M32" i="150"/>
  <c r="H32" i="150"/>
  <c r="Q32" i="150" s="1"/>
  <c r="G32" i="150"/>
  <c r="P32" i="150" s="1"/>
  <c r="A32" i="150"/>
  <c r="C32" i="150" s="1"/>
  <c r="M31" i="150"/>
  <c r="H31" i="150"/>
  <c r="Q31" i="150" s="1"/>
  <c r="G31" i="150"/>
  <c r="P31" i="150" s="1"/>
  <c r="A31" i="150"/>
  <c r="C31" i="150" s="1"/>
  <c r="M30" i="150"/>
  <c r="H30" i="150"/>
  <c r="Q30" i="150" s="1"/>
  <c r="G30" i="150"/>
  <c r="P30" i="150" s="1"/>
  <c r="A30" i="150"/>
  <c r="C30" i="150" s="1"/>
  <c r="M29" i="150"/>
  <c r="H29" i="150"/>
  <c r="Q29" i="150" s="1"/>
  <c r="G29" i="150"/>
  <c r="P29" i="150" s="1"/>
  <c r="A29" i="150"/>
  <c r="C29" i="150" s="1"/>
  <c r="M28" i="150"/>
  <c r="H28" i="150"/>
  <c r="Q28" i="150" s="1"/>
  <c r="G28" i="150"/>
  <c r="P28" i="150" s="1"/>
  <c r="A28" i="150"/>
  <c r="C28" i="150" s="1"/>
  <c r="M27" i="150"/>
  <c r="H27" i="150"/>
  <c r="Q27" i="150" s="1"/>
  <c r="G27" i="150"/>
  <c r="P27" i="150" s="1"/>
  <c r="A27" i="150"/>
  <c r="C27" i="150" s="1"/>
  <c r="M26" i="150"/>
  <c r="H26" i="150"/>
  <c r="Q26" i="150" s="1"/>
  <c r="G26" i="150"/>
  <c r="P26" i="150" s="1"/>
  <c r="A26" i="150"/>
  <c r="B26" i="150" s="1"/>
  <c r="M25" i="150"/>
  <c r="H25" i="150"/>
  <c r="Q25" i="150" s="1"/>
  <c r="G25" i="150"/>
  <c r="P25" i="150" s="1"/>
  <c r="A25" i="150"/>
  <c r="M24" i="150"/>
  <c r="H24" i="150"/>
  <c r="Q24" i="150" s="1"/>
  <c r="G24" i="150"/>
  <c r="P24" i="150" s="1"/>
  <c r="A24" i="150"/>
  <c r="C24" i="150" s="1"/>
  <c r="M23" i="150"/>
  <c r="H23" i="150"/>
  <c r="Q23" i="150" s="1"/>
  <c r="G23" i="150"/>
  <c r="P23" i="150" s="1"/>
  <c r="A23" i="150"/>
  <c r="M22" i="150"/>
  <c r="H22" i="150"/>
  <c r="Q22" i="150" s="1"/>
  <c r="G22" i="150"/>
  <c r="P22" i="150" s="1"/>
  <c r="A22" i="150"/>
  <c r="C22" i="150" s="1"/>
  <c r="M21" i="150"/>
  <c r="H21" i="150"/>
  <c r="Q21" i="150" s="1"/>
  <c r="G21" i="150"/>
  <c r="P21" i="150" s="1"/>
  <c r="A21" i="150"/>
  <c r="C21" i="150" s="1"/>
  <c r="M20" i="150"/>
  <c r="H20" i="150"/>
  <c r="Q20" i="150" s="1"/>
  <c r="G20" i="150"/>
  <c r="P20" i="150" s="1"/>
  <c r="A20" i="150"/>
  <c r="C20" i="150" s="1"/>
  <c r="M19" i="150"/>
  <c r="H19" i="150"/>
  <c r="Q19" i="150" s="1"/>
  <c r="G19" i="150"/>
  <c r="P19" i="150" s="1"/>
  <c r="A19" i="150"/>
  <c r="C19" i="150" s="1"/>
  <c r="M18" i="150"/>
  <c r="H18" i="150"/>
  <c r="Q18" i="150" s="1"/>
  <c r="G18" i="150"/>
  <c r="P18" i="150" s="1"/>
  <c r="A18" i="150"/>
  <c r="C18" i="150" s="1"/>
  <c r="M17" i="150"/>
  <c r="H17" i="150"/>
  <c r="Q17" i="150" s="1"/>
  <c r="G17" i="150"/>
  <c r="P17" i="150" s="1"/>
  <c r="A17" i="150"/>
  <c r="C17" i="150" s="1"/>
  <c r="M16" i="150"/>
  <c r="H16" i="150"/>
  <c r="Q16" i="150" s="1"/>
  <c r="G16" i="150"/>
  <c r="P16" i="150" s="1"/>
  <c r="A16" i="150"/>
  <c r="C16" i="150" s="1"/>
  <c r="M15" i="150"/>
  <c r="H15" i="150"/>
  <c r="Q15" i="150" s="1"/>
  <c r="G15" i="150"/>
  <c r="P15" i="150" s="1"/>
  <c r="A15" i="150"/>
  <c r="B15" i="150" s="1"/>
  <c r="M14" i="150"/>
  <c r="H14" i="150"/>
  <c r="Q14" i="150" s="1"/>
  <c r="G14" i="150"/>
  <c r="P14" i="150" s="1"/>
  <c r="A14" i="150"/>
  <c r="C14" i="150" s="1"/>
  <c r="M13" i="150"/>
  <c r="H13" i="150"/>
  <c r="Q13" i="150" s="1"/>
  <c r="G13" i="150"/>
  <c r="P13" i="150" s="1"/>
  <c r="A13" i="150"/>
  <c r="B13" i="150" s="1"/>
  <c r="M12" i="150"/>
  <c r="H12" i="150"/>
  <c r="Q12" i="150" s="1"/>
  <c r="G12" i="150"/>
  <c r="P12" i="150" s="1"/>
  <c r="A12" i="150"/>
  <c r="C12" i="150" s="1"/>
  <c r="M11" i="150"/>
  <c r="H11" i="150"/>
  <c r="Q11" i="150" s="1"/>
  <c r="G11" i="150"/>
  <c r="P11" i="150" s="1"/>
  <c r="A11" i="150"/>
  <c r="C11" i="150" s="1"/>
  <c r="M10" i="150"/>
  <c r="H10" i="150"/>
  <c r="Q10" i="150" s="1"/>
  <c r="G10" i="150"/>
  <c r="P10" i="150" s="1"/>
  <c r="A10" i="150"/>
  <c r="C10" i="150" s="1"/>
  <c r="M9" i="150"/>
  <c r="H9" i="150"/>
  <c r="Q9" i="150" s="1"/>
  <c r="G9" i="150"/>
  <c r="P9" i="150" s="1"/>
  <c r="A9" i="150"/>
  <c r="B9" i="150" s="1"/>
  <c r="M8" i="150"/>
  <c r="H8" i="150"/>
  <c r="Q8" i="150" s="1"/>
  <c r="G8" i="150"/>
  <c r="P8" i="150" s="1"/>
  <c r="A8" i="150"/>
  <c r="C8" i="150" s="1"/>
  <c r="M7" i="150"/>
  <c r="H7" i="150"/>
  <c r="Q7" i="150" s="1"/>
  <c r="G7" i="150"/>
  <c r="P7" i="150" s="1"/>
  <c r="A7" i="150"/>
  <c r="M6" i="150"/>
  <c r="H6" i="150"/>
  <c r="Q6" i="150" s="1"/>
  <c r="G6" i="150"/>
  <c r="P6" i="150" s="1"/>
  <c r="A6" i="150"/>
  <c r="C6" i="150" s="1"/>
  <c r="M5" i="150"/>
  <c r="H5" i="150"/>
  <c r="Q5" i="150" s="1"/>
  <c r="G5" i="150"/>
  <c r="P5" i="150" s="1"/>
  <c r="A5" i="150"/>
  <c r="B5" i="150" s="1"/>
  <c r="M4" i="150"/>
  <c r="H4" i="150"/>
  <c r="Q4" i="150" s="1"/>
  <c r="G4" i="150"/>
  <c r="P4" i="150" s="1"/>
  <c r="A4" i="150"/>
  <c r="M3" i="150"/>
  <c r="H3" i="150"/>
  <c r="Q3" i="150" s="1"/>
  <c r="G3" i="150"/>
  <c r="P3" i="150" s="1"/>
  <c r="A3" i="150"/>
  <c r="C3" i="150" s="1"/>
  <c r="M2" i="150"/>
  <c r="H2" i="150"/>
  <c r="Q2" i="150" s="1"/>
  <c r="G2" i="150"/>
  <c r="P2" i="150" s="1"/>
  <c r="A2" i="150"/>
  <c r="C2" i="150" s="1"/>
  <c r="I1" i="150"/>
  <c r="R1" i="150" s="1"/>
  <c r="Q1" i="150"/>
  <c r="G1" i="150"/>
  <c r="P1" i="150" s="1"/>
  <c r="F1" i="150"/>
  <c r="O1" i="150" s="1"/>
  <c r="N1" i="150"/>
  <c r="D1" i="150"/>
  <c r="A1" i="150"/>
  <c r="I72" i="77"/>
  <c r="I73" i="77"/>
  <c r="I74" i="77"/>
  <c r="I75" i="77"/>
  <c r="I76" i="77"/>
  <c r="I77" i="77"/>
  <c r="I78" i="77"/>
  <c r="I79" i="77"/>
  <c r="I80" i="77"/>
  <c r="I81" i="77"/>
  <c r="I82" i="77"/>
  <c r="I83" i="77"/>
  <c r="I84" i="77"/>
  <c r="I85" i="77"/>
  <c r="I86" i="77"/>
  <c r="I87" i="77"/>
  <c r="I88" i="77"/>
  <c r="I89" i="77"/>
  <c r="I90" i="77"/>
  <c r="I91" i="77"/>
  <c r="I92" i="77"/>
  <c r="I93" i="77"/>
  <c r="I94" i="77"/>
  <c r="I95" i="77"/>
  <c r="I96" i="77"/>
  <c r="I97" i="77"/>
  <c r="I110" i="77"/>
  <c r="R110" i="77" s="1"/>
  <c r="R111" i="77"/>
  <c r="R112" i="77"/>
  <c r="R113" i="77"/>
  <c r="R114" i="77"/>
  <c r="R115" i="77"/>
  <c r="R116" i="77"/>
  <c r="R117" i="77"/>
  <c r="R118" i="77"/>
  <c r="R119" i="77"/>
  <c r="R120" i="77"/>
  <c r="R121" i="77"/>
  <c r="R122" i="77"/>
  <c r="R123" i="77"/>
  <c r="R124" i="77"/>
  <c r="R125" i="77"/>
  <c r="R126" i="77"/>
  <c r="R127" i="77"/>
  <c r="R128" i="77"/>
  <c r="R129" i="77"/>
  <c r="R130" i="77"/>
  <c r="R131" i="77"/>
  <c r="R132" i="77"/>
  <c r="R133" i="77"/>
  <c r="I5" i="77"/>
  <c r="J5" i="77"/>
  <c r="I6" i="77"/>
  <c r="J6" i="77"/>
  <c r="I7" i="77"/>
  <c r="J7" i="77"/>
  <c r="I8" i="77"/>
  <c r="J8" i="77"/>
  <c r="I9" i="77"/>
  <c r="J9" i="77"/>
  <c r="I10" i="77"/>
  <c r="J10" i="77"/>
  <c r="I11" i="77"/>
  <c r="J11" i="77"/>
  <c r="I12" i="77"/>
  <c r="J12" i="77"/>
  <c r="I13" i="77"/>
  <c r="J13" i="77"/>
  <c r="I14" i="77"/>
  <c r="J14" i="77"/>
  <c r="I15" i="77"/>
  <c r="J15" i="77"/>
  <c r="I16" i="77"/>
  <c r="J16" i="77"/>
  <c r="I17" i="77"/>
  <c r="J17" i="77"/>
  <c r="I18" i="77"/>
  <c r="J18" i="77"/>
  <c r="I19" i="77"/>
  <c r="J19" i="77"/>
  <c r="I20" i="77"/>
  <c r="J20" i="77"/>
  <c r="I21" i="77"/>
  <c r="J21" i="77"/>
  <c r="I22" i="77"/>
  <c r="J22" i="77"/>
  <c r="I23" i="77"/>
  <c r="J23" i="77"/>
  <c r="I24" i="77"/>
  <c r="J24" i="77"/>
  <c r="I25" i="77"/>
  <c r="J25" i="77"/>
  <c r="I26" i="77"/>
  <c r="J26" i="77"/>
  <c r="I27" i="77"/>
  <c r="J27" i="77"/>
  <c r="I28" i="77"/>
  <c r="J28" i="77"/>
  <c r="I29" i="77"/>
  <c r="J29" i="77"/>
  <c r="I30" i="77"/>
  <c r="J30" i="77"/>
  <c r="I31" i="77"/>
  <c r="J31" i="77"/>
  <c r="I32" i="77"/>
  <c r="J32" i="77"/>
  <c r="I33" i="77"/>
  <c r="J33" i="77"/>
  <c r="I34" i="77"/>
  <c r="J34" i="77"/>
  <c r="I35" i="77"/>
  <c r="J35" i="77"/>
  <c r="I36" i="77"/>
  <c r="J36" i="77"/>
  <c r="I37" i="77"/>
  <c r="J37" i="77"/>
  <c r="I38" i="77"/>
  <c r="J38" i="77"/>
  <c r="I39" i="77"/>
  <c r="J39" i="77"/>
  <c r="I40" i="77"/>
  <c r="J40" i="77"/>
  <c r="I41" i="77"/>
  <c r="J41" i="77"/>
  <c r="I42" i="77"/>
  <c r="J42" i="77"/>
  <c r="I43" i="77"/>
  <c r="J43" i="77"/>
  <c r="I44" i="77"/>
  <c r="J44" i="77"/>
  <c r="I45" i="77"/>
  <c r="J45" i="77"/>
  <c r="I46" i="77"/>
  <c r="J46" i="77"/>
  <c r="I47" i="77"/>
  <c r="J47" i="77"/>
  <c r="I48" i="77"/>
  <c r="J48" i="77"/>
  <c r="I49" i="77"/>
  <c r="J49" i="77"/>
  <c r="I50" i="77"/>
  <c r="I51" i="77"/>
  <c r="I52" i="77"/>
  <c r="I53" i="77"/>
  <c r="I54" i="77"/>
  <c r="I55" i="77"/>
  <c r="I56" i="77"/>
  <c r="I57" i="77"/>
  <c r="I58" i="77"/>
  <c r="I59" i="77"/>
  <c r="I60" i="77"/>
  <c r="I61" i="77"/>
  <c r="I62" i="77"/>
  <c r="I63" i="77"/>
  <c r="I64" i="77"/>
  <c r="I65" i="77"/>
  <c r="I66" i="77"/>
  <c r="I67" i="77"/>
  <c r="I68" i="77"/>
  <c r="I69" i="77"/>
  <c r="I70" i="77"/>
  <c r="I71" i="77"/>
  <c r="J4" i="77"/>
  <c r="I4" i="77"/>
  <c r="J3" i="77"/>
  <c r="I3" i="77"/>
  <c r="J2" i="77"/>
  <c r="I2" i="77"/>
  <c r="K1" i="77"/>
  <c r="J1" i="77"/>
  <c r="I1" i="77"/>
  <c r="H1" i="77"/>
  <c r="F1" i="77"/>
  <c r="N110" i="76"/>
  <c r="N111" i="76"/>
  <c r="N112" i="76"/>
  <c r="N113" i="76"/>
  <c r="N114" i="76"/>
  <c r="N115" i="76"/>
  <c r="N116" i="76"/>
  <c r="N117" i="76"/>
  <c r="N118" i="76"/>
  <c r="N119" i="76"/>
  <c r="N120" i="76"/>
  <c r="N121" i="76"/>
  <c r="N122" i="76"/>
  <c r="N123" i="76"/>
  <c r="N124" i="76"/>
  <c r="N125" i="76"/>
  <c r="N126" i="76"/>
  <c r="I4" i="76"/>
  <c r="J4" i="76"/>
  <c r="I5" i="76"/>
  <c r="J5" i="76"/>
  <c r="I6" i="76"/>
  <c r="J6" i="76"/>
  <c r="I7" i="76"/>
  <c r="J7" i="76"/>
  <c r="I8" i="76"/>
  <c r="J8" i="76"/>
  <c r="I9" i="76"/>
  <c r="J9" i="76"/>
  <c r="I10" i="76"/>
  <c r="J10" i="76"/>
  <c r="I11" i="76"/>
  <c r="J11" i="76"/>
  <c r="I12" i="76"/>
  <c r="J12" i="76"/>
  <c r="I13" i="76"/>
  <c r="J13" i="76"/>
  <c r="I14" i="76"/>
  <c r="J14" i="76"/>
  <c r="I15" i="76"/>
  <c r="J15" i="76"/>
  <c r="I16" i="76"/>
  <c r="J16" i="76"/>
  <c r="I17" i="76"/>
  <c r="J17" i="76"/>
  <c r="I18" i="76"/>
  <c r="J18" i="76"/>
  <c r="I19" i="76"/>
  <c r="J19" i="76"/>
  <c r="I20" i="76"/>
  <c r="J20" i="76"/>
  <c r="I21" i="76"/>
  <c r="J21" i="76"/>
  <c r="I22" i="76"/>
  <c r="J22" i="76"/>
  <c r="I23" i="76"/>
  <c r="J23" i="76"/>
  <c r="I24" i="76"/>
  <c r="J24" i="76"/>
  <c r="I25" i="76"/>
  <c r="J25" i="76"/>
  <c r="I26" i="76"/>
  <c r="J26" i="76"/>
  <c r="I27" i="76"/>
  <c r="J27" i="76"/>
  <c r="I28" i="76"/>
  <c r="J28" i="76"/>
  <c r="I29" i="76"/>
  <c r="J29" i="76"/>
  <c r="I30" i="76"/>
  <c r="J30" i="76"/>
  <c r="I31" i="76"/>
  <c r="J31" i="76"/>
  <c r="I32" i="76"/>
  <c r="J32" i="76"/>
  <c r="I33" i="76"/>
  <c r="J33" i="76"/>
  <c r="I34" i="76"/>
  <c r="J34" i="76"/>
  <c r="I35" i="76"/>
  <c r="J35" i="76"/>
  <c r="I36" i="76"/>
  <c r="J36" i="76"/>
  <c r="I37" i="76"/>
  <c r="J37" i="76"/>
  <c r="I38" i="76"/>
  <c r="J38" i="76"/>
  <c r="I39" i="76"/>
  <c r="J39" i="76"/>
  <c r="I40" i="76"/>
  <c r="J40" i="76"/>
  <c r="I41" i="76"/>
  <c r="J41" i="76"/>
  <c r="I42" i="76"/>
  <c r="J42" i="76"/>
  <c r="I43" i="76"/>
  <c r="J43" i="76"/>
  <c r="I44" i="76"/>
  <c r="J44" i="76"/>
  <c r="I45" i="76"/>
  <c r="J45" i="76"/>
  <c r="I46" i="76"/>
  <c r="J46" i="76"/>
  <c r="I47" i="76"/>
  <c r="J47" i="76"/>
  <c r="I48" i="76"/>
  <c r="J48" i="76"/>
  <c r="I49" i="76"/>
  <c r="J49" i="76"/>
  <c r="I50" i="76"/>
  <c r="I51" i="76"/>
  <c r="I52" i="76"/>
  <c r="I53" i="76"/>
  <c r="I54" i="76"/>
  <c r="I55" i="76"/>
  <c r="I56" i="76"/>
  <c r="I57" i="76"/>
  <c r="I58" i="76"/>
  <c r="I59" i="76"/>
  <c r="I60" i="76"/>
  <c r="I61" i="76"/>
  <c r="I62" i="76"/>
  <c r="I63" i="76"/>
  <c r="I64" i="76"/>
  <c r="I65" i="76"/>
  <c r="I66" i="76"/>
  <c r="I67" i="76"/>
  <c r="I68" i="76"/>
  <c r="I69" i="76"/>
  <c r="I70" i="76"/>
  <c r="I71" i="76"/>
  <c r="I72" i="76"/>
  <c r="I73" i="76"/>
  <c r="I74" i="76"/>
  <c r="I75" i="76"/>
  <c r="I76" i="76"/>
  <c r="I77" i="76"/>
  <c r="I78" i="76"/>
  <c r="I79" i="76"/>
  <c r="I80" i="76"/>
  <c r="I81" i="76"/>
  <c r="I82" i="76"/>
  <c r="I83" i="76"/>
  <c r="I84" i="76"/>
  <c r="I85" i="76"/>
  <c r="I86" i="76"/>
  <c r="I87" i="76"/>
  <c r="I2" i="76"/>
  <c r="J2" i="76"/>
  <c r="I3" i="76"/>
  <c r="J3" i="76"/>
  <c r="K1" i="76"/>
  <c r="J1" i="76"/>
  <c r="I1" i="76"/>
  <c r="F1" i="76"/>
  <c r="F1" i="36"/>
  <c r="G76" i="36"/>
  <c r="P76" i="36" s="1"/>
  <c r="G77" i="36"/>
  <c r="P77" i="36" s="1"/>
  <c r="G78" i="36"/>
  <c r="P78" i="36" s="1"/>
  <c r="G79" i="36"/>
  <c r="P79" i="36" s="1"/>
  <c r="G80" i="36"/>
  <c r="P80" i="36" s="1"/>
  <c r="G81" i="36"/>
  <c r="P81" i="36" s="1"/>
  <c r="G82" i="36"/>
  <c r="P82" i="36" s="1"/>
  <c r="G83" i="36"/>
  <c r="P83" i="36" s="1"/>
  <c r="G84" i="36"/>
  <c r="P84" i="36" s="1"/>
  <c r="G85" i="36"/>
  <c r="P85" i="36" s="1"/>
  <c r="G86" i="36"/>
  <c r="P86" i="36" s="1"/>
  <c r="G87" i="36"/>
  <c r="P87" i="36" s="1"/>
  <c r="G88" i="36"/>
  <c r="P88" i="36" s="1"/>
  <c r="G89" i="36"/>
  <c r="P89" i="36" s="1"/>
  <c r="G90" i="36"/>
  <c r="P90" i="36" s="1"/>
  <c r="G91" i="36"/>
  <c r="P91" i="36" s="1"/>
  <c r="G92" i="36"/>
  <c r="P92" i="36" s="1"/>
  <c r="G93" i="36"/>
  <c r="P93" i="36" s="1"/>
  <c r="G94" i="36"/>
  <c r="P94" i="36" s="1"/>
  <c r="G95" i="36"/>
  <c r="P95" i="36" s="1"/>
  <c r="G96" i="36"/>
  <c r="P96" i="36" s="1"/>
  <c r="G97" i="36"/>
  <c r="P97" i="36" s="1"/>
  <c r="G110" i="36"/>
  <c r="P110" i="36" s="1"/>
  <c r="P111" i="36"/>
  <c r="P112" i="36"/>
  <c r="P113" i="36"/>
  <c r="P114" i="36"/>
  <c r="P115" i="36"/>
  <c r="P116" i="36"/>
  <c r="P117" i="36"/>
  <c r="P118" i="36"/>
  <c r="P119" i="36"/>
  <c r="P120" i="36"/>
  <c r="P121" i="36"/>
  <c r="P122" i="36"/>
  <c r="P123" i="36"/>
  <c r="P124" i="36"/>
  <c r="P125" i="36"/>
  <c r="P126" i="36"/>
  <c r="P127" i="36"/>
  <c r="P128" i="36"/>
  <c r="P129" i="36"/>
  <c r="P130" i="36"/>
  <c r="P131" i="36"/>
  <c r="P132" i="36"/>
  <c r="P133" i="36"/>
  <c r="G3" i="36"/>
  <c r="P3" i="36" s="1"/>
  <c r="H3" i="36"/>
  <c r="Q3" i="36" s="1"/>
  <c r="G4" i="36"/>
  <c r="P4" i="36" s="1"/>
  <c r="H4" i="36"/>
  <c r="Q4" i="36" s="1"/>
  <c r="G5" i="36"/>
  <c r="P5" i="36" s="1"/>
  <c r="H5" i="36"/>
  <c r="Q5" i="36" s="1"/>
  <c r="G6" i="36"/>
  <c r="P6" i="36" s="1"/>
  <c r="H6" i="36"/>
  <c r="Q6" i="36" s="1"/>
  <c r="G7" i="36"/>
  <c r="P7" i="36" s="1"/>
  <c r="H7" i="36"/>
  <c r="Q7" i="36" s="1"/>
  <c r="G8" i="36"/>
  <c r="P8" i="36" s="1"/>
  <c r="H8" i="36"/>
  <c r="Q8" i="36" s="1"/>
  <c r="G9" i="36"/>
  <c r="P9" i="36" s="1"/>
  <c r="H9" i="36"/>
  <c r="Q9" i="36" s="1"/>
  <c r="G10" i="36"/>
  <c r="P10" i="36" s="1"/>
  <c r="H10" i="36"/>
  <c r="Q10" i="36" s="1"/>
  <c r="G11" i="36"/>
  <c r="P11" i="36" s="1"/>
  <c r="H11" i="36"/>
  <c r="Q11" i="36" s="1"/>
  <c r="G12" i="36"/>
  <c r="P12" i="36" s="1"/>
  <c r="H12" i="36"/>
  <c r="Q12" i="36" s="1"/>
  <c r="G13" i="36"/>
  <c r="P13" i="36" s="1"/>
  <c r="H13" i="36"/>
  <c r="Q13" i="36" s="1"/>
  <c r="G14" i="36"/>
  <c r="P14" i="36" s="1"/>
  <c r="H14" i="36"/>
  <c r="Q14" i="36" s="1"/>
  <c r="G15" i="36"/>
  <c r="P15" i="36" s="1"/>
  <c r="H15" i="36"/>
  <c r="Q15" i="36" s="1"/>
  <c r="G16" i="36"/>
  <c r="P16" i="36" s="1"/>
  <c r="H16" i="36"/>
  <c r="Q16" i="36" s="1"/>
  <c r="G17" i="36"/>
  <c r="P17" i="36" s="1"/>
  <c r="H17" i="36"/>
  <c r="Q17" i="36" s="1"/>
  <c r="G18" i="36"/>
  <c r="P18" i="36" s="1"/>
  <c r="H18" i="36"/>
  <c r="Q18" i="36" s="1"/>
  <c r="G19" i="36"/>
  <c r="P19" i="36" s="1"/>
  <c r="H19" i="36"/>
  <c r="Q19" i="36" s="1"/>
  <c r="G20" i="36"/>
  <c r="P20" i="36" s="1"/>
  <c r="H20" i="36"/>
  <c r="Q20" i="36" s="1"/>
  <c r="G21" i="36"/>
  <c r="P21" i="36" s="1"/>
  <c r="H21" i="36"/>
  <c r="Q21" i="36" s="1"/>
  <c r="G22" i="36"/>
  <c r="P22" i="36" s="1"/>
  <c r="H22" i="36"/>
  <c r="Q22" i="36" s="1"/>
  <c r="G23" i="36"/>
  <c r="P23" i="36" s="1"/>
  <c r="H23" i="36"/>
  <c r="Q23" i="36" s="1"/>
  <c r="G24" i="36"/>
  <c r="P24" i="36" s="1"/>
  <c r="H24" i="36"/>
  <c r="Q24" i="36" s="1"/>
  <c r="G25" i="36"/>
  <c r="P25" i="36" s="1"/>
  <c r="H25" i="36"/>
  <c r="Q25" i="36" s="1"/>
  <c r="G26" i="36"/>
  <c r="P26" i="36" s="1"/>
  <c r="H26" i="36"/>
  <c r="Q26" i="36" s="1"/>
  <c r="G27" i="36"/>
  <c r="P27" i="36" s="1"/>
  <c r="H27" i="36"/>
  <c r="Q27" i="36" s="1"/>
  <c r="G28" i="36"/>
  <c r="P28" i="36" s="1"/>
  <c r="H28" i="36"/>
  <c r="Q28" i="36" s="1"/>
  <c r="G29" i="36"/>
  <c r="P29" i="36" s="1"/>
  <c r="H29" i="36"/>
  <c r="Q29" i="36" s="1"/>
  <c r="G30" i="36"/>
  <c r="P30" i="36" s="1"/>
  <c r="H30" i="36"/>
  <c r="Q30" i="36" s="1"/>
  <c r="G31" i="36"/>
  <c r="P31" i="36" s="1"/>
  <c r="H31" i="36"/>
  <c r="Q31" i="36" s="1"/>
  <c r="G32" i="36"/>
  <c r="P32" i="36" s="1"/>
  <c r="H32" i="36"/>
  <c r="Q32" i="36" s="1"/>
  <c r="G33" i="36"/>
  <c r="P33" i="36" s="1"/>
  <c r="H33" i="36"/>
  <c r="Q33" i="36" s="1"/>
  <c r="G34" i="36"/>
  <c r="P34" i="36" s="1"/>
  <c r="H34" i="36"/>
  <c r="Q34" i="36" s="1"/>
  <c r="G35" i="36"/>
  <c r="P35" i="36" s="1"/>
  <c r="H35" i="36"/>
  <c r="Q35" i="36" s="1"/>
  <c r="G36" i="36"/>
  <c r="P36" i="36" s="1"/>
  <c r="H36" i="36"/>
  <c r="Q36" i="36" s="1"/>
  <c r="G37" i="36"/>
  <c r="P37" i="36" s="1"/>
  <c r="H37" i="36"/>
  <c r="Q37" i="36" s="1"/>
  <c r="G38" i="36"/>
  <c r="P38" i="36" s="1"/>
  <c r="H38" i="36"/>
  <c r="Q38" i="36" s="1"/>
  <c r="G39" i="36"/>
  <c r="P39" i="36" s="1"/>
  <c r="H39" i="36"/>
  <c r="Q39" i="36" s="1"/>
  <c r="G40" i="36"/>
  <c r="P40" i="36" s="1"/>
  <c r="H40" i="36"/>
  <c r="Q40" i="36" s="1"/>
  <c r="G41" i="36"/>
  <c r="P41" i="36" s="1"/>
  <c r="H41" i="36"/>
  <c r="Q41" i="36" s="1"/>
  <c r="G42" i="36"/>
  <c r="P42" i="36" s="1"/>
  <c r="H42" i="36"/>
  <c r="Q42" i="36" s="1"/>
  <c r="G43" i="36"/>
  <c r="P43" i="36" s="1"/>
  <c r="H43" i="36"/>
  <c r="Q43" i="36" s="1"/>
  <c r="G44" i="36"/>
  <c r="P44" i="36" s="1"/>
  <c r="H44" i="36"/>
  <c r="Q44" i="36" s="1"/>
  <c r="G45" i="36"/>
  <c r="P45" i="36" s="1"/>
  <c r="H45" i="36"/>
  <c r="Q45" i="36" s="1"/>
  <c r="G46" i="36"/>
  <c r="P46" i="36" s="1"/>
  <c r="H46" i="36"/>
  <c r="Q46" i="36" s="1"/>
  <c r="G47" i="36"/>
  <c r="P47" i="36" s="1"/>
  <c r="H47" i="36"/>
  <c r="Q47" i="36" s="1"/>
  <c r="G48" i="36"/>
  <c r="P48" i="36" s="1"/>
  <c r="H48" i="36"/>
  <c r="Q48" i="36" s="1"/>
  <c r="G49" i="36"/>
  <c r="P49" i="36" s="1"/>
  <c r="H49" i="36"/>
  <c r="Q49" i="36" s="1"/>
  <c r="G50" i="36"/>
  <c r="P50" i="36" s="1"/>
  <c r="G51" i="36"/>
  <c r="P51" i="36" s="1"/>
  <c r="G52" i="36"/>
  <c r="P52" i="36" s="1"/>
  <c r="G53" i="36"/>
  <c r="P53" i="36" s="1"/>
  <c r="G54" i="36"/>
  <c r="P54" i="36" s="1"/>
  <c r="G55" i="36"/>
  <c r="P55" i="36" s="1"/>
  <c r="G56" i="36"/>
  <c r="P56" i="36" s="1"/>
  <c r="G57" i="36"/>
  <c r="P57" i="36" s="1"/>
  <c r="G58" i="36"/>
  <c r="P58" i="36" s="1"/>
  <c r="G59" i="36"/>
  <c r="P59" i="36" s="1"/>
  <c r="G60" i="36"/>
  <c r="P60" i="36" s="1"/>
  <c r="G61" i="36"/>
  <c r="P61" i="36" s="1"/>
  <c r="G62" i="36"/>
  <c r="P62" i="36" s="1"/>
  <c r="G63" i="36"/>
  <c r="P63" i="36" s="1"/>
  <c r="G64" i="36"/>
  <c r="P64" i="36" s="1"/>
  <c r="G65" i="36"/>
  <c r="P65" i="36" s="1"/>
  <c r="G66" i="36"/>
  <c r="P66" i="36" s="1"/>
  <c r="G67" i="36"/>
  <c r="P67" i="36" s="1"/>
  <c r="G68" i="36"/>
  <c r="P68" i="36" s="1"/>
  <c r="G69" i="36"/>
  <c r="P69" i="36" s="1"/>
  <c r="G70" i="36"/>
  <c r="P70" i="36" s="1"/>
  <c r="G71" i="36"/>
  <c r="P71" i="36" s="1"/>
  <c r="G72" i="36"/>
  <c r="P72" i="36" s="1"/>
  <c r="G73" i="36"/>
  <c r="P73" i="36" s="1"/>
  <c r="G74" i="36"/>
  <c r="P74" i="36" s="1"/>
  <c r="G75" i="36"/>
  <c r="P75" i="36" s="1"/>
  <c r="H2" i="36"/>
  <c r="Q2" i="36" s="1"/>
  <c r="G2" i="36"/>
  <c r="P2" i="36" s="1"/>
  <c r="I1" i="36"/>
  <c r="H1" i="36"/>
  <c r="G1" i="36"/>
  <c r="G87" i="34"/>
  <c r="G88" i="34"/>
  <c r="G89" i="34"/>
  <c r="G90" i="34"/>
  <c r="G91" i="34"/>
  <c r="G92" i="34"/>
  <c r="G93" i="34"/>
  <c r="G94" i="34"/>
  <c r="G95" i="34"/>
  <c r="G96" i="34"/>
  <c r="G97" i="34"/>
  <c r="G110" i="34"/>
  <c r="G86" i="34"/>
  <c r="G23" i="34"/>
  <c r="H23" i="34"/>
  <c r="G24" i="34"/>
  <c r="H24" i="34"/>
  <c r="G25" i="34"/>
  <c r="H25" i="34"/>
  <c r="G26" i="34"/>
  <c r="H26" i="34"/>
  <c r="G27" i="34"/>
  <c r="H27" i="34"/>
  <c r="G28" i="34"/>
  <c r="H28" i="34"/>
  <c r="G29" i="34"/>
  <c r="H29" i="34"/>
  <c r="G30" i="34"/>
  <c r="H30" i="34"/>
  <c r="G31" i="34"/>
  <c r="H31" i="34"/>
  <c r="G32" i="34"/>
  <c r="H32" i="34"/>
  <c r="G33" i="34"/>
  <c r="H33" i="34"/>
  <c r="G34" i="34"/>
  <c r="H34" i="34"/>
  <c r="G35" i="34"/>
  <c r="H35" i="34"/>
  <c r="G36" i="34"/>
  <c r="H36" i="34"/>
  <c r="G37" i="34"/>
  <c r="H37" i="34"/>
  <c r="G38" i="34"/>
  <c r="H38" i="34"/>
  <c r="G39" i="34"/>
  <c r="H39" i="34"/>
  <c r="G40" i="34"/>
  <c r="H40" i="34"/>
  <c r="G41" i="34"/>
  <c r="H41" i="34"/>
  <c r="G42" i="34"/>
  <c r="H42" i="34"/>
  <c r="G43" i="34"/>
  <c r="H43" i="34"/>
  <c r="G44" i="34"/>
  <c r="H44" i="34"/>
  <c r="G45" i="34"/>
  <c r="H45" i="34"/>
  <c r="G46" i="34"/>
  <c r="H46" i="34"/>
  <c r="G47" i="34"/>
  <c r="H47" i="34"/>
  <c r="G48" i="34"/>
  <c r="H48" i="34"/>
  <c r="G49" i="34"/>
  <c r="H49" i="34"/>
  <c r="G50" i="34"/>
  <c r="G51" i="34"/>
  <c r="G52" i="34"/>
  <c r="G53" i="34"/>
  <c r="G54" i="34"/>
  <c r="G55" i="34"/>
  <c r="G56" i="34"/>
  <c r="G57" i="34"/>
  <c r="G58" i="34"/>
  <c r="G59" i="34"/>
  <c r="G60" i="34"/>
  <c r="G61" i="34"/>
  <c r="G62" i="34"/>
  <c r="G63" i="34"/>
  <c r="G64" i="34"/>
  <c r="G65" i="34"/>
  <c r="G66" i="34"/>
  <c r="G67" i="34"/>
  <c r="G68" i="34"/>
  <c r="G69" i="34"/>
  <c r="G70" i="34"/>
  <c r="G71" i="34"/>
  <c r="G72" i="34"/>
  <c r="G73" i="34"/>
  <c r="G74" i="34"/>
  <c r="G75" i="34"/>
  <c r="G76" i="34"/>
  <c r="G77" i="34"/>
  <c r="G78" i="34"/>
  <c r="G79" i="34"/>
  <c r="G80" i="34"/>
  <c r="G81" i="34"/>
  <c r="G82" i="34"/>
  <c r="G83" i="34"/>
  <c r="G84" i="34"/>
  <c r="G85" i="34"/>
  <c r="G3" i="34"/>
  <c r="H3" i="34"/>
  <c r="G4" i="34"/>
  <c r="H4" i="34"/>
  <c r="G5" i="34"/>
  <c r="H5" i="34"/>
  <c r="G6" i="34"/>
  <c r="H6" i="34"/>
  <c r="G7" i="34"/>
  <c r="H7" i="34"/>
  <c r="G8" i="34"/>
  <c r="H8" i="34"/>
  <c r="G9" i="34"/>
  <c r="H9" i="34"/>
  <c r="G10" i="34"/>
  <c r="H10" i="34"/>
  <c r="G11" i="34"/>
  <c r="H11" i="34"/>
  <c r="G12" i="34"/>
  <c r="H12" i="34"/>
  <c r="G13" i="34"/>
  <c r="H13" i="34"/>
  <c r="G14" i="34"/>
  <c r="H14" i="34"/>
  <c r="G15" i="34"/>
  <c r="H15" i="34"/>
  <c r="G16" i="34"/>
  <c r="H16" i="34"/>
  <c r="G17" i="34"/>
  <c r="H17" i="34"/>
  <c r="G18" i="34"/>
  <c r="H18" i="34"/>
  <c r="G19" i="34"/>
  <c r="H19" i="34"/>
  <c r="G20" i="34"/>
  <c r="H20" i="34"/>
  <c r="G21" i="34"/>
  <c r="H21" i="34"/>
  <c r="G22" i="34"/>
  <c r="H22" i="34"/>
  <c r="H2" i="34"/>
  <c r="G2" i="34"/>
  <c r="I1" i="30"/>
  <c r="H3" i="30"/>
  <c r="H4" i="30"/>
  <c r="H5" i="30"/>
  <c r="H6" i="30"/>
  <c r="H7" i="30"/>
  <c r="H8" i="30"/>
  <c r="H9" i="30"/>
  <c r="H10" i="30"/>
  <c r="H11" i="30"/>
  <c r="H12" i="30"/>
  <c r="H13" i="30"/>
  <c r="H14" i="30"/>
  <c r="H15" i="30"/>
  <c r="H16" i="30"/>
  <c r="H17" i="30"/>
  <c r="H18" i="30"/>
  <c r="H19" i="30"/>
  <c r="H20" i="30"/>
  <c r="H21" i="30"/>
  <c r="H22" i="30"/>
  <c r="H23" i="30"/>
  <c r="H24" i="30"/>
  <c r="H25" i="30"/>
  <c r="H26" i="30"/>
  <c r="H27" i="30"/>
  <c r="H28" i="30"/>
  <c r="H29" i="30"/>
  <c r="H30" i="30"/>
  <c r="H31" i="30"/>
  <c r="H32" i="30"/>
  <c r="H33" i="30"/>
  <c r="H34" i="30"/>
  <c r="H35" i="30"/>
  <c r="H36" i="30"/>
  <c r="H37" i="30"/>
  <c r="H38" i="30"/>
  <c r="H39" i="30"/>
  <c r="H40" i="30"/>
  <c r="H41" i="30"/>
  <c r="H42" i="30"/>
  <c r="H43" i="30"/>
  <c r="H44" i="30"/>
  <c r="H45" i="30"/>
  <c r="H46" i="30"/>
  <c r="H47" i="30"/>
  <c r="H48" i="30"/>
  <c r="H49" i="30"/>
  <c r="H2" i="30"/>
  <c r="H1" i="30"/>
  <c r="G5" i="30"/>
  <c r="G6" i="30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36" i="30"/>
  <c r="G37" i="30"/>
  <c r="G38" i="30"/>
  <c r="G39" i="30"/>
  <c r="G40" i="30"/>
  <c r="G41" i="30"/>
  <c r="G42" i="30"/>
  <c r="G43" i="30"/>
  <c r="G44" i="30"/>
  <c r="G45" i="30"/>
  <c r="G46" i="30"/>
  <c r="G47" i="30"/>
  <c r="G48" i="30"/>
  <c r="G49" i="30"/>
  <c r="G50" i="30"/>
  <c r="G51" i="30"/>
  <c r="G52" i="30"/>
  <c r="G53" i="30"/>
  <c r="G54" i="30"/>
  <c r="G55" i="30"/>
  <c r="G56" i="30"/>
  <c r="G57" i="30"/>
  <c r="G58" i="30"/>
  <c r="G59" i="30"/>
  <c r="G60" i="30"/>
  <c r="G61" i="30"/>
  <c r="G62" i="30"/>
  <c r="G63" i="30"/>
  <c r="G64" i="30"/>
  <c r="G65" i="30"/>
  <c r="G66" i="30"/>
  <c r="G67" i="30"/>
  <c r="G68" i="30"/>
  <c r="G69" i="30"/>
  <c r="G70" i="30"/>
  <c r="G71" i="30"/>
  <c r="G72" i="30"/>
  <c r="G73" i="30"/>
  <c r="G74" i="30"/>
  <c r="G75" i="30"/>
  <c r="G76" i="30"/>
  <c r="G77" i="30"/>
  <c r="G78" i="30"/>
  <c r="G79" i="30"/>
  <c r="G80" i="30"/>
  <c r="G81" i="30"/>
  <c r="G82" i="30"/>
  <c r="G83" i="30"/>
  <c r="G84" i="30"/>
  <c r="G85" i="30"/>
  <c r="G86" i="30"/>
  <c r="G87" i="30"/>
  <c r="G88" i="30"/>
  <c r="G89" i="30"/>
  <c r="G90" i="30"/>
  <c r="G91" i="30"/>
  <c r="G92" i="30"/>
  <c r="G93" i="30"/>
  <c r="G94" i="30"/>
  <c r="G95" i="30"/>
  <c r="G96" i="30"/>
  <c r="G97" i="30"/>
  <c r="G2" i="30"/>
  <c r="G3" i="30"/>
  <c r="G4" i="30"/>
  <c r="G1" i="30"/>
  <c r="L107" i="151" l="1"/>
  <c r="G119" i="151"/>
  <c r="H131" i="152"/>
  <c r="M131" i="152" s="1"/>
  <c r="M119" i="152"/>
  <c r="H133" i="152"/>
  <c r="M133" i="152" s="1"/>
  <c r="M121" i="152"/>
  <c r="G121" i="151"/>
  <c r="L109" i="151"/>
  <c r="J35" i="38"/>
  <c r="J35" i="28"/>
  <c r="J37" i="38"/>
  <c r="J37" i="28"/>
  <c r="J30" i="38"/>
  <c r="J30" i="28"/>
  <c r="J26" i="38"/>
  <c r="J26" i="28"/>
  <c r="CL104" i="67"/>
  <c r="G92" i="151"/>
  <c r="L92" i="151" s="1"/>
  <c r="H92" i="152"/>
  <c r="G92" i="32"/>
  <c r="L92" i="32" s="1"/>
  <c r="J29" i="38"/>
  <c r="J29" i="28"/>
  <c r="J28" i="38"/>
  <c r="J28" i="28"/>
  <c r="L36" i="75"/>
  <c r="CL103" i="67"/>
  <c r="G91" i="151"/>
  <c r="L91" i="151" s="1"/>
  <c r="H91" i="152"/>
  <c r="G91" i="32"/>
  <c r="L91" i="32" s="1"/>
  <c r="J27" i="38"/>
  <c r="J27" i="28"/>
  <c r="J32" i="38"/>
  <c r="J32" i="28"/>
  <c r="J33" i="38"/>
  <c r="J33" i="28"/>
  <c r="CL99" i="67"/>
  <c r="G87" i="32"/>
  <c r="L87" i="32" s="1"/>
  <c r="H87" i="152"/>
  <c r="G87" i="151"/>
  <c r="L87" i="151" s="1"/>
  <c r="CL98" i="67"/>
  <c r="H86" i="152"/>
  <c r="G86" i="32"/>
  <c r="L86" i="32" s="1"/>
  <c r="G86" i="151"/>
  <c r="L86" i="151" s="1"/>
  <c r="J48" i="38"/>
  <c r="J48" i="28"/>
  <c r="J31" i="38"/>
  <c r="J31" i="28"/>
  <c r="J36" i="38"/>
  <c r="J36" i="28"/>
  <c r="J34" i="38"/>
  <c r="J34" i="28"/>
  <c r="CL102" i="67"/>
  <c r="G90" i="151"/>
  <c r="L90" i="151" s="1"/>
  <c r="H90" i="152"/>
  <c r="G90" i="32"/>
  <c r="L90" i="32" s="1"/>
  <c r="AE23" i="156"/>
  <c r="AK24" i="156"/>
  <c r="AE27" i="156"/>
  <c r="AK26" i="156"/>
  <c r="AE20" i="24"/>
  <c r="AK20" i="24" s="1"/>
  <c r="AK19" i="24"/>
  <c r="AE8" i="24"/>
  <c r="AK7" i="24"/>
  <c r="B7" i="156"/>
  <c r="AE8" i="156"/>
  <c r="AK7" i="156"/>
  <c r="CK49" i="67"/>
  <c r="N37" i="155"/>
  <c r="L37" i="154"/>
  <c r="V37" i="154" s="1"/>
  <c r="L37" i="153"/>
  <c r="V37" i="153" s="1"/>
  <c r="L37" i="75"/>
  <c r="CE52" i="67"/>
  <c r="CJ40" i="67"/>
  <c r="CK45" i="67"/>
  <c r="N33" i="155"/>
  <c r="L33" i="154"/>
  <c r="V33" i="154" s="1"/>
  <c r="L33" i="153"/>
  <c r="V33" i="153" s="1"/>
  <c r="L33" i="75"/>
  <c r="CK46" i="67"/>
  <c r="N34" i="155"/>
  <c r="L34" i="154"/>
  <c r="V34" i="154" s="1"/>
  <c r="L34" i="153"/>
  <c r="V34" i="153" s="1"/>
  <c r="L34" i="75"/>
  <c r="CK41" i="67"/>
  <c r="L29" i="154"/>
  <c r="V29" i="154" s="1"/>
  <c r="L29" i="153"/>
  <c r="V29" i="153" s="1"/>
  <c r="N29" i="155"/>
  <c r="L29" i="75"/>
  <c r="CK39" i="67"/>
  <c r="L27" i="153"/>
  <c r="V27" i="153" s="1"/>
  <c r="N27" i="155"/>
  <c r="L27" i="154"/>
  <c r="V27" i="154" s="1"/>
  <c r="L27" i="75"/>
  <c r="CE68" i="67"/>
  <c r="CK43" i="67"/>
  <c r="N31" i="155"/>
  <c r="L31" i="154"/>
  <c r="V31" i="154" s="1"/>
  <c r="L31" i="153"/>
  <c r="V31" i="153" s="1"/>
  <c r="L31" i="75"/>
  <c r="CE84" i="67"/>
  <c r="CK40" i="67"/>
  <c r="L28" i="154"/>
  <c r="V28" i="154" s="1"/>
  <c r="L28" i="153"/>
  <c r="V28" i="153" s="1"/>
  <c r="N28" i="155"/>
  <c r="L28" i="75"/>
  <c r="CE54" i="67"/>
  <c r="CJ42" i="67"/>
  <c r="CK44" i="67"/>
  <c r="N32" i="155"/>
  <c r="L32" i="154"/>
  <c r="V32" i="154" s="1"/>
  <c r="L32" i="153"/>
  <c r="V32" i="153" s="1"/>
  <c r="L32" i="75"/>
  <c r="CK47" i="67"/>
  <c r="N35" i="155"/>
  <c r="L35" i="154"/>
  <c r="V35" i="154" s="1"/>
  <c r="L35" i="153"/>
  <c r="V35" i="153" s="1"/>
  <c r="L35" i="75"/>
  <c r="CK60" i="67"/>
  <c r="N48" i="155"/>
  <c r="L48" i="154"/>
  <c r="V48" i="154" s="1"/>
  <c r="L48" i="153"/>
  <c r="V48" i="153" s="1"/>
  <c r="L48" i="75"/>
  <c r="CE58" i="67"/>
  <c r="CJ46" i="67"/>
  <c r="CK38" i="67"/>
  <c r="L26" i="153"/>
  <c r="V26" i="153" s="1"/>
  <c r="N26" i="155"/>
  <c r="L26" i="154"/>
  <c r="V26" i="154" s="1"/>
  <c r="L26" i="75"/>
  <c r="CK42" i="67"/>
  <c r="L30" i="154"/>
  <c r="V30" i="154" s="1"/>
  <c r="L30" i="153"/>
  <c r="V30" i="153" s="1"/>
  <c r="N30" i="155"/>
  <c r="L30" i="75"/>
  <c r="B28" i="25"/>
  <c r="B38" i="25" s="1"/>
  <c r="B10" i="73"/>
  <c r="B24" i="73" s="1"/>
  <c r="B29" i="25"/>
  <c r="B39" i="25" s="1"/>
  <c r="B11" i="73"/>
  <c r="B25" i="73" s="1"/>
  <c r="B30" i="25"/>
  <c r="B40" i="25" s="1"/>
  <c r="B12" i="73"/>
  <c r="B26" i="73" s="1"/>
  <c r="B31" i="25"/>
  <c r="B41" i="25" s="1"/>
  <c r="B13" i="73"/>
  <c r="B27" i="73" s="1"/>
  <c r="B27" i="25"/>
  <c r="B37" i="25" s="1"/>
  <c r="B9" i="73"/>
  <c r="B23" i="73" s="1"/>
  <c r="Z76" i="30"/>
  <c r="C64" i="150"/>
  <c r="C92" i="23"/>
  <c r="C93" i="23" s="1"/>
  <c r="D94" i="23"/>
  <c r="C5" i="150"/>
  <c r="B73" i="154"/>
  <c r="B10" i="150"/>
  <c r="B37" i="150"/>
  <c r="C10" i="155"/>
  <c r="B21" i="150"/>
  <c r="C34" i="150"/>
  <c r="B97" i="153"/>
  <c r="B29" i="150"/>
  <c r="C94" i="150"/>
  <c r="C56" i="150"/>
  <c r="C26" i="150"/>
  <c r="C72" i="150"/>
  <c r="C96" i="150"/>
  <c r="C93" i="150"/>
  <c r="B97" i="150"/>
  <c r="C80" i="155"/>
  <c r="C31" i="154"/>
  <c r="B87" i="150"/>
  <c r="B96" i="153"/>
  <c r="B20" i="150"/>
  <c r="C61" i="150"/>
  <c r="B42" i="150"/>
  <c r="C75" i="150"/>
  <c r="B36" i="150"/>
  <c r="C53" i="150"/>
  <c r="B57" i="150"/>
  <c r="C84" i="150"/>
  <c r="B45" i="153"/>
  <c r="C62" i="150"/>
  <c r="C61" i="151"/>
  <c r="B58" i="150"/>
  <c r="C81" i="150"/>
  <c r="C78" i="151"/>
  <c r="B70" i="153"/>
  <c r="C15" i="150"/>
  <c r="C86" i="153"/>
  <c r="C9" i="150"/>
  <c r="B12" i="150"/>
  <c r="B28" i="150"/>
  <c r="C47" i="150"/>
  <c r="B55" i="150"/>
  <c r="C13" i="152"/>
  <c r="B17" i="153"/>
  <c r="C41" i="150"/>
  <c r="B31" i="150"/>
  <c r="C82" i="150"/>
  <c r="C25" i="150"/>
  <c r="B25" i="150"/>
  <c r="B73" i="150"/>
  <c r="C73" i="150"/>
  <c r="C7" i="150"/>
  <c r="B7" i="150"/>
  <c r="C4" i="150"/>
  <c r="B4" i="150"/>
  <c r="B88" i="150"/>
  <c r="C88" i="150"/>
  <c r="C23" i="150"/>
  <c r="B23" i="150"/>
  <c r="C39" i="150"/>
  <c r="B39" i="150"/>
  <c r="C44" i="150"/>
  <c r="B44" i="150"/>
  <c r="C60" i="150"/>
  <c r="B60" i="150"/>
  <c r="C13" i="150"/>
  <c r="C45" i="150"/>
  <c r="B45" i="150"/>
  <c r="B8" i="151"/>
  <c r="C8" i="151"/>
  <c r="B17" i="150"/>
  <c r="C33" i="150"/>
  <c r="B33" i="150"/>
  <c r="B92" i="150"/>
  <c r="C92" i="150"/>
  <c r="B59" i="150"/>
  <c r="B69" i="150"/>
  <c r="C69" i="150"/>
  <c r="B80" i="150"/>
  <c r="C80" i="150"/>
  <c r="B2" i="150"/>
  <c r="B18" i="150"/>
  <c r="B39" i="151"/>
  <c r="C39" i="151"/>
  <c r="B76" i="150"/>
  <c r="C76" i="150"/>
  <c r="B85" i="150"/>
  <c r="C10" i="151"/>
  <c r="B62" i="153"/>
  <c r="B88" i="152"/>
  <c r="C88" i="152"/>
  <c r="C21" i="153"/>
  <c r="B21" i="153"/>
  <c r="C11" i="153"/>
  <c r="B78" i="150"/>
  <c r="B86" i="150"/>
  <c r="B95" i="150"/>
  <c r="C27" i="152"/>
  <c r="C7" i="153"/>
  <c r="C74" i="155"/>
  <c r="B74" i="155"/>
  <c r="C74" i="150"/>
  <c r="B90" i="151"/>
  <c r="C27" i="153"/>
  <c r="B33" i="153"/>
  <c r="C33" i="153"/>
  <c r="C74" i="153"/>
  <c r="B57" i="154"/>
  <c r="C57" i="154"/>
  <c r="C18" i="154"/>
  <c r="B18" i="154"/>
  <c r="B8" i="156"/>
  <c r="I8" i="156"/>
  <c r="I9" i="156" s="1"/>
  <c r="I10" i="156" s="1"/>
  <c r="I11" i="156" s="1"/>
  <c r="I12" i="156" s="1"/>
  <c r="P8" i="156"/>
  <c r="P9" i="156" s="1"/>
  <c r="P10" i="156" s="1"/>
  <c r="P11" i="156" s="1"/>
  <c r="P12" i="156" s="1"/>
  <c r="B48" i="155"/>
  <c r="B58" i="155"/>
  <c r="B38" i="155"/>
  <c r="C97" i="155"/>
  <c r="C6" i="155"/>
  <c r="C22" i="155"/>
  <c r="B64" i="155"/>
  <c r="C20" i="155"/>
  <c r="C30" i="155"/>
  <c r="B50" i="155"/>
  <c r="B70" i="155"/>
  <c r="B26" i="155"/>
  <c r="B36" i="155"/>
  <c r="B86" i="155"/>
  <c r="C12" i="155"/>
  <c r="B54" i="155"/>
  <c r="B68" i="155"/>
  <c r="B82" i="155"/>
  <c r="B96" i="155"/>
  <c r="C8" i="155"/>
  <c r="C4" i="155"/>
  <c r="B18" i="155"/>
  <c r="B32" i="155"/>
  <c r="B42" i="155"/>
  <c r="C84" i="155"/>
  <c r="C52" i="155"/>
  <c r="C94" i="155"/>
  <c r="B2" i="155"/>
  <c r="C62" i="155"/>
  <c r="B90" i="155"/>
  <c r="C55" i="154"/>
  <c r="C70" i="154"/>
  <c r="B45" i="154"/>
  <c r="B61" i="154"/>
  <c r="B92" i="154"/>
  <c r="C48" i="154"/>
  <c r="B81" i="154"/>
  <c r="B9" i="154"/>
  <c r="C77" i="154"/>
  <c r="B34" i="154"/>
  <c r="B49" i="154"/>
  <c r="B5" i="154"/>
  <c r="C6" i="154"/>
  <c r="B65" i="154"/>
  <c r="B26" i="154"/>
  <c r="B11" i="154"/>
  <c r="B75" i="154"/>
  <c r="B95" i="154"/>
  <c r="B19" i="154"/>
  <c r="B51" i="154"/>
  <c r="B90" i="154"/>
  <c r="B25" i="154"/>
  <c r="B39" i="154"/>
  <c r="C12" i="154"/>
  <c r="B17" i="154"/>
  <c r="C82" i="154"/>
  <c r="C74" i="154"/>
  <c r="B78" i="154"/>
  <c r="B27" i="154"/>
  <c r="B89" i="154"/>
  <c r="B23" i="154"/>
  <c r="B41" i="154"/>
  <c r="B59" i="154"/>
  <c r="B63" i="154"/>
  <c r="B67" i="154"/>
  <c r="B3" i="154"/>
  <c r="C10" i="154"/>
  <c r="B43" i="154"/>
  <c r="B50" i="154"/>
  <c r="B69" i="154"/>
  <c r="C76" i="154"/>
  <c r="B21" i="154"/>
  <c r="B36" i="154"/>
  <c r="B47" i="154"/>
  <c r="B84" i="154"/>
  <c r="C88" i="154"/>
  <c r="B7" i="154"/>
  <c r="B29" i="154"/>
  <c r="B33" i="154"/>
  <c r="B58" i="154"/>
  <c r="B4" i="154"/>
  <c r="B15" i="154"/>
  <c r="B37" i="154"/>
  <c r="C44" i="154"/>
  <c r="B85" i="154"/>
  <c r="B93" i="154"/>
  <c r="B97" i="154"/>
  <c r="B16" i="154"/>
  <c r="B38" i="154"/>
  <c r="B56" i="154"/>
  <c r="B71" i="154"/>
  <c r="B94" i="154"/>
  <c r="B2" i="154"/>
  <c r="B35" i="154"/>
  <c r="C42" i="154"/>
  <c r="B68" i="154"/>
  <c r="B13" i="154"/>
  <c r="B53" i="154"/>
  <c r="B83" i="154"/>
  <c r="B87" i="154"/>
  <c r="B24" i="154"/>
  <c r="B79" i="154"/>
  <c r="B91" i="154"/>
  <c r="C23" i="153"/>
  <c r="B41" i="153"/>
  <c r="B67" i="153"/>
  <c r="C31" i="153"/>
  <c r="B53" i="153"/>
  <c r="B88" i="153"/>
  <c r="B39" i="153"/>
  <c r="B85" i="153"/>
  <c r="C14" i="153"/>
  <c r="C58" i="153"/>
  <c r="C79" i="153"/>
  <c r="B83" i="153"/>
  <c r="B5" i="153"/>
  <c r="B55" i="153"/>
  <c r="B92" i="153"/>
  <c r="B61" i="153"/>
  <c r="B73" i="153"/>
  <c r="B15" i="153"/>
  <c r="B49" i="153"/>
  <c r="C6" i="153"/>
  <c r="B9" i="153"/>
  <c r="B37" i="153"/>
  <c r="C93" i="153"/>
  <c r="B13" i="153"/>
  <c r="C22" i="153"/>
  <c r="B25" i="153"/>
  <c r="B47" i="153"/>
  <c r="C71" i="153"/>
  <c r="B57" i="153"/>
  <c r="C69" i="153"/>
  <c r="B29" i="153"/>
  <c r="B63" i="153"/>
  <c r="B78" i="153"/>
  <c r="C51" i="153"/>
  <c r="B75" i="153"/>
  <c r="C3" i="153"/>
  <c r="C30" i="154"/>
  <c r="B30" i="154"/>
  <c r="B56" i="153"/>
  <c r="C56" i="153"/>
  <c r="C66" i="153"/>
  <c r="C90" i="153"/>
  <c r="B90" i="153"/>
  <c r="B48" i="153"/>
  <c r="C48" i="153"/>
  <c r="C5" i="155"/>
  <c r="B5" i="155"/>
  <c r="B40" i="153"/>
  <c r="C40" i="153"/>
  <c r="C35" i="153"/>
  <c r="B24" i="153"/>
  <c r="C24" i="153"/>
  <c r="C38" i="153"/>
  <c r="C94" i="153"/>
  <c r="B94" i="153"/>
  <c r="C16" i="155"/>
  <c r="B16" i="155"/>
  <c r="B16" i="153"/>
  <c r="C16" i="153"/>
  <c r="C30" i="153"/>
  <c r="C60" i="153"/>
  <c r="B60" i="153"/>
  <c r="C43" i="153"/>
  <c r="B32" i="153"/>
  <c r="C32" i="153"/>
  <c r="C19" i="153"/>
  <c r="C54" i="154"/>
  <c r="B54" i="154"/>
  <c r="C54" i="153"/>
  <c r="C86" i="154"/>
  <c r="B86" i="154"/>
  <c r="B77" i="153"/>
  <c r="C77" i="153"/>
  <c r="B8" i="153"/>
  <c r="C8" i="153"/>
  <c r="C46" i="153"/>
  <c r="C22" i="154"/>
  <c r="B22" i="154"/>
  <c r="B65" i="153"/>
  <c r="B82" i="153"/>
  <c r="B28" i="154"/>
  <c r="B60" i="154"/>
  <c r="C80" i="154"/>
  <c r="B80" i="154"/>
  <c r="B66" i="154"/>
  <c r="C13" i="155"/>
  <c r="B13" i="155"/>
  <c r="B59" i="153"/>
  <c r="B72" i="153"/>
  <c r="B76" i="153"/>
  <c r="B87" i="153"/>
  <c r="B8" i="154"/>
  <c r="B40" i="154"/>
  <c r="B72" i="154"/>
  <c r="B28" i="155"/>
  <c r="B2" i="153"/>
  <c r="B10" i="153"/>
  <c r="B18" i="153"/>
  <c r="B26" i="153"/>
  <c r="B34" i="153"/>
  <c r="B42" i="153"/>
  <c r="B50" i="153"/>
  <c r="B64" i="153"/>
  <c r="B81" i="153"/>
  <c r="B14" i="154"/>
  <c r="B46" i="154"/>
  <c r="C25" i="155"/>
  <c r="B25" i="155"/>
  <c r="B60" i="155"/>
  <c r="B92" i="155"/>
  <c r="B84" i="153"/>
  <c r="B20" i="154"/>
  <c r="B52" i="154"/>
  <c r="C45" i="155"/>
  <c r="B45" i="155"/>
  <c r="C57" i="155"/>
  <c r="B57" i="155"/>
  <c r="C77" i="155"/>
  <c r="B77" i="155"/>
  <c r="C89" i="155"/>
  <c r="B89" i="155"/>
  <c r="B80" i="153"/>
  <c r="B89" i="153"/>
  <c r="B32" i="154"/>
  <c r="B64" i="154"/>
  <c r="C37" i="155"/>
  <c r="B37" i="155"/>
  <c r="C69" i="155"/>
  <c r="B69" i="155"/>
  <c r="B4" i="153"/>
  <c r="B12" i="153"/>
  <c r="B20" i="153"/>
  <c r="B28" i="153"/>
  <c r="B36" i="153"/>
  <c r="B44" i="153"/>
  <c r="B52" i="153"/>
  <c r="B68" i="153"/>
  <c r="C95" i="153"/>
  <c r="B95" i="153"/>
  <c r="C3" i="155"/>
  <c r="B3" i="155"/>
  <c r="C91" i="153"/>
  <c r="B91" i="153"/>
  <c r="C11" i="155"/>
  <c r="B11" i="155"/>
  <c r="C19" i="155"/>
  <c r="B19" i="155"/>
  <c r="B62" i="154"/>
  <c r="C34" i="155"/>
  <c r="B34" i="155"/>
  <c r="C66" i="155"/>
  <c r="B66" i="155"/>
  <c r="C51" i="155"/>
  <c r="B51" i="155"/>
  <c r="C83" i="155"/>
  <c r="B83" i="155"/>
  <c r="C31" i="155"/>
  <c r="B31" i="155"/>
  <c r="C63" i="155"/>
  <c r="B63" i="155"/>
  <c r="C43" i="155"/>
  <c r="B43" i="155"/>
  <c r="C75" i="155"/>
  <c r="B75" i="155"/>
  <c r="C17" i="155"/>
  <c r="B17" i="155"/>
  <c r="B40" i="155"/>
  <c r="C49" i="155"/>
  <c r="B49" i="155"/>
  <c r="B72" i="155"/>
  <c r="C81" i="155"/>
  <c r="B81" i="155"/>
  <c r="B96" i="154"/>
  <c r="B14" i="155"/>
  <c r="C23" i="155"/>
  <c r="B23" i="155"/>
  <c r="B46" i="155"/>
  <c r="C55" i="155"/>
  <c r="B55" i="155"/>
  <c r="B78" i="155"/>
  <c r="C87" i="155"/>
  <c r="B87" i="155"/>
  <c r="C29" i="155"/>
  <c r="B29" i="155"/>
  <c r="C61" i="155"/>
  <c r="B61" i="155"/>
  <c r="C93" i="155"/>
  <c r="B93" i="155"/>
  <c r="C9" i="155"/>
  <c r="B9" i="155"/>
  <c r="C35" i="155"/>
  <c r="B35" i="155"/>
  <c r="C67" i="155"/>
  <c r="B67" i="155"/>
  <c r="C41" i="155"/>
  <c r="B41" i="155"/>
  <c r="C73" i="155"/>
  <c r="B73" i="155"/>
  <c r="C15" i="155"/>
  <c r="B15" i="155"/>
  <c r="C47" i="155"/>
  <c r="B47" i="155"/>
  <c r="C79" i="155"/>
  <c r="B79" i="155"/>
  <c r="C21" i="155"/>
  <c r="B21" i="155"/>
  <c r="B44" i="155"/>
  <c r="C53" i="155"/>
  <c r="B53" i="155"/>
  <c r="B76" i="155"/>
  <c r="C85" i="155"/>
  <c r="B85" i="155"/>
  <c r="C7" i="155"/>
  <c r="B7" i="155"/>
  <c r="C27" i="155"/>
  <c r="B27" i="155"/>
  <c r="C59" i="155"/>
  <c r="B59" i="155"/>
  <c r="C91" i="155"/>
  <c r="B91" i="155"/>
  <c r="B24" i="155"/>
  <c r="C33" i="155"/>
  <c r="B33" i="155"/>
  <c r="B56" i="155"/>
  <c r="C65" i="155"/>
  <c r="B65" i="155"/>
  <c r="B88" i="155"/>
  <c r="C39" i="155"/>
  <c r="B39" i="155"/>
  <c r="C71" i="155"/>
  <c r="B71" i="155"/>
  <c r="B95" i="155"/>
  <c r="C16" i="152"/>
  <c r="C38" i="152"/>
  <c r="C11" i="152"/>
  <c r="B72" i="152"/>
  <c r="C15" i="152"/>
  <c r="B24" i="152"/>
  <c r="B17" i="152"/>
  <c r="C84" i="152"/>
  <c r="C93" i="152"/>
  <c r="C96" i="152"/>
  <c r="C23" i="152"/>
  <c r="B48" i="152"/>
  <c r="C7" i="152"/>
  <c r="B64" i="152"/>
  <c r="B43" i="152"/>
  <c r="C46" i="152"/>
  <c r="B28" i="152"/>
  <c r="C86" i="152"/>
  <c r="C5" i="152"/>
  <c r="B62" i="152"/>
  <c r="C77" i="152"/>
  <c r="C8" i="152"/>
  <c r="C53" i="152"/>
  <c r="C56" i="152"/>
  <c r="B94" i="152"/>
  <c r="B19" i="152"/>
  <c r="C31" i="152"/>
  <c r="B75" i="152"/>
  <c r="B80" i="152"/>
  <c r="C68" i="152"/>
  <c r="B66" i="152"/>
  <c r="B83" i="152"/>
  <c r="C20" i="152"/>
  <c r="C32" i="152"/>
  <c r="C95" i="152"/>
  <c r="B18" i="152"/>
  <c r="B30" i="152"/>
  <c r="C40" i="152"/>
  <c r="C69" i="152"/>
  <c r="C55" i="152"/>
  <c r="B67" i="152"/>
  <c r="C91" i="152"/>
  <c r="B97" i="151"/>
  <c r="C97" i="151"/>
  <c r="B93" i="151"/>
  <c r="C17" i="151"/>
  <c r="B49" i="151"/>
  <c r="C5" i="151"/>
  <c r="B95" i="151"/>
  <c r="C37" i="151"/>
  <c r="B20" i="151"/>
  <c r="C77" i="151"/>
  <c r="C7" i="151"/>
  <c r="C63" i="151"/>
  <c r="B29" i="151"/>
  <c r="C16" i="151"/>
  <c r="B73" i="151"/>
  <c r="B60" i="151"/>
  <c r="B32" i="151"/>
  <c r="B11" i="151"/>
  <c r="B22" i="151"/>
  <c r="C41" i="151"/>
  <c r="C56" i="151"/>
  <c r="B33" i="151"/>
  <c r="C82" i="151"/>
  <c r="B65" i="151"/>
  <c r="B4" i="151"/>
  <c r="C25" i="151"/>
  <c r="B28" i="151"/>
  <c r="C71" i="151"/>
  <c r="C47" i="151"/>
  <c r="C9" i="151"/>
  <c r="B51" i="151"/>
  <c r="B74" i="151"/>
  <c r="C66" i="151"/>
  <c r="B13" i="151"/>
  <c r="B24" i="151"/>
  <c r="B84" i="151"/>
  <c r="B15" i="151"/>
  <c r="B36" i="151"/>
  <c r="B44" i="151"/>
  <c r="B81" i="151"/>
  <c r="B6" i="151"/>
  <c r="C23" i="151"/>
  <c r="B31" i="151"/>
  <c r="B52" i="151"/>
  <c r="C92" i="151"/>
  <c r="C50" i="151"/>
  <c r="C55" i="151"/>
  <c r="B79" i="151"/>
  <c r="B87" i="151"/>
  <c r="B2" i="151"/>
  <c r="B14" i="151"/>
  <c r="C64" i="151"/>
  <c r="B12" i="151"/>
  <c r="B46" i="151"/>
  <c r="B3" i="151"/>
  <c r="B62" i="151"/>
  <c r="B54" i="151"/>
  <c r="B67" i="151"/>
  <c r="C74" i="152"/>
  <c r="B74" i="152"/>
  <c r="B39" i="152"/>
  <c r="C39" i="152"/>
  <c r="B54" i="150"/>
  <c r="B77" i="150"/>
  <c r="C18" i="151"/>
  <c r="B18" i="151"/>
  <c r="B40" i="151"/>
  <c r="B57" i="151"/>
  <c r="C57" i="151"/>
  <c r="C76" i="151"/>
  <c r="B76" i="152"/>
  <c r="C76" i="152"/>
  <c r="B21" i="151"/>
  <c r="B3" i="150"/>
  <c r="B11" i="150"/>
  <c r="B19" i="150"/>
  <c r="B27" i="150"/>
  <c r="B35" i="150"/>
  <c r="B43" i="150"/>
  <c r="C83" i="150"/>
  <c r="B83" i="150"/>
  <c r="B83" i="151"/>
  <c r="B79" i="150"/>
  <c r="C27" i="151"/>
  <c r="B27" i="151"/>
  <c r="C30" i="151"/>
  <c r="B30" i="151"/>
  <c r="B59" i="151"/>
  <c r="B79" i="152"/>
  <c r="C79" i="152"/>
  <c r="C75" i="151"/>
  <c r="B75" i="151"/>
  <c r="B63" i="150"/>
  <c r="B65" i="150"/>
  <c r="B66" i="150"/>
  <c r="B67" i="150"/>
  <c r="B68" i="150"/>
  <c r="C36" i="152"/>
  <c r="B36" i="152"/>
  <c r="B61" i="152"/>
  <c r="C61" i="152"/>
  <c r="B71" i="152"/>
  <c r="C71" i="152"/>
  <c r="B6" i="150"/>
  <c r="B14" i="150"/>
  <c r="B22" i="150"/>
  <c r="B30" i="150"/>
  <c r="B38" i="150"/>
  <c r="B46" i="150"/>
  <c r="C35" i="151"/>
  <c r="B35" i="151"/>
  <c r="C59" i="152"/>
  <c r="B59" i="152"/>
  <c r="C38" i="151"/>
  <c r="B38" i="151"/>
  <c r="C14" i="152"/>
  <c r="B14" i="152"/>
  <c r="B49" i="150"/>
  <c r="B50" i="150"/>
  <c r="B51" i="150"/>
  <c r="B52" i="150"/>
  <c r="B70" i="150"/>
  <c r="B19" i="151"/>
  <c r="C43" i="151"/>
  <c r="B68" i="151"/>
  <c r="C90" i="152"/>
  <c r="B90" i="152"/>
  <c r="B92" i="152"/>
  <c r="C92" i="152"/>
  <c r="B8" i="150"/>
  <c r="B16" i="150"/>
  <c r="B24" i="150"/>
  <c r="B32" i="150"/>
  <c r="B40" i="150"/>
  <c r="C48" i="150"/>
  <c r="B89" i="150"/>
  <c r="B90" i="150"/>
  <c r="B71" i="150"/>
  <c r="B45" i="151"/>
  <c r="B89" i="151"/>
  <c r="B54" i="152"/>
  <c r="C72" i="151"/>
  <c r="B72" i="151"/>
  <c r="B91" i="150"/>
  <c r="B42" i="151"/>
  <c r="C48" i="151"/>
  <c r="B48" i="151"/>
  <c r="B53" i="151"/>
  <c r="B6" i="152"/>
  <c r="B26" i="151"/>
  <c r="B34" i="151"/>
  <c r="B86" i="151"/>
  <c r="B94" i="151"/>
  <c r="C91" i="151"/>
  <c r="B91" i="151"/>
  <c r="B29" i="152"/>
  <c r="C29" i="152"/>
  <c r="C88" i="151"/>
  <c r="B88" i="151"/>
  <c r="B58" i="151"/>
  <c r="B70" i="151"/>
  <c r="B35" i="152"/>
  <c r="B45" i="152"/>
  <c r="C45" i="152"/>
  <c r="B63" i="152"/>
  <c r="C63" i="152"/>
  <c r="B87" i="152"/>
  <c r="C87" i="152"/>
  <c r="B42" i="152"/>
  <c r="B50" i="152"/>
  <c r="B52" i="152"/>
  <c r="B60" i="152"/>
  <c r="C70" i="152"/>
  <c r="C82" i="152"/>
  <c r="B82" i="152"/>
  <c r="B80" i="151"/>
  <c r="B96" i="151"/>
  <c r="B2" i="152"/>
  <c r="B4" i="152"/>
  <c r="B12" i="152"/>
  <c r="C37" i="152"/>
  <c r="C47" i="152"/>
  <c r="B69" i="151"/>
  <c r="B85" i="151"/>
  <c r="C22" i="152"/>
  <c r="C26" i="152"/>
  <c r="B26" i="152"/>
  <c r="B85" i="152"/>
  <c r="C85" i="152"/>
  <c r="C21" i="152"/>
  <c r="B3" i="152"/>
  <c r="B10" i="152"/>
  <c r="B44" i="152"/>
  <c r="B51" i="152"/>
  <c r="B78" i="152"/>
  <c r="B34" i="152"/>
  <c r="B58" i="152"/>
  <c r="B9" i="152"/>
  <c r="B25" i="152"/>
  <c r="B33" i="152"/>
  <c r="B41" i="152"/>
  <c r="B49" i="152"/>
  <c r="B57" i="152"/>
  <c r="B65" i="152"/>
  <c r="B73" i="152"/>
  <c r="B81" i="152"/>
  <c r="B89" i="152"/>
  <c r="B97" i="152"/>
  <c r="A97" i="36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96" i="36"/>
  <c r="A95" i="36"/>
  <c r="A94" i="36"/>
  <c r="A93" i="36"/>
  <c r="A92" i="36"/>
  <c r="A91" i="36"/>
  <c r="A90" i="36"/>
  <c r="A89" i="36"/>
  <c r="A88" i="36"/>
  <c r="A87" i="36"/>
  <c r="A86" i="36"/>
  <c r="A85" i="36"/>
  <c r="A84" i="36"/>
  <c r="A83" i="36"/>
  <c r="A82" i="36"/>
  <c r="A81" i="36"/>
  <c r="A80" i="36"/>
  <c r="A79" i="36"/>
  <c r="A78" i="36"/>
  <c r="A77" i="36"/>
  <c r="A76" i="36"/>
  <c r="A75" i="36"/>
  <c r="A74" i="36"/>
  <c r="A73" i="36"/>
  <c r="A72" i="36"/>
  <c r="A71" i="36"/>
  <c r="A70" i="36"/>
  <c r="A69" i="36"/>
  <c r="A68" i="36"/>
  <c r="A67" i="36"/>
  <c r="A66" i="36"/>
  <c r="A65" i="36"/>
  <c r="A64" i="36"/>
  <c r="A63" i="36"/>
  <c r="A62" i="36"/>
  <c r="A61" i="36"/>
  <c r="A60" i="36"/>
  <c r="A59" i="36"/>
  <c r="A58" i="36"/>
  <c r="A57" i="36"/>
  <c r="A56" i="36"/>
  <c r="A55" i="36"/>
  <c r="A54" i="36"/>
  <c r="A53" i="36"/>
  <c r="A52" i="36"/>
  <c r="A51" i="36"/>
  <c r="A50" i="36"/>
  <c r="A49" i="36"/>
  <c r="A48" i="36"/>
  <c r="A47" i="36"/>
  <c r="A46" i="36"/>
  <c r="A45" i="36"/>
  <c r="A44" i="36"/>
  <c r="A43" i="36"/>
  <c r="A42" i="36"/>
  <c r="A41" i="36"/>
  <c r="A40" i="36"/>
  <c r="A39" i="36"/>
  <c r="A38" i="36"/>
  <c r="A37" i="36"/>
  <c r="A36" i="36"/>
  <c r="A35" i="36"/>
  <c r="A34" i="36"/>
  <c r="A33" i="36"/>
  <c r="A32" i="36"/>
  <c r="A31" i="36"/>
  <c r="A30" i="36"/>
  <c r="A29" i="36"/>
  <c r="A28" i="36"/>
  <c r="A27" i="36"/>
  <c r="A26" i="36"/>
  <c r="A25" i="36"/>
  <c r="A24" i="36"/>
  <c r="A23" i="36"/>
  <c r="A22" i="36"/>
  <c r="A21" i="36"/>
  <c r="A20" i="36"/>
  <c r="A19" i="36"/>
  <c r="A18" i="36"/>
  <c r="A17" i="36"/>
  <c r="A16" i="36"/>
  <c r="A15" i="36"/>
  <c r="A14" i="36"/>
  <c r="A13" i="36"/>
  <c r="A12" i="36"/>
  <c r="A11" i="36"/>
  <c r="A10" i="36"/>
  <c r="A9" i="36"/>
  <c r="A8" i="36"/>
  <c r="A7" i="36"/>
  <c r="A6" i="36"/>
  <c r="A5" i="36"/>
  <c r="A4" i="36"/>
  <c r="A3" i="36"/>
  <c r="A2" i="36"/>
  <c r="A1" i="36"/>
  <c r="A97" i="34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96" i="34"/>
  <c r="A95" i="34"/>
  <c r="A94" i="34"/>
  <c r="A93" i="34"/>
  <c r="A92" i="34"/>
  <c r="A91" i="34"/>
  <c r="A90" i="34"/>
  <c r="A89" i="34"/>
  <c r="A88" i="34"/>
  <c r="A87" i="34"/>
  <c r="A86" i="34"/>
  <c r="A85" i="34"/>
  <c r="A84" i="34"/>
  <c r="A83" i="34"/>
  <c r="A82" i="34"/>
  <c r="A81" i="34"/>
  <c r="A80" i="34"/>
  <c r="A79" i="34"/>
  <c r="A78" i="34"/>
  <c r="A77" i="34"/>
  <c r="A76" i="34"/>
  <c r="A75" i="34"/>
  <c r="A74" i="34"/>
  <c r="A73" i="34"/>
  <c r="A72" i="34"/>
  <c r="A71" i="34"/>
  <c r="A70" i="34"/>
  <c r="A69" i="34"/>
  <c r="A68" i="34"/>
  <c r="A67" i="34"/>
  <c r="A66" i="34"/>
  <c r="A65" i="34"/>
  <c r="A64" i="34"/>
  <c r="A63" i="34"/>
  <c r="A62" i="34"/>
  <c r="A61" i="34"/>
  <c r="A60" i="34"/>
  <c r="A59" i="34"/>
  <c r="A58" i="34"/>
  <c r="A57" i="34"/>
  <c r="A56" i="34"/>
  <c r="A55" i="34"/>
  <c r="A54" i="34"/>
  <c r="A53" i="34"/>
  <c r="A52" i="34"/>
  <c r="A51" i="34"/>
  <c r="A50" i="34"/>
  <c r="A49" i="34"/>
  <c r="A48" i="34"/>
  <c r="A47" i="34"/>
  <c r="A46" i="34"/>
  <c r="A45" i="34"/>
  <c r="A44" i="34"/>
  <c r="A43" i="34"/>
  <c r="A42" i="34"/>
  <c r="A41" i="34"/>
  <c r="A40" i="34"/>
  <c r="A39" i="34"/>
  <c r="A38" i="34"/>
  <c r="A37" i="34"/>
  <c r="A36" i="34"/>
  <c r="A35" i="34"/>
  <c r="A34" i="34"/>
  <c r="A33" i="34"/>
  <c r="A32" i="34"/>
  <c r="A31" i="34"/>
  <c r="A30" i="34"/>
  <c r="A29" i="34"/>
  <c r="A28" i="34"/>
  <c r="A27" i="34"/>
  <c r="A26" i="34"/>
  <c r="A25" i="34"/>
  <c r="A24" i="34"/>
  <c r="A23" i="34"/>
  <c r="A22" i="34"/>
  <c r="A21" i="34"/>
  <c r="A20" i="34"/>
  <c r="A19" i="34"/>
  <c r="A18" i="34"/>
  <c r="A17" i="34"/>
  <c r="A16" i="34"/>
  <c r="A15" i="34"/>
  <c r="A14" i="34"/>
  <c r="A13" i="34"/>
  <c r="A12" i="34"/>
  <c r="A11" i="34"/>
  <c r="A10" i="34"/>
  <c r="A9" i="34"/>
  <c r="A8" i="34"/>
  <c r="A7" i="34"/>
  <c r="A6" i="34"/>
  <c r="A5" i="34"/>
  <c r="A4" i="34"/>
  <c r="A3" i="34"/>
  <c r="A2" i="34"/>
  <c r="A1" i="34"/>
  <c r="I21" i="71"/>
  <c r="H21" i="71"/>
  <c r="I15" i="71"/>
  <c r="F21" i="71"/>
  <c r="E21" i="71"/>
  <c r="D10" i="70"/>
  <c r="W94" i="69"/>
  <c r="X94" i="69"/>
  <c r="Y94" i="69"/>
  <c r="Z94" i="69"/>
  <c r="W95" i="69"/>
  <c r="X95" i="69"/>
  <c r="Y95" i="69"/>
  <c r="Z95" i="69"/>
  <c r="X96" i="69"/>
  <c r="Y96" i="69"/>
  <c r="Z96" i="69"/>
  <c r="X97" i="69"/>
  <c r="Y97" i="69"/>
  <c r="Z97" i="69"/>
  <c r="D117" i="69"/>
  <c r="D124" i="69" s="1"/>
  <c r="D116" i="69"/>
  <c r="D123" i="69" s="1"/>
  <c r="AT44" i="17"/>
  <c r="AI44" i="17"/>
  <c r="BK7" i="17"/>
  <c r="BK8" i="17" s="1"/>
  <c r="AT49" i="17"/>
  <c r="AT50" i="17" s="1"/>
  <c r="AT7" i="17"/>
  <c r="AT8" i="17" s="1"/>
  <c r="AI49" i="17"/>
  <c r="AI7" i="17"/>
  <c r="AI8" i="17" s="1"/>
  <c r="AI9" i="17" s="1"/>
  <c r="P18" i="24"/>
  <c r="P19" i="24" s="1"/>
  <c r="P20" i="24" s="1"/>
  <c r="P6" i="24"/>
  <c r="P7" i="24" s="1"/>
  <c r="P8" i="24" s="1"/>
  <c r="I18" i="24"/>
  <c r="I19" i="24" s="1"/>
  <c r="I6" i="24"/>
  <c r="I7" i="24" s="1"/>
  <c r="B18" i="24"/>
  <c r="B19" i="24" s="1"/>
  <c r="B20" i="24" s="1"/>
  <c r="T15" i="23"/>
  <c r="Z6" i="23"/>
  <c r="Z7" i="23" s="1"/>
  <c r="Z8" i="23" s="1"/>
  <c r="Z9" i="23" s="1"/>
  <c r="Z10" i="23" s="1"/>
  <c r="Z11" i="23" s="1"/>
  <c r="Z12" i="23" s="1"/>
  <c r="R6" i="23"/>
  <c r="R7" i="23" s="1"/>
  <c r="R8" i="23" s="1"/>
  <c r="R9" i="23" s="1"/>
  <c r="R10" i="23" s="1"/>
  <c r="R11" i="23" s="1"/>
  <c r="R12" i="23" s="1"/>
  <c r="N6" i="23"/>
  <c r="N7" i="23" s="1"/>
  <c r="N8" i="23" s="1"/>
  <c r="N9" i="23" s="1"/>
  <c r="N10" i="23" s="1"/>
  <c r="N11" i="23" s="1"/>
  <c r="N12" i="23" s="1"/>
  <c r="P124" i="75"/>
  <c r="P125" i="75"/>
  <c r="P126" i="75"/>
  <c r="P127" i="75"/>
  <c r="P128" i="75"/>
  <c r="P129" i="75"/>
  <c r="P130" i="75"/>
  <c r="P131" i="75"/>
  <c r="P132" i="75"/>
  <c r="P133" i="75"/>
  <c r="O37" i="75"/>
  <c r="O38" i="75"/>
  <c r="O39" i="75"/>
  <c r="O40" i="75"/>
  <c r="O41" i="75"/>
  <c r="O42" i="75"/>
  <c r="O43" i="75"/>
  <c r="O44" i="75"/>
  <c r="O45" i="75"/>
  <c r="O46" i="75"/>
  <c r="O47" i="75"/>
  <c r="O48" i="75"/>
  <c r="O49" i="75"/>
  <c r="O50" i="75"/>
  <c r="O51" i="75"/>
  <c r="O52" i="75"/>
  <c r="O53" i="75"/>
  <c r="O54" i="75"/>
  <c r="O55" i="75"/>
  <c r="O56" i="75"/>
  <c r="O57" i="75"/>
  <c r="O58" i="75"/>
  <c r="O59" i="75"/>
  <c r="O60" i="75"/>
  <c r="O61" i="75"/>
  <c r="O62" i="75"/>
  <c r="O63" i="75"/>
  <c r="O64" i="75"/>
  <c r="O65" i="75"/>
  <c r="O66" i="75"/>
  <c r="O67" i="75"/>
  <c r="O68" i="75"/>
  <c r="O69" i="75"/>
  <c r="O70" i="75"/>
  <c r="O71" i="75"/>
  <c r="O72" i="75"/>
  <c r="O73" i="75"/>
  <c r="O74" i="75"/>
  <c r="O75" i="75"/>
  <c r="O76" i="75"/>
  <c r="O77" i="75"/>
  <c r="O78" i="75"/>
  <c r="O79" i="75"/>
  <c r="O80" i="75"/>
  <c r="O81" i="75"/>
  <c r="O82" i="75"/>
  <c r="O83" i="75"/>
  <c r="O84" i="75"/>
  <c r="O85" i="75"/>
  <c r="O86" i="75"/>
  <c r="O87" i="75"/>
  <c r="O88" i="75"/>
  <c r="O89" i="75"/>
  <c r="O90" i="75"/>
  <c r="O91" i="75"/>
  <c r="O92" i="75"/>
  <c r="O93" i="75"/>
  <c r="O94" i="75"/>
  <c r="O95" i="75"/>
  <c r="O96" i="75"/>
  <c r="O110" i="75"/>
  <c r="W123" i="75"/>
  <c r="X123" i="75"/>
  <c r="W124" i="75"/>
  <c r="X124" i="75"/>
  <c r="W125" i="75"/>
  <c r="X125" i="75"/>
  <c r="W126" i="75"/>
  <c r="X126" i="75"/>
  <c r="W127" i="75"/>
  <c r="X127" i="75"/>
  <c r="W128" i="75"/>
  <c r="X128" i="75"/>
  <c r="W129" i="75"/>
  <c r="X129" i="75"/>
  <c r="W130" i="75"/>
  <c r="X130" i="75"/>
  <c r="W131" i="75"/>
  <c r="X131" i="75"/>
  <c r="W132" i="75"/>
  <c r="X132" i="75"/>
  <c r="W133" i="75"/>
  <c r="X133" i="75"/>
  <c r="P110" i="75"/>
  <c r="P111" i="75"/>
  <c r="P112" i="75"/>
  <c r="P113" i="75"/>
  <c r="P114" i="75"/>
  <c r="P115" i="75"/>
  <c r="P116" i="75"/>
  <c r="P117" i="75"/>
  <c r="P118" i="75"/>
  <c r="P119" i="75"/>
  <c r="P120" i="75"/>
  <c r="P121" i="75"/>
  <c r="P122" i="75"/>
  <c r="P123" i="75"/>
  <c r="M110" i="75"/>
  <c r="W110" i="75" s="1"/>
  <c r="N110" i="75"/>
  <c r="X110" i="75" s="1"/>
  <c r="W111" i="75"/>
  <c r="X111" i="75"/>
  <c r="W112" i="75"/>
  <c r="X112" i="75"/>
  <c r="W113" i="75"/>
  <c r="X113" i="75"/>
  <c r="W114" i="75"/>
  <c r="X114" i="75"/>
  <c r="W115" i="75"/>
  <c r="X115" i="75"/>
  <c r="W116" i="75"/>
  <c r="X116" i="75"/>
  <c r="W117" i="75"/>
  <c r="X117" i="75"/>
  <c r="W118" i="75"/>
  <c r="X118" i="75"/>
  <c r="W119" i="75"/>
  <c r="X119" i="75"/>
  <c r="W120" i="75"/>
  <c r="X120" i="75"/>
  <c r="W121" i="75"/>
  <c r="X121" i="75"/>
  <c r="W122" i="75"/>
  <c r="X122" i="75"/>
  <c r="K2" i="75"/>
  <c r="O3" i="75"/>
  <c r="O4" i="75"/>
  <c r="O5" i="75"/>
  <c r="O6" i="75"/>
  <c r="O7" i="75"/>
  <c r="O8" i="75"/>
  <c r="O9" i="75"/>
  <c r="O10" i="75"/>
  <c r="O11" i="75"/>
  <c r="O12" i="75"/>
  <c r="O13" i="75"/>
  <c r="O14" i="75"/>
  <c r="O15" i="75"/>
  <c r="O16" i="75"/>
  <c r="O17" i="75"/>
  <c r="O18" i="75"/>
  <c r="O19" i="75"/>
  <c r="O20" i="75"/>
  <c r="O21" i="75"/>
  <c r="O22" i="75"/>
  <c r="O23" i="75"/>
  <c r="O24" i="75"/>
  <c r="O25" i="75"/>
  <c r="O26" i="75"/>
  <c r="O27" i="75"/>
  <c r="O28" i="75"/>
  <c r="O29" i="75"/>
  <c r="O30" i="75"/>
  <c r="O31" i="75"/>
  <c r="O32" i="75"/>
  <c r="O33" i="75"/>
  <c r="O34" i="75"/>
  <c r="O35" i="75"/>
  <c r="O36" i="75"/>
  <c r="O2" i="75"/>
  <c r="M2" i="38"/>
  <c r="G1" i="75"/>
  <c r="H1" i="75"/>
  <c r="F1" i="75"/>
  <c r="R1" i="75" s="1"/>
  <c r="E1" i="75"/>
  <c r="Q1" i="75" s="1"/>
  <c r="A2" i="75"/>
  <c r="B2" i="75" s="1"/>
  <c r="N1" i="75"/>
  <c r="X1" i="75" s="1"/>
  <c r="M1" i="75"/>
  <c r="W1" i="75" s="1"/>
  <c r="V1" i="75"/>
  <c r="K1" i="75"/>
  <c r="U1" i="75" s="1"/>
  <c r="T1" i="75"/>
  <c r="I1" i="75"/>
  <c r="S1" i="75" s="1"/>
  <c r="D1" i="75"/>
  <c r="A1" i="75"/>
  <c r="D149" i="149"/>
  <c r="F151" i="149"/>
  <c r="G139" i="149"/>
  <c r="H137" i="149"/>
  <c r="I150" i="149"/>
  <c r="J149" i="149"/>
  <c r="K150" i="149"/>
  <c r="L150" i="149"/>
  <c r="M151" i="149"/>
  <c r="N149" i="149"/>
  <c r="O139" i="149"/>
  <c r="Q150" i="149"/>
  <c r="R149" i="149"/>
  <c r="S151" i="149"/>
  <c r="T150" i="149"/>
  <c r="U149" i="149"/>
  <c r="V137" i="149"/>
  <c r="W139" i="149"/>
  <c r="X139" i="149"/>
  <c r="Y149" i="149"/>
  <c r="Z149" i="149"/>
  <c r="D139" i="149"/>
  <c r="F139" i="149"/>
  <c r="I139" i="149"/>
  <c r="J139" i="149"/>
  <c r="K139" i="149"/>
  <c r="L139" i="149"/>
  <c r="M139" i="149"/>
  <c r="N139" i="149"/>
  <c r="Q139" i="149"/>
  <c r="R139" i="149"/>
  <c r="S139" i="149"/>
  <c r="T139" i="149"/>
  <c r="U139" i="149"/>
  <c r="Y139" i="149"/>
  <c r="Z139" i="149"/>
  <c r="D140" i="149"/>
  <c r="F140" i="149"/>
  <c r="G140" i="149"/>
  <c r="H140" i="149"/>
  <c r="I140" i="149"/>
  <c r="J140" i="149"/>
  <c r="K140" i="149"/>
  <c r="L140" i="149"/>
  <c r="M140" i="149"/>
  <c r="N140" i="149"/>
  <c r="O140" i="149"/>
  <c r="Q140" i="149"/>
  <c r="R140" i="149"/>
  <c r="S140" i="149"/>
  <c r="T140" i="149"/>
  <c r="U140" i="149"/>
  <c r="V140" i="149"/>
  <c r="W140" i="149"/>
  <c r="X140" i="149"/>
  <c r="Y140" i="149"/>
  <c r="Z140" i="149"/>
  <c r="D141" i="149"/>
  <c r="F141" i="149"/>
  <c r="G141" i="149"/>
  <c r="H141" i="149"/>
  <c r="I141" i="149"/>
  <c r="J141" i="149"/>
  <c r="K141" i="149"/>
  <c r="L141" i="149"/>
  <c r="M141" i="149"/>
  <c r="N141" i="149"/>
  <c r="O141" i="149"/>
  <c r="Q141" i="149"/>
  <c r="R141" i="149"/>
  <c r="S141" i="149"/>
  <c r="T141" i="149"/>
  <c r="U141" i="149"/>
  <c r="V141" i="149"/>
  <c r="W141" i="149"/>
  <c r="X141" i="149"/>
  <c r="Y141" i="149"/>
  <c r="Z141" i="149"/>
  <c r="D142" i="149"/>
  <c r="F142" i="149"/>
  <c r="G142" i="149"/>
  <c r="H142" i="149"/>
  <c r="I142" i="149"/>
  <c r="J142" i="149"/>
  <c r="K142" i="149"/>
  <c r="L142" i="149"/>
  <c r="M142" i="149"/>
  <c r="N142" i="149"/>
  <c r="O142" i="149"/>
  <c r="Q142" i="149"/>
  <c r="R142" i="149"/>
  <c r="S142" i="149"/>
  <c r="T142" i="149"/>
  <c r="U142" i="149"/>
  <c r="V142" i="149"/>
  <c r="W142" i="149"/>
  <c r="X142" i="149"/>
  <c r="Y142" i="149"/>
  <c r="Z142" i="149"/>
  <c r="D143" i="149"/>
  <c r="F143" i="149"/>
  <c r="G143" i="149"/>
  <c r="H143" i="149"/>
  <c r="I143" i="149"/>
  <c r="J143" i="149"/>
  <c r="K143" i="149"/>
  <c r="L143" i="149"/>
  <c r="M143" i="149"/>
  <c r="N143" i="149"/>
  <c r="O143" i="149"/>
  <c r="Q143" i="149"/>
  <c r="R143" i="149"/>
  <c r="S143" i="149"/>
  <c r="T143" i="149"/>
  <c r="U143" i="149"/>
  <c r="V143" i="149"/>
  <c r="W143" i="149"/>
  <c r="X143" i="149"/>
  <c r="Y143" i="149"/>
  <c r="Z143" i="149"/>
  <c r="D144" i="149"/>
  <c r="F144" i="149"/>
  <c r="G144" i="149"/>
  <c r="H144" i="149"/>
  <c r="I144" i="149"/>
  <c r="J144" i="149"/>
  <c r="K144" i="149"/>
  <c r="L144" i="149"/>
  <c r="M144" i="149"/>
  <c r="N144" i="149"/>
  <c r="O144" i="149"/>
  <c r="Q144" i="149"/>
  <c r="R144" i="149"/>
  <c r="S144" i="149"/>
  <c r="T144" i="149"/>
  <c r="U144" i="149"/>
  <c r="V144" i="149"/>
  <c r="W144" i="149"/>
  <c r="X144" i="149"/>
  <c r="Y144" i="149"/>
  <c r="Z144" i="149"/>
  <c r="D145" i="149"/>
  <c r="F145" i="149"/>
  <c r="G145" i="149"/>
  <c r="H145" i="149"/>
  <c r="I145" i="149"/>
  <c r="J145" i="149"/>
  <c r="K145" i="149"/>
  <c r="L145" i="149"/>
  <c r="M145" i="149"/>
  <c r="N145" i="149"/>
  <c r="O145" i="149"/>
  <c r="Q145" i="149"/>
  <c r="R145" i="149"/>
  <c r="S145" i="149"/>
  <c r="T145" i="149"/>
  <c r="U145" i="149"/>
  <c r="V145" i="149"/>
  <c r="W145" i="149"/>
  <c r="X145" i="149"/>
  <c r="Y145" i="149"/>
  <c r="Z145" i="149"/>
  <c r="D146" i="149"/>
  <c r="F146" i="149"/>
  <c r="G146" i="149"/>
  <c r="H146" i="149"/>
  <c r="I146" i="149"/>
  <c r="J146" i="149"/>
  <c r="K146" i="149"/>
  <c r="L146" i="149"/>
  <c r="M146" i="149"/>
  <c r="N146" i="149"/>
  <c r="O146" i="149"/>
  <c r="Q146" i="149"/>
  <c r="R146" i="149"/>
  <c r="S146" i="149"/>
  <c r="T146" i="149"/>
  <c r="U146" i="149"/>
  <c r="V146" i="149"/>
  <c r="W146" i="149"/>
  <c r="X146" i="149"/>
  <c r="Y146" i="149"/>
  <c r="Z146" i="149"/>
  <c r="D147" i="149"/>
  <c r="F147" i="149"/>
  <c r="G147" i="149"/>
  <c r="H147" i="149"/>
  <c r="I147" i="149"/>
  <c r="J147" i="149"/>
  <c r="K147" i="149"/>
  <c r="L147" i="149"/>
  <c r="M147" i="149"/>
  <c r="N147" i="149"/>
  <c r="O147" i="149"/>
  <c r="Q147" i="149"/>
  <c r="R147" i="149"/>
  <c r="S147" i="149"/>
  <c r="T147" i="149"/>
  <c r="U147" i="149"/>
  <c r="V147" i="149"/>
  <c r="W147" i="149"/>
  <c r="X147" i="149"/>
  <c r="Y147" i="149"/>
  <c r="Z147" i="149"/>
  <c r="D148" i="149"/>
  <c r="F148" i="149"/>
  <c r="G148" i="149"/>
  <c r="H148" i="149"/>
  <c r="I148" i="149"/>
  <c r="J148" i="149"/>
  <c r="K148" i="149"/>
  <c r="L148" i="149"/>
  <c r="M148" i="149"/>
  <c r="N148" i="149"/>
  <c r="O148" i="149"/>
  <c r="Q148" i="149"/>
  <c r="R148" i="149"/>
  <c r="S148" i="149"/>
  <c r="T148" i="149"/>
  <c r="U148" i="149"/>
  <c r="V148" i="149"/>
  <c r="W148" i="149"/>
  <c r="X148" i="149"/>
  <c r="Y148" i="149"/>
  <c r="Z148" i="149"/>
  <c r="P36" i="149"/>
  <c r="P37" i="149"/>
  <c r="P140" i="149" s="1"/>
  <c r="P143" i="149"/>
  <c r="P148" i="149"/>
  <c r="E6" i="149"/>
  <c r="E49" i="149" s="1"/>
  <c r="E7" i="149"/>
  <c r="E52" i="149" s="1"/>
  <c r="E8" i="149"/>
  <c r="E54" i="149" s="1"/>
  <c r="E9" i="149"/>
  <c r="E57" i="149" s="1"/>
  <c r="E10" i="149"/>
  <c r="E59" i="149" s="1"/>
  <c r="E11" i="149"/>
  <c r="E63" i="149" s="1"/>
  <c r="E12" i="149"/>
  <c r="E66" i="149" s="1"/>
  <c r="E13" i="149"/>
  <c r="E70" i="149" s="1"/>
  <c r="E14" i="149"/>
  <c r="E72" i="149" s="1"/>
  <c r="E15" i="149"/>
  <c r="E75" i="149" s="1"/>
  <c r="E16" i="149"/>
  <c r="E77" i="149" s="1"/>
  <c r="E17" i="149"/>
  <c r="E81" i="149" s="1"/>
  <c r="E18" i="149"/>
  <c r="E83" i="149" s="1"/>
  <c r="E19" i="149"/>
  <c r="E88" i="149" s="1"/>
  <c r="E20" i="149"/>
  <c r="E90" i="149" s="1"/>
  <c r="E21" i="149"/>
  <c r="E92" i="149" s="1"/>
  <c r="E22" i="149"/>
  <c r="E95" i="149" s="1"/>
  <c r="E23" i="149"/>
  <c r="E99" i="149" s="1"/>
  <c r="E24" i="149"/>
  <c r="E101" i="149" s="1"/>
  <c r="E25" i="149"/>
  <c r="E105" i="149" s="1"/>
  <c r="E26" i="149"/>
  <c r="E108" i="149" s="1"/>
  <c r="E27" i="149"/>
  <c r="E112" i="149" s="1"/>
  <c r="E28" i="149"/>
  <c r="E115" i="149" s="1"/>
  <c r="E29" i="149"/>
  <c r="E118" i="149" s="1"/>
  <c r="E30" i="149"/>
  <c r="E120" i="149" s="1"/>
  <c r="E31" i="149"/>
  <c r="E123" i="149" s="1"/>
  <c r="E32" i="149"/>
  <c r="E126" i="149" s="1"/>
  <c r="E33" i="149"/>
  <c r="E128" i="149" s="1"/>
  <c r="E34" i="149"/>
  <c r="E131" i="149" s="1"/>
  <c r="E35" i="149"/>
  <c r="E134" i="149" s="1"/>
  <c r="E36" i="149"/>
  <c r="E140" i="149"/>
  <c r="E145" i="149"/>
  <c r="E148" i="149"/>
  <c r="E5" i="149"/>
  <c r="E44" i="149" s="1"/>
  <c r="E155" i="149" s="1"/>
  <c r="Z85" i="69"/>
  <c r="Y85" i="69"/>
  <c r="W84" i="69"/>
  <c r="W82" i="69"/>
  <c r="G102" i="69"/>
  <c r="H102" i="69" s="1"/>
  <c r="I102" i="69" s="1"/>
  <c r="J102" i="69" s="1"/>
  <c r="K102" i="69" s="1"/>
  <c r="L102" i="69" s="1"/>
  <c r="M102" i="69" s="1"/>
  <c r="N102" i="69" s="1"/>
  <c r="O102" i="69" s="1"/>
  <c r="P102" i="69" s="1"/>
  <c r="B93" i="69"/>
  <c r="D91" i="69"/>
  <c r="D113" i="69" s="1"/>
  <c r="D120" i="69" s="1"/>
  <c r="D127" i="69" s="1"/>
  <c r="D132" i="69" s="1"/>
  <c r="D137" i="69" s="1"/>
  <c r="D90" i="69"/>
  <c r="D112" i="69" s="1"/>
  <c r="D119" i="69" s="1"/>
  <c r="D126" i="69" s="1"/>
  <c r="D131" i="69" s="1"/>
  <c r="D136" i="69" s="1"/>
  <c r="D89" i="69"/>
  <c r="D111" i="69" s="1"/>
  <c r="D118" i="69" s="1"/>
  <c r="D125" i="69" s="1"/>
  <c r="D130" i="69" s="1"/>
  <c r="D135" i="69" s="1"/>
  <c r="G88" i="69"/>
  <c r="H88" i="69" s="1"/>
  <c r="I88" i="69" s="1"/>
  <c r="J88" i="69" s="1"/>
  <c r="K88" i="69" s="1"/>
  <c r="L88" i="69" s="1"/>
  <c r="M88" i="69" s="1"/>
  <c r="N88" i="69" s="1"/>
  <c r="O88" i="69" s="1"/>
  <c r="P88" i="69" s="1"/>
  <c r="X85" i="69"/>
  <c r="W83" i="69"/>
  <c r="W81" i="69"/>
  <c r="W80" i="69"/>
  <c r="P79" i="69"/>
  <c r="P108" i="69" s="1"/>
  <c r="O79" i="69"/>
  <c r="O108" i="69" s="1"/>
  <c r="N79" i="69"/>
  <c r="N108" i="69" s="1"/>
  <c r="M79" i="69"/>
  <c r="M108" i="69" s="1"/>
  <c r="L79" i="69"/>
  <c r="L108" i="69" s="1"/>
  <c r="K79" i="69"/>
  <c r="K108" i="69" s="1"/>
  <c r="J79" i="69"/>
  <c r="J108" i="69" s="1"/>
  <c r="I79" i="69"/>
  <c r="I108" i="69" s="1"/>
  <c r="H79" i="69"/>
  <c r="H108" i="69" s="1"/>
  <c r="G79" i="69"/>
  <c r="G108" i="69" s="1"/>
  <c r="F79" i="69"/>
  <c r="F108" i="69" s="1"/>
  <c r="B79" i="69"/>
  <c r="G75" i="69"/>
  <c r="H75" i="69"/>
  <c r="I75" i="69"/>
  <c r="J75" i="69"/>
  <c r="K75" i="69"/>
  <c r="L75" i="69"/>
  <c r="M75" i="69"/>
  <c r="F75" i="69"/>
  <c r="W44" i="149"/>
  <c r="W155" i="149" s="1"/>
  <c r="Z138" i="149"/>
  <c r="Y138" i="149"/>
  <c r="X138" i="149"/>
  <c r="W138" i="149"/>
  <c r="U138" i="149"/>
  <c r="T138" i="149"/>
  <c r="S138" i="149"/>
  <c r="R138" i="149"/>
  <c r="Q138" i="149"/>
  <c r="O138" i="149"/>
  <c r="N138" i="149"/>
  <c r="M138" i="149"/>
  <c r="L138" i="149"/>
  <c r="K138" i="149"/>
  <c r="J138" i="149"/>
  <c r="I138" i="149"/>
  <c r="G138" i="149"/>
  <c r="F138" i="149"/>
  <c r="D138" i="149"/>
  <c r="Z137" i="149"/>
  <c r="Y137" i="149"/>
  <c r="X137" i="149"/>
  <c r="W137" i="149"/>
  <c r="U137" i="149"/>
  <c r="T137" i="149"/>
  <c r="S137" i="149"/>
  <c r="R137" i="149"/>
  <c r="Q137" i="149"/>
  <c r="O137" i="149"/>
  <c r="N137" i="149"/>
  <c r="M137" i="149"/>
  <c r="L137" i="149"/>
  <c r="K137" i="149"/>
  <c r="J137" i="149"/>
  <c r="I137" i="149"/>
  <c r="G137" i="149"/>
  <c r="F137" i="149"/>
  <c r="D137" i="149"/>
  <c r="Z136" i="149"/>
  <c r="Y136" i="149"/>
  <c r="X136" i="149"/>
  <c r="W136" i="149"/>
  <c r="V136" i="149"/>
  <c r="U136" i="149"/>
  <c r="T136" i="149"/>
  <c r="S136" i="149"/>
  <c r="R136" i="149"/>
  <c r="Q136" i="149"/>
  <c r="O136" i="149"/>
  <c r="N136" i="149"/>
  <c r="M136" i="149"/>
  <c r="L136" i="149"/>
  <c r="K136" i="149"/>
  <c r="J136" i="149"/>
  <c r="I136" i="149"/>
  <c r="H136" i="149"/>
  <c r="G136" i="149"/>
  <c r="F136" i="149"/>
  <c r="D136" i="149"/>
  <c r="Z135" i="149"/>
  <c r="Y135" i="149"/>
  <c r="X135" i="149"/>
  <c r="W135" i="149"/>
  <c r="V135" i="149"/>
  <c r="U135" i="149"/>
  <c r="T135" i="149"/>
  <c r="S135" i="149"/>
  <c r="R135" i="149"/>
  <c r="Q135" i="149"/>
  <c r="O135" i="149"/>
  <c r="N135" i="149"/>
  <c r="M135" i="149"/>
  <c r="L135" i="149"/>
  <c r="K135" i="149"/>
  <c r="J135" i="149"/>
  <c r="I135" i="149"/>
  <c r="H135" i="149"/>
  <c r="G135" i="149"/>
  <c r="F135" i="149"/>
  <c r="D135" i="149"/>
  <c r="Z134" i="149"/>
  <c r="Y134" i="149"/>
  <c r="X134" i="149"/>
  <c r="W134" i="149"/>
  <c r="V134" i="149"/>
  <c r="U134" i="149"/>
  <c r="T134" i="149"/>
  <c r="S134" i="149"/>
  <c r="R134" i="149"/>
  <c r="Q134" i="149"/>
  <c r="O134" i="149"/>
  <c r="N134" i="149"/>
  <c r="M134" i="149"/>
  <c r="L134" i="149"/>
  <c r="K134" i="149"/>
  <c r="J134" i="149"/>
  <c r="I134" i="149"/>
  <c r="H134" i="149"/>
  <c r="G134" i="149"/>
  <c r="F134" i="149"/>
  <c r="D134" i="149"/>
  <c r="Z133" i="149"/>
  <c r="Y133" i="149"/>
  <c r="X133" i="149"/>
  <c r="W133" i="149"/>
  <c r="V133" i="149"/>
  <c r="U133" i="149"/>
  <c r="T133" i="149"/>
  <c r="S133" i="149"/>
  <c r="R133" i="149"/>
  <c r="Q133" i="149"/>
  <c r="O133" i="149"/>
  <c r="N133" i="149"/>
  <c r="M133" i="149"/>
  <c r="L133" i="149"/>
  <c r="K133" i="149"/>
  <c r="J133" i="149"/>
  <c r="I133" i="149"/>
  <c r="H133" i="149"/>
  <c r="G133" i="149"/>
  <c r="F133" i="149"/>
  <c r="D133" i="149"/>
  <c r="Z132" i="149"/>
  <c r="Y132" i="149"/>
  <c r="X132" i="149"/>
  <c r="W132" i="149"/>
  <c r="V132" i="149"/>
  <c r="U132" i="149"/>
  <c r="T132" i="149"/>
  <c r="S132" i="149"/>
  <c r="R132" i="149"/>
  <c r="Q132" i="149"/>
  <c r="O132" i="149"/>
  <c r="N132" i="149"/>
  <c r="M132" i="149"/>
  <c r="L132" i="149"/>
  <c r="K132" i="149"/>
  <c r="J132" i="149"/>
  <c r="I132" i="149"/>
  <c r="H132" i="149"/>
  <c r="G132" i="149"/>
  <c r="F132" i="149"/>
  <c r="D132" i="149"/>
  <c r="Z131" i="149"/>
  <c r="Y131" i="149"/>
  <c r="X131" i="149"/>
  <c r="W131" i="149"/>
  <c r="V131" i="149"/>
  <c r="U131" i="149"/>
  <c r="T131" i="149"/>
  <c r="S131" i="149"/>
  <c r="R131" i="149"/>
  <c r="Q131" i="149"/>
  <c r="O131" i="149"/>
  <c r="N131" i="149"/>
  <c r="M131" i="149"/>
  <c r="L131" i="149"/>
  <c r="K131" i="149"/>
  <c r="J131" i="149"/>
  <c r="I131" i="149"/>
  <c r="H131" i="149"/>
  <c r="G131" i="149"/>
  <c r="F131" i="149"/>
  <c r="D131" i="149"/>
  <c r="Z130" i="149"/>
  <c r="Y130" i="149"/>
  <c r="X130" i="149"/>
  <c r="W130" i="149"/>
  <c r="V130" i="149"/>
  <c r="U130" i="149"/>
  <c r="T130" i="149"/>
  <c r="S130" i="149"/>
  <c r="R130" i="149"/>
  <c r="Q130" i="149"/>
  <c r="O130" i="149"/>
  <c r="N130" i="149"/>
  <c r="M130" i="149"/>
  <c r="L130" i="149"/>
  <c r="K130" i="149"/>
  <c r="J130" i="149"/>
  <c r="I130" i="149"/>
  <c r="H130" i="149"/>
  <c r="G130" i="149"/>
  <c r="F130" i="149"/>
  <c r="D130" i="149"/>
  <c r="Z129" i="149"/>
  <c r="Y129" i="149"/>
  <c r="X129" i="149"/>
  <c r="W129" i="149"/>
  <c r="V129" i="149"/>
  <c r="U129" i="149"/>
  <c r="T129" i="149"/>
  <c r="S129" i="149"/>
  <c r="R129" i="149"/>
  <c r="Q129" i="149"/>
  <c r="O129" i="149"/>
  <c r="N129" i="149"/>
  <c r="M129" i="149"/>
  <c r="L129" i="149"/>
  <c r="K129" i="149"/>
  <c r="J129" i="149"/>
  <c r="I129" i="149"/>
  <c r="H129" i="149"/>
  <c r="G129" i="149"/>
  <c r="F129" i="149"/>
  <c r="D129" i="149"/>
  <c r="Z128" i="149"/>
  <c r="Y128" i="149"/>
  <c r="X128" i="149"/>
  <c r="W128" i="149"/>
  <c r="V128" i="149"/>
  <c r="U128" i="149"/>
  <c r="T128" i="149"/>
  <c r="S128" i="149"/>
  <c r="R128" i="149"/>
  <c r="Q128" i="149"/>
  <c r="O128" i="149"/>
  <c r="N128" i="149"/>
  <c r="M128" i="149"/>
  <c r="L128" i="149"/>
  <c r="K128" i="149"/>
  <c r="J128" i="149"/>
  <c r="I128" i="149"/>
  <c r="H128" i="149"/>
  <c r="G128" i="149"/>
  <c r="F128" i="149"/>
  <c r="D128" i="149"/>
  <c r="Z127" i="149"/>
  <c r="Y127" i="149"/>
  <c r="X127" i="149"/>
  <c r="W127" i="149"/>
  <c r="V127" i="149"/>
  <c r="U127" i="149"/>
  <c r="T127" i="149"/>
  <c r="S127" i="149"/>
  <c r="R127" i="149"/>
  <c r="Q127" i="149"/>
  <c r="O127" i="149"/>
  <c r="N127" i="149"/>
  <c r="M127" i="149"/>
  <c r="L127" i="149"/>
  <c r="K127" i="149"/>
  <c r="J127" i="149"/>
  <c r="I127" i="149"/>
  <c r="H127" i="149"/>
  <c r="G127" i="149"/>
  <c r="F127" i="149"/>
  <c r="D127" i="149"/>
  <c r="Z126" i="149"/>
  <c r="Y126" i="149"/>
  <c r="X126" i="149"/>
  <c r="W126" i="149"/>
  <c r="V126" i="149"/>
  <c r="U126" i="149"/>
  <c r="T126" i="149"/>
  <c r="S126" i="149"/>
  <c r="R126" i="149"/>
  <c r="Q126" i="149"/>
  <c r="O126" i="149"/>
  <c r="N126" i="149"/>
  <c r="M126" i="149"/>
  <c r="L126" i="149"/>
  <c r="K126" i="149"/>
  <c r="J126" i="149"/>
  <c r="I126" i="149"/>
  <c r="H126" i="149"/>
  <c r="G126" i="149"/>
  <c r="F126" i="149"/>
  <c r="D126" i="149"/>
  <c r="Z125" i="149"/>
  <c r="Y125" i="149"/>
  <c r="X125" i="149"/>
  <c r="W125" i="149"/>
  <c r="V125" i="149"/>
  <c r="U125" i="149"/>
  <c r="T125" i="149"/>
  <c r="S125" i="149"/>
  <c r="R125" i="149"/>
  <c r="Q125" i="149"/>
  <c r="O125" i="149"/>
  <c r="N125" i="149"/>
  <c r="M125" i="149"/>
  <c r="L125" i="149"/>
  <c r="K125" i="149"/>
  <c r="J125" i="149"/>
  <c r="I125" i="149"/>
  <c r="H125" i="149"/>
  <c r="G125" i="149"/>
  <c r="F125" i="149"/>
  <c r="D125" i="149"/>
  <c r="Z124" i="149"/>
  <c r="Y124" i="149"/>
  <c r="X124" i="149"/>
  <c r="W124" i="149"/>
  <c r="V124" i="149"/>
  <c r="U124" i="149"/>
  <c r="T124" i="149"/>
  <c r="S124" i="149"/>
  <c r="R124" i="149"/>
  <c r="Q124" i="149"/>
  <c r="O124" i="149"/>
  <c r="N124" i="149"/>
  <c r="M124" i="149"/>
  <c r="L124" i="149"/>
  <c r="K124" i="149"/>
  <c r="J124" i="149"/>
  <c r="I124" i="149"/>
  <c r="H124" i="149"/>
  <c r="G124" i="149"/>
  <c r="F124" i="149"/>
  <c r="D124" i="149"/>
  <c r="Z123" i="149"/>
  <c r="Y123" i="149"/>
  <c r="X123" i="149"/>
  <c r="W123" i="149"/>
  <c r="V123" i="149"/>
  <c r="U123" i="149"/>
  <c r="T123" i="149"/>
  <c r="S123" i="149"/>
  <c r="R123" i="149"/>
  <c r="Q123" i="149"/>
  <c r="O123" i="149"/>
  <c r="N123" i="149"/>
  <c r="M123" i="149"/>
  <c r="L123" i="149"/>
  <c r="K123" i="149"/>
  <c r="J123" i="149"/>
  <c r="I123" i="149"/>
  <c r="H123" i="149"/>
  <c r="G123" i="149"/>
  <c r="F123" i="149"/>
  <c r="D123" i="149"/>
  <c r="Z122" i="149"/>
  <c r="Y122" i="149"/>
  <c r="X122" i="149"/>
  <c r="W122" i="149"/>
  <c r="V122" i="149"/>
  <c r="U122" i="149"/>
  <c r="T122" i="149"/>
  <c r="S122" i="149"/>
  <c r="R122" i="149"/>
  <c r="Q122" i="149"/>
  <c r="O122" i="149"/>
  <c r="N122" i="149"/>
  <c r="M122" i="149"/>
  <c r="L122" i="149"/>
  <c r="K122" i="149"/>
  <c r="J122" i="149"/>
  <c r="I122" i="149"/>
  <c r="H122" i="149"/>
  <c r="G122" i="149"/>
  <c r="F122" i="149"/>
  <c r="D122" i="149"/>
  <c r="Z121" i="149"/>
  <c r="Y121" i="149"/>
  <c r="X121" i="149"/>
  <c r="W121" i="149"/>
  <c r="V121" i="149"/>
  <c r="U121" i="149"/>
  <c r="T121" i="149"/>
  <c r="S121" i="149"/>
  <c r="R121" i="149"/>
  <c r="Q121" i="149"/>
  <c r="O121" i="149"/>
  <c r="N121" i="149"/>
  <c r="M121" i="149"/>
  <c r="L121" i="149"/>
  <c r="K121" i="149"/>
  <c r="J121" i="149"/>
  <c r="I121" i="149"/>
  <c r="H121" i="149"/>
  <c r="G121" i="149"/>
  <c r="F121" i="149"/>
  <c r="D121" i="149"/>
  <c r="Z120" i="149"/>
  <c r="Y120" i="149"/>
  <c r="X120" i="149"/>
  <c r="W120" i="149"/>
  <c r="V120" i="149"/>
  <c r="U120" i="149"/>
  <c r="T120" i="149"/>
  <c r="S120" i="149"/>
  <c r="R120" i="149"/>
  <c r="Q120" i="149"/>
  <c r="O120" i="149"/>
  <c r="N120" i="149"/>
  <c r="M120" i="149"/>
  <c r="L120" i="149"/>
  <c r="K120" i="149"/>
  <c r="J120" i="149"/>
  <c r="I120" i="149"/>
  <c r="H120" i="149"/>
  <c r="G120" i="149"/>
  <c r="F120" i="149"/>
  <c r="D120" i="149"/>
  <c r="Z119" i="149"/>
  <c r="Y119" i="149"/>
  <c r="X119" i="149"/>
  <c r="W119" i="149"/>
  <c r="V119" i="149"/>
  <c r="U119" i="149"/>
  <c r="T119" i="149"/>
  <c r="S119" i="149"/>
  <c r="R119" i="149"/>
  <c r="Q119" i="149"/>
  <c r="O119" i="149"/>
  <c r="N119" i="149"/>
  <c r="M119" i="149"/>
  <c r="L119" i="149"/>
  <c r="K119" i="149"/>
  <c r="J119" i="149"/>
  <c r="I119" i="149"/>
  <c r="H119" i="149"/>
  <c r="G119" i="149"/>
  <c r="F119" i="149"/>
  <c r="D119" i="149"/>
  <c r="Z118" i="149"/>
  <c r="Y118" i="149"/>
  <c r="X118" i="149"/>
  <c r="W118" i="149"/>
  <c r="V118" i="149"/>
  <c r="U118" i="149"/>
  <c r="T118" i="149"/>
  <c r="S118" i="149"/>
  <c r="R118" i="149"/>
  <c r="Q118" i="149"/>
  <c r="O118" i="149"/>
  <c r="N118" i="149"/>
  <c r="M118" i="149"/>
  <c r="L118" i="149"/>
  <c r="K118" i="149"/>
  <c r="J118" i="149"/>
  <c r="I118" i="149"/>
  <c r="H118" i="149"/>
  <c r="G118" i="149"/>
  <c r="F118" i="149"/>
  <c r="D118" i="149"/>
  <c r="Z117" i="149"/>
  <c r="Y117" i="149"/>
  <c r="X117" i="149"/>
  <c r="W117" i="149"/>
  <c r="V117" i="149"/>
  <c r="U117" i="149"/>
  <c r="T117" i="149"/>
  <c r="S117" i="149"/>
  <c r="R117" i="149"/>
  <c r="Q117" i="149"/>
  <c r="O117" i="149"/>
  <c r="N117" i="149"/>
  <c r="M117" i="149"/>
  <c r="L117" i="149"/>
  <c r="K117" i="149"/>
  <c r="J117" i="149"/>
  <c r="I117" i="149"/>
  <c r="H117" i="149"/>
  <c r="G117" i="149"/>
  <c r="F117" i="149"/>
  <c r="D117" i="149"/>
  <c r="Z116" i="149"/>
  <c r="Y116" i="149"/>
  <c r="X116" i="149"/>
  <c r="W116" i="149"/>
  <c r="V116" i="149"/>
  <c r="U116" i="149"/>
  <c r="T116" i="149"/>
  <c r="S116" i="149"/>
  <c r="R116" i="149"/>
  <c r="Q116" i="149"/>
  <c r="O116" i="149"/>
  <c r="N116" i="149"/>
  <c r="M116" i="149"/>
  <c r="L116" i="149"/>
  <c r="K116" i="149"/>
  <c r="J116" i="149"/>
  <c r="I116" i="149"/>
  <c r="H116" i="149"/>
  <c r="G116" i="149"/>
  <c r="F116" i="149"/>
  <c r="D116" i="149"/>
  <c r="Z115" i="149"/>
  <c r="Y115" i="149"/>
  <c r="X115" i="149"/>
  <c r="W115" i="149"/>
  <c r="V115" i="149"/>
  <c r="U115" i="149"/>
  <c r="T115" i="149"/>
  <c r="S115" i="149"/>
  <c r="R115" i="149"/>
  <c r="Q115" i="149"/>
  <c r="O115" i="149"/>
  <c r="N115" i="149"/>
  <c r="M115" i="149"/>
  <c r="L115" i="149"/>
  <c r="K115" i="149"/>
  <c r="J115" i="149"/>
  <c r="I115" i="149"/>
  <c r="H115" i="149"/>
  <c r="G115" i="149"/>
  <c r="F115" i="149"/>
  <c r="D115" i="149"/>
  <c r="Z114" i="149"/>
  <c r="Y114" i="149"/>
  <c r="X114" i="149"/>
  <c r="W114" i="149"/>
  <c r="V114" i="149"/>
  <c r="U114" i="149"/>
  <c r="T114" i="149"/>
  <c r="S114" i="149"/>
  <c r="R114" i="149"/>
  <c r="Q114" i="149"/>
  <c r="O114" i="149"/>
  <c r="N114" i="149"/>
  <c r="M114" i="149"/>
  <c r="L114" i="149"/>
  <c r="K114" i="149"/>
  <c r="J114" i="149"/>
  <c r="I114" i="149"/>
  <c r="H114" i="149"/>
  <c r="G114" i="149"/>
  <c r="F114" i="149"/>
  <c r="D114" i="149"/>
  <c r="Z113" i="149"/>
  <c r="Y113" i="149"/>
  <c r="X113" i="149"/>
  <c r="W113" i="149"/>
  <c r="V113" i="149"/>
  <c r="U113" i="149"/>
  <c r="T113" i="149"/>
  <c r="S113" i="149"/>
  <c r="R113" i="149"/>
  <c r="Q113" i="149"/>
  <c r="O113" i="149"/>
  <c r="N113" i="149"/>
  <c r="M113" i="149"/>
  <c r="L113" i="149"/>
  <c r="K113" i="149"/>
  <c r="J113" i="149"/>
  <c r="I113" i="149"/>
  <c r="H113" i="149"/>
  <c r="G113" i="149"/>
  <c r="F113" i="149"/>
  <c r="D113" i="149"/>
  <c r="Z112" i="149"/>
  <c r="Y112" i="149"/>
  <c r="X112" i="149"/>
  <c r="W112" i="149"/>
  <c r="V112" i="149"/>
  <c r="U112" i="149"/>
  <c r="T112" i="149"/>
  <c r="S112" i="149"/>
  <c r="R112" i="149"/>
  <c r="Q112" i="149"/>
  <c r="O112" i="149"/>
  <c r="N112" i="149"/>
  <c r="M112" i="149"/>
  <c r="L112" i="149"/>
  <c r="K112" i="149"/>
  <c r="J112" i="149"/>
  <c r="I112" i="149"/>
  <c r="H112" i="149"/>
  <c r="G112" i="149"/>
  <c r="F112" i="149"/>
  <c r="D112" i="149"/>
  <c r="Z111" i="149"/>
  <c r="Y111" i="149"/>
  <c r="X111" i="149"/>
  <c r="W111" i="149"/>
  <c r="V111" i="149"/>
  <c r="U111" i="149"/>
  <c r="T111" i="149"/>
  <c r="S111" i="149"/>
  <c r="R111" i="149"/>
  <c r="Q111" i="149"/>
  <c r="O111" i="149"/>
  <c r="N111" i="149"/>
  <c r="M111" i="149"/>
  <c r="L111" i="149"/>
  <c r="K111" i="149"/>
  <c r="J111" i="149"/>
  <c r="I111" i="149"/>
  <c r="H111" i="149"/>
  <c r="G111" i="149"/>
  <c r="F111" i="149"/>
  <c r="D111" i="149"/>
  <c r="Z110" i="149"/>
  <c r="Y110" i="149"/>
  <c r="X110" i="149"/>
  <c r="W110" i="149"/>
  <c r="V110" i="149"/>
  <c r="U110" i="149"/>
  <c r="T110" i="149"/>
  <c r="S110" i="149"/>
  <c r="R110" i="149"/>
  <c r="Q110" i="149"/>
  <c r="O110" i="149"/>
  <c r="N110" i="149"/>
  <c r="M110" i="149"/>
  <c r="L110" i="149"/>
  <c r="K110" i="149"/>
  <c r="J110" i="149"/>
  <c r="I110" i="149"/>
  <c r="H110" i="149"/>
  <c r="G110" i="149"/>
  <c r="F110" i="149"/>
  <c r="D110" i="149"/>
  <c r="Z109" i="149"/>
  <c r="Y109" i="149"/>
  <c r="X109" i="149"/>
  <c r="W109" i="149"/>
  <c r="V109" i="149"/>
  <c r="U109" i="149"/>
  <c r="T109" i="149"/>
  <c r="S109" i="149"/>
  <c r="R109" i="149"/>
  <c r="Q109" i="149"/>
  <c r="O109" i="149"/>
  <c r="N109" i="149"/>
  <c r="M109" i="149"/>
  <c r="L109" i="149"/>
  <c r="K109" i="149"/>
  <c r="J109" i="149"/>
  <c r="I109" i="149"/>
  <c r="H109" i="149"/>
  <c r="G109" i="149"/>
  <c r="F109" i="149"/>
  <c r="D109" i="149"/>
  <c r="Z108" i="149"/>
  <c r="Y108" i="149"/>
  <c r="X108" i="149"/>
  <c r="W108" i="149"/>
  <c r="V108" i="149"/>
  <c r="U108" i="149"/>
  <c r="T108" i="149"/>
  <c r="S108" i="149"/>
  <c r="R108" i="149"/>
  <c r="Q108" i="149"/>
  <c r="O108" i="149"/>
  <c r="N108" i="149"/>
  <c r="M108" i="149"/>
  <c r="L108" i="149"/>
  <c r="K108" i="149"/>
  <c r="J108" i="149"/>
  <c r="I108" i="149"/>
  <c r="H108" i="149"/>
  <c r="G108" i="149"/>
  <c r="F108" i="149"/>
  <c r="D108" i="149"/>
  <c r="Z107" i="149"/>
  <c r="Y107" i="149"/>
  <c r="X107" i="149"/>
  <c r="W107" i="149"/>
  <c r="V107" i="149"/>
  <c r="U107" i="149"/>
  <c r="T107" i="149"/>
  <c r="S107" i="149"/>
  <c r="R107" i="149"/>
  <c r="Q107" i="149"/>
  <c r="O107" i="149"/>
  <c r="N107" i="149"/>
  <c r="M107" i="149"/>
  <c r="L107" i="149"/>
  <c r="K107" i="149"/>
  <c r="J107" i="149"/>
  <c r="I107" i="149"/>
  <c r="H107" i="149"/>
  <c r="G107" i="149"/>
  <c r="F107" i="149"/>
  <c r="D107" i="149"/>
  <c r="Z106" i="149"/>
  <c r="Y106" i="149"/>
  <c r="X106" i="149"/>
  <c r="W106" i="149"/>
  <c r="V106" i="149"/>
  <c r="U106" i="149"/>
  <c r="T106" i="149"/>
  <c r="S106" i="149"/>
  <c r="R106" i="149"/>
  <c r="Q106" i="149"/>
  <c r="O106" i="149"/>
  <c r="N106" i="149"/>
  <c r="M106" i="149"/>
  <c r="L106" i="149"/>
  <c r="K106" i="149"/>
  <c r="J106" i="149"/>
  <c r="I106" i="149"/>
  <c r="H106" i="149"/>
  <c r="G106" i="149"/>
  <c r="F106" i="149"/>
  <c r="D106" i="149"/>
  <c r="Z105" i="149"/>
  <c r="Y105" i="149"/>
  <c r="X105" i="149"/>
  <c r="W105" i="149"/>
  <c r="V105" i="149"/>
  <c r="U105" i="149"/>
  <c r="T105" i="149"/>
  <c r="S105" i="149"/>
  <c r="R105" i="149"/>
  <c r="Q105" i="149"/>
  <c r="O105" i="149"/>
  <c r="N105" i="149"/>
  <c r="M105" i="149"/>
  <c r="L105" i="149"/>
  <c r="K105" i="149"/>
  <c r="J105" i="149"/>
  <c r="I105" i="149"/>
  <c r="H105" i="149"/>
  <c r="G105" i="149"/>
  <c r="F105" i="149"/>
  <c r="D105" i="149"/>
  <c r="Z104" i="149"/>
  <c r="Y104" i="149"/>
  <c r="X104" i="149"/>
  <c r="W104" i="149"/>
  <c r="V104" i="149"/>
  <c r="U104" i="149"/>
  <c r="T104" i="149"/>
  <c r="S104" i="149"/>
  <c r="R104" i="149"/>
  <c r="Q104" i="149"/>
  <c r="O104" i="149"/>
  <c r="N104" i="149"/>
  <c r="M104" i="149"/>
  <c r="L104" i="149"/>
  <c r="K104" i="149"/>
  <c r="J104" i="149"/>
  <c r="I104" i="149"/>
  <c r="H104" i="149"/>
  <c r="G104" i="149"/>
  <c r="F104" i="149"/>
  <c r="D104" i="149"/>
  <c r="Z103" i="149"/>
  <c r="Y103" i="149"/>
  <c r="X103" i="149"/>
  <c r="W103" i="149"/>
  <c r="V103" i="149"/>
  <c r="U103" i="149"/>
  <c r="T103" i="149"/>
  <c r="S103" i="149"/>
  <c r="R103" i="149"/>
  <c r="Q103" i="149"/>
  <c r="O103" i="149"/>
  <c r="N103" i="149"/>
  <c r="M103" i="149"/>
  <c r="L103" i="149"/>
  <c r="K103" i="149"/>
  <c r="J103" i="149"/>
  <c r="I103" i="149"/>
  <c r="H103" i="149"/>
  <c r="G103" i="149"/>
  <c r="F103" i="149"/>
  <c r="D103" i="149"/>
  <c r="Z102" i="149"/>
  <c r="Y102" i="149"/>
  <c r="X102" i="149"/>
  <c r="W102" i="149"/>
  <c r="V102" i="149"/>
  <c r="U102" i="149"/>
  <c r="T102" i="149"/>
  <c r="S102" i="149"/>
  <c r="R102" i="149"/>
  <c r="Q102" i="149"/>
  <c r="O102" i="149"/>
  <c r="N102" i="149"/>
  <c r="M102" i="149"/>
  <c r="L102" i="149"/>
  <c r="K102" i="149"/>
  <c r="J102" i="149"/>
  <c r="I102" i="149"/>
  <c r="H102" i="149"/>
  <c r="G102" i="149"/>
  <c r="F102" i="149"/>
  <c r="D102" i="149"/>
  <c r="Z101" i="149"/>
  <c r="Y101" i="149"/>
  <c r="X101" i="149"/>
  <c r="W101" i="149"/>
  <c r="V101" i="149"/>
  <c r="U101" i="149"/>
  <c r="T101" i="149"/>
  <c r="S101" i="149"/>
  <c r="R101" i="149"/>
  <c r="Q101" i="149"/>
  <c r="O101" i="149"/>
  <c r="N101" i="149"/>
  <c r="M101" i="149"/>
  <c r="L101" i="149"/>
  <c r="K101" i="149"/>
  <c r="J101" i="149"/>
  <c r="I101" i="149"/>
  <c r="H101" i="149"/>
  <c r="G101" i="149"/>
  <c r="F101" i="149"/>
  <c r="D101" i="149"/>
  <c r="Z100" i="149"/>
  <c r="Y100" i="149"/>
  <c r="X100" i="149"/>
  <c r="W100" i="149"/>
  <c r="V100" i="149"/>
  <c r="U100" i="149"/>
  <c r="T100" i="149"/>
  <c r="S100" i="149"/>
  <c r="R100" i="149"/>
  <c r="Q100" i="149"/>
  <c r="O100" i="149"/>
  <c r="N100" i="149"/>
  <c r="M100" i="149"/>
  <c r="L100" i="149"/>
  <c r="K100" i="149"/>
  <c r="J100" i="149"/>
  <c r="I100" i="149"/>
  <c r="H100" i="149"/>
  <c r="G100" i="149"/>
  <c r="F100" i="149"/>
  <c r="D100" i="149"/>
  <c r="Z99" i="149"/>
  <c r="Y99" i="149"/>
  <c r="X99" i="149"/>
  <c r="W99" i="149"/>
  <c r="V99" i="149"/>
  <c r="U99" i="149"/>
  <c r="T99" i="149"/>
  <c r="S99" i="149"/>
  <c r="R99" i="149"/>
  <c r="Q99" i="149"/>
  <c r="O99" i="149"/>
  <c r="N99" i="149"/>
  <c r="M99" i="149"/>
  <c r="L99" i="149"/>
  <c r="K99" i="149"/>
  <c r="J99" i="149"/>
  <c r="I99" i="149"/>
  <c r="H99" i="149"/>
  <c r="G99" i="149"/>
  <c r="F99" i="149"/>
  <c r="D99" i="149"/>
  <c r="Z98" i="149"/>
  <c r="Y98" i="149"/>
  <c r="X98" i="149"/>
  <c r="W98" i="149"/>
  <c r="V98" i="149"/>
  <c r="U98" i="149"/>
  <c r="T98" i="149"/>
  <c r="S98" i="149"/>
  <c r="R98" i="149"/>
  <c r="Q98" i="149"/>
  <c r="O98" i="149"/>
  <c r="N98" i="149"/>
  <c r="M98" i="149"/>
  <c r="L98" i="149"/>
  <c r="K98" i="149"/>
  <c r="J98" i="149"/>
  <c r="I98" i="149"/>
  <c r="H98" i="149"/>
  <c r="G98" i="149"/>
  <c r="F98" i="149"/>
  <c r="D98" i="149"/>
  <c r="Z97" i="149"/>
  <c r="Y97" i="149"/>
  <c r="X97" i="149"/>
  <c r="W97" i="149"/>
  <c r="V97" i="149"/>
  <c r="U97" i="149"/>
  <c r="T97" i="149"/>
  <c r="S97" i="149"/>
  <c r="R97" i="149"/>
  <c r="Q97" i="149"/>
  <c r="O97" i="149"/>
  <c r="N97" i="149"/>
  <c r="M97" i="149"/>
  <c r="L97" i="149"/>
  <c r="K97" i="149"/>
  <c r="J97" i="149"/>
  <c r="I97" i="149"/>
  <c r="H97" i="149"/>
  <c r="G97" i="149"/>
  <c r="F97" i="149"/>
  <c r="D97" i="149"/>
  <c r="Z96" i="149"/>
  <c r="Y96" i="149"/>
  <c r="X96" i="149"/>
  <c r="W96" i="149"/>
  <c r="V96" i="149"/>
  <c r="U96" i="149"/>
  <c r="T96" i="149"/>
  <c r="S96" i="149"/>
  <c r="R96" i="149"/>
  <c r="Q96" i="149"/>
  <c r="O96" i="149"/>
  <c r="N96" i="149"/>
  <c r="M96" i="149"/>
  <c r="L96" i="149"/>
  <c r="K96" i="149"/>
  <c r="J96" i="149"/>
  <c r="I96" i="149"/>
  <c r="H96" i="149"/>
  <c r="G96" i="149"/>
  <c r="F96" i="149"/>
  <c r="D96" i="149"/>
  <c r="Z95" i="149"/>
  <c r="Y95" i="149"/>
  <c r="X95" i="149"/>
  <c r="W95" i="149"/>
  <c r="V95" i="149"/>
  <c r="U95" i="149"/>
  <c r="T95" i="149"/>
  <c r="S95" i="149"/>
  <c r="R95" i="149"/>
  <c r="Q95" i="149"/>
  <c r="O95" i="149"/>
  <c r="N95" i="149"/>
  <c r="M95" i="149"/>
  <c r="L95" i="149"/>
  <c r="K95" i="149"/>
  <c r="J95" i="149"/>
  <c r="I95" i="149"/>
  <c r="H95" i="149"/>
  <c r="G95" i="149"/>
  <c r="F95" i="149"/>
  <c r="D95" i="149"/>
  <c r="Z94" i="149"/>
  <c r="Y94" i="149"/>
  <c r="X94" i="149"/>
  <c r="W94" i="149"/>
  <c r="V94" i="149"/>
  <c r="U94" i="149"/>
  <c r="T94" i="149"/>
  <c r="S94" i="149"/>
  <c r="R94" i="149"/>
  <c r="Q94" i="149"/>
  <c r="O94" i="149"/>
  <c r="N94" i="149"/>
  <c r="M94" i="149"/>
  <c r="L94" i="149"/>
  <c r="K94" i="149"/>
  <c r="J94" i="149"/>
  <c r="I94" i="149"/>
  <c r="H94" i="149"/>
  <c r="G94" i="149"/>
  <c r="F94" i="149"/>
  <c r="D94" i="149"/>
  <c r="Z93" i="149"/>
  <c r="Y93" i="149"/>
  <c r="X93" i="149"/>
  <c r="W93" i="149"/>
  <c r="V93" i="149"/>
  <c r="U93" i="149"/>
  <c r="T93" i="149"/>
  <c r="S93" i="149"/>
  <c r="R93" i="149"/>
  <c r="Q93" i="149"/>
  <c r="O93" i="149"/>
  <c r="N93" i="149"/>
  <c r="M93" i="149"/>
  <c r="L93" i="149"/>
  <c r="K93" i="149"/>
  <c r="J93" i="149"/>
  <c r="I93" i="149"/>
  <c r="H93" i="149"/>
  <c r="G93" i="149"/>
  <c r="F93" i="149"/>
  <c r="D93" i="149"/>
  <c r="Z92" i="149"/>
  <c r="Y92" i="149"/>
  <c r="X92" i="149"/>
  <c r="W92" i="149"/>
  <c r="V92" i="149"/>
  <c r="U92" i="149"/>
  <c r="T92" i="149"/>
  <c r="S92" i="149"/>
  <c r="R92" i="149"/>
  <c r="Q92" i="149"/>
  <c r="O92" i="149"/>
  <c r="N92" i="149"/>
  <c r="M92" i="149"/>
  <c r="L92" i="149"/>
  <c r="K92" i="149"/>
  <c r="J92" i="149"/>
  <c r="I92" i="149"/>
  <c r="H92" i="149"/>
  <c r="G92" i="149"/>
  <c r="F92" i="149"/>
  <c r="D92" i="149"/>
  <c r="Z91" i="149"/>
  <c r="Y91" i="149"/>
  <c r="X91" i="149"/>
  <c r="W91" i="149"/>
  <c r="V91" i="149"/>
  <c r="U91" i="149"/>
  <c r="T91" i="149"/>
  <c r="S91" i="149"/>
  <c r="R91" i="149"/>
  <c r="Q91" i="149"/>
  <c r="O91" i="149"/>
  <c r="N91" i="149"/>
  <c r="M91" i="149"/>
  <c r="L91" i="149"/>
  <c r="K91" i="149"/>
  <c r="J91" i="149"/>
  <c r="I91" i="149"/>
  <c r="H91" i="149"/>
  <c r="G91" i="149"/>
  <c r="F91" i="149"/>
  <c r="D91" i="149"/>
  <c r="Z90" i="149"/>
  <c r="Y90" i="149"/>
  <c r="X90" i="149"/>
  <c r="W90" i="149"/>
  <c r="V90" i="149"/>
  <c r="U90" i="149"/>
  <c r="T90" i="149"/>
  <c r="S90" i="149"/>
  <c r="R90" i="149"/>
  <c r="Q90" i="149"/>
  <c r="O90" i="149"/>
  <c r="N90" i="149"/>
  <c r="M90" i="149"/>
  <c r="L90" i="149"/>
  <c r="K90" i="149"/>
  <c r="J90" i="149"/>
  <c r="I90" i="149"/>
  <c r="H90" i="149"/>
  <c r="G90" i="149"/>
  <c r="F90" i="149"/>
  <c r="D90" i="149"/>
  <c r="Z89" i="149"/>
  <c r="Y89" i="149"/>
  <c r="X89" i="149"/>
  <c r="W89" i="149"/>
  <c r="V89" i="149"/>
  <c r="U89" i="149"/>
  <c r="T89" i="149"/>
  <c r="S89" i="149"/>
  <c r="R89" i="149"/>
  <c r="Q89" i="149"/>
  <c r="O89" i="149"/>
  <c r="N89" i="149"/>
  <c r="M89" i="149"/>
  <c r="L89" i="149"/>
  <c r="K89" i="149"/>
  <c r="J89" i="149"/>
  <c r="I89" i="149"/>
  <c r="H89" i="149"/>
  <c r="G89" i="149"/>
  <c r="F89" i="149"/>
  <c r="D89" i="149"/>
  <c r="Z88" i="149"/>
  <c r="Y88" i="149"/>
  <c r="X88" i="149"/>
  <c r="W88" i="149"/>
  <c r="V88" i="149"/>
  <c r="U88" i="149"/>
  <c r="T88" i="149"/>
  <c r="S88" i="149"/>
  <c r="R88" i="149"/>
  <c r="Q88" i="149"/>
  <c r="O88" i="149"/>
  <c r="N88" i="149"/>
  <c r="M88" i="149"/>
  <c r="L88" i="149"/>
  <c r="K88" i="149"/>
  <c r="J88" i="149"/>
  <c r="I88" i="149"/>
  <c r="H88" i="149"/>
  <c r="G88" i="149"/>
  <c r="F88" i="149"/>
  <c r="D88" i="149"/>
  <c r="Z87" i="149"/>
  <c r="Y87" i="149"/>
  <c r="X87" i="149"/>
  <c r="W87" i="149"/>
  <c r="V87" i="149"/>
  <c r="U87" i="149"/>
  <c r="T87" i="149"/>
  <c r="S87" i="149"/>
  <c r="R87" i="149"/>
  <c r="Q87" i="149"/>
  <c r="O87" i="149"/>
  <c r="N87" i="149"/>
  <c r="M87" i="149"/>
  <c r="L87" i="149"/>
  <c r="K87" i="149"/>
  <c r="J87" i="149"/>
  <c r="I87" i="149"/>
  <c r="H87" i="149"/>
  <c r="G87" i="149"/>
  <c r="F87" i="149"/>
  <c r="D87" i="149"/>
  <c r="Z86" i="149"/>
  <c r="Y86" i="149"/>
  <c r="X86" i="149"/>
  <c r="W86" i="149"/>
  <c r="V86" i="149"/>
  <c r="U86" i="149"/>
  <c r="T86" i="149"/>
  <c r="S86" i="149"/>
  <c r="R86" i="149"/>
  <c r="Q86" i="149"/>
  <c r="O86" i="149"/>
  <c r="N86" i="149"/>
  <c r="M86" i="149"/>
  <c r="L86" i="149"/>
  <c r="K86" i="149"/>
  <c r="J86" i="149"/>
  <c r="I86" i="149"/>
  <c r="H86" i="149"/>
  <c r="G86" i="149"/>
  <c r="F86" i="149"/>
  <c r="D86" i="149"/>
  <c r="Z85" i="149"/>
  <c r="Y85" i="149"/>
  <c r="X85" i="149"/>
  <c r="W85" i="149"/>
  <c r="V85" i="149"/>
  <c r="U85" i="149"/>
  <c r="T85" i="149"/>
  <c r="S85" i="149"/>
  <c r="R85" i="149"/>
  <c r="Q85" i="149"/>
  <c r="O85" i="149"/>
  <c r="N85" i="149"/>
  <c r="M85" i="149"/>
  <c r="L85" i="149"/>
  <c r="K85" i="149"/>
  <c r="J85" i="149"/>
  <c r="I85" i="149"/>
  <c r="H85" i="149"/>
  <c r="G85" i="149"/>
  <c r="F85" i="149"/>
  <c r="D85" i="149"/>
  <c r="Z84" i="149"/>
  <c r="Y84" i="149"/>
  <c r="X84" i="149"/>
  <c r="W84" i="149"/>
  <c r="V84" i="149"/>
  <c r="U84" i="149"/>
  <c r="T84" i="149"/>
  <c r="S84" i="149"/>
  <c r="R84" i="149"/>
  <c r="Q84" i="149"/>
  <c r="O84" i="149"/>
  <c r="N84" i="149"/>
  <c r="M84" i="149"/>
  <c r="L84" i="149"/>
  <c r="K84" i="149"/>
  <c r="J84" i="149"/>
  <c r="I84" i="149"/>
  <c r="H84" i="149"/>
  <c r="G84" i="149"/>
  <c r="F84" i="149"/>
  <c r="D84" i="149"/>
  <c r="Z83" i="149"/>
  <c r="Y83" i="149"/>
  <c r="X83" i="149"/>
  <c r="W83" i="149"/>
  <c r="V83" i="149"/>
  <c r="U83" i="149"/>
  <c r="T83" i="149"/>
  <c r="S83" i="149"/>
  <c r="R83" i="149"/>
  <c r="Q83" i="149"/>
  <c r="O83" i="149"/>
  <c r="N83" i="149"/>
  <c r="M83" i="149"/>
  <c r="L83" i="149"/>
  <c r="K83" i="149"/>
  <c r="J83" i="149"/>
  <c r="I83" i="149"/>
  <c r="H83" i="149"/>
  <c r="G83" i="149"/>
  <c r="F83" i="149"/>
  <c r="D83" i="149"/>
  <c r="Z82" i="149"/>
  <c r="Y82" i="149"/>
  <c r="X82" i="149"/>
  <c r="W82" i="149"/>
  <c r="V82" i="149"/>
  <c r="U82" i="149"/>
  <c r="T82" i="149"/>
  <c r="S82" i="149"/>
  <c r="R82" i="149"/>
  <c r="Q82" i="149"/>
  <c r="O82" i="149"/>
  <c r="N82" i="149"/>
  <c r="M82" i="149"/>
  <c r="L82" i="149"/>
  <c r="K82" i="149"/>
  <c r="J82" i="149"/>
  <c r="I82" i="149"/>
  <c r="H82" i="149"/>
  <c r="G82" i="149"/>
  <c r="F82" i="149"/>
  <c r="D82" i="149"/>
  <c r="Z81" i="149"/>
  <c r="Y81" i="149"/>
  <c r="X81" i="149"/>
  <c r="W81" i="149"/>
  <c r="V81" i="149"/>
  <c r="U81" i="149"/>
  <c r="T81" i="149"/>
  <c r="S81" i="149"/>
  <c r="R81" i="149"/>
  <c r="Q81" i="149"/>
  <c r="O81" i="149"/>
  <c r="N81" i="149"/>
  <c r="M81" i="149"/>
  <c r="L81" i="149"/>
  <c r="K81" i="149"/>
  <c r="J81" i="149"/>
  <c r="I81" i="149"/>
  <c r="H81" i="149"/>
  <c r="G81" i="149"/>
  <c r="F81" i="149"/>
  <c r="D81" i="149"/>
  <c r="Z80" i="149"/>
  <c r="Y80" i="149"/>
  <c r="X80" i="149"/>
  <c r="W80" i="149"/>
  <c r="V80" i="149"/>
  <c r="U80" i="149"/>
  <c r="T80" i="149"/>
  <c r="S80" i="149"/>
  <c r="R80" i="149"/>
  <c r="Q80" i="149"/>
  <c r="O80" i="149"/>
  <c r="N80" i="149"/>
  <c r="M80" i="149"/>
  <c r="L80" i="149"/>
  <c r="K80" i="149"/>
  <c r="J80" i="149"/>
  <c r="I80" i="149"/>
  <c r="H80" i="149"/>
  <c r="G80" i="149"/>
  <c r="F80" i="149"/>
  <c r="D80" i="149"/>
  <c r="Z79" i="149"/>
  <c r="Y79" i="149"/>
  <c r="X79" i="149"/>
  <c r="W79" i="149"/>
  <c r="V79" i="149"/>
  <c r="U79" i="149"/>
  <c r="T79" i="149"/>
  <c r="S79" i="149"/>
  <c r="R79" i="149"/>
  <c r="Q79" i="149"/>
  <c r="O79" i="149"/>
  <c r="N79" i="149"/>
  <c r="M79" i="149"/>
  <c r="L79" i="149"/>
  <c r="K79" i="149"/>
  <c r="J79" i="149"/>
  <c r="I79" i="149"/>
  <c r="H79" i="149"/>
  <c r="G79" i="149"/>
  <c r="F79" i="149"/>
  <c r="D79" i="149"/>
  <c r="Z78" i="149"/>
  <c r="Y78" i="149"/>
  <c r="X78" i="149"/>
  <c r="W78" i="149"/>
  <c r="V78" i="149"/>
  <c r="U78" i="149"/>
  <c r="T78" i="149"/>
  <c r="S78" i="149"/>
  <c r="R78" i="149"/>
  <c r="Q78" i="149"/>
  <c r="O78" i="149"/>
  <c r="N78" i="149"/>
  <c r="M78" i="149"/>
  <c r="L78" i="149"/>
  <c r="K78" i="149"/>
  <c r="J78" i="149"/>
  <c r="I78" i="149"/>
  <c r="H78" i="149"/>
  <c r="G78" i="149"/>
  <c r="F78" i="149"/>
  <c r="D78" i="149"/>
  <c r="Z77" i="149"/>
  <c r="Y77" i="149"/>
  <c r="X77" i="149"/>
  <c r="W77" i="149"/>
  <c r="V77" i="149"/>
  <c r="U77" i="149"/>
  <c r="T77" i="149"/>
  <c r="S77" i="149"/>
  <c r="R77" i="149"/>
  <c r="Q77" i="149"/>
  <c r="O77" i="149"/>
  <c r="N77" i="149"/>
  <c r="M77" i="149"/>
  <c r="L77" i="149"/>
  <c r="K77" i="149"/>
  <c r="J77" i="149"/>
  <c r="I77" i="149"/>
  <c r="H77" i="149"/>
  <c r="G77" i="149"/>
  <c r="F77" i="149"/>
  <c r="D77" i="149"/>
  <c r="Z76" i="149"/>
  <c r="Y76" i="149"/>
  <c r="X76" i="149"/>
  <c r="W76" i="149"/>
  <c r="V76" i="149"/>
  <c r="U76" i="149"/>
  <c r="T76" i="149"/>
  <c r="S76" i="149"/>
  <c r="R76" i="149"/>
  <c r="Q76" i="149"/>
  <c r="O76" i="149"/>
  <c r="N76" i="149"/>
  <c r="M76" i="149"/>
  <c r="L76" i="149"/>
  <c r="K76" i="149"/>
  <c r="J76" i="149"/>
  <c r="I76" i="149"/>
  <c r="H76" i="149"/>
  <c r="G76" i="149"/>
  <c r="F76" i="149"/>
  <c r="D76" i="149"/>
  <c r="Z75" i="149"/>
  <c r="Y75" i="149"/>
  <c r="X75" i="149"/>
  <c r="W75" i="149"/>
  <c r="V75" i="149"/>
  <c r="U75" i="149"/>
  <c r="T75" i="149"/>
  <c r="S75" i="149"/>
  <c r="R75" i="149"/>
  <c r="Q75" i="149"/>
  <c r="O75" i="149"/>
  <c r="N75" i="149"/>
  <c r="M75" i="149"/>
  <c r="L75" i="149"/>
  <c r="K75" i="149"/>
  <c r="J75" i="149"/>
  <c r="I75" i="149"/>
  <c r="H75" i="149"/>
  <c r="G75" i="149"/>
  <c r="F75" i="149"/>
  <c r="D75" i="149"/>
  <c r="Z74" i="149"/>
  <c r="Y74" i="149"/>
  <c r="X74" i="149"/>
  <c r="W74" i="149"/>
  <c r="V74" i="149"/>
  <c r="U74" i="149"/>
  <c r="T74" i="149"/>
  <c r="S74" i="149"/>
  <c r="R74" i="149"/>
  <c r="Q74" i="149"/>
  <c r="O74" i="149"/>
  <c r="N74" i="149"/>
  <c r="M74" i="149"/>
  <c r="L74" i="149"/>
  <c r="K74" i="149"/>
  <c r="J74" i="149"/>
  <c r="I74" i="149"/>
  <c r="H74" i="149"/>
  <c r="G74" i="149"/>
  <c r="F74" i="149"/>
  <c r="D74" i="149"/>
  <c r="Z73" i="149"/>
  <c r="Y73" i="149"/>
  <c r="X73" i="149"/>
  <c r="W73" i="149"/>
  <c r="V73" i="149"/>
  <c r="U73" i="149"/>
  <c r="T73" i="149"/>
  <c r="S73" i="149"/>
  <c r="R73" i="149"/>
  <c r="Q73" i="149"/>
  <c r="O73" i="149"/>
  <c r="N73" i="149"/>
  <c r="M73" i="149"/>
  <c r="L73" i="149"/>
  <c r="K73" i="149"/>
  <c r="J73" i="149"/>
  <c r="I73" i="149"/>
  <c r="H73" i="149"/>
  <c r="G73" i="149"/>
  <c r="F73" i="149"/>
  <c r="D73" i="149"/>
  <c r="Z72" i="149"/>
  <c r="Y72" i="149"/>
  <c r="X72" i="149"/>
  <c r="W72" i="149"/>
  <c r="V72" i="149"/>
  <c r="U72" i="149"/>
  <c r="T72" i="149"/>
  <c r="S72" i="149"/>
  <c r="R72" i="149"/>
  <c r="Q72" i="149"/>
  <c r="O72" i="149"/>
  <c r="N72" i="149"/>
  <c r="M72" i="149"/>
  <c r="L72" i="149"/>
  <c r="K72" i="149"/>
  <c r="J72" i="149"/>
  <c r="I72" i="149"/>
  <c r="H72" i="149"/>
  <c r="G72" i="149"/>
  <c r="F72" i="149"/>
  <c r="D72" i="149"/>
  <c r="Z71" i="149"/>
  <c r="Y71" i="149"/>
  <c r="X71" i="149"/>
  <c r="W71" i="149"/>
  <c r="V71" i="149"/>
  <c r="U71" i="149"/>
  <c r="T71" i="149"/>
  <c r="S71" i="149"/>
  <c r="R71" i="149"/>
  <c r="Q71" i="149"/>
  <c r="O71" i="149"/>
  <c r="N71" i="149"/>
  <c r="M71" i="149"/>
  <c r="L71" i="149"/>
  <c r="K71" i="149"/>
  <c r="J71" i="149"/>
  <c r="I71" i="149"/>
  <c r="H71" i="149"/>
  <c r="G71" i="149"/>
  <c r="F71" i="149"/>
  <c r="D71" i="149"/>
  <c r="Z70" i="149"/>
  <c r="Y70" i="149"/>
  <c r="X70" i="149"/>
  <c r="W70" i="149"/>
  <c r="V70" i="149"/>
  <c r="U70" i="149"/>
  <c r="T70" i="149"/>
  <c r="S70" i="149"/>
  <c r="R70" i="149"/>
  <c r="Q70" i="149"/>
  <c r="O70" i="149"/>
  <c r="N70" i="149"/>
  <c r="M70" i="149"/>
  <c r="L70" i="149"/>
  <c r="K70" i="149"/>
  <c r="J70" i="149"/>
  <c r="I70" i="149"/>
  <c r="H70" i="149"/>
  <c r="G70" i="149"/>
  <c r="F70" i="149"/>
  <c r="D70" i="149"/>
  <c r="Z69" i="149"/>
  <c r="Y69" i="149"/>
  <c r="X69" i="149"/>
  <c r="W69" i="149"/>
  <c r="V69" i="149"/>
  <c r="U69" i="149"/>
  <c r="T69" i="149"/>
  <c r="S69" i="149"/>
  <c r="R69" i="149"/>
  <c r="Q69" i="149"/>
  <c r="O69" i="149"/>
  <c r="N69" i="149"/>
  <c r="M69" i="149"/>
  <c r="L69" i="149"/>
  <c r="K69" i="149"/>
  <c r="J69" i="149"/>
  <c r="I69" i="149"/>
  <c r="H69" i="149"/>
  <c r="G69" i="149"/>
  <c r="F69" i="149"/>
  <c r="D69" i="149"/>
  <c r="Z68" i="149"/>
  <c r="Y68" i="149"/>
  <c r="X68" i="149"/>
  <c r="W68" i="149"/>
  <c r="V68" i="149"/>
  <c r="U68" i="149"/>
  <c r="T68" i="149"/>
  <c r="S68" i="149"/>
  <c r="R68" i="149"/>
  <c r="Q68" i="149"/>
  <c r="O68" i="149"/>
  <c r="N68" i="149"/>
  <c r="M68" i="149"/>
  <c r="L68" i="149"/>
  <c r="K68" i="149"/>
  <c r="J68" i="149"/>
  <c r="I68" i="149"/>
  <c r="H68" i="149"/>
  <c r="G68" i="149"/>
  <c r="F68" i="149"/>
  <c r="D68" i="149"/>
  <c r="Z67" i="149"/>
  <c r="Y67" i="149"/>
  <c r="X67" i="149"/>
  <c r="W67" i="149"/>
  <c r="V67" i="149"/>
  <c r="U67" i="149"/>
  <c r="T67" i="149"/>
  <c r="S67" i="149"/>
  <c r="R67" i="149"/>
  <c r="Q67" i="149"/>
  <c r="O67" i="149"/>
  <c r="N67" i="149"/>
  <c r="M67" i="149"/>
  <c r="L67" i="149"/>
  <c r="K67" i="149"/>
  <c r="J67" i="149"/>
  <c r="I67" i="149"/>
  <c r="H67" i="149"/>
  <c r="G67" i="149"/>
  <c r="F67" i="149"/>
  <c r="D67" i="149"/>
  <c r="Z66" i="149"/>
  <c r="Y66" i="149"/>
  <c r="X66" i="149"/>
  <c r="W66" i="149"/>
  <c r="V66" i="149"/>
  <c r="U66" i="149"/>
  <c r="T66" i="149"/>
  <c r="S66" i="149"/>
  <c r="R66" i="149"/>
  <c r="Q66" i="149"/>
  <c r="O66" i="149"/>
  <c r="N66" i="149"/>
  <c r="M66" i="149"/>
  <c r="L66" i="149"/>
  <c r="K66" i="149"/>
  <c r="J66" i="149"/>
  <c r="I66" i="149"/>
  <c r="H66" i="149"/>
  <c r="G66" i="149"/>
  <c r="F66" i="149"/>
  <c r="D66" i="149"/>
  <c r="Z65" i="149"/>
  <c r="Y65" i="149"/>
  <c r="X65" i="149"/>
  <c r="W65" i="149"/>
  <c r="V65" i="149"/>
  <c r="U65" i="149"/>
  <c r="T65" i="149"/>
  <c r="S65" i="149"/>
  <c r="R65" i="149"/>
  <c r="Q65" i="149"/>
  <c r="O65" i="149"/>
  <c r="N65" i="149"/>
  <c r="M65" i="149"/>
  <c r="L65" i="149"/>
  <c r="K65" i="149"/>
  <c r="J65" i="149"/>
  <c r="I65" i="149"/>
  <c r="H65" i="149"/>
  <c r="G65" i="149"/>
  <c r="F65" i="149"/>
  <c r="D65" i="149"/>
  <c r="Z64" i="149"/>
  <c r="Y64" i="149"/>
  <c r="X64" i="149"/>
  <c r="W64" i="149"/>
  <c r="V64" i="149"/>
  <c r="U64" i="149"/>
  <c r="T64" i="149"/>
  <c r="S64" i="149"/>
  <c r="R64" i="149"/>
  <c r="Q64" i="149"/>
  <c r="O64" i="149"/>
  <c r="N64" i="149"/>
  <c r="M64" i="149"/>
  <c r="L64" i="149"/>
  <c r="K64" i="149"/>
  <c r="J64" i="149"/>
  <c r="I64" i="149"/>
  <c r="H64" i="149"/>
  <c r="G64" i="149"/>
  <c r="F64" i="149"/>
  <c r="D64" i="149"/>
  <c r="Z63" i="149"/>
  <c r="Y63" i="149"/>
  <c r="X63" i="149"/>
  <c r="W63" i="149"/>
  <c r="V63" i="149"/>
  <c r="U63" i="149"/>
  <c r="T63" i="149"/>
  <c r="S63" i="149"/>
  <c r="R63" i="149"/>
  <c r="Q63" i="149"/>
  <c r="O63" i="149"/>
  <c r="N63" i="149"/>
  <c r="M63" i="149"/>
  <c r="L63" i="149"/>
  <c r="K63" i="149"/>
  <c r="J63" i="149"/>
  <c r="I63" i="149"/>
  <c r="H63" i="149"/>
  <c r="G63" i="149"/>
  <c r="F63" i="149"/>
  <c r="D63" i="149"/>
  <c r="Z62" i="149"/>
  <c r="Y62" i="149"/>
  <c r="X62" i="149"/>
  <c r="W62" i="149"/>
  <c r="V62" i="149"/>
  <c r="U62" i="149"/>
  <c r="T62" i="149"/>
  <c r="S62" i="149"/>
  <c r="R62" i="149"/>
  <c r="Q62" i="149"/>
  <c r="O62" i="149"/>
  <c r="N62" i="149"/>
  <c r="M62" i="149"/>
  <c r="L62" i="149"/>
  <c r="K62" i="149"/>
  <c r="J62" i="149"/>
  <c r="I62" i="149"/>
  <c r="H62" i="149"/>
  <c r="G62" i="149"/>
  <c r="F62" i="149"/>
  <c r="D62" i="149"/>
  <c r="Z61" i="149"/>
  <c r="Y61" i="149"/>
  <c r="X61" i="149"/>
  <c r="W61" i="149"/>
  <c r="V61" i="149"/>
  <c r="U61" i="149"/>
  <c r="T61" i="149"/>
  <c r="S61" i="149"/>
  <c r="R61" i="149"/>
  <c r="Q61" i="149"/>
  <c r="O61" i="149"/>
  <c r="N61" i="149"/>
  <c r="M61" i="149"/>
  <c r="L61" i="149"/>
  <c r="K61" i="149"/>
  <c r="J61" i="149"/>
  <c r="I61" i="149"/>
  <c r="H61" i="149"/>
  <c r="G61" i="149"/>
  <c r="F61" i="149"/>
  <c r="D61" i="149"/>
  <c r="Z60" i="149"/>
  <c r="Y60" i="149"/>
  <c r="X60" i="149"/>
  <c r="W60" i="149"/>
  <c r="V60" i="149"/>
  <c r="U60" i="149"/>
  <c r="T60" i="149"/>
  <c r="S60" i="149"/>
  <c r="R60" i="149"/>
  <c r="Q60" i="149"/>
  <c r="O60" i="149"/>
  <c r="N60" i="149"/>
  <c r="M60" i="149"/>
  <c r="L60" i="149"/>
  <c r="K60" i="149"/>
  <c r="J60" i="149"/>
  <c r="I60" i="149"/>
  <c r="H60" i="149"/>
  <c r="G60" i="149"/>
  <c r="F60" i="149"/>
  <c r="D60" i="149"/>
  <c r="Z59" i="149"/>
  <c r="Y59" i="149"/>
  <c r="X59" i="149"/>
  <c r="W59" i="149"/>
  <c r="V59" i="149"/>
  <c r="U59" i="149"/>
  <c r="T59" i="149"/>
  <c r="S59" i="149"/>
  <c r="R59" i="149"/>
  <c r="Q59" i="149"/>
  <c r="O59" i="149"/>
  <c r="N59" i="149"/>
  <c r="M59" i="149"/>
  <c r="L59" i="149"/>
  <c r="K59" i="149"/>
  <c r="J59" i="149"/>
  <c r="I59" i="149"/>
  <c r="H59" i="149"/>
  <c r="G59" i="149"/>
  <c r="F59" i="149"/>
  <c r="D59" i="149"/>
  <c r="Z58" i="149"/>
  <c r="Y58" i="149"/>
  <c r="X58" i="149"/>
  <c r="W58" i="149"/>
  <c r="V58" i="149"/>
  <c r="U58" i="149"/>
  <c r="T58" i="149"/>
  <c r="S58" i="149"/>
  <c r="R58" i="149"/>
  <c r="Q58" i="149"/>
  <c r="O58" i="149"/>
  <c r="N58" i="149"/>
  <c r="M58" i="149"/>
  <c r="L58" i="149"/>
  <c r="K58" i="149"/>
  <c r="J58" i="149"/>
  <c r="I58" i="149"/>
  <c r="H58" i="149"/>
  <c r="G58" i="149"/>
  <c r="F58" i="149"/>
  <c r="D58" i="149"/>
  <c r="Z57" i="149"/>
  <c r="Y57" i="149"/>
  <c r="X57" i="149"/>
  <c r="W57" i="149"/>
  <c r="V57" i="149"/>
  <c r="U57" i="149"/>
  <c r="T57" i="149"/>
  <c r="S57" i="149"/>
  <c r="R57" i="149"/>
  <c r="Q57" i="149"/>
  <c r="O57" i="149"/>
  <c r="N57" i="149"/>
  <c r="M57" i="149"/>
  <c r="L57" i="149"/>
  <c r="K57" i="149"/>
  <c r="J57" i="149"/>
  <c r="I57" i="149"/>
  <c r="H57" i="149"/>
  <c r="G57" i="149"/>
  <c r="F57" i="149"/>
  <c r="D57" i="149"/>
  <c r="Z56" i="149"/>
  <c r="Y56" i="149"/>
  <c r="X56" i="149"/>
  <c r="W56" i="149"/>
  <c r="V56" i="149"/>
  <c r="U56" i="149"/>
  <c r="T56" i="149"/>
  <c r="S56" i="149"/>
  <c r="R56" i="149"/>
  <c r="Q56" i="149"/>
  <c r="O56" i="149"/>
  <c r="N56" i="149"/>
  <c r="M56" i="149"/>
  <c r="L56" i="149"/>
  <c r="K56" i="149"/>
  <c r="J56" i="149"/>
  <c r="I56" i="149"/>
  <c r="H56" i="149"/>
  <c r="G56" i="149"/>
  <c r="F56" i="149"/>
  <c r="D56" i="149"/>
  <c r="Z55" i="149"/>
  <c r="Y55" i="149"/>
  <c r="X55" i="149"/>
  <c r="W55" i="149"/>
  <c r="V55" i="149"/>
  <c r="U55" i="149"/>
  <c r="T55" i="149"/>
  <c r="S55" i="149"/>
  <c r="R55" i="149"/>
  <c r="Q55" i="149"/>
  <c r="O55" i="149"/>
  <c r="N55" i="149"/>
  <c r="M55" i="149"/>
  <c r="L55" i="149"/>
  <c r="K55" i="149"/>
  <c r="J55" i="149"/>
  <c r="I55" i="149"/>
  <c r="H55" i="149"/>
  <c r="G55" i="149"/>
  <c r="F55" i="149"/>
  <c r="D55" i="149"/>
  <c r="Z54" i="149"/>
  <c r="Y54" i="149"/>
  <c r="X54" i="149"/>
  <c r="W54" i="149"/>
  <c r="V54" i="149"/>
  <c r="U54" i="149"/>
  <c r="T54" i="149"/>
  <c r="S54" i="149"/>
  <c r="R54" i="149"/>
  <c r="Q54" i="149"/>
  <c r="O54" i="149"/>
  <c r="N54" i="149"/>
  <c r="M54" i="149"/>
  <c r="L54" i="149"/>
  <c r="K54" i="149"/>
  <c r="J54" i="149"/>
  <c r="I54" i="149"/>
  <c r="H54" i="149"/>
  <c r="G54" i="149"/>
  <c r="F54" i="149"/>
  <c r="D54" i="149"/>
  <c r="Z53" i="149"/>
  <c r="Y53" i="149"/>
  <c r="X53" i="149"/>
  <c r="W53" i="149"/>
  <c r="V53" i="149"/>
  <c r="U53" i="149"/>
  <c r="T53" i="149"/>
  <c r="S53" i="149"/>
  <c r="R53" i="149"/>
  <c r="Q53" i="149"/>
  <c r="O53" i="149"/>
  <c r="N53" i="149"/>
  <c r="M53" i="149"/>
  <c r="L53" i="149"/>
  <c r="K53" i="149"/>
  <c r="J53" i="149"/>
  <c r="I53" i="149"/>
  <c r="H53" i="149"/>
  <c r="G53" i="149"/>
  <c r="F53" i="149"/>
  <c r="D53" i="149"/>
  <c r="Z52" i="149"/>
  <c r="Y52" i="149"/>
  <c r="X52" i="149"/>
  <c r="W52" i="149"/>
  <c r="V52" i="149"/>
  <c r="U52" i="149"/>
  <c r="T52" i="149"/>
  <c r="S52" i="149"/>
  <c r="R52" i="149"/>
  <c r="Q52" i="149"/>
  <c r="O52" i="149"/>
  <c r="N52" i="149"/>
  <c r="M52" i="149"/>
  <c r="L52" i="149"/>
  <c r="K52" i="149"/>
  <c r="J52" i="149"/>
  <c r="I52" i="149"/>
  <c r="H52" i="149"/>
  <c r="G52" i="149"/>
  <c r="F52" i="149"/>
  <c r="D52" i="149"/>
  <c r="Z51" i="149"/>
  <c r="Y51" i="149"/>
  <c r="X51" i="149"/>
  <c r="W51" i="149"/>
  <c r="V51" i="149"/>
  <c r="U51" i="149"/>
  <c r="T51" i="149"/>
  <c r="S51" i="149"/>
  <c r="R51" i="149"/>
  <c r="Q51" i="149"/>
  <c r="O51" i="149"/>
  <c r="N51" i="149"/>
  <c r="M51" i="149"/>
  <c r="L51" i="149"/>
  <c r="K51" i="149"/>
  <c r="J51" i="149"/>
  <c r="I51" i="149"/>
  <c r="H51" i="149"/>
  <c r="G51" i="149"/>
  <c r="F51" i="149"/>
  <c r="D51" i="149"/>
  <c r="Z50" i="149"/>
  <c r="Y50" i="149"/>
  <c r="X50" i="149"/>
  <c r="W50" i="149"/>
  <c r="V50" i="149"/>
  <c r="U50" i="149"/>
  <c r="T50" i="149"/>
  <c r="S50" i="149"/>
  <c r="R50" i="149"/>
  <c r="Q50" i="149"/>
  <c r="O50" i="149"/>
  <c r="N50" i="149"/>
  <c r="M50" i="149"/>
  <c r="L50" i="149"/>
  <c r="K50" i="149"/>
  <c r="J50" i="149"/>
  <c r="I50" i="149"/>
  <c r="H50" i="149"/>
  <c r="G50" i="149"/>
  <c r="F50" i="149"/>
  <c r="D50" i="149"/>
  <c r="Z49" i="149"/>
  <c r="Y49" i="149"/>
  <c r="X49" i="149"/>
  <c r="W49" i="149"/>
  <c r="V49" i="149"/>
  <c r="U49" i="149"/>
  <c r="T49" i="149"/>
  <c r="S49" i="149"/>
  <c r="R49" i="149"/>
  <c r="Q49" i="149"/>
  <c r="O49" i="149"/>
  <c r="N49" i="149"/>
  <c r="M49" i="149"/>
  <c r="L49" i="149"/>
  <c r="K49" i="149"/>
  <c r="J49" i="149"/>
  <c r="I49" i="149"/>
  <c r="H49" i="149"/>
  <c r="G49" i="149"/>
  <c r="F49" i="149"/>
  <c r="D49" i="149"/>
  <c r="Z48" i="149"/>
  <c r="Y48" i="149"/>
  <c r="X48" i="149"/>
  <c r="W48" i="149"/>
  <c r="V48" i="149"/>
  <c r="U48" i="149"/>
  <c r="T48" i="149"/>
  <c r="S48" i="149"/>
  <c r="R48" i="149"/>
  <c r="Q48" i="149"/>
  <c r="O48" i="149"/>
  <c r="N48" i="149"/>
  <c r="M48" i="149"/>
  <c r="L48" i="149"/>
  <c r="K48" i="149"/>
  <c r="J48" i="149"/>
  <c r="I48" i="149"/>
  <c r="H48" i="149"/>
  <c r="G48" i="149"/>
  <c r="F48" i="149"/>
  <c r="D48" i="149"/>
  <c r="Z47" i="149"/>
  <c r="Y47" i="149"/>
  <c r="X47" i="149"/>
  <c r="W47" i="149"/>
  <c r="V47" i="149"/>
  <c r="U47" i="149"/>
  <c r="T47" i="149"/>
  <c r="S47" i="149"/>
  <c r="R47" i="149"/>
  <c r="Q47" i="149"/>
  <c r="O47" i="149"/>
  <c r="N47" i="149"/>
  <c r="M47" i="149"/>
  <c r="L47" i="149"/>
  <c r="K47" i="149"/>
  <c r="J47" i="149"/>
  <c r="I47" i="149"/>
  <c r="H47" i="149"/>
  <c r="G47" i="149"/>
  <c r="F47" i="149"/>
  <c r="D47" i="149"/>
  <c r="Z46" i="149"/>
  <c r="Y46" i="149"/>
  <c r="X46" i="149"/>
  <c r="W46" i="149"/>
  <c r="V46" i="149"/>
  <c r="U46" i="149"/>
  <c r="T46" i="149"/>
  <c r="S46" i="149"/>
  <c r="R46" i="149"/>
  <c r="Q46" i="149"/>
  <c r="O46" i="149"/>
  <c r="N46" i="149"/>
  <c r="M46" i="149"/>
  <c r="L46" i="149"/>
  <c r="K46" i="149"/>
  <c r="J46" i="149"/>
  <c r="I46" i="149"/>
  <c r="H46" i="149"/>
  <c r="G46" i="149"/>
  <c r="F46" i="149"/>
  <c r="D46" i="149"/>
  <c r="Z45" i="149"/>
  <c r="Y45" i="149"/>
  <c r="X45" i="149"/>
  <c r="W45" i="149"/>
  <c r="V45" i="149"/>
  <c r="U45" i="149"/>
  <c r="T45" i="149"/>
  <c r="S45" i="149"/>
  <c r="R45" i="149"/>
  <c r="Q45" i="149"/>
  <c r="O45" i="149"/>
  <c r="N45" i="149"/>
  <c r="M45" i="149"/>
  <c r="L45" i="149"/>
  <c r="K45" i="149"/>
  <c r="J45" i="149"/>
  <c r="I45" i="149"/>
  <c r="H45" i="149"/>
  <c r="G45" i="149"/>
  <c r="F45" i="149"/>
  <c r="D45" i="149"/>
  <c r="Z44" i="149"/>
  <c r="Z155" i="149" s="1"/>
  <c r="Y44" i="149"/>
  <c r="Y155" i="149" s="1"/>
  <c r="X44" i="149"/>
  <c r="X155" i="149" s="1"/>
  <c r="V44" i="149"/>
  <c r="V155" i="149" s="1"/>
  <c r="U44" i="149"/>
  <c r="U155" i="149" s="1"/>
  <c r="T44" i="149"/>
  <c r="T155" i="149" s="1"/>
  <c r="S44" i="149"/>
  <c r="S155" i="149" s="1"/>
  <c r="R44" i="149"/>
  <c r="R155" i="149" s="1"/>
  <c r="Q44" i="149"/>
  <c r="Q155" i="149" s="1"/>
  <c r="O44" i="149"/>
  <c r="O155" i="149" s="1"/>
  <c r="N44" i="149"/>
  <c r="N155" i="149" s="1"/>
  <c r="M44" i="149"/>
  <c r="M155" i="149" s="1"/>
  <c r="L44" i="149"/>
  <c r="L155" i="149" s="1"/>
  <c r="K44" i="149"/>
  <c r="K155" i="149" s="1"/>
  <c r="J44" i="149"/>
  <c r="J155" i="149" s="1"/>
  <c r="I44" i="149"/>
  <c r="I155" i="149" s="1"/>
  <c r="H44" i="149"/>
  <c r="H155" i="149" s="1"/>
  <c r="G44" i="149"/>
  <c r="G155" i="149" s="1"/>
  <c r="F44" i="149"/>
  <c r="F155" i="149" s="1"/>
  <c r="D44" i="149"/>
  <c r="D155" i="149" s="1"/>
  <c r="P35" i="149"/>
  <c r="P34" i="149"/>
  <c r="P33" i="149"/>
  <c r="P32" i="149"/>
  <c r="P31" i="149"/>
  <c r="P30" i="149"/>
  <c r="P29" i="149"/>
  <c r="P28" i="149"/>
  <c r="P27" i="149"/>
  <c r="P26" i="149"/>
  <c r="P25" i="149"/>
  <c r="P24" i="149"/>
  <c r="P23" i="149"/>
  <c r="P22" i="149"/>
  <c r="P21" i="149"/>
  <c r="P20" i="149"/>
  <c r="P19" i="149"/>
  <c r="P18" i="149"/>
  <c r="P17" i="149"/>
  <c r="P16" i="149"/>
  <c r="P15" i="149"/>
  <c r="P14" i="149"/>
  <c r="P13" i="149"/>
  <c r="P12" i="149"/>
  <c r="P11" i="149"/>
  <c r="P63" i="149" s="1"/>
  <c r="P10" i="149"/>
  <c r="P9" i="149"/>
  <c r="P8" i="149"/>
  <c r="P7" i="149"/>
  <c r="P6" i="149"/>
  <c r="P48" i="149" s="1"/>
  <c r="P5" i="149"/>
  <c r="P46" i="149" s="1"/>
  <c r="G133" i="151" l="1"/>
  <c r="L133" i="151" s="1"/>
  <c r="L121" i="151"/>
  <c r="L119" i="151"/>
  <c r="G131" i="151"/>
  <c r="L131" i="151" s="1"/>
  <c r="G98" i="151"/>
  <c r="G98" i="32"/>
  <c r="L98" i="32" s="1"/>
  <c r="M98" i="32" s="1"/>
  <c r="H98" i="152"/>
  <c r="H110" i="152" s="1"/>
  <c r="J60" i="38"/>
  <c r="J60" i="28"/>
  <c r="J40" i="38"/>
  <c r="J40" i="28"/>
  <c r="J41" i="38"/>
  <c r="J41" i="28"/>
  <c r="G102" i="32"/>
  <c r="L102" i="32" s="1"/>
  <c r="M102" i="32" s="1"/>
  <c r="H102" i="152"/>
  <c r="H114" i="152" s="1"/>
  <c r="G102" i="151"/>
  <c r="H99" i="152"/>
  <c r="H111" i="152" s="1"/>
  <c r="G99" i="151"/>
  <c r="G99" i="32"/>
  <c r="L99" i="32" s="1"/>
  <c r="M99" i="32" s="1"/>
  <c r="J49" i="38"/>
  <c r="J49" i="28"/>
  <c r="J42" i="38"/>
  <c r="J42" i="28"/>
  <c r="J47" i="38"/>
  <c r="J47" i="28"/>
  <c r="G104" i="32"/>
  <c r="L104" i="32" s="1"/>
  <c r="M104" i="32" s="1"/>
  <c r="G104" i="151"/>
  <c r="H104" i="152"/>
  <c r="H116" i="152" s="1"/>
  <c r="J43" i="38"/>
  <c r="J43" i="28"/>
  <c r="J46" i="38"/>
  <c r="J46" i="28"/>
  <c r="J38" i="38"/>
  <c r="J38" i="28"/>
  <c r="J44" i="38"/>
  <c r="J44" i="28"/>
  <c r="J45" i="38"/>
  <c r="J45" i="28"/>
  <c r="G103" i="32"/>
  <c r="L103" i="32" s="1"/>
  <c r="M103" i="32" s="1"/>
  <c r="H103" i="152"/>
  <c r="H115" i="152" s="1"/>
  <c r="G103" i="151"/>
  <c r="J39" i="38"/>
  <c r="J39" i="28"/>
  <c r="AE28" i="156"/>
  <c r="AK28" i="156" s="1"/>
  <c r="AK27" i="156"/>
  <c r="AE22" i="156"/>
  <c r="AK23" i="156"/>
  <c r="AE9" i="24"/>
  <c r="AK8" i="24"/>
  <c r="AE9" i="156"/>
  <c r="AK8" i="156"/>
  <c r="E78" i="149"/>
  <c r="E47" i="149"/>
  <c r="E62" i="149"/>
  <c r="E50" i="149"/>
  <c r="E48" i="149"/>
  <c r="E93" i="149"/>
  <c r="E96" i="149"/>
  <c r="E58" i="149"/>
  <c r="E56" i="149"/>
  <c r="E55" i="149"/>
  <c r="E53" i="149"/>
  <c r="E45" i="149"/>
  <c r="E156" i="149" s="1"/>
  <c r="E46" i="149"/>
  <c r="E104" i="149"/>
  <c r="E74" i="149"/>
  <c r="E73" i="149"/>
  <c r="E67" i="149"/>
  <c r="E65" i="149"/>
  <c r="X151" i="149"/>
  <c r="E68" i="149"/>
  <c r="E69" i="149"/>
  <c r="E86" i="149"/>
  <c r="Q149" i="149"/>
  <c r="E87" i="149"/>
  <c r="E76" i="149"/>
  <c r="E79" i="149"/>
  <c r="E91" i="149"/>
  <c r="E97" i="149"/>
  <c r="E89" i="149"/>
  <c r="E113" i="149"/>
  <c r="J151" i="149"/>
  <c r="U150" i="149"/>
  <c r="O150" i="149"/>
  <c r="P144" i="149"/>
  <c r="M149" i="149"/>
  <c r="E80" i="149"/>
  <c r="T149" i="149"/>
  <c r="S149" i="149"/>
  <c r="T151" i="149"/>
  <c r="E82" i="149"/>
  <c r="E85" i="149"/>
  <c r="O151" i="149"/>
  <c r="G151" i="149"/>
  <c r="D151" i="149"/>
  <c r="E64" i="149"/>
  <c r="E129" i="149"/>
  <c r="Y150" i="149"/>
  <c r="X150" i="149"/>
  <c r="W150" i="149"/>
  <c r="E111" i="149"/>
  <c r="E114" i="149"/>
  <c r="C34" i="70"/>
  <c r="R151" i="149"/>
  <c r="Q151" i="149"/>
  <c r="E110" i="149"/>
  <c r="E94" i="149"/>
  <c r="E103" i="149"/>
  <c r="Y151" i="149"/>
  <c r="M150" i="149"/>
  <c r="J150" i="149"/>
  <c r="U151" i="149"/>
  <c r="H150" i="149"/>
  <c r="E125" i="149"/>
  <c r="G150" i="149"/>
  <c r="P145" i="149"/>
  <c r="D150" i="149"/>
  <c r="P147" i="149"/>
  <c r="G149" i="149"/>
  <c r="I151" i="149"/>
  <c r="H151" i="149"/>
  <c r="E142" i="149"/>
  <c r="E127" i="149"/>
  <c r="Z99" i="69"/>
  <c r="W149" i="149"/>
  <c r="Z150" i="149"/>
  <c r="Z151" i="149"/>
  <c r="W151" i="149"/>
  <c r="O149" i="149"/>
  <c r="I149" i="149"/>
  <c r="N150" i="149"/>
  <c r="H149" i="149"/>
  <c r="N151" i="149"/>
  <c r="D34" i="70"/>
  <c r="E10" i="70"/>
  <c r="E34" i="70" s="1"/>
  <c r="CK72" i="67"/>
  <c r="L60" i="154"/>
  <c r="V60" i="154" s="1"/>
  <c r="L60" i="153"/>
  <c r="V60" i="153" s="1"/>
  <c r="N60" i="155"/>
  <c r="L60" i="75"/>
  <c r="CK55" i="67"/>
  <c r="L43" i="153"/>
  <c r="V43" i="153" s="1"/>
  <c r="L43" i="154"/>
  <c r="V43" i="154" s="1"/>
  <c r="N43" i="155"/>
  <c r="L43" i="75"/>
  <c r="CK50" i="67"/>
  <c r="N38" i="155"/>
  <c r="L38" i="154"/>
  <c r="V38" i="154" s="1"/>
  <c r="L38" i="153"/>
  <c r="V38" i="153" s="1"/>
  <c r="L38" i="75"/>
  <c r="CE66" i="67"/>
  <c r="CK53" i="67"/>
  <c r="N41" i="155"/>
  <c r="L41" i="154"/>
  <c r="V41" i="154" s="1"/>
  <c r="L41" i="153"/>
  <c r="V41" i="153" s="1"/>
  <c r="L41" i="75"/>
  <c r="V150" i="149"/>
  <c r="F150" i="149"/>
  <c r="CE80" i="67"/>
  <c r="E106" i="149"/>
  <c r="E133" i="149"/>
  <c r="L149" i="149"/>
  <c r="K149" i="149"/>
  <c r="E144" i="149"/>
  <c r="E84" i="149"/>
  <c r="L151" i="149"/>
  <c r="S150" i="149"/>
  <c r="P142" i="149"/>
  <c r="CK52" i="67"/>
  <c r="N40" i="155"/>
  <c r="L40" i="154"/>
  <c r="V40" i="154" s="1"/>
  <c r="L40" i="153"/>
  <c r="V40" i="153" s="1"/>
  <c r="L40" i="75"/>
  <c r="K151" i="149"/>
  <c r="R150" i="149"/>
  <c r="E141" i="149"/>
  <c r="P151" i="149"/>
  <c r="X149" i="149"/>
  <c r="Y99" i="69"/>
  <c r="CK59" i="67"/>
  <c r="N47" i="155"/>
  <c r="L47" i="154"/>
  <c r="V47" i="154" s="1"/>
  <c r="L47" i="153"/>
  <c r="V47" i="153" s="1"/>
  <c r="L47" i="75"/>
  <c r="E122" i="149"/>
  <c r="F149" i="149"/>
  <c r="V149" i="149"/>
  <c r="CE70" i="67"/>
  <c r="CE96" i="67"/>
  <c r="CE108" i="67" s="1"/>
  <c r="CK54" i="67"/>
  <c r="L42" i="153"/>
  <c r="V42" i="153" s="1"/>
  <c r="N42" i="155"/>
  <c r="L42" i="154"/>
  <c r="V42" i="154" s="1"/>
  <c r="L42" i="75"/>
  <c r="CK51" i="67"/>
  <c r="N39" i="155"/>
  <c r="L39" i="154"/>
  <c r="V39" i="154" s="1"/>
  <c r="L39" i="153"/>
  <c r="V39" i="153" s="1"/>
  <c r="L39" i="75"/>
  <c r="CK58" i="67"/>
  <c r="L46" i="154"/>
  <c r="V46" i="154" s="1"/>
  <c r="L46" i="153"/>
  <c r="V46" i="153" s="1"/>
  <c r="N46" i="155"/>
  <c r="L46" i="75"/>
  <c r="V151" i="149"/>
  <c r="CK57" i="67"/>
  <c r="L45" i="154"/>
  <c r="V45" i="154" s="1"/>
  <c r="L45" i="153"/>
  <c r="V45" i="153" s="1"/>
  <c r="N45" i="155"/>
  <c r="L45" i="75"/>
  <c r="CK56" i="67"/>
  <c r="L44" i="154"/>
  <c r="V44" i="154" s="1"/>
  <c r="L44" i="153"/>
  <c r="V44" i="153" s="1"/>
  <c r="N44" i="155"/>
  <c r="L44" i="75"/>
  <c r="CE64" i="67"/>
  <c r="CK61" i="67"/>
  <c r="L49" i="153"/>
  <c r="V49" i="153" s="1"/>
  <c r="N49" i="155"/>
  <c r="L49" i="154"/>
  <c r="V49" i="154" s="1"/>
  <c r="L49" i="75"/>
  <c r="Z77" i="30"/>
  <c r="C94" i="23"/>
  <c r="B9" i="156"/>
  <c r="X99" i="69"/>
  <c r="P115" i="69"/>
  <c r="P122" i="69"/>
  <c r="P129" i="69" s="1"/>
  <c r="P134" i="69" s="1"/>
  <c r="D96" i="69"/>
  <c r="W96" i="69" s="1"/>
  <c r="D97" i="69"/>
  <c r="W97" i="69" s="1"/>
  <c r="D98" i="69"/>
  <c r="D105" i="69" s="1"/>
  <c r="BK9" i="17"/>
  <c r="AT51" i="17"/>
  <c r="AT9" i="17"/>
  <c r="AI10" i="17"/>
  <c r="AI50" i="17"/>
  <c r="P9" i="24"/>
  <c r="I8" i="24"/>
  <c r="I20" i="24"/>
  <c r="Z15" i="23"/>
  <c r="R15" i="23"/>
  <c r="N15" i="23"/>
  <c r="C2" i="75"/>
  <c r="V138" i="149"/>
  <c r="V139" i="149"/>
  <c r="E137" i="149"/>
  <c r="H138" i="149"/>
  <c r="H139" i="149"/>
  <c r="E100" i="149"/>
  <c r="P146" i="149"/>
  <c r="E143" i="149"/>
  <c r="P139" i="149"/>
  <c r="P141" i="149"/>
  <c r="E51" i="149"/>
  <c r="E98" i="149"/>
  <c r="E147" i="149"/>
  <c r="E146" i="149"/>
  <c r="E61" i="149"/>
  <c r="E117" i="149"/>
  <c r="E109" i="149"/>
  <c r="E60" i="149"/>
  <c r="E107" i="149"/>
  <c r="E135" i="149"/>
  <c r="E138" i="149"/>
  <c r="E102" i="149"/>
  <c r="E130" i="149"/>
  <c r="E136" i="149"/>
  <c r="E121" i="149"/>
  <c r="E116" i="149"/>
  <c r="E124" i="149"/>
  <c r="E132" i="149"/>
  <c r="E119" i="149"/>
  <c r="E71" i="149"/>
  <c r="I65" i="69"/>
  <c r="H56" i="69"/>
  <c r="L56" i="69"/>
  <c r="G24" i="69"/>
  <c r="I24" i="69"/>
  <c r="K24" i="69"/>
  <c r="M24" i="69"/>
  <c r="I43" i="69"/>
  <c r="K43" i="69"/>
  <c r="L11" i="69"/>
  <c r="H11" i="69"/>
  <c r="H14" i="69"/>
  <c r="I51" i="69"/>
  <c r="J14" i="69"/>
  <c r="K51" i="69"/>
  <c r="L14" i="69"/>
  <c r="M51" i="69"/>
  <c r="H24" i="69"/>
  <c r="J24" i="69"/>
  <c r="L24" i="69"/>
  <c r="J11" i="69"/>
  <c r="G65" i="69"/>
  <c r="K65" i="69"/>
  <c r="M65" i="69"/>
  <c r="H19" i="69"/>
  <c r="J19" i="69"/>
  <c r="L19" i="69"/>
  <c r="X156" i="149"/>
  <c r="X157" i="149" s="1"/>
  <c r="X158" i="149" s="1"/>
  <c r="X159" i="149" s="1"/>
  <c r="X160" i="149" s="1"/>
  <c r="X161" i="149" s="1"/>
  <c r="X162" i="149" s="1"/>
  <c r="X163" i="149" s="1"/>
  <c r="X164" i="149" s="1"/>
  <c r="X165" i="149" s="1"/>
  <c r="X166" i="149" s="1"/>
  <c r="X167" i="149" s="1"/>
  <c r="X168" i="149" s="1"/>
  <c r="X169" i="149" s="1"/>
  <c r="X170" i="149" s="1"/>
  <c r="X171" i="149" s="1"/>
  <c r="X172" i="149" s="1"/>
  <c r="X173" i="149" s="1"/>
  <c r="X174" i="149" s="1"/>
  <c r="X175" i="149" s="1"/>
  <c r="X176" i="149" s="1"/>
  <c r="X177" i="149" s="1"/>
  <c r="X178" i="149" s="1"/>
  <c r="X179" i="149" s="1"/>
  <c r="X180" i="149" s="1"/>
  <c r="X181" i="149" s="1"/>
  <c r="X182" i="149" s="1"/>
  <c r="X183" i="149" s="1"/>
  <c r="X184" i="149" s="1"/>
  <c r="X185" i="149" s="1"/>
  <c r="X186" i="149" s="1"/>
  <c r="X187" i="149" s="1"/>
  <c r="X188" i="149" s="1"/>
  <c r="X189" i="149" s="1"/>
  <c r="X190" i="149" s="1"/>
  <c r="X191" i="149" s="1"/>
  <c r="X192" i="149" s="1"/>
  <c r="X193" i="149" s="1"/>
  <c r="X194" i="149" s="1"/>
  <c r="X195" i="149" s="1"/>
  <c r="X196" i="149" s="1"/>
  <c r="X197" i="149" s="1"/>
  <c r="X198" i="149" s="1"/>
  <c r="X199" i="149" s="1"/>
  <c r="X200" i="149" s="1"/>
  <c r="X201" i="149" s="1"/>
  <c r="X202" i="149" s="1"/>
  <c r="X203" i="149" s="1"/>
  <c r="X204" i="149" s="1"/>
  <c r="X205" i="149" s="1"/>
  <c r="X206" i="149" s="1"/>
  <c r="X207" i="149" s="1"/>
  <c r="X208" i="149" s="1"/>
  <c r="X209" i="149" s="1"/>
  <c r="X210" i="149" s="1"/>
  <c r="X211" i="149" s="1"/>
  <c r="X212" i="149" s="1"/>
  <c r="X213" i="149" s="1"/>
  <c r="X214" i="149" s="1"/>
  <c r="X215" i="149" s="1"/>
  <c r="X216" i="149" s="1"/>
  <c r="X217" i="149" s="1"/>
  <c r="X218" i="149" s="1"/>
  <c r="X219" i="149" s="1"/>
  <c r="X220" i="149" s="1"/>
  <c r="X221" i="149" s="1"/>
  <c r="X222" i="149" s="1"/>
  <c r="X223" i="149" s="1"/>
  <c r="X224" i="149" s="1"/>
  <c r="X225" i="149" s="1"/>
  <c r="X226" i="149" s="1"/>
  <c r="X227" i="149" s="1"/>
  <c r="X228" i="149" s="1"/>
  <c r="X229" i="149" s="1"/>
  <c r="X230" i="149" s="1"/>
  <c r="X231" i="149" s="1"/>
  <c r="X232" i="149" s="1"/>
  <c r="X233" i="149" s="1"/>
  <c r="X234" i="149" s="1"/>
  <c r="X235" i="149" s="1"/>
  <c r="X236" i="149" s="1"/>
  <c r="X237" i="149" s="1"/>
  <c r="X238" i="149" s="1"/>
  <c r="X239" i="149" s="1"/>
  <c r="X240" i="149" s="1"/>
  <c r="X241" i="149" s="1"/>
  <c r="X242" i="149" s="1"/>
  <c r="X243" i="149" s="1"/>
  <c r="X244" i="149" s="1"/>
  <c r="X245" i="149" s="1"/>
  <c r="X246" i="149" s="1"/>
  <c r="X247" i="149" s="1"/>
  <c r="X248" i="149" s="1"/>
  <c r="X249" i="149" s="1"/>
  <c r="X250" i="149" s="1"/>
  <c r="X251" i="149" s="1"/>
  <c r="X252" i="149" s="1"/>
  <c r="X253" i="149" s="1"/>
  <c r="X254" i="149" s="1"/>
  <c r="X255" i="149" s="1"/>
  <c r="X256" i="149" s="1"/>
  <c r="X257" i="149" s="1"/>
  <c r="X258" i="149" s="1"/>
  <c r="X259" i="149" s="1"/>
  <c r="H43" i="69"/>
  <c r="J43" i="69"/>
  <c r="L43" i="69"/>
  <c r="H33" i="69"/>
  <c r="H46" i="69"/>
  <c r="J33" i="69"/>
  <c r="J46" i="69"/>
  <c r="L33" i="69"/>
  <c r="L46" i="69"/>
  <c r="J56" i="69"/>
  <c r="I11" i="69"/>
  <c r="K11" i="69"/>
  <c r="M11" i="69"/>
  <c r="G14" i="69"/>
  <c r="H51" i="69"/>
  <c r="I14" i="69"/>
  <c r="J51" i="69"/>
  <c r="K14" i="69"/>
  <c r="L51" i="69"/>
  <c r="M14" i="69"/>
  <c r="H65" i="69"/>
  <c r="J65" i="69"/>
  <c r="L65" i="69"/>
  <c r="G19" i="69"/>
  <c r="I19" i="69"/>
  <c r="K19" i="69"/>
  <c r="M19" i="69"/>
  <c r="F14" i="69"/>
  <c r="G43" i="69"/>
  <c r="G51" i="69"/>
  <c r="H156" i="149"/>
  <c r="H157" i="149" s="1"/>
  <c r="H158" i="149" s="1"/>
  <c r="H159" i="149" s="1"/>
  <c r="H160" i="149" s="1"/>
  <c r="H161" i="149" s="1"/>
  <c r="H162" i="149" s="1"/>
  <c r="H163" i="149" s="1"/>
  <c r="H164" i="149" s="1"/>
  <c r="H165" i="149" s="1"/>
  <c r="H166" i="149" s="1"/>
  <c r="H167" i="149" s="1"/>
  <c r="H168" i="149" s="1"/>
  <c r="H169" i="149" s="1"/>
  <c r="H170" i="149" s="1"/>
  <c r="H171" i="149" s="1"/>
  <c r="H172" i="149" s="1"/>
  <c r="H173" i="149" s="1"/>
  <c r="H174" i="149" s="1"/>
  <c r="H175" i="149" s="1"/>
  <c r="H176" i="149" s="1"/>
  <c r="H177" i="149" s="1"/>
  <c r="H178" i="149" s="1"/>
  <c r="H179" i="149" s="1"/>
  <c r="H180" i="149" s="1"/>
  <c r="H181" i="149" s="1"/>
  <c r="H182" i="149" s="1"/>
  <c r="H183" i="149" s="1"/>
  <c r="H184" i="149" s="1"/>
  <c r="H185" i="149" s="1"/>
  <c r="H186" i="149" s="1"/>
  <c r="H187" i="149" s="1"/>
  <c r="H188" i="149" s="1"/>
  <c r="H189" i="149" s="1"/>
  <c r="H190" i="149" s="1"/>
  <c r="H191" i="149" s="1"/>
  <c r="H192" i="149" s="1"/>
  <c r="H193" i="149" s="1"/>
  <c r="H194" i="149" s="1"/>
  <c r="H195" i="149" s="1"/>
  <c r="H196" i="149" s="1"/>
  <c r="H197" i="149" s="1"/>
  <c r="H198" i="149" s="1"/>
  <c r="H199" i="149" s="1"/>
  <c r="H200" i="149" s="1"/>
  <c r="H201" i="149" s="1"/>
  <c r="H202" i="149" s="1"/>
  <c r="H203" i="149" s="1"/>
  <c r="H204" i="149" s="1"/>
  <c r="H205" i="149" s="1"/>
  <c r="H206" i="149" s="1"/>
  <c r="H207" i="149" s="1"/>
  <c r="H208" i="149" s="1"/>
  <c r="H209" i="149" s="1"/>
  <c r="H210" i="149" s="1"/>
  <c r="H211" i="149" s="1"/>
  <c r="H212" i="149" s="1"/>
  <c r="H213" i="149" s="1"/>
  <c r="H214" i="149" s="1"/>
  <c r="H215" i="149" s="1"/>
  <c r="H216" i="149" s="1"/>
  <c r="H217" i="149" s="1"/>
  <c r="H218" i="149" s="1"/>
  <c r="H219" i="149" s="1"/>
  <c r="H220" i="149" s="1"/>
  <c r="H221" i="149" s="1"/>
  <c r="H222" i="149" s="1"/>
  <c r="H223" i="149" s="1"/>
  <c r="H224" i="149" s="1"/>
  <c r="H225" i="149" s="1"/>
  <c r="H226" i="149" s="1"/>
  <c r="H227" i="149" s="1"/>
  <c r="H228" i="149" s="1"/>
  <c r="H229" i="149" s="1"/>
  <c r="H230" i="149" s="1"/>
  <c r="H231" i="149" s="1"/>
  <c r="H232" i="149" s="1"/>
  <c r="H233" i="149" s="1"/>
  <c r="H234" i="149" s="1"/>
  <c r="H235" i="149" s="1"/>
  <c r="H236" i="149" s="1"/>
  <c r="H237" i="149" s="1"/>
  <c r="H238" i="149" s="1"/>
  <c r="H239" i="149" s="1"/>
  <c r="H240" i="149" s="1"/>
  <c r="H241" i="149" s="1"/>
  <c r="H242" i="149" s="1"/>
  <c r="H243" i="149" s="1"/>
  <c r="H244" i="149" s="1"/>
  <c r="H245" i="149" s="1"/>
  <c r="H246" i="149" s="1"/>
  <c r="H247" i="149" s="1"/>
  <c r="H248" i="149" s="1"/>
  <c r="F24" i="69"/>
  <c r="G33" i="69"/>
  <c r="G46" i="69"/>
  <c r="G11" i="69"/>
  <c r="I33" i="69"/>
  <c r="I46" i="69"/>
  <c r="K33" i="69"/>
  <c r="K46" i="69"/>
  <c r="M33" i="69"/>
  <c r="N35" i="69" s="1"/>
  <c r="M46" i="69"/>
  <c r="G56" i="69"/>
  <c r="I56" i="69"/>
  <c r="K56" i="69"/>
  <c r="M56" i="69"/>
  <c r="F43" i="69"/>
  <c r="F64" i="69" s="1"/>
  <c r="F46" i="69"/>
  <c r="F56" i="69"/>
  <c r="F11" i="69"/>
  <c r="F32" i="69" s="1"/>
  <c r="F51" i="69"/>
  <c r="F33" i="69"/>
  <c r="F65" i="69"/>
  <c r="U156" i="149"/>
  <c r="U157" i="149" s="1"/>
  <c r="U158" i="149" s="1"/>
  <c r="U159" i="149" s="1"/>
  <c r="U160" i="149" s="1"/>
  <c r="U161" i="149" s="1"/>
  <c r="U162" i="149" s="1"/>
  <c r="U163" i="149" s="1"/>
  <c r="U164" i="149" s="1"/>
  <c r="U165" i="149" s="1"/>
  <c r="U166" i="149" s="1"/>
  <c r="U167" i="149" s="1"/>
  <c r="U168" i="149" s="1"/>
  <c r="U169" i="149" s="1"/>
  <c r="U170" i="149" s="1"/>
  <c r="U171" i="149" s="1"/>
  <c r="U172" i="149" s="1"/>
  <c r="U173" i="149" s="1"/>
  <c r="U174" i="149" s="1"/>
  <c r="U175" i="149" s="1"/>
  <c r="U176" i="149" s="1"/>
  <c r="U177" i="149" s="1"/>
  <c r="U178" i="149" s="1"/>
  <c r="U179" i="149" s="1"/>
  <c r="U180" i="149" s="1"/>
  <c r="U181" i="149" s="1"/>
  <c r="U182" i="149" s="1"/>
  <c r="U183" i="149" s="1"/>
  <c r="U184" i="149" s="1"/>
  <c r="U185" i="149" s="1"/>
  <c r="U186" i="149" s="1"/>
  <c r="U187" i="149" s="1"/>
  <c r="U188" i="149" s="1"/>
  <c r="U189" i="149" s="1"/>
  <c r="U190" i="149" s="1"/>
  <c r="U191" i="149" s="1"/>
  <c r="U192" i="149" s="1"/>
  <c r="U193" i="149" s="1"/>
  <c r="U194" i="149" s="1"/>
  <c r="U195" i="149" s="1"/>
  <c r="U196" i="149" s="1"/>
  <c r="U197" i="149" s="1"/>
  <c r="U198" i="149" s="1"/>
  <c r="U199" i="149" s="1"/>
  <c r="U200" i="149" s="1"/>
  <c r="U201" i="149" s="1"/>
  <c r="U202" i="149" s="1"/>
  <c r="U203" i="149" s="1"/>
  <c r="U204" i="149" s="1"/>
  <c r="U205" i="149" s="1"/>
  <c r="U206" i="149" s="1"/>
  <c r="U207" i="149" s="1"/>
  <c r="U208" i="149" s="1"/>
  <c r="U209" i="149" s="1"/>
  <c r="U210" i="149" s="1"/>
  <c r="U211" i="149" s="1"/>
  <c r="U212" i="149" s="1"/>
  <c r="U213" i="149" s="1"/>
  <c r="U214" i="149" s="1"/>
  <c r="U215" i="149" s="1"/>
  <c r="U216" i="149" s="1"/>
  <c r="U217" i="149" s="1"/>
  <c r="U218" i="149" s="1"/>
  <c r="U219" i="149" s="1"/>
  <c r="U220" i="149" s="1"/>
  <c r="U221" i="149" s="1"/>
  <c r="U222" i="149" s="1"/>
  <c r="U223" i="149" s="1"/>
  <c r="U224" i="149" s="1"/>
  <c r="U225" i="149" s="1"/>
  <c r="U226" i="149" s="1"/>
  <c r="U227" i="149" s="1"/>
  <c r="U228" i="149" s="1"/>
  <c r="U229" i="149" s="1"/>
  <c r="U230" i="149" s="1"/>
  <c r="U231" i="149" s="1"/>
  <c r="U232" i="149" s="1"/>
  <c r="U233" i="149" s="1"/>
  <c r="U234" i="149" s="1"/>
  <c r="U235" i="149" s="1"/>
  <c r="U236" i="149" s="1"/>
  <c r="U237" i="149" s="1"/>
  <c r="U238" i="149" s="1"/>
  <c r="U239" i="149" s="1"/>
  <c r="U240" i="149" s="1"/>
  <c r="U241" i="149" s="1"/>
  <c r="U242" i="149" s="1"/>
  <c r="U243" i="149" s="1"/>
  <c r="U244" i="149" s="1"/>
  <c r="U245" i="149" s="1"/>
  <c r="U246" i="149" s="1"/>
  <c r="U247" i="149" s="1"/>
  <c r="U248" i="149" s="1"/>
  <c r="U249" i="149" s="1"/>
  <c r="U250" i="149" s="1"/>
  <c r="U251" i="149" s="1"/>
  <c r="U252" i="149" s="1"/>
  <c r="U253" i="149" s="1"/>
  <c r="U254" i="149" s="1"/>
  <c r="U255" i="149" s="1"/>
  <c r="U256" i="149" s="1"/>
  <c r="U257" i="149" s="1"/>
  <c r="U258" i="149" s="1"/>
  <c r="U259" i="149" s="1"/>
  <c r="U260" i="149" s="1"/>
  <c r="F19" i="69"/>
  <c r="O115" i="69"/>
  <c r="O122" i="69"/>
  <c r="O129" i="69" s="1"/>
  <c r="O134" i="69" s="1"/>
  <c r="N122" i="69"/>
  <c r="N129" i="69" s="1"/>
  <c r="N134" i="69" s="1"/>
  <c r="N115" i="69"/>
  <c r="M122" i="69"/>
  <c r="M129" i="69" s="1"/>
  <c r="M134" i="69" s="1"/>
  <c r="M115" i="69"/>
  <c r="K122" i="69"/>
  <c r="K129" i="69" s="1"/>
  <c r="K134" i="69" s="1"/>
  <c r="K115" i="69"/>
  <c r="F115" i="69"/>
  <c r="F122" i="69"/>
  <c r="F129" i="69" s="1"/>
  <c r="F134" i="69" s="1"/>
  <c r="L122" i="69"/>
  <c r="L129" i="69" s="1"/>
  <c r="L134" i="69" s="1"/>
  <c r="L115" i="69"/>
  <c r="G115" i="69"/>
  <c r="G122" i="69"/>
  <c r="G129" i="69" s="1"/>
  <c r="G134" i="69" s="1"/>
  <c r="H122" i="69"/>
  <c r="H129" i="69" s="1"/>
  <c r="H134" i="69" s="1"/>
  <c r="H115" i="69"/>
  <c r="I122" i="69"/>
  <c r="I129" i="69" s="1"/>
  <c r="I134" i="69" s="1"/>
  <c r="I115" i="69"/>
  <c r="J122" i="69"/>
  <c r="J129" i="69" s="1"/>
  <c r="J134" i="69" s="1"/>
  <c r="J115" i="69"/>
  <c r="O156" i="149"/>
  <c r="O157" i="149" s="1"/>
  <c r="O158" i="149" s="1"/>
  <c r="O159" i="149" s="1"/>
  <c r="O160" i="149" s="1"/>
  <c r="O161" i="149" s="1"/>
  <c r="O162" i="149" s="1"/>
  <c r="O163" i="149" s="1"/>
  <c r="O164" i="149" s="1"/>
  <c r="O165" i="149" s="1"/>
  <c r="O166" i="149" s="1"/>
  <c r="O167" i="149" s="1"/>
  <c r="O168" i="149" s="1"/>
  <c r="O169" i="149" s="1"/>
  <c r="O170" i="149" s="1"/>
  <c r="O171" i="149" s="1"/>
  <c r="O172" i="149" s="1"/>
  <c r="O173" i="149" s="1"/>
  <c r="O174" i="149" s="1"/>
  <c r="O175" i="149" s="1"/>
  <c r="O176" i="149" s="1"/>
  <c r="O177" i="149" s="1"/>
  <c r="O178" i="149" s="1"/>
  <c r="O179" i="149" s="1"/>
  <c r="O180" i="149" s="1"/>
  <c r="O181" i="149" s="1"/>
  <c r="O182" i="149" s="1"/>
  <c r="O183" i="149" s="1"/>
  <c r="O184" i="149" s="1"/>
  <c r="O185" i="149" s="1"/>
  <c r="O186" i="149" s="1"/>
  <c r="O187" i="149" s="1"/>
  <c r="O188" i="149" s="1"/>
  <c r="O189" i="149" s="1"/>
  <c r="O190" i="149" s="1"/>
  <c r="O191" i="149" s="1"/>
  <c r="O192" i="149" s="1"/>
  <c r="O193" i="149" s="1"/>
  <c r="O194" i="149" s="1"/>
  <c r="O195" i="149" s="1"/>
  <c r="O196" i="149" s="1"/>
  <c r="O197" i="149" s="1"/>
  <c r="O198" i="149" s="1"/>
  <c r="O199" i="149" s="1"/>
  <c r="O200" i="149" s="1"/>
  <c r="O201" i="149" s="1"/>
  <c r="O202" i="149" s="1"/>
  <c r="O203" i="149" s="1"/>
  <c r="O204" i="149" s="1"/>
  <c r="O205" i="149" s="1"/>
  <c r="O206" i="149" s="1"/>
  <c r="O207" i="149" s="1"/>
  <c r="O208" i="149" s="1"/>
  <c r="O209" i="149" s="1"/>
  <c r="O210" i="149" s="1"/>
  <c r="O211" i="149" s="1"/>
  <c r="O212" i="149" s="1"/>
  <c r="O213" i="149" s="1"/>
  <c r="O214" i="149" s="1"/>
  <c r="O215" i="149" s="1"/>
  <c r="O216" i="149" s="1"/>
  <c r="O217" i="149" s="1"/>
  <c r="O218" i="149" s="1"/>
  <c r="O219" i="149" s="1"/>
  <c r="O220" i="149" s="1"/>
  <c r="O221" i="149" s="1"/>
  <c r="O222" i="149" s="1"/>
  <c r="O223" i="149" s="1"/>
  <c r="O224" i="149" s="1"/>
  <c r="O225" i="149" s="1"/>
  <c r="O226" i="149" s="1"/>
  <c r="O227" i="149" s="1"/>
  <c r="O228" i="149" s="1"/>
  <c r="O229" i="149" s="1"/>
  <c r="O230" i="149" s="1"/>
  <c r="O231" i="149" s="1"/>
  <c r="O232" i="149" s="1"/>
  <c r="O233" i="149" s="1"/>
  <c r="O234" i="149" s="1"/>
  <c r="O235" i="149" s="1"/>
  <c r="O236" i="149" s="1"/>
  <c r="O237" i="149" s="1"/>
  <c r="O238" i="149" s="1"/>
  <c r="O239" i="149" s="1"/>
  <c r="O240" i="149" s="1"/>
  <c r="O241" i="149" s="1"/>
  <c r="O242" i="149" s="1"/>
  <c r="O243" i="149" s="1"/>
  <c r="O244" i="149" s="1"/>
  <c r="O245" i="149" s="1"/>
  <c r="O246" i="149" s="1"/>
  <c r="O247" i="149" s="1"/>
  <c r="O248" i="149" s="1"/>
  <c r="O249" i="149" s="1"/>
  <c r="O250" i="149" s="1"/>
  <c r="O251" i="149" s="1"/>
  <c r="O252" i="149" s="1"/>
  <c r="O253" i="149" s="1"/>
  <c r="O254" i="149" s="1"/>
  <c r="O255" i="149" s="1"/>
  <c r="O256" i="149" s="1"/>
  <c r="O257" i="149" s="1"/>
  <c r="O258" i="149" s="1"/>
  <c r="O259" i="149" s="1"/>
  <c r="R156" i="149"/>
  <c r="R157" i="149" s="1"/>
  <c r="R158" i="149" s="1"/>
  <c r="R159" i="149" s="1"/>
  <c r="R160" i="149" s="1"/>
  <c r="R161" i="149" s="1"/>
  <c r="R162" i="149" s="1"/>
  <c r="R163" i="149" s="1"/>
  <c r="R164" i="149" s="1"/>
  <c r="R165" i="149" s="1"/>
  <c r="R166" i="149" s="1"/>
  <c r="R167" i="149" s="1"/>
  <c r="R168" i="149" s="1"/>
  <c r="R169" i="149" s="1"/>
  <c r="R170" i="149" s="1"/>
  <c r="R171" i="149" s="1"/>
  <c r="R172" i="149" s="1"/>
  <c r="R173" i="149" s="1"/>
  <c r="R174" i="149" s="1"/>
  <c r="R175" i="149" s="1"/>
  <c r="R176" i="149" s="1"/>
  <c r="R177" i="149" s="1"/>
  <c r="R178" i="149" s="1"/>
  <c r="R179" i="149" s="1"/>
  <c r="R180" i="149" s="1"/>
  <c r="R181" i="149" s="1"/>
  <c r="R182" i="149" s="1"/>
  <c r="R183" i="149" s="1"/>
  <c r="R184" i="149" s="1"/>
  <c r="R185" i="149" s="1"/>
  <c r="R186" i="149" s="1"/>
  <c r="R187" i="149" s="1"/>
  <c r="R188" i="149" s="1"/>
  <c r="R189" i="149" s="1"/>
  <c r="R190" i="149" s="1"/>
  <c r="R191" i="149" s="1"/>
  <c r="R192" i="149" s="1"/>
  <c r="R193" i="149" s="1"/>
  <c r="R194" i="149" s="1"/>
  <c r="R195" i="149" s="1"/>
  <c r="R196" i="149" s="1"/>
  <c r="R197" i="149" s="1"/>
  <c r="R198" i="149" s="1"/>
  <c r="R199" i="149" s="1"/>
  <c r="R200" i="149" s="1"/>
  <c r="R201" i="149" s="1"/>
  <c r="R202" i="149" s="1"/>
  <c r="R203" i="149" s="1"/>
  <c r="R204" i="149" s="1"/>
  <c r="R205" i="149" s="1"/>
  <c r="R206" i="149" s="1"/>
  <c r="R207" i="149" s="1"/>
  <c r="R208" i="149" s="1"/>
  <c r="R209" i="149" s="1"/>
  <c r="R210" i="149" s="1"/>
  <c r="R211" i="149" s="1"/>
  <c r="R212" i="149" s="1"/>
  <c r="R213" i="149" s="1"/>
  <c r="R214" i="149" s="1"/>
  <c r="R215" i="149" s="1"/>
  <c r="R216" i="149" s="1"/>
  <c r="R217" i="149" s="1"/>
  <c r="R218" i="149" s="1"/>
  <c r="R219" i="149" s="1"/>
  <c r="R220" i="149" s="1"/>
  <c r="R221" i="149" s="1"/>
  <c r="R222" i="149" s="1"/>
  <c r="R223" i="149" s="1"/>
  <c r="R224" i="149" s="1"/>
  <c r="R225" i="149" s="1"/>
  <c r="R226" i="149" s="1"/>
  <c r="R227" i="149" s="1"/>
  <c r="R228" i="149" s="1"/>
  <c r="R229" i="149" s="1"/>
  <c r="R230" i="149" s="1"/>
  <c r="R231" i="149" s="1"/>
  <c r="R232" i="149" s="1"/>
  <c r="R233" i="149" s="1"/>
  <c r="R234" i="149" s="1"/>
  <c r="R235" i="149" s="1"/>
  <c r="R236" i="149" s="1"/>
  <c r="R237" i="149" s="1"/>
  <c r="R238" i="149" s="1"/>
  <c r="R239" i="149" s="1"/>
  <c r="R240" i="149" s="1"/>
  <c r="R241" i="149" s="1"/>
  <c r="R242" i="149" s="1"/>
  <c r="R243" i="149" s="1"/>
  <c r="R244" i="149" s="1"/>
  <c r="R245" i="149" s="1"/>
  <c r="R246" i="149" s="1"/>
  <c r="R247" i="149" s="1"/>
  <c r="R248" i="149" s="1"/>
  <c r="R249" i="149" s="1"/>
  <c r="R250" i="149" s="1"/>
  <c r="R251" i="149" s="1"/>
  <c r="R252" i="149" s="1"/>
  <c r="R253" i="149" s="1"/>
  <c r="R254" i="149" s="1"/>
  <c r="R255" i="149" s="1"/>
  <c r="R256" i="149" s="1"/>
  <c r="R257" i="149" s="1"/>
  <c r="R258" i="149" s="1"/>
  <c r="R259" i="149" s="1"/>
  <c r="R260" i="149" s="1"/>
  <c r="M156" i="149"/>
  <c r="M157" i="149" s="1"/>
  <c r="M158" i="149" s="1"/>
  <c r="M159" i="149" s="1"/>
  <c r="M160" i="149" s="1"/>
  <c r="M161" i="149" s="1"/>
  <c r="M162" i="149" s="1"/>
  <c r="M163" i="149" s="1"/>
  <c r="M164" i="149" s="1"/>
  <c r="M165" i="149" s="1"/>
  <c r="M166" i="149" s="1"/>
  <c r="M167" i="149" s="1"/>
  <c r="M168" i="149" s="1"/>
  <c r="M169" i="149" s="1"/>
  <c r="M170" i="149" s="1"/>
  <c r="M171" i="149" s="1"/>
  <c r="M172" i="149" s="1"/>
  <c r="M173" i="149" s="1"/>
  <c r="M174" i="149" s="1"/>
  <c r="M175" i="149" s="1"/>
  <c r="M176" i="149" s="1"/>
  <c r="M177" i="149" s="1"/>
  <c r="M178" i="149" s="1"/>
  <c r="M179" i="149" s="1"/>
  <c r="M180" i="149" s="1"/>
  <c r="M181" i="149" s="1"/>
  <c r="M182" i="149" s="1"/>
  <c r="M183" i="149" s="1"/>
  <c r="M184" i="149" s="1"/>
  <c r="M185" i="149" s="1"/>
  <c r="M186" i="149" s="1"/>
  <c r="M187" i="149" s="1"/>
  <c r="M188" i="149" s="1"/>
  <c r="M189" i="149" s="1"/>
  <c r="M190" i="149" s="1"/>
  <c r="M191" i="149" s="1"/>
  <c r="M192" i="149" s="1"/>
  <c r="M193" i="149" s="1"/>
  <c r="M194" i="149" s="1"/>
  <c r="M195" i="149" s="1"/>
  <c r="M196" i="149" s="1"/>
  <c r="M197" i="149" s="1"/>
  <c r="M198" i="149" s="1"/>
  <c r="M199" i="149" s="1"/>
  <c r="M200" i="149" s="1"/>
  <c r="M201" i="149" s="1"/>
  <c r="M202" i="149" s="1"/>
  <c r="M203" i="149" s="1"/>
  <c r="M204" i="149" s="1"/>
  <c r="M205" i="149" s="1"/>
  <c r="M206" i="149" s="1"/>
  <c r="M207" i="149" s="1"/>
  <c r="M208" i="149" s="1"/>
  <c r="M209" i="149" s="1"/>
  <c r="M210" i="149" s="1"/>
  <c r="M211" i="149" s="1"/>
  <c r="M212" i="149" s="1"/>
  <c r="M213" i="149" s="1"/>
  <c r="M214" i="149" s="1"/>
  <c r="M215" i="149" s="1"/>
  <c r="M216" i="149" s="1"/>
  <c r="M217" i="149" s="1"/>
  <c r="M218" i="149" s="1"/>
  <c r="M219" i="149" s="1"/>
  <c r="M220" i="149" s="1"/>
  <c r="M221" i="149" s="1"/>
  <c r="M222" i="149" s="1"/>
  <c r="M223" i="149" s="1"/>
  <c r="M224" i="149" s="1"/>
  <c r="M225" i="149" s="1"/>
  <c r="M226" i="149" s="1"/>
  <c r="M227" i="149" s="1"/>
  <c r="M228" i="149" s="1"/>
  <c r="M229" i="149" s="1"/>
  <c r="M230" i="149" s="1"/>
  <c r="M231" i="149" s="1"/>
  <c r="M232" i="149" s="1"/>
  <c r="M233" i="149" s="1"/>
  <c r="M234" i="149" s="1"/>
  <c r="M235" i="149" s="1"/>
  <c r="M236" i="149" s="1"/>
  <c r="M237" i="149" s="1"/>
  <c r="M238" i="149" s="1"/>
  <c r="M239" i="149" s="1"/>
  <c r="M240" i="149" s="1"/>
  <c r="M241" i="149" s="1"/>
  <c r="M242" i="149" s="1"/>
  <c r="M243" i="149" s="1"/>
  <c r="M244" i="149" s="1"/>
  <c r="M245" i="149" s="1"/>
  <c r="M246" i="149" s="1"/>
  <c r="M247" i="149" s="1"/>
  <c r="M248" i="149" s="1"/>
  <c r="M249" i="149" s="1"/>
  <c r="M250" i="149" s="1"/>
  <c r="M251" i="149" s="1"/>
  <c r="M252" i="149" s="1"/>
  <c r="M253" i="149" s="1"/>
  <c r="M254" i="149" s="1"/>
  <c r="M255" i="149" s="1"/>
  <c r="M256" i="149" s="1"/>
  <c r="M257" i="149" s="1"/>
  <c r="M258" i="149" s="1"/>
  <c r="M259" i="149" s="1"/>
  <c r="Q156" i="149"/>
  <c r="Q157" i="149" s="1"/>
  <c r="Q158" i="149" s="1"/>
  <c r="Q159" i="149" s="1"/>
  <c r="Q160" i="149" s="1"/>
  <c r="Q161" i="149" s="1"/>
  <c r="Q162" i="149" s="1"/>
  <c r="Q163" i="149" s="1"/>
  <c r="Q164" i="149" s="1"/>
  <c r="Q165" i="149" s="1"/>
  <c r="Q166" i="149" s="1"/>
  <c r="Q167" i="149" s="1"/>
  <c r="Q168" i="149" s="1"/>
  <c r="Q169" i="149" s="1"/>
  <c r="Q170" i="149" s="1"/>
  <c r="Q171" i="149" s="1"/>
  <c r="Q172" i="149" s="1"/>
  <c r="Q173" i="149" s="1"/>
  <c r="Q174" i="149" s="1"/>
  <c r="Q175" i="149" s="1"/>
  <c r="Q176" i="149" s="1"/>
  <c r="Q177" i="149" s="1"/>
  <c r="Q178" i="149" s="1"/>
  <c r="Q179" i="149" s="1"/>
  <c r="Q180" i="149" s="1"/>
  <c r="Q181" i="149" s="1"/>
  <c r="Q182" i="149" s="1"/>
  <c r="Q183" i="149" s="1"/>
  <c r="Q184" i="149" s="1"/>
  <c r="Q185" i="149" s="1"/>
  <c r="Q186" i="149" s="1"/>
  <c r="Q187" i="149" s="1"/>
  <c r="Q188" i="149" s="1"/>
  <c r="Q189" i="149" s="1"/>
  <c r="Q190" i="149" s="1"/>
  <c r="Q191" i="149" s="1"/>
  <c r="Q192" i="149" s="1"/>
  <c r="Q193" i="149" s="1"/>
  <c r="Q194" i="149" s="1"/>
  <c r="Q195" i="149" s="1"/>
  <c r="Q196" i="149" s="1"/>
  <c r="Q197" i="149" s="1"/>
  <c r="Q198" i="149" s="1"/>
  <c r="Q199" i="149" s="1"/>
  <c r="Q200" i="149" s="1"/>
  <c r="Q201" i="149" s="1"/>
  <c r="Q202" i="149" s="1"/>
  <c r="Q203" i="149" s="1"/>
  <c r="Q204" i="149" s="1"/>
  <c r="Q205" i="149" s="1"/>
  <c r="Q206" i="149" s="1"/>
  <c r="Q207" i="149" s="1"/>
  <c r="Q208" i="149" s="1"/>
  <c r="Q209" i="149" s="1"/>
  <c r="Q210" i="149" s="1"/>
  <c r="Q211" i="149" s="1"/>
  <c r="Q212" i="149" s="1"/>
  <c r="Q213" i="149" s="1"/>
  <c r="Q214" i="149" s="1"/>
  <c r="Q215" i="149" s="1"/>
  <c r="Q216" i="149" s="1"/>
  <c r="Q217" i="149" s="1"/>
  <c r="Q218" i="149" s="1"/>
  <c r="Q219" i="149" s="1"/>
  <c r="Q220" i="149" s="1"/>
  <c r="Q221" i="149" s="1"/>
  <c r="Q222" i="149" s="1"/>
  <c r="Q223" i="149" s="1"/>
  <c r="Q224" i="149" s="1"/>
  <c r="Q225" i="149" s="1"/>
  <c r="Q226" i="149" s="1"/>
  <c r="Q227" i="149" s="1"/>
  <c r="Q228" i="149" s="1"/>
  <c r="Q229" i="149" s="1"/>
  <c r="Q230" i="149" s="1"/>
  <c r="Q231" i="149" s="1"/>
  <c r="Q232" i="149" s="1"/>
  <c r="Q233" i="149" s="1"/>
  <c r="Q234" i="149" s="1"/>
  <c r="Q235" i="149" s="1"/>
  <c r="Q236" i="149" s="1"/>
  <c r="Q237" i="149" s="1"/>
  <c r="Q238" i="149" s="1"/>
  <c r="Q239" i="149" s="1"/>
  <c r="Q240" i="149" s="1"/>
  <c r="Q241" i="149" s="1"/>
  <c r="Q242" i="149" s="1"/>
  <c r="Q243" i="149" s="1"/>
  <c r="Q244" i="149" s="1"/>
  <c r="Q245" i="149" s="1"/>
  <c r="Q246" i="149" s="1"/>
  <c r="Q247" i="149" s="1"/>
  <c r="Q248" i="149" s="1"/>
  <c r="Q249" i="149" s="1"/>
  <c r="Q250" i="149" s="1"/>
  <c r="Q251" i="149" s="1"/>
  <c r="Q252" i="149" s="1"/>
  <c r="Q253" i="149" s="1"/>
  <c r="Q254" i="149" s="1"/>
  <c r="Q255" i="149" s="1"/>
  <c r="Q256" i="149" s="1"/>
  <c r="Q257" i="149" s="1"/>
  <c r="Q258" i="149" s="1"/>
  <c r="Q259" i="149" s="1"/>
  <c r="S156" i="149"/>
  <c r="S157" i="149" s="1"/>
  <c r="S158" i="149" s="1"/>
  <c r="S159" i="149" s="1"/>
  <c r="S160" i="149" s="1"/>
  <c r="S161" i="149" s="1"/>
  <c r="S162" i="149" s="1"/>
  <c r="S163" i="149" s="1"/>
  <c r="S164" i="149" s="1"/>
  <c r="S165" i="149" s="1"/>
  <c r="S166" i="149" s="1"/>
  <c r="S167" i="149" s="1"/>
  <c r="S168" i="149" s="1"/>
  <c r="S169" i="149" s="1"/>
  <c r="S170" i="149" s="1"/>
  <c r="S171" i="149" s="1"/>
  <c r="S172" i="149" s="1"/>
  <c r="S173" i="149" s="1"/>
  <c r="S174" i="149" s="1"/>
  <c r="S175" i="149" s="1"/>
  <c r="S176" i="149" s="1"/>
  <c r="S177" i="149" s="1"/>
  <c r="S178" i="149" s="1"/>
  <c r="S179" i="149" s="1"/>
  <c r="S180" i="149" s="1"/>
  <c r="S181" i="149" s="1"/>
  <c r="S182" i="149" s="1"/>
  <c r="S183" i="149" s="1"/>
  <c r="S184" i="149" s="1"/>
  <c r="S185" i="149" s="1"/>
  <c r="S186" i="149" s="1"/>
  <c r="S187" i="149" s="1"/>
  <c r="S188" i="149" s="1"/>
  <c r="S189" i="149" s="1"/>
  <c r="S190" i="149" s="1"/>
  <c r="S191" i="149" s="1"/>
  <c r="S192" i="149" s="1"/>
  <c r="S193" i="149" s="1"/>
  <c r="S194" i="149" s="1"/>
  <c r="S195" i="149" s="1"/>
  <c r="S196" i="149" s="1"/>
  <c r="S197" i="149" s="1"/>
  <c r="S198" i="149" s="1"/>
  <c r="S199" i="149" s="1"/>
  <c r="S200" i="149" s="1"/>
  <c r="S201" i="149" s="1"/>
  <c r="S202" i="149" s="1"/>
  <c r="S203" i="149" s="1"/>
  <c r="S204" i="149" s="1"/>
  <c r="S205" i="149" s="1"/>
  <c r="S206" i="149" s="1"/>
  <c r="S207" i="149" s="1"/>
  <c r="S208" i="149" s="1"/>
  <c r="S209" i="149" s="1"/>
  <c r="S210" i="149" s="1"/>
  <c r="S211" i="149" s="1"/>
  <c r="S212" i="149" s="1"/>
  <c r="S213" i="149" s="1"/>
  <c r="S214" i="149" s="1"/>
  <c r="S215" i="149" s="1"/>
  <c r="S216" i="149" s="1"/>
  <c r="S217" i="149" s="1"/>
  <c r="S218" i="149" s="1"/>
  <c r="S219" i="149" s="1"/>
  <c r="S220" i="149" s="1"/>
  <c r="S221" i="149" s="1"/>
  <c r="S222" i="149" s="1"/>
  <c r="S223" i="149" s="1"/>
  <c r="S224" i="149" s="1"/>
  <c r="S225" i="149" s="1"/>
  <c r="S226" i="149" s="1"/>
  <c r="S227" i="149" s="1"/>
  <c r="S228" i="149" s="1"/>
  <c r="S229" i="149" s="1"/>
  <c r="S230" i="149" s="1"/>
  <c r="S231" i="149" s="1"/>
  <c r="S232" i="149" s="1"/>
  <c r="S233" i="149" s="1"/>
  <c r="S234" i="149" s="1"/>
  <c r="S235" i="149" s="1"/>
  <c r="S236" i="149" s="1"/>
  <c r="S237" i="149" s="1"/>
  <c r="S238" i="149" s="1"/>
  <c r="S239" i="149" s="1"/>
  <c r="S240" i="149" s="1"/>
  <c r="S241" i="149" s="1"/>
  <c r="S242" i="149" s="1"/>
  <c r="S243" i="149" s="1"/>
  <c r="S244" i="149" s="1"/>
  <c r="S245" i="149" s="1"/>
  <c r="S246" i="149" s="1"/>
  <c r="S247" i="149" s="1"/>
  <c r="S248" i="149" s="1"/>
  <c r="S249" i="149" s="1"/>
  <c r="S250" i="149" s="1"/>
  <c r="S251" i="149" s="1"/>
  <c r="S252" i="149" s="1"/>
  <c r="S253" i="149" s="1"/>
  <c r="S254" i="149" s="1"/>
  <c r="S255" i="149" s="1"/>
  <c r="S256" i="149" s="1"/>
  <c r="S257" i="149" s="1"/>
  <c r="S258" i="149" s="1"/>
  <c r="S259" i="149" s="1"/>
  <c r="T156" i="149"/>
  <c r="T157" i="149" s="1"/>
  <c r="T158" i="149" s="1"/>
  <c r="T159" i="149" s="1"/>
  <c r="T160" i="149" s="1"/>
  <c r="T161" i="149" s="1"/>
  <c r="T162" i="149" s="1"/>
  <c r="T163" i="149" s="1"/>
  <c r="T164" i="149" s="1"/>
  <c r="T165" i="149" s="1"/>
  <c r="T166" i="149" s="1"/>
  <c r="T167" i="149" s="1"/>
  <c r="T168" i="149" s="1"/>
  <c r="T169" i="149" s="1"/>
  <c r="T170" i="149" s="1"/>
  <c r="T171" i="149" s="1"/>
  <c r="T172" i="149" s="1"/>
  <c r="T173" i="149" s="1"/>
  <c r="T174" i="149" s="1"/>
  <c r="T175" i="149" s="1"/>
  <c r="T176" i="149" s="1"/>
  <c r="T177" i="149" s="1"/>
  <c r="T178" i="149" s="1"/>
  <c r="T179" i="149" s="1"/>
  <c r="T180" i="149" s="1"/>
  <c r="T181" i="149" s="1"/>
  <c r="T182" i="149" s="1"/>
  <c r="T183" i="149" s="1"/>
  <c r="T184" i="149" s="1"/>
  <c r="T185" i="149" s="1"/>
  <c r="T186" i="149" s="1"/>
  <c r="T187" i="149" s="1"/>
  <c r="T188" i="149" s="1"/>
  <c r="T189" i="149" s="1"/>
  <c r="T190" i="149" s="1"/>
  <c r="T191" i="149" s="1"/>
  <c r="T192" i="149" s="1"/>
  <c r="T193" i="149" s="1"/>
  <c r="T194" i="149" s="1"/>
  <c r="T195" i="149" s="1"/>
  <c r="T196" i="149" s="1"/>
  <c r="T197" i="149" s="1"/>
  <c r="T198" i="149" s="1"/>
  <c r="T199" i="149" s="1"/>
  <c r="T200" i="149" s="1"/>
  <c r="T201" i="149" s="1"/>
  <c r="T202" i="149" s="1"/>
  <c r="T203" i="149" s="1"/>
  <c r="T204" i="149" s="1"/>
  <c r="T205" i="149" s="1"/>
  <c r="T206" i="149" s="1"/>
  <c r="T207" i="149" s="1"/>
  <c r="T208" i="149" s="1"/>
  <c r="T209" i="149" s="1"/>
  <c r="T210" i="149" s="1"/>
  <c r="T211" i="149" s="1"/>
  <c r="T212" i="149" s="1"/>
  <c r="T213" i="149" s="1"/>
  <c r="T214" i="149" s="1"/>
  <c r="T215" i="149" s="1"/>
  <c r="T216" i="149" s="1"/>
  <c r="T217" i="149" s="1"/>
  <c r="T218" i="149" s="1"/>
  <c r="T219" i="149" s="1"/>
  <c r="T220" i="149" s="1"/>
  <c r="T221" i="149" s="1"/>
  <c r="T222" i="149" s="1"/>
  <c r="T223" i="149" s="1"/>
  <c r="T224" i="149" s="1"/>
  <c r="T225" i="149" s="1"/>
  <c r="T226" i="149" s="1"/>
  <c r="T227" i="149" s="1"/>
  <c r="T228" i="149" s="1"/>
  <c r="T229" i="149" s="1"/>
  <c r="T230" i="149" s="1"/>
  <c r="T231" i="149" s="1"/>
  <c r="T232" i="149" s="1"/>
  <c r="T233" i="149" s="1"/>
  <c r="T234" i="149" s="1"/>
  <c r="T235" i="149" s="1"/>
  <c r="T236" i="149" s="1"/>
  <c r="T237" i="149" s="1"/>
  <c r="T238" i="149" s="1"/>
  <c r="T239" i="149" s="1"/>
  <c r="T240" i="149" s="1"/>
  <c r="T241" i="149" s="1"/>
  <c r="T242" i="149" s="1"/>
  <c r="T243" i="149" s="1"/>
  <c r="T244" i="149" s="1"/>
  <c r="T245" i="149" s="1"/>
  <c r="T246" i="149" s="1"/>
  <c r="T247" i="149" s="1"/>
  <c r="T248" i="149" s="1"/>
  <c r="T249" i="149" s="1"/>
  <c r="T250" i="149" s="1"/>
  <c r="T251" i="149" s="1"/>
  <c r="T252" i="149" s="1"/>
  <c r="T253" i="149" s="1"/>
  <c r="T254" i="149" s="1"/>
  <c r="T255" i="149" s="1"/>
  <c r="T256" i="149" s="1"/>
  <c r="T257" i="149" s="1"/>
  <c r="T258" i="149" s="1"/>
  <c r="T259" i="149" s="1"/>
  <c r="P47" i="149"/>
  <c r="P52" i="149"/>
  <c r="P50" i="149"/>
  <c r="P51" i="149"/>
  <c r="P58" i="149"/>
  <c r="P56" i="149"/>
  <c r="D156" i="149"/>
  <c r="D157" i="149" s="1"/>
  <c r="D158" i="149" s="1"/>
  <c r="D159" i="149" s="1"/>
  <c r="D160" i="149" s="1"/>
  <c r="D161" i="149" s="1"/>
  <c r="D162" i="149" s="1"/>
  <c r="D163" i="149" s="1"/>
  <c r="D164" i="149" s="1"/>
  <c r="D165" i="149" s="1"/>
  <c r="D166" i="149" s="1"/>
  <c r="D167" i="149" s="1"/>
  <c r="D168" i="149" s="1"/>
  <c r="D169" i="149" s="1"/>
  <c r="D170" i="149" s="1"/>
  <c r="D171" i="149" s="1"/>
  <c r="D172" i="149" s="1"/>
  <c r="D173" i="149" s="1"/>
  <c r="D174" i="149" s="1"/>
  <c r="D175" i="149" s="1"/>
  <c r="D176" i="149" s="1"/>
  <c r="D177" i="149" s="1"/>
  <c r="D178" i="149" s="1"/>
  <c r="D179" i="149" s="1"/>
  <c r="D180" i="149" s="1"/>
  <c r="D181" i="149" s="1"/>
  <c r="D182" i="149" s="1"/>
  <c r="D183" i="149" s="1"/>
  <c r="D184" i="149" s="1"/>
  <c r="D185" i="149" s="1"/>
  <c r="D186" i="149" s="1"/>
  <c r="D187" i="149" s="1"/>
  <c r="D188" i="149" s="1"/>
  <c r="D189" i="149" s="1"/>
  <c r="D190" i="149" s="1"/>
  <c r="D191" i="149" s="1"/>
  <c r="D192" i="149" s="1"/>
  <c r="D193" i="149" s="1"/>
  <c r="D194" i="149" s="1"/>
  <c r="D195" i="149" s="1"/>
  <c r="D196" i="149" s="1"/>
  <c r="D197" i="149" s="1"/>
  <c r="D198" i="149" s="1"/>
  <c r="D199" i="149" s="1"/>
  <c r="D200" i="149" s="1"/>
  <c r="D201" i="149" s="1"/>
  <c r="D202" i="149" s="1"/>
  <c r="D203" i="149" s="1"/>
  <c r="D204" i="149" s="1"/>
  <c r="D205" i="149" s="1"/>
  <c r="D206" i="149" s="1"/>
  <c r="D207" i="149" s="1"/>
  <c r="D208" i="149" s="1"/>
  <c r="D209" i="149" s="1"/>
  <c r="D210" i="149" s="1"/>
  <c r="D211" i="149" s="1"/>
  <c r="D212" i="149" s="1"/>
  <c r="D213" i="149" s="1"/>
  <c r="D214" i="149" s="1"/>
  <c r="D215" i="149" s="1"/>
  <c r="D216" i="149" s="1"/>
  <c r="D217" i="149" s="1"/>
  <c r="D218" i="149" s="1"/>
  <c r="D219" i="149" s="1"/>
  <c r="D220" i="149" s="1"/>
  <c r="D221" i="149" s="1"/>
  <c r="D222" i="149" s="1"/>
  <c r="D223" i="149" s="1"/>
  <c r="D224" i="149" s="1"/>
  <c r="D225" i="149" s="1"/>
  <c r="D226" i="149" s="1"/>
  <c r="D227" i="149" s="1"/>
  <c r="D228" i="149" s="1"/>
  <c r="D229" i="149" s="1"/>
  <c r="D230" i="149" s="1"/>
  <c r="D231" i="149" s="1"/>
  <c r="D232" i="149" s="1"/>
  <c r="D233" i="149" s="1"/>
  <c r="D234" i="149" s="1"/>
  <c r="D235" i="149" s="1"/>
  <c r="D236" i="149" s="1"/>
  <c r="D237" i="149" s="1"/>
  <c r="D238" i="149" s="1"/>
  <c r="D239" i="149" s="1"/>
  <c r="D240" i="149" s="1"/>
  <c r="D241" i="149" s="1"/>
  <c r="D242" i="149" s="1"/>
  <c r="D243" i="149" s="1"/>
  <c r="D244" i="149" s="1"/>
  <c r="D245" i="149" s="1"/>
  <c r="D246" i="149" s="1"/>
  <c r="D247" i="149" s="1"/>
  <c r="D248" i="149" s="1"/>
  <c r="D249" i="149" s="1"/>
  <c r="D250" i="149" s="1"/>
  <c r="D251" i="149" s="1"/>
  <c r="D252" i="149" s="1"/>
  <c r="D253" i="149" s="1"/>
  <c r="D254" i="149" s="1"/>
  <c r="D255" i="149" s="1"/>
  <c r="D256" i="149" s="1"/>
  <c r="D257" i="149" s="1"/>
  <c r="D258" i="149" s="1"/>
  <c r="D259" i="149" s="1"/>
  <c r="D260" i="149" s="1"/>
  <c r="P49" i="149"/>
  <c r="P83" i="149"/>
  <c r="P84" i="149"/>
  <c r="P85" i="149"/>
  <c r="P107" i="149"/>
  <c r="P108" i="149"/>
  <c r="P109" i="149"/>
  <c r="P133" i="149"/>
  <c r="P131" i="149"/>
  <c r="P132" i="149"/>
  <c r="P57" i="149"/>
  <c r="P55" i="149"/>
  <c r="P53" i="149"/>
  <c r="P54" i="149"/>
  <c r="P81" i="149"/>
  <c r="P82" i="149"/>
  <c r="P80" i="149"/>
  <c r="P106" i="149"/>
  <c r="P104" i="149"/>
  <c r="P105" i="149"/>
  <c r="P129" i="149"/>
  <c r="P130" i="149"/>
  <c r="P128" i="149"/>
  <c r="P61" i="149"/>
  <c r="P60" i="149"/>
  <c r="P59" i="149"/>
  <c r="P99" i="149"/>
  <c r="P100" i="149"/>
  <c r="P98" i="149"/>
  <c r="Y156" i="149"/>
  <c r="Y157" i="149" s="1"/>
  <c r="Y158" i="149" s="1"/>
  <c r="Y159" i="149" s="1"/>
  <c r="Y160" i="149" s="1"/>
  <c r="Y161" i="149" s="1"/>
  <c r="Y162" i="149" s="1"/>
  <c r="Y163" i="149" s="1"/>
  <c r="Y164" i="149" s="1"/>
  <c r="Y165" i="149" s="1"/>
  <c r="Y166" i="149" s="1"/>
  <c r="Y167" i="149" s="1"/>
  <c r="Y168" i="149" s="1"/>
  <c r="Y169" i="149" s="1"/>
  <c r="Y170" i="149" s="1"/>
  <c r="Y171" i="149" s="1"/>
  <c r="Y172" i="149" s="1"/>
  <c r="Y173" i="149" s="1"/>
  <c r="Y174" i="149" s="1"/>
  <c r="Y175" i="149" s="1"/>
  <c r="Y176" i="149" s="1"/>
  <c r="Y177" i="149" s="1"/>
  <c r="Y178" i="149" s="1"/>
  <c r="Y179" i="149" s="1"/>
  <c r="Y180" i="149" s="1"/>
  <c r="Y181" i="149" s="1"/>
  <c r="Y182" i="149" s="1"/>
  <c r="Y183" i="149" s="1"/>
  <c r="Y184" i="149" s="1"/>
  <c r="Y185" i="149" s="1"/>
  <c r="Y186" i="149" s="1"/>
  <c r="Y187" i="149" s="1"/>
  <c r="Y188" i="149" s="1"/>
  <c r="Y189" i="149" s="1"/>
  <c r="Y190" i="149" s="1"/>
  <c r="Y191" i="149" s="1"/>
  <c r="Y192" i="149" s="1"/>
  <c r="Y193" i="149" s="1"/>
  <c r="Y194" i="149" s="1"/>
  <c r="Y195" i="149" s="1"/>
  <c r="Y196" i="149" s="1"/>
  <c r="Y197" i="149" s="1"/>
  <c r="Y198" i="149" s="1"/>
  <c r="Y199" i="149" s="1"/>
  <c r="Y200" i="149" s="1"/>
  <c r="Y201" i="149" s="1"/>
  <c r="Y202" i="149" s="1"/>
  <c r="Y203" i="149" s="1"/>
  <c r="Y204" i="149" s="1"/>
  <c r="Y205" i="149" s="1"/>
  <c r="Y206" i="149" s="1"/>
  <c r="Y207" i="149" s="1"/>
  <c r="Y208" i="149" s="1"/>
  <c r="Y209" i="149" s="1"/>
  <c r="Y210" i="149" s="1"/>
  <c r="Y211" i="149" s="1"/>
  <c r="Y212" i="149" s="1"/>
  <c r="Y213" i="149" s="1"/>
  <c r="Y214" i="149" s="1"/>
  <c r="Y215" i="149" s="1"/>
  <c r="Y216" i="149" s="1"/>
  <c r="Y217" i="149" s="1"/>
  <c r="Y218" i="149" s="1"/>
  <c r="Y219" i="149" s="1"/>
  <c r="Y220" i="149" s="1"/>
  <c r="Y221" i="149" s="1"/>
  <c r="Y222" i="149" s="1"/>
  <c r="Y223" i="149" s="1"/>
  <c r="Y224" i="149" s="1"/>
  <c r="Y225" i="149" s="1"/>
  <c r="Y226" i="149" s="1"/>
  <c r="Y227" i="149" s="1"/>
  <c r="Y228" i="149" s="1"/>
  <c r="Y229" i="149" s="1"/>
  <c r="Y230" i="149" s="1"/>
  <c r="Y231" i="149" s="1"/>
  <c r="Y232" i="149" s="1"/>
  <c r="Y233" i="149" s="1"/>
  <c r="Y234" i="149" s="1"/>
  <c r="Y235" i="149" s="1"/>
  <c r="Y236" i="149" s="1"/>
  <c r="Y237" i="149" s="1"/>
  <c r="Y238" i="149" s="1"/>
  <c r="Y239" i="149" s="1"/>
  <c r="Y240" i="149" s="1"/>
  <c r="Y241" i="149" s="1"/>
  <c r="Y242" i="149" s="1"/>
  <c r="Y243" i="149" s="1"/>
  <c r="Y244" i="149" s="1"/>
  <c r="Y245" i="149" s="1"/>
  <c r="Y246" i="149" s="1"/>
  <c r="Y247" i="149" s="1"/>
  <c r="Y248" i="149" s="1"/>
  <c r="Y249" i="149" s="1"/>
  <c r="Y250" i="149" s="1"/>
  <c r="Y251" i="149" s="1"/>
  <c r="Y252" i="149" s="1"/>
  <c r="Y253" i="149" s="1"/>
  <c r="Y254" i="149" s="1"/>
  <c r="Y255" i="149" s="1"/>
  <c r="Y256" i="149" s="1"/>
  <c r="Y257" i="149" s="1"/>
  <c r="Y258" i="149" s="1"/>
  <c r="Y259" i="149" s="1"/>
  <c r="Y260" i="149" s="1"/>
  <c r="P67" i="149"/>
  <c r="P65" i="149"/>
  <c r="P66" i="149"/>
  <c r="P91" i="149"/>
  <c r="P89" i="149"/>
  <c r="P90" i="149"/>
  <c r="P115" i="149"/>
  <c r="P113" i="149"/>
  <c r="P114" i="149"/>
  <c r="P138" i="149"/>
  <c r="P137" i="149"/>
  <c r="I156" i="149"/>
  <c r="I157" i="149" s="1"/>
  <c r="I158" i="149" s="1"/>
  <c r="I159" i="149" s="1"/>
  <c r="I160" i="149" s="1"/>
  <c r="I161" i="149" s="1"/>
  <c r="I162" i="149" s="1"/>
  <c r="I163" i="149" s="1"/>
  <c r="I164" i="149" s="1"/>
  <c r="I165" i="149" s="1"/>
  <c r="I166" i="149" s="1"/>
  <c r="I167" i="149" s="1"/>
  <c r="I168" i="149" s="1"/>
  <c r="I169" i="149" s="1"/>
  <c r="I170" i="149" s="1"/>
  <c r="I171" i="149" s="1"/>
  <c r="I172" i="149" s="1"/>
  <c r="I173" i="149" s="1"/>
  <c r="I174" i="149" s="1"/>
  <c r="I175" i="149" s="1"/>
  <c r="I176" i="149" s="1"/>
  <c r="I177" i="149" s="1"/>
  <c r="I178" i="149" s="1"/>
  <c r="I179" i="149" s="1"/>
  <c r="I180" i="149" s="1"/>
  <c r="I181" i="149" s="1"/>
  <c r="I182" i="149" s="1"/>
  <c r="I183" i="149" s="1"/>
  <c r="I184" i="149" s="1"/>
  <c r="I185" i="149" s="1"/>
  <c r="I186" i="149" s="1"/>
  <c r="I187" i="149" s="1"/>
  <c r="I188" i="149" s="1"/>
  <c r="I189" i="149" s="1"/>
  <c r="I190" i="149" s="1"/>
  <c r="I191" i="149" s="1"/>
  <c r="I192" i="149" s="1"/>
  <c r="I193" i="149" s="1"/>
  <c r="I194" i="149" s="1"/>
  <c r="I195" i="149" s="1"/>
  <c r="I196" i="149" s="1"/>
  <c r="I197" i="149" s="1"/>
  <c r="I198" i="149" s="1"/>
  <c r="I199" i="149" s="1"/>
  <c r="I200" i="149" s="1"/>
  <c r="I201" i="149" s="1"/>
  <c r="I202" i="149" s="1"/>
  <c r="I203" i="149" s="1"/>
  <c r="I204" i="149" s="1"/>
  <c r="I205" i="149" s="1"/>
  <c r="I206" i="149" s="1"/>
  <c r="I207" i="149" s="1"/>
  <c r="I208" i="149" s="1"/>
  <c r="I209" i="149" s="1"/>
  <c r="I210" i="149" s="1"/>
  <c r="I211" i="149" s="1"/>
  <c r="I212" i="149" s="1"/>
  <c r="I213" i="149" s="1"/>
  <c r="I214" i="149" s="1"/>
  <c r="I215" i="149" s="1"/>
  <c r="I216" i="149" s="1"/>
  <c r="I217" i="149" s="1"/>
  <c r="I218" i="149" s="1"/>
  <c r="I219" i="149" s="1"/>
  <c r="I220" i="149" s="1"/>
  <c r="I221" i="149" s="1"/>
  <c r="I222" i="149" s="1"/>
  <c r="I223" i="149" s="1"/>
  <c r="I224" i="149" s="1"/>
  <c r="I225" i="149" s="1"/>
  <c r="I226" i="149" s="1"/>
  <c r="I227" i="149" s="1"/>
  <c r="I228" i="149" s="1"/>
  <c r="I229" i="149" s="1"/>
  <c r="I230" i="149" s="1"/>
  <c r="I231" i="149" s="1"/>
  <c r="I232" i="149" s="1"/>
  <c r="I233" i="149" s="1"/>
  <c r="I234" i="149" s="1"/>
  <c r="I235" i="149" s="1"/>
  <c r="I236" i="149" s="1"/>
  <c r="I237" i="149" s="1"/>
  <c r="I238" i="149" s="1"/>
  <c r="I239" i="149" s="1"/>
  <c r="I240" i="149" s="1"/>
  <c r="I241" i="149" s="1"/>
  <c r="I242" i="149" s="1"/>
  <c r="I243" i="149" s="1"/>
  <c r="I244" i="149" s="1"/>
  <c r="I245" i="149" s="1"/>
  <c r="I246" i="149" s="1"/>
  <c r="I247" i="149" s="1"/>
  <c r="I248" i="149" s="1"/>
  <c r="I249" i="149" s="1"/>
  <c r="I250" i="149" s="1"/>
  <c r="I251" i="149" s="1"/>
  <c r="I252" i="149" s="1"/>
  <c r="I253" i="149" s="1"/>
  <c r="I254" i="149" s="1"/>
  <c r="I255" i="149" s="1"/>
  <c r="I256" i="149" s="1"/>
  <c r="I257" i="149" s="1"/>
  <c r="I258" i="149" s="1"/>
  <c r="I259" i="149" s="1"/>
  <c r="Z156" i="149"/>
  <c r="Z157" i="149" s="1"/>
  <c r="Z158" i="149" s="1"/>
  <c r="Z159" i="149" s="1"/>
  <c r="Z160" i="149" s="1"/>
  <c r="Z161" i="149" s="1"/>
  <c r="Z162" i="149" s="1"/>
  <c r="Z163" i="149" s="1"/>
  <c r="Z164" i="149" s="1"/>
  <c r="Z165" i="149" s="1"/>
  <c r="Z166" i="149" s="1"/>
  <c r="Z167" i="149" s="1"/>
  <c r="Z168" i="149" s="1"/>
  <c r="Z169" i="149" s="1"/>
  <c r="Z170" i="149" s="1"/>
  <c r="Z171" i="149" s="1"/>
  <c r="Z172" i="149" s="1"/>
  <c r="Z173" i="149" s="1"/>
  <c r="Z174" i="149" s="1"/>
  <c r="Z175" i="149" s="1"/>
  <c r="Z176" i="149" s="1"/>
  <c r="Z177" i="149" s="1"/>
  <c r="Z178" i="149" s="1"/>
  <c r="Z179" i="149" s="1"/>
  <c r="Z180" i="149" s="1"/>
  <c r="Z181" i="149" s="1"/>
  <c r="Z182" i="149" s="1"/>
  <c r="Z183" i="149" s="1"/>
  <c r="Z184" i="149" s="1"/>
  <c r="Z185" i="149" s="1"/>
  <c r="Z186" i="149" s="1"/>
  <c r="Z187" i="149" s="1"/>
  <c r="Z188" i="149" s="1"/>
  <c r="Z189" i="149" s="1"/>
  <c r="Z190" i="149" s="1"/>
  <c r="Z191" i="149" s="1"/>
  <c r="Z192" i="149" s="1"/>
  <c r="Z193" i="149" s="1"/>
  <c r="Z194" i="149" s="1"/>
  <c r="Z195" i="149" s="1"/>
  <c r="Z196" i="149" s="1"/>
  <c r="Z197" i="149" s="1"/>
  <c r="Z198" i="149" s="1"/>
  <c r="Z199" i="149" s="1"/>
  <c r="Z200" i="149" s="1"/>
  <c r="Z201" i="149" s="1"/>
  <c r="Z202" i="149" s="1"/>
  <c r="Z203" i="149" s="1"/>
  <c r="Z204" i="149" s="1"/>
  <c r="Z205" i="149" s="1"/>
  <c r="Z206" i="149" s="1"/>
  <c r="Z207" i="149" s="1"/>
  <c r="Z208" i="149" s="1"/>
  <c r="Z209" i="149" s="1"/>
  <c r="Z210" i="149" s="1"/>
  <c r="Z211" i="149" s="1"/>
  <c r="Z212" i="149" s="1"/>
  <c r="Z213" i="149" s="1"/>
  <c r="Z214" i="149" s="1"/>
  <c r="Z215" i="149" s="1"/>
  <c r="Z216" i="149" s="1"/>
  <c r="Z217" i="149" s="1"/>
  <c r="Z218" i="149" s="1"/>
  <c r="Z219" i="149" s="1"/>
  <c r="Z220" i="149" s="1"/>
  <c r="Z221" i="149" s="1"/>
  <c r="Z222" i="149" s="1"/>
  <c r="Z223" i="149" s="1"/>
  <c r="Z224" i="149" s="1"/>
  <c r="Z225" i="149" s="1"/>
  <c r="Z226" i="149" s="1"/>
  <c r="Z227" i="149" s="1"/>
  <c r="Z228" i="149" s="1"/>
  <c r="Z229" i="149" s="1"/>
  <c r="Z230" i="149" s="1"/>
  <c r="Z231" i="149" s="1"/>
  <c r="Z232" i="149" s="1"/>
  <c r="Z233" i="149" s="1"/>
  <c r="Z234" i="149" s="1"/>
  <c r="Z235" i="149" s="1"/>
  <c r="Z236" i="149" s="1"/>
  <c r="Z237" i="149" s="1"/>
  <c r="Z238" i="149" s="1"/>
  <c r="Z239" i="149" s="1"/>
  <c r="Z240" i="149" s="1"/>
  <c r="Z241" i="149" s="1"/>
  <c r="Z242" i="149" s="1"/>
  <c r="Z243" i="149" s="1"/>
  <c r="Z244" i="149" s="1"/>
  <c r="Z245" i="149" s="1"/>
  <c r="Z246" i="149" s="1"/>
  <c r="Z247" i="149" s="1"/>
  <c r="Z248" i="149" s="1"/>
  <c r="Z249" i="149" s="1"/>
  <c r="Z250" i="149" s="1"/>
  <c r="Z251" i="149" s="1"/>
  <c r="Z252" i="149" s="1"/>
  <c r="Z253" i="149" s="1"/>
  <c r="Z254" i="149" s="1"/>
  <c r="Z255" i="149" s="1"/>
  <c r="Z256" i="149" s="1"/>
  <c r="Z257" i="149" s="1"/>
  <c r="Z258" i="149" s="1"/>
  <c r="Z259" i="149" s="1"/>
  <c r="Z260" i="149" s="1"/>
  <c r="J156" i="149"/>
  <c r="J157" i="149" s="1"/>
  <c r="J158" i="149" s="1"/>
  <c r="J159" i="149" s="1"/>
  <c r="J160" i="149" s="1"/>
  <c r="J161" i="149" s="1"/>
  <c r="J162" i="149" s="1"/>
  <c r="J163" i="149" s="1"/>
  <c r="J164" i="149" s="1"/>
  <c r="J165" i="149" s="1"/>
  <c r="J166" i="149" s="1"/>
  <c r="J167" i="149" s="1"/>
  <c r="J168" i="149" s="1"/>
  <c r="J169" i="149" s="1"/>
  <c r="J170" i="149" s="1"/>
  <c r="J171" i="149" s="1"/>
  <c r="J172" i="149" s="1"/>
  <c r="J173" i="149" s="1"/>
  <c r="J174" i="149" s="1"/>
  <c r="J175" i="149" s="1"/>
  <c r="J176" i="149" s="1"/>
  <c r="J177" i="149" s="1"/>
  <c r="J178" i="149" s="1"/>
  <c r="J179" i="149" s="1"/>
  <c r="J180" i="149" s="1"/>
  <c r="J181" i="149" s="1"/>
  <c r="J182" i="149" s="1"/>
  <c r="J183" i="149" s="1"/>
  <c r="J184" i="149" s="1"/>
  <c r="J185" i="149" s="1"/>
  <c r="J186" i="149" s="1"/>
  <c r="J187" i="149" s="1"/>
  <c r="J188" i="149" s="1"/>
  <c r="J189" i="149" s="1"/>
  <c r="J190" i="149" s="1"/>
  <c r="J191" i="149" s="1"/>
  <c r="J192" i="149" s="1"/>
  <c r="J193" i="149" s="1"/>
  <c r="J194" i="149" s="1"/>
  <c r="J195" i="149" s="1"/>
  <c r="J196" i="149" s="1"/>
  <c r="J197" i="149" s="1"/>
  <c r="J198" i="149" s="1"/>
  <c r="J199" i="149" s="1"/>
  <c r="J200" i="149" s="1"/>
  <c r="J201" i="149" s="1"/>
  <c r="J202" i="149" s="1"/>
  <c r="J203" i="149" s="1"/>
  <c r="J204" i="149" s="1"/>
  <c r="J205" i="149" s="1"/>
  <c r="J206" i="149" s="1"/>
  <c r="J207" i="149" s="1"/>
  <c r="J208" i="149" s="1"/>
  <c r="J209" i="149" s="1"/>
  <c r="J210" i="149" s="1"/>
  <c r="J211" i="149" s="1"/>
  <c r="J212" i="149" s="1"/>
  <c r="J213" i="149" s="1"/>
  <c r="J214" i="149" s="1"/>
  <c r="J215" i="149" s="1"/>
  <c r="J216" i="149" s="1"/>
  <c r="J217" i="149" s="1"/>
  <c r="J218" i="149" s="1"/>
  <c r="J219" i="149" s="1"/>
  <c r="J220" i="149" s="1"/>
  <c r="J221" i="149" s="1"/>
  <c r="J222" i="149" s="1"/>
  <c r="J223" i="149" s="1"/>
  <c r="J224" i="149" s="1"/>
  <c r="J225" i="149" s="1"/>
  <c r="J226" i="149" s="1"/>
  <c r="J227" i="149" s="1"/>
  <c r="J228" i="149" s="1"/>
  <c r="J229" i="149" s="1"/>
  <c r="J230" i="149" s="1"/>
  <c r="J231" i="149" s="1"/>
  <c r="J232" i="149" s="1"/>
  <c r="J233" i="149" s="1"/>
  <c r="J234" i="149" s="1"/>
  <c r="J235" i="149" s="1"/>
  <c r="J236" i="149" s="1"/>
  <c r="J237" i="149" s="1"/>
  <c r="J238" i="149" s="1"/>
  <c r="J239" i="149" s="1"/>
  <c r="J240" i="149" s="1"/>
  <c r="J241" i="149" s="1"/>
  <c r="J242" i="149" s="1"/>
  <c r="J243" i="149" s="1"/>
  <c r="J244" i="149" s="1"/>
  <c r="J245" i="149" s="1"/>
  <c r="J246" i="149" s="1"/>
  <c r="J247" i="149" s="1"/>
  <c r="J248" i="149" s="1"/>
  <c r="J249" i="149" s="1"/>
  <c r="J250" i="149" s="1"/>
  <c r="J251" i="149" s="1"/>
  <c r="J252" i="149" s="1"/>
  <c r="J253" i="149" s="1"/>
  <c r="J254" i="149" s="1"/>
  <c r="J255" i="149" s="1"/>
  <c r="J256" i="149" s="1"/>
  <c r="J257" i="149" s="1"/>
  <c r="J258" i="149" s="1"/>
  <c r="J259" i="149" s="1"/>
  <c r="J260" i="149" s="1"/>
  <c r="P103" i="149"/>
  <c r="P101" i="149"/>
  <c r="P102" i="149"/>
  <c r="P70" i="149"/>
  <c r="P69" i="149"/>
  <c r="P68" i="149"/>
  <c r="P117" i="149"/>
  <c r="P118" i="149"/>
  <c r="P116" i="149"/>
  <c r="P93" i="149"/>
  <c r="P94" i="149"/>
  <c r="P92" i="149"/>
  <c r="P78" i="149"/>
  <c r="P79" i="149"/>
  <c r="P77" i="149"/>
  <c r="P44" i="149"/>
  <c r="P155" i="149" s="1"/>
  <c r="P45" i="149"/>
  <c r="P73" i="149"/>
  <c r="P71" i="149"/>
  <c r="P72" i="149"/>
  <c r="P96" i="149"/>
  <c r="P97" i="149"/>
  <c r="P95" i="149"/>
  <c r="P120" i="149"/>
  <c r="P121" i="149"/>
  <c r="P119" i="149"/>
  <c r="P127" i="149"/>
  <c r="P126" i="149"/>
  <c r="P125" i="149"/>
  <c r="P75" i="149"/>
  <c r="P76" i="149"/>
  <c r="P74" i="149"/>
  <c r="P62" i="149"/>
  <c r="K156" i="149"/>
  <c r="K157" i="149" s="1"/>
  <c r="K158" i="149" s="1"/>
  <c r="K159" i="149" s="1"/>
  <c r="K160" i="149" s="1"/>
  <c r="K161" i="149" s="1"/>
  <c r="K162" i="149" s="1"/>
  <c r="K163" i="149" s="1"/>
  <c r="K164" i="149" s="1"/>
  <c r="K165" i="149" s="1"/>
  <c r="K166" i="149" s="1"/>
  <c r="K167" i="149" s="1"/>
  <c r="K168" i="149" s="1"/>
  <c r="K169" i="149" s="1"/>
  <c r="K170" i="149" s="1"/>
  <c r="K171" i="149" s="1"/>
  <c r="K172" i="149" s="1"/>
  <c r="K173" i="149" s="1"/>
  <c r="K174" i="149" s="1"/>
  <c r="K175" i="149" s="1"/>
  <c r="K176" i="149" s="1"/>
  <c r="K177" i="149" s="1"/>
  <c r="K178" i="149" s="1"/>
  <c r="K179" i="149" s="1"/>
  <c r="K180" i="149" s="1"/>
  <c r="K181" i="149" s="1"/>
  <c r="K182" i="149" s="1"/>
  <c r="K183" i="149" s="1"/>
  <c r="K184" i="149" s="1"/>
  <c r="K185" i="149" s="1"/>
  <c r="K186" i="149" s="1"/>
  <c r="K187" i="149" s="1"/>
  <c r="K188" i="149" s="1"/>
  <c r="K189" i="149" s="1"/>
  <c r="K190" i="149" s="1"/>
  <c r="K191" i="149" s="1"/>
  <c r="K192" i="149" s="1"/>
  <c r="K193" i="149" s="1"/>
  <c r="K194" i="149" s="1"/>
  <c r="K195" i="149" s="1"/>
  <c r="K196" i="149" s="1"/>
  <c r="K197" i="149" s="1"/>
  <c r="K198" i="149" s="1"/>
  <c r="K199" i="149" s="1"/>
  <c r="K200" i="149" s="1"/>
  <c r="K201" i="149" s="1"/>
  <c r="K202" i="149" s="1"/>
  <c r="K203" i="149" s="1"/>
  <c r="K204" i="149" s="1"/>
  <c r="K205" i="149" s="1"/>
  <c r="K206" i="149" s="1"/>
  <c r="K207" i="149" s="1"/>
  <c r="K208" i="149" s="1"/>
  <c r="K209" i="149" s="1"/>
  <c r="K210" i="149" s="1"/>
  <c r="K211" i="149" s="1"/>
  <c r="K212" i="149" s="1"/>
  <c r="K213" i="149" s="1"/>
  <c r="K214" i="149" s="1"/>
  <c r="K215" i="149" s="1"/>
  <c r="K216" i="149" s="1"/>
  <c r="K217" i="149" s="1"/>
  <c r="K218" i="149" s="1"/>
  <c r="K219" i="149" s="1"/>
  <c r="K220" i="149" s="1"/>
  <c r="K221" i="149" s="1"/>
  <c r="K222" i="149" s="1"/>
  <c r="K223" i="149" s="1"/>
  <c r="K224" i="149" s="1"/>
  <c r="K225" i="149" s="1"/>
  <c r="K226" i="149" s="1"/>
  <c r="K227" i="149" s="1"/>
  <c r="K228" i="149" s="1"/>
  <c r="K229" i="149" s="1"/>
  <c r="K230" i="149" s="1"/>
  <c r="K231" i="149" s="1"/>
  <c r="K232" i="149" s="1"/>
  <c r="K233" i="149" s="1"/>
  <c r="K234" i="149" s="1"/>
  <c r="K235" i="149" s="1"/>
  <c r="K236" i="149" s="1"/>
  <c r="K237" i="149" s="1"/>
  <c r="K238" i="149" s="1"/>
  <c r="K239" i="149" s="1"/>
  <c r="K240" i="149" s="1"/>
  <c r="K241" i="149" s="1"/>
  <c r="K242" i="149" s="1"/>
  <c r="K243" i="149" s="1"/>
  <c r="K244" i="149" s="1"/>
  <c r="K245" i="149" s="1"/>
  <c r="K246" i="149" s="1"/>
  <c r="K247" i="149" s="1"/>
  <c r="K248" i="149" s="1"/>
  <c r="K249" i="149" s="1"/>
  <c r="K250" i="149" s="1"/>
  <c r="K251" i="149" s="1"/>
  <c r="K252" i="149" s="1"/>
  <c r="K253" i="149" s="1"/>
  <c r="K254" i="149" s="1"/>
  <c r="K255" i="149" s="1"/>
  <c r="K256" i="149" s="1"/>
  <c r="K257" i="149" s="1"/>
  <c r="K258" i="149" s="1"/>
  <c r="K259" i="149" s="1"/>
  <c r="L156" i="149"/>
  <c r="L157" i="149" s="1"/>
  <c r="L158" i="149" s="1"/>
  <c r="L159" i="149" s="1"/>
  <c r="L160" i="149" s="1"/>
  <c r="L161" i="149" s="1"/>
  <c r="L162" i="149" s="1"/>
  <c r="L163" i="149" s="1"/>
  <c r="L164" i="149" s="1"/>
  <c r="L165" i="149" s="1"/>
  <c r="L166" i="149" s="1"/>
  <c r="L167" i="149" s="1"/>
  <c r="L168" i="149" s="1"/>
  <c r="L169" i="149" s="1"/>
  <c r="L170" i="149" s="1"/>
  <c r="L171" i="149" s="1"/>
  <c r="L172" i="149" s="1"/>
  <c r="L173" i="149" s="1"/>
  <c r="L174" i="149" s="1"/>
  <c r="L175" i="149" s="1"/>
  <c r="L176" i="149" s="1"/>
  <c r="L177" i="149" s="1"/>
  <c r="L178" i="149" s="1"/>
  <c r="L179" i="149" s="1"/>
  <c r="L180" i="149" s="1"/>
  <c r="L181" i="149" s="1"/>
  <c r="L182" i="149" s="1"/>
  <c r="L183" i="149" s="1"/>
  <c r="L184" i="149" s="1"/>
  <c r="L185" i="149" s="1"/>
  <c r="L186" i="149" s="1"/>
  <c r="L187" i="149" s="1"/>
  <c r="L188" i="149" s="1"/>
  <c r="L189" i="149" s="1"/>
  <c r="L190" i="149" s="1"/>
  <c r="L191" i="149" s="1"/>
  <c r="L192" i="149" s="1"/>
  <c r="L193" i="149" s="1"/>
  <c r="L194" i="149" s="1"/>
  <c r="L195" i="149" s="1"/>
  <c r="L196" i="149" s="1"/>
  <c r="L197" i="149" s="1"/>
  <c r="L198" i="149" s="1"/>
  <c r="L199" i="149" s="1"/>
  <c r="L200" i="149" s="1"/>
  <c r="L201" i="149" s="1"/>
  <c r="L202" i="149" s="1"/>
  <c r="L203" i="149" s="1"/>
  <c r="L204" i="149" s="1"/>
  <c r="L205" i="149" s="1"/>
  <c r="L206" i="149" s="1"/>
  <c r="L207" i="149" s="1"/>
  <c r="L208" i="149" s="1"/>
  <c r="L209" i="149" s="1"/>
  <c r="L210" i="149" s="1"/>
  <c r="L211" i="149" s="1"/>
  <c r="L212" i="149" s="1"/>
  <c r="L213" i="149" s="1"/>
  <c r="L214" i="149" s="1"/>
  <c r="L215" i="149" s="1"/>
  <c r="L216" i="149" s="1"/>
  <c r="L217" i="149" s="1"/>
  <c r="L218" i="149" s="1"/>
  <c r="L219" i="149" s="1"/>
  <c r="L220" i="149" s="1"/>
  <c r="L221" i="149" s="1"/>
  <c r="L222" i="149" s="1"/>
  <c r="L223" i="149" s="1"/>
  <c r="L224" i="149" s="1"/>
  <c r="L225" i="149" s="1"/>
  <c r="L226" i="149" s="1"/>
  <c r="L227" i="149" s="1"/>
  <c r="L228" i="149" s="1"/>
  <c r="L229" i="149" s="1"/>
  <c r="L230" i="149" s="1"/>
  <c r="L231" i="149" s="1"/>
  <c r="L232" i="149" s="1"/>
  <c r="L233" i="149" s="1"/>
  <c r="L234" i="149" s="1"/>
  <c r="L235" i="149" s="1"/>
  <c r="L236" i="149" s="1"/>
  <c r="L237" i="149" s="1"/>
  <c r="L238" i="149" s="1"/>
  <c r="L239" i="149" s="1"/>
  <c r="L240" i="149" s="1"/>
  <c r="L241" i="149" s="1"/>
  <c r="L242" i="149" s="1"/>
  <c r="L243" i="149" s="1"/>
  <c r="L244" i="149" s="1"/>
  <c r="L245" i="149" s="1"/>
  <c r="L246" i="149" s="1"/>
  <c r="L247" i="149" s="1"/>
  <c r="L248" i="149" s="1"/>
  <c r="L249" i="149" s="1"/>
  <c r="L250" i="149" s="1"/>
  <c r="L251" i="149" s="1"/>
  <c r="L252" i="149" s="1"/>
  <c r="L253" i="149" s="1"/>
  <c r="L254" i="149" s="1"/>
  <c r="L255" i="149" s="1"/>
  <c r="L256" i="149" s="1"/>
  <c r="L257" i="149" s="1"/>
  <c r="L258" i="149" s="1"/>
  <c r="L259" i="149" s="1"/>
  <c r="P64" i="149"/>
  <c r="P123" i="149"/>
  <c r="P124" i="149"/>
  <c r="P122" i="149"/>
  <c r="N156" i="149"/>
  <c r="N157" i="149" s="1"/>
  <c r="N158" i="149" s="1"/>
  <c r="N159" i="149" s="1"/>
  <c r="N160" i="149" s="1"/>
  <c r="N161" i="149" s="1"/>
  <c r="N162" i="149" s="1"/>
  <c r="N163" i="149" s="1"/>
  <c r="N164" i="149" s="1"/>
  <c r="N165" i="149" s="1"/>
  <c r="N166" i="149" s="1"/>
  <c r="N167" i="149" s="1"/>
  <c r="N168" i="149" s="1"/>
  <c r="N169" i="149" s="1"/>
  <c r="N170" i="149" s="1"/>
  <c r="N171" i="149" s="1"/>
  <c r="N172" i="149" s="1"/>
  <c r="N173" i="149" s="1"/>
  <c r="N174" i="149" s="1"/>
  <c r="N175" i="149" s="1"/>
  <c r="N176" i="149" s="1"/>
  <c r="N177" i="149" s="1"/>
  <c r="N178" i="149" s="1"/>
  <c r="N179" i="149" s="1"/>
  <c r="N180" i="149" s="1"/>
  <c r="N181" i="149" s="1"/>
  <c r="N182" i="149" s="1"/>
  <c r="N183" i="149" s="1"/>
  <c r="N184" i="149" s="1"/>
  <c r="N185" i="149" s="1"/>
  <c r="N186" i="149" s="1"/>
  <c r="N187" i="149" s="1"/>
  <c r="N188" i="149" s="1"/>
  <c r="N189" i="149" s="1"/>
  <c r="N190" i="149" s="1"/>
  <c r="N191" i="149" s="1"/>
  <c r="N192" i="149" s="1"/>
  <c r="N193" i="149" s="1"/>
  <c r="N194" i="149" s="1"/>
  <c r="N195" i="149" s="1"/>
  <c r="N196" i="149" s="1"/>
  <c r="N197" i="149" s="1"/>
  <c r="N198" i="149" s="1"/>
  <c r="N199" i="149" s="1"/>
  <c r="N200" i="149" s="1"/>
  <c r="N201" i="149" s="1"/>
  <c r="N202" i="149" s="1"/>
  <c r="N203" i="149" s="1"/>
  <c r="N204" i="149" s="1"/>
  <c r="N205" i="149" s="1"/>
  <c r="N206" i="149" s="1"/>
  <c r="N207" i="149" s="1"/>
  <c r="N208" i="149" s="1"/>
  <c r="N209" i="149" s="1"/>
  <c r="N210" i="149" s="1"/>
  <c r="N211" i="149" s="1"/>
  <c r="N212" i="149" s="1"/>
  <c r="N213" i="149" s="1"/>
  <c r="N214" i="149" s="1"/>
  <c r="N215" i="149" s="1"/>
  <c r="N216" i="149" s="1"/>
  <c r="N217" i="149" s="1"/>
  <c r="N218" i="149" s="1"/>
  <c r="N219" i="149" s="1"/>
  <c r="N220" i="149" s="1"/>
  <c r="N221" i="149" s="1"/>
  <c r="N222" i="149" s="1"/>
  <c r="N223" i="149" s="1"/>
  <c r="N224" i="149" s="1"/>
  <c r="N225" i="149" s="1"/>
  <c r="N226" i="149" s="1"/>
  <c r="N227" i="149" s="1"/>
  <c r="N228" i="149" s="1"/>
  <c r="N229" i="149" s="1"/>
  <c r="N230" i="149" s="1"/>
  <c r="N231" i="149" s="1"/>
  <c r="N232" i="149" s="1"/>
  <c r="N233" i="149" s="1"/>
  <c r="N234" i="149" s="1"/>
  <c r="N235" i="149" s="1"/>
  <c r="N236" i="149" s="1"/>
  <c r="N237" i="149" s="1"/>
  <c r="N238" i="149" s="1"/>
  <c r="N239" i="149" s="1"/>
  <c r="N240" i="149" s="1"/>
  <c r="N241" i="149" s="1"/>
  <c r="N242" i="149" s="1"/>
  <c r="N243" i="149" s="1"/>
  <c r="N244" i="149" s="1"/>
  <c r="N245" i="149" s="1"/>
  <c r="N246" i="149" s="1"/>
  <c r="N247" i="149" s="1"/>
  <c r="N248" i="149" s="1"/>
  <c r="N249" i="149" s="1"/>
  <c r="N250" i="149" s="1"/>
  <c r="N251" i="149" s="1"/>
  <c r="N252" i="149" s="1"/>
  <c r="N253" i="149" s="1"/>
  <c r="N254" i="149" s="1"/>
  <c r="N255" i="149" s="1"/>
  <c r="N256" i="149" s="1"/>
  <c r="N257" i="149" s="1"/>
  <c r="N258" i="149" s="1"/>
  <c r="N259" i="149" s="1"/>
  <c r="N260" i="149" s="1"/>
  <c r="P88" i="149"/>
  <c r="P86" i="149"/>
  <c r="P87" i="149"/>
  <c r="P110" i="149"/>
  <c r="P111" i="149"/>
  <c r="P112" i="149"/>
  <c r="P135" i="149"/>
  <c r="P136" i="149"/>
  <c r="P134" i="149"/>
  <c r="F156" i="149"/>
  <c r="F157" i="149" s="1"/>
  <c r="F158" i="149" s="1"/>
  <c r="F159" i="149" s="1"/>
  <c r="F160" i="149" s="1"/>
  <c r="F161" i="149" s="1"/>
  <c r="F162" i="149" s="1"/>
  <c r="F163" i="149" s="1"/>
  <c r="F164" i="149" s="1"/>
  <c r="F165" i="149" s="1"/>
  <c r="F166" i="149" s="1"/>
  <c r="F167" i="149" s="1"/>
  <c r="F168" i="149" s="1"/>
  <c r="F169" i="149" s="1"/>
  <c r="F170" i="149" s="1"/>
  <c r="F171" i="149" s="1"/>
  <c r="F172" i="149" s="1"/>
  <c r="F173" i="149" s="1"/>
  <c r="F174" i="149" s="1"/>
  <c r="F175" i="149" s="1"/>
  <c r="F176" i="149" s="1"/>
  <c r="F177" i="149" s="1"/>
  <c r="F178" i="149" s="1"/>
  <c r="F179" i="149" s="1"/>
  <c r="F180" i="149" s="1"/>
  <c r="F181" i="149" s="1"/>
  <c r="F182" i="149" s="1"/>
  <c r="F183" i="149" s="1"/>
  <c r="F184" i="149" s="1"/>
  <c r="F185" i="149" s="1"/>
  <c r="F186" i="149" s="1"/>
  <c r="F187" i="149" s="1"/>
  <c r="F188" i="149" s="1"/>
  <c r="F189" i="149" s="1"/>
  <c r="F190" i="149" s="1"/>
  <c r="F191" i="149" s="1"/>
  <c r="F192" i="149" s="1"/>
  <c r="F193" i="149" s="1"/>
  <c r="F194" i="149" s="1"/>
  <c r="F195" i="149" s="1"/>
  <c r="F196" i="149" s="1"/>
  <c r="F197" i="149" s="1"/>
  <c r="F198" i="149" s="1"/>
  <c r="F199" i="149" s="1"/>
  <c r="F200" i="149" s="1"/>
  <c r="F201" i="149" s="1"/>
  <c r="F202" i="149" s="1"/>
  <c r="F203" i="149" s="1"/>
  <c r="F204" i="149" s="1"/>
  <c r="F205" i="149" s="1"/>
  <c r="F206" i="149" s="1"/>
  <c r="F207" i="149" s="1"/>
  <c r="F208" i="149" s="1"/>
  <c r="F209" i="149" s="1"/>
  <c r="F210" i="149" s="1"/>
  <c r="F211" i="149" s="1"/>
  <c r="F212" i="149" s="1"/>
  <c r="F213" i="149" s="1"/>
  <c r="F214" i="149" s="1"/>
  <c r="F215" i="149" s="1"/>
  <c r="F216" i="149" s="1"/>
  <c r="F217" i="149" s="1"/>
  <c r="F218" i="149" s="1"/>
  <c r="F219" i="149" s="1"/>
  <c r="F220" i="149" s="1"/>
  <c r="F221" i="149" s="1"/>
  <c r="F222" i="149" s="1"/>
  <c r="F223" i="149" s="1"/>
  <c r="F224" i="149" s="1"/>
  <c r="F225" i="149" s="1"/>
  <c r="F226" i="149" s="1"/>
  <c r="F227" i="149" s="1"/>
  <c r="F228" i="149" s="1"/>
  <c r="F229" i="149" s="1"/>
  <c r="F230" i="149" s="1"/>
  <c r="F231" i="149" s="1"/>
  <c r="F232" i="149" s="1"/>
  <c r="F233" i="149" s="1"/>
  <c r="F234" i="149" s="1"/>
  <c r="F235" i="149" s="1"/>
  <c r="F236" i="149" s="1"/>
  <c r="F237" i="149" s="1"/>
  <c r="F238" i="149" s="1"/>
  <c r="F239" i="149" s="1"/>
  <c r="F240" i="149" s="1"/>
  <c r="F241" i="149" s="1"/>
  <c r="F242" i="149" s="1"/>
  <c r="F243" i="149" s="1"/>
  <c r="F244" i="149" s="1"/>
  <c r="F245" i="149" s="1"/>
  <c r="F246" i="149" s="1"/>
  <c r="F247" i="149" s="1"/>
  <c r="F248" i="149" s="1"/>
  <c r="F249" i="149" s="1"/>
  <c r="F250" i="149" s="1"/>
  <c r="F251" i="149" s="1"/>
  <c r="F252" i="149" s="1"/>
  <c r="F253" i="149" s="1"/>
  <c r="F254" i="149" s="1"/>
  <c r="F255" i="149" s="1"/>
  <c r="F256" i="149" s="1"/>
  <c r="F257" i="149" s="1"/>
  <c r="F258" i="149" s="1"/>
  <c r="F259" i="149" s="1"/>
  <c r="V156" i="149"/>
  <c r="V157" i="149" s="1"/>
  <c r="V158" i="149" s="1"/>
  <c r="V159" i="149" s="1"/>
  <c r="V160" i="149" s="1"/>
  <c r="V161" i="149" s="1"/>
  <c r="V162" i="149" s="1"/>
  <c r="V163" i="149" s="1"/>
  <c r="V164" i="149" s="1"/>
  <c r="V165" i="149" s="1"/>
  <c r="V166" i="149" s="1"/>
  <c r="V167" i="149" s="1"/>
  <c r="V168" i="149" s="1"/>
  <c r="V169" i="149" s="1"/>
  <c r="V170" i="149" s="1"/>
  <c r="V171" i="149" s="1"/>
  <c r="V172" i="149" s="1"/>
  <c r="V173" i="149" s="1"/>
  <c r="V174" i="149" s="1"/>
  <c r="V175" i="149" s="1"/>
  <c r="V176" i="149" s="1"/>
  <c r="V177" i="149" s="1"/>
  <c r="V178" i="149" s="1"/>
  <c r="V179" i="149" s="1"/>
  <c r="V180" i="149" s="1"/>
  <c r="V181" i="149" s="1"/>
  <c r="V182" i="149" s="1"/>
  <c r="V183" i="149" s="1"/>
  <c r="V184" i="149" s="1"/>
  <c r="V185" i="149" s="1"/>
  <c r="V186" i="149" s="1"/>
  <c r="V187" i="149" s="1"/>
  <c r="V188" i="149" s="1"/>
  <c r="V189" i="149" s="1"/>
  <c r="V190" i="149" s="1"/>
  <c r="V191" i="149" s="1"/>
  <c r="V192" i="149" s="1"/>
  <c r="V193" i="149" s="1"/>
  <c r="V194" i="149" s="1"/>
  <c r="V195" i="149" s="1"/>
  <c r="V196" i="149" s="1"/>
  <c r="V197" i="149" s="1"/>
  <c r="V198" i="149" s="1"/>
  <c r="V199" i="149" s="1"/>
  <c r="V200" i="149" s="1"/>
  <c r="V201" i="149" s="1"/>
  <c r="V202" i="149" s="1"/>
  <c r="V203" i="149" s="1"/>
  <c r="V204" i="149" s="1"/>
  <c r="V205" i="149" s="1"/>
  <c r="V206" i="149" s="1"/>
  <c r="V207" i="149" s="1"/>
  <c r="V208" i="149" s="1"/>
  <c r="V209" i="149" s="1"/>
  <c r="V210" i="149" s="1"/>
  <c r="V211" i="149" s="1"/>
  <c r="V212" i="149" s="1"/>
  <c r="V213" i="149" s="1"/>
  <c r="V214" i="149" s="1"/>
  <c r="V215" i="149" s="1"/>
  <c r="V216" i="149" s="1"/>
  <c r="V217" i="149" s="1"/>
  <c r="V218" i="149" s="1"/>
  <c r="V219" i="149" s="1"/>
  <c r="V220" i="149" s="1"/>
  <c r="V221" i="149" s="1"/>
  <c r="V222" i="149" s="1"/>
  <c r="V223" i="149" s="1"/>
  <c r="V224" i="149" s="1"/>
  <c r="V225" i="149" s="1"/>
  <c r="V226" i="149" s="1"/>
  <c r="V227" i="149" s="1"/>
  <c r="V228" i="149" s="1"/>
  <c r="V229" i="149" s="1"/>
  <c r="V230" i="149" s="1"/>
  <c r="V231" i="149" s="1"/>
  <c r="V232" i="149" s="1"/>
  <c r="V233" i="149" s="1"/>
  <c r="V234" i="149" s="1"/>
  <c r="V235" i="149" s="1"/>
  <c r="V236" i="149" s="1"/>
  <c r="V237" i="149" s="1"/>
  <c r="V238" i="149" s="1"/>
  <c r="V239" i="149" s="1"/>
  <c r="V240" i="149" s="1"/>
  <c r="V241" i="149" s="1"/>
  <c r="V242" i="149" s="1"/>
  <c r="V243" i="149" s="1"/>
  <c r="V244" i="149" s="1"/>
  <c r="V245" i="149" s="1"/>
  <c r="V246" i="149" s="1"/>
  <c r="V247" i="149" s="1"/>
  <c r="V248" i="149" s="1"/>
  <c r="G156" i="149"/>
  <c r="G157" i="149" s="1"/>
  <c r="G158" i="149" s="1"/>
  <c r="G159" i="149" s="1"/>
  <c r="G160" i="149" s="1"/>
  <c r="G161" i="149" s="1"/>
  <c r="G162" i="149" s="1"/>
  <c r="G163" i="149" s="1"/>
  <c r="G164" i="149" s="1"/>
  <c r="G165" i="149" s="1"/>
  <c r="G166" i="149" s="1"/>
  <c r="G167" i="149" s="1"/>
  <c r="G168" i="149" s="1"/>
  <c r="G169" i="149" s="1"/>
  <c r="G170" i="149" s="1"/>
  <c r="G171" i="149" s="1"/>
  <c r="G172" i="149" s="1"/>
  <c r="G173" i="149" s="1"/>
  <c r="G174" i="149" s="1"/>
  <c r="G175" i="149" s="1"/>
  <c r="G176" i="149" s="1"/>
  <c r="G177" i="149" s="1"/>
  <c r="G178" i="149" s="1"/>
  <c r="G179" i="149" s="1"/>
  <c r="G180" i="149" s="1"/>
  <c r="G181" i="149" s="1"/>
  <c r="G182" i="149" s="1"/>
  <c r="G183" i="149" s="1"/>
  <c r="G184" i="149" s="1"/>
  <c r="G185" i="149" s="1"/>
  <c r="G186" i="149" s="1"/>
  <c r="G187" i="149" s="1"/>
  <c r="G188" i="149" s="1"/>
  <c r="G189" i="149" s="1"/>
  <c r="G190" i="149" s="1"/>
  <c r="G191" i="149" s="1"/>
  <c r="G192" i="149" s="1"/>
  <c r="G193" i="149" s="1"/>
  <c r="G194" i="149" s="1"/>
  <c r="G195" i="149" s="1"/>
  <c r="G196" i="149" s="1"/>
  <c r="G197" i="149" s="1"/>
  <c r="G198" i="149" s="1"/>
  <c r="G199" i="149" s="1"/>
  <c r="G200" i="149" s="1"/>
  <c r="G201" i="149" s="1"/>
  <c r="G202" i="149" s="1"/>
  <c r="G203" i="149" s="1"/>
  <c r="G204" i="149" s="1"/>
  <c r="G205" i="149" s="1"/>
  <c r="G206" i="149" s="1"/>
  <c r="G207" i="149" s="1"/>
  <c r="G208" i="149" s="1"/>
  <c r="G209" i="149" s="1"/>
  <c r="G210" i="149" s="1"/>
  <c r="G211" i="149" s="1"/>
  <c r="G212" i="149" s="1"/>
  <c r="G213" i="149" s="1"/>
  <c r="G214" i="149" s="1"/>
  <c r="G215" i="149" s="1"/>
  <c r="G216" i="149" s="1"/>
  <c r="G217" i="149" s="1"/>
  <c r="G218" i="149" s="1"/>
  <c r="G219" i="149" s="1"/>
  <c r="G220" i="149" s="1"/>
  <c r="G221" i="149" s="1"/>
  <c r="G222" i="149" s="1"/>
  <c r="G223" i="149" s="1"/>
  <c r="G224" i="149" s="1"/>
  <c r="G225" i="149" s="1"/>
  <c r="G226" i="149" s="1"/>
  <c r="G227" i="149" s="1"/>
  <c r="G228" i="149" s="1"/>
  <c r="G229" i="149" s="1"/>
  <c r="G230" i="149" s="1"/>
  <c r="G231" i="149" s="1"/>
  <c r="G232" i="149" s="1"/>
  <c r="G233" i="149" s="1"/>
  <c r="G234" i="149" s="1"/>
  <c r="G235" i="149" s="1"/>
  <c r="G236" i="149" s="1"/>
  <c r="G237" i="149" s="1"/>
  <c r="G238" i="149" s="1"/>
  <c r="G239" i="149" s="1"/>
  <c r="G240" i="149" s="1"/>
  <c r="G241" i="149" s="1"/>
  <c r="G242" i="149" s="1"/>
  <c r="G243" i="149" s="1"/>
  <c r="G244" i="149" s="1"/>
  <c r="G245" i="149" s="1"/>
  <c r="G246" i="149" s="1"/>
  <c r="G247" i="149" s="1"/>
  <c r="G248" i="149" s="1"/>
  <c r="G249" i="149" s="1"/>
  <c r="G250" i="149" s="1"/>
  <c r="G251" i="149" s="1"/>
  <c r="G252" i="149" s="1"/>
  <c r="G253" i="149" s="1"/>
  <c r="W156" i="149"/>
  <c r="W157" i="149" s="1"/>
  <c r="W158" i="149" s="1"/>
  <c r="W159" i="149" s="1"/>
  <c r="W160" i="149" s="1"/>
  <c r="W161" i="149" s="1"/>
  <c r="W162" i="149" s="1"/>
  <c r="W163" i="149" s="1"/>
  <c r="W164" i="149" s="1"/>
  <c r="W165" i="149" s="1"/>
  <c r="W166" i="149" s="1"/>
  <c r="W167" i="149" s="1"/>
  <c r="W168" i="149" s="1"/>
  <c r="W169" i="149" s="1"/>
  <c r="W170" i="149" s="1"/>
  <c r="W171" i="149" s="1"/>
  <c r="W172" i="149" s="1"/>
  <c r="W173" i="149" s="1"/>
  <c r="W174" i="149" s="1"/>
  <c r="W175" i="149" s="1"/>
  <c r="W176" i="149" s="1"/>
  <c r="W177" i="149" s="1"/>
  <c r="W178" i="149" s="1"/>
  <c r="W179" i="149" s="1"/>
  <c r="W180" i="149" s="1"/>
  <c r="W181" i="149" s="1"/>
  <c r="W182" i="149" s="1"/>
  <c r="W183" i="149" s="1"/>
  <c r="W184" i="149" s="1"/>
  <c r="W185" i="149" s="1"/>
  <c r="W186" i="149" s="1"/>
  <c r="W187" i="149" s="1"/>
  <c r="W188" i="149" s="1"/>
  <c r="W189" i="149" s="1"/>
  <c r="W190" i="149" s="1"/>
  <c r="W191" i="149" s="1"/>
  <c r="W192" i="149" s="1"/>
  <c r="W193" i="149" s="1"/>
  <c r="W194" i="149" s="1"/>
  <c r="W195" i="149" s="1"/>
  <c r="W196" i="149" s="1"/>
  <c r="W197" i="149" s="1"/>
  <c r="W198" i="149" s="1"/>
  <c r="W199" i="149" s="1"/>
  <c r="W200" i="149" s="1"/>
  <c r="W201" i="149" s="1"/>
  <c r="W202" i="149" s="1"/>
  <c r="W203" i="149" s="1"/>
  <c r="W204" i="149" s="1"/>
  <c r="W205" i="149" s="1"/>
  <c r="W206" i="149" s="1"/>
  <c r="W207" i="149" s="1"/>
  <c r="W208" i="149" s="1"/>
  <c r="W209" i="149" s="1"/>
  <c r="W210" i="149" s="1"/>
  <c r="W211" i="149" s="1"/>
  <c r="W212" i="149" s="1"/>
  <c r="W213" i="149" s="1"/>
  <c r="W214" i="149" s="1"/>
  <c r="W215" i="149" s="1"/>
  <c r="W216" i="149" s="1"/>
  <c r="W217" i="149" s="1"/>
  <c r="W218" i="149" s="1"/>
  <c r="W219" i="149" s="1"/>
  <c r="W220" i="149" s="1"/>
  <c r="W221" i="149" s="1"/>
  <c r="W222" i="149" s="1"/>
  <c r="W223" i="149" s="1"/>
  <c r="W224" i="149" s="1"/>
  <c r="W225" i="149" s="1"/>
  <c r="W226" i="149" s="1"/>
  <c r="W227" i="149" s="1"/>
  <c r="W228" i="149" s="1"/>
  <c r="W229" i="149" s="1"/>
  <c r="W230" i="149" s="1"/>
  <c r="W231" i="149" s="1"/>
  <c r="W232" i="149" s="1"/>
  <c r="W233" i="149" s="1"/>
  <c r="W234" i="149" s="1"/>
  <c r="W235" i="149" s="1"/>
  <c r="W236" i="149" s="1"/>
  <c r="W237" i="149" s="1"/>
  <c r="W238" i="149" s="1"/>
  <c r="W239" i="149" s="1"/>
  <c r="W240" i="149" s="1"/>
  <c r="W241" i="149" s="1"/>
  <c r="W242" i="149" s="1"/>
  <c r="W243" i="149" s="1"/>
  <c r="W244" i="149" s="1"/>
  <c r="W245" i="149" s="1"/>
  <c r="W246" i="149" s="1"/>
  <c r="W247" i="149" s="1"/>
  <c r="W248" i="149" s="1"/>
  <c r="W249" i="149" s="1"/>
  <c r="W250" i="149" s="1"/>
  <c r="W251" i="149" s="1"/>
  <c r="W252" i="149" s="1"/>
  <c r="W253" i="149" s="1"/>
  <c r="W254" i="149" s="1"/>
  <c r="W255" i="149" s="1"/>
  <c r="W256" i="149" s="1"/>
  <c r="W257" i="149" s="1"/>
  <c r="W258" i="149" s="1"/>
  <c r="W259" i="149" s="1"/>
  <c r="J51" i="38" l="1"/>
  <c r="J51" i="28"/>
  <c r="H123" i="152"/>
  <c r="M123" i="152" s="1"/>
  <c r="M111" i="152"/>
  <c r="G116" i="151"/>
  <c r="L104" i="151"/>
  <c r="J56" i="38"/>
  <c r="J56" i="28"/>
  <c r="J50" i="38"/>
  <c r="J50" i="28"/>
  <c r="G111" i="151"/>
  <c r="L99" i="151"/>
  <c r="G114" i="151"/>
  <c r="L102" i="151"/>
  <c r="M114" i="152"/>
  <c r="H126" i="152"/>
  <c r="M126" i="152" s="1"/>
  <c r="J57" i="38"/>
  <c r="J57" i="28"/>
  <c r="J54" i="38"/>
  <c r="J54" i="28"/>
  <c r="J59" i="38"/>
  <c r="J59" i="28"/>
  <c r="J55" i="38"/>
  <c r="J55" i="28"/>
  <c r="G115" i="151"/>
  <c r="L103" i="151"/>
  <c r="J58" i="38"/>
  <c r="J58" i="28"/>
  <c r="J53" i="38"/>
  <c r="J53" i="28"/>
  <c r="H127" i="152"/>
  <c r="M127" i="152" s="1"/>
  <c r="M115" i="152"/>
  <c r="H122" i="152"/>
  <c r="M122" i="152" s="1"/>
  <c r="M110" i="152"/>
  <c r="H128" i="152"/>
  <c r="M128" i="152" s="1"/>
  <c r="M116" i="152"/>
  <c r="J61" i="38"/>
  <c r="J61" i="28"/>
  <c r="J52" i="38"/>
  <c r="J52" i="28"/>
  <c r="J72" i="38"/>
  <c r="J72" i="28"/>
  <c r="G110" i="151"/>
  <c r="L98" i="151"/>
  <c r="AE21" i="156"/>
  <c r="AK22" i="156"/>
  <c r="AE10" i="24"/>
  <c r="AK9" i="24"/>
  <c r="AE10" i="156"/>
  <c r="AK9" i="156"/>
  <c r="V249" i="149"/>
  <c r="V250" i="149" s="1"/>
  <c r="V251" i="149" s="1"/>
  <c r="V252" i="149" s="1"/>
  <c r="V253" i="149" s="1"/>
  <c r="V254" i="149" s="1"/>
  <c r="V255" i="149" s="1"/>
  <c r="V256" i="149" s="1"/>
  <c r="V257" i="149" s="1"/>
  <c r="V258" i="149" s="1"/>
  <c r="V259" i="149" s="1"/>
  <c r="V260" i="149" s="1"/>
  <c r="V261" i="149" s="1"/>
  <c r="V262" i="149" s="1"/>
  <c r="W260" i="149"/>
  <c r="W261" i="149" s="1"/>
  <c r="W262" i="149" s="1"/>
  <c r="E157" i="149"/>
  <c r="E158" i="149" s="1"/>
  <c r="E159" i="149" s="1"/>
  <c r="E160" i="149" s="1"/>
  <c r="E161" i="149" s="1"/>
  <c r="E162" i="149" s="1"/>
  <c r="E163" i="149" s="1"/>
  <c r="E164" i="149" s="1"/>
  <c r="E165" i="149" s="1"/>
  <c r="E166" i="149" s="1"/>
  <c r="E167" i="149" s="1"/>
  <c r="E168" i="149" s="1"/>
  <c r="E169" i="149" s="1"/>
  <c r="E170" i="149" s="1"/>
  <c r="E171" i="149" s="1"/>
  <c r="E172" i="149" s="1"/>
  <c r="E173" i="149" s="1"/>
  <c r="E174" i="149" s="1"/>
  <c r="E175" i="149" s="1"/>
  <c r="E176" i="149" s="1"/>
  <c r="E177" i="149" s="1"/>
  <c r="E178" i="149" s="1"/>
  <c r="E179" i="149" s="1"/>
  <c r="E180" i="149" s="1"/>
  <c r="E181" i="149" s="1"/>
  <c r="E182" i="149" s="1"/>
  <c r="E183" i="149" s="1"/>
  <c r="E184" i="149" s="1"/>
  <c r="E185" i="149" s="1"/>
  <c r="E186" i="149" s="1"/>
  <c r="E187" i="149" s="1"/>
  <c r="E188" i="149" s="1"/>
  <c r="E189" i="149" s="1"/>
  <c r="E190" i="149" s="1"/>
  <c r="E191" i="149" s="1"/>
  <c r="E192" i="149" s="1"/>
  <c r="E193" i="149" s="1"/>
  <c r="E194" i="149" s="1"/>
  <c r="E195" i="149" s="1"/>
  <c r="E196" i="149" s="1"/>
  <c r="E197" i="149" s="1"/>
  <c r="E198" i="149" s="1"/>
  <c r="E199" i="149" s="1"/>
  <c r="E200" i="149" s="1"/>
  <c r="E201" i="149" s="1"/>
  <c r="E202" i="149" s="1"/>
  <c r="E203" i="149" s="1"/>
  <c r="E204" i="149" s="1"/>
  <c r="E205" i="149" s="1"/>
  <c r="E206" i="149" s="1"/>
  <c r="E207" i="149" s="1"/>
  <c r="E208" i="149" s="1"/>
  <c r="E209" i="149" s="1"/>
  <c r="E210" i="149" s="1"/>
  <c r="E211" i="149" s="1"/>
  <c r="E212" i="149" s="1"/>
  <c r="E213" i="149" s="1"/>
  <c r="E214" i="149" s="1"/>
  <c r="E215" i="149" s="1"/>
  <c r="E216" i="149" s="1"/>
  <c r="E217" i="149" s="1"/>
  <c r="E218" i="149" s="1"/>
  <c r="E219" i="149" s="1"/>
  <c r="E220" i="149" s="1"/>
  <c r="E221" i="149" s="1"/>
  <c r="E222" i="149" s="1"/>
  <c r="E223" i="149" s="1"/>
  <c r="E224" i="149" s="1"/>
  <c r="E225" i="149" s="1"/>
  <c r="E226" i="149" s="1"/>
  <c r="E227" i="149" s="1"/>
  <c r="E228" i="149" s="1"/>
  <c r="E229" i="149" s="1"/>
  <c r="E230" i="149" s="1"/>
  <c r="E231" i="149" s="1"/>
  <c r="E232" i="149" s="1"/>
  <c r="E233" i="149" s="1"/>
  <c r="E234" i="149" s="1"/>
  <c r="E235" i="149" s="1"/>
  <c r="E236" i="149" s="1"/>
  <c r="E237" i="149" s="1"/>
  <c r="E238" i="149" s="1"/>
  <c r="E239" i="149" s="1"/>
  <c r="E240" i="149" s="1"/>
  <c r="E241" i="149" s="1"/>
  <c r="E242" i="149" s="1"/>
  <c r="E243" i="149" s="1"/>
  <c r="E244" i="149" s="1"/>
  <c r="E245" i="149" s="1"/>
  <c r="E246" i="149" s="1"/>
  <c r="E247" i="149" s="1"/>
  <c r="E248" i="149" s="1"/>
  <c r="E249" i="149" s="1"/>
  <c r="I260" i="149"/>
  <c r="I261" i="149" s="1"/>
  <c r="I262" i="149" s="1"/>
  <c r="Q260" i="149"/>
  <c r="Q261" i="149" s="1"/>
  <c r="Q262" i="149" s="1"/>
  <c r="S260" i="149"/>
  <c r="S261" i="149" s="1"/>
  <c r="S262" i="149" s="1"/>
  <c r="F260" i="149"/>
  <c r="F261" i="149" s="1"/>
  <c r="F262" i="149" s="1"/>
  <c r="L260" i="149"/>
  <c r="L261" i="149" s="1"/>
  <c r="L262" i="149" s="1"/>
  <c r="N261" i="149"/>
  <c r="N262" i="149" s="1"/>
  <c r="D261" i="149"/>
  <c r="D262" i="149" s="1"/>
  <c r="M260" i="149"/>
  <c r="M261" i="149" s="1"/>
  <c r="M262" i="149" s="1"/>
  <c r="T260" i="149"/>
  <c r="T261" i="149" s="1"/>
  <c r="T262" i="149" s="1"/>
  <c r="N11" i="69"/>
  <c r="N32" i="69" s="1"/>
  <c r="Y261" i="149"/>
  <c r="Y262" i="149" s="1"/>
  <c r="U261" i="149"/>
  <c r="U262" i="149" s="1"/>
  <c r="N56" i="69"/>
  <c r="N19" i="69"/>
  <c r="N14" i="69"/>
  <c r="N46" i="69"/>
  <c r="O260" i="149"/>
  <c r="O261" i="149" s="1"/>
  <c r="O262" i="149" s="1"/>
  <c r="N24" i="69"/>
  <c r="N51" i="69"/>
  <c r="Z261" i="149"/>
  <c r="Z262" i="149" s="1"/>
  <c r="K260" i="149"/>
  <c r="K261" i="149" s="1"/>
  <c r="K262" i="149" s="1"/>
  <c r="J261" i="149"/>
  <c r="J262" i="149" s="1"/>
  <c r="N43" i="69"/>
  <c r="N64" i="69" s="1"/>
  <c r="N65" i="69"/>
  <c r="M43" i="69"/>
  <c r="CK73" i="67"/>
  <c r="L61" i="154"/>
  <c r="V61" i="154" s="1"/>
  <c r="L61" i="153"/>
  <c r="V61" i="153" s="1"/>
  <c r="N61" i="155"/>
  <c r="L61" i="75"/>
  <c r="R261" i="149"/>
  <c r="R262" i="149" s="1"/>
  <c r="CE76" i="67"/>
  <c r="CK63" i="67"/>
  <c r="N51" i="155"/>
  <c r="L51" i="154"/>
  <c r="V51" i="154" s="1"/>
  <c r="L51" i="153"/>
  <c r="V51" i="153" s="1"/>
  <c r="L51" i="75"/>
  <c r="CK69" i="67"/>
  <c r="N57" i="155"/>
  <c r="L57" i="154"/>
  <c r="V57" i="154" s="1"/>
  <c r="L57" i="153"/>
  <c r="V57" i="153" s="1"/>
  <c r="L57" i="75"/>
  <c r="CE92" i="67"/>
  <c r="CE104" i="67" s="1"/>
  <c r="CK62" i="67"/>
  <c r="N50" i="155"/>
  <c r="L50" i="154"/>
  <c r="V50" i="154" s="1"/>
  <c r="L50" i="153"/>
  <c r="V50" i="153" s="1"/>
  <c r="L50" i="75"/>
  <c r="E139" i="149"/>
  <c r="E151" i="149"/>
  <c r="E150" i="149"/>
  <c r="E149" i="149"/>
  <c r="CK84" i="67"/>
  <c r="N72" i="155"/>
  <c r="L72" i="154"/>
  <c r="V72" i="154" s="1"/>
  <c r="L72" i="153"/>
  <c r="V72" i="153" s="1"/>
  <c r="L72" i="75"/>
  <c r="CK64" i="67"/>
  <c r="N52" i="155"/>
  <c r="L52" i="154"/>
  <c r="V52" i="154" s="1"/>
  <c r="L52" i="153"/>
  <c r="V52" i="153" s="1"/>
  <c r="L52" i="75"/>
  <c r="CK68" i="67"/>
  <c r="N56" i="155"/>
  <c r="L56" i="154"/>
  <c r="V56" i="154" s="1"/>
  <c r="L56" i="153"/>
  <c r="V56" i="153" s="1"/>
  <c r="L56" i="75"/>
  <c r="CK66" i="67"/>
  <c r="N54" i="155"/>
  <c r="L54" i="154"/>
  <c r="V54" i="154" s="1"/>
  <c r="L54" i="153"/>
  <c r="V54" i="153" s="1"/>
  <c r="L54" i="75"/>
  <c r="CK71" i="67"/>
  <c r="L59" i="153"/>
  <c r="V59" i="153" s="1"/>
  <c r="N59" i="155"/>
  <c r="L59" i="154"/>
  <c r="V59" i="154" s="1"/>
  <c r="L59" i="75"/>
  <c r="CK70" i="67"/>
  <c r="L58" i="153"/>
  <c r="V58" i="153" s="1"/>
  <c r="N58" i="155"/>
  <c r="L58" i="154"/>
  <c r="V58" i="154" s="1"/>
  <c r="L58" i="75"/>
  <c r="CK65" i="67"/>
  <c r="N53" i="155"/>
  <c r="L53" i="154"/>
  <c r="V53" i="154" s="1"/>
  <c r="L53" i="153"/>
  <c r="V53" i="153" s="1"/>
  <c r="L53" i="75"/>
  <c r="CE82" i="67"/>
  <c r="CK67" i="67"/>
  <c r="N55" i="155"/>
  <c r="L55" i="154"/>
  <c r="V55" i="154" s="1"/>
  <c r="L55" i="153"/>
  <c r="V55" i="153" s="1"/>
  <c r="L55" i="75"/>
  <c r="P149" i="149"/>
  <c r="P150" i="149"/>
  <c r="CE78" i="67"/>
  <c r="X260" i="149"/>
  <c r="X261" i="149" s="1"/>
  <c r="X262" i="149" s="1"/>
  <c r="Z78" i="30"/>
  <c r="B10" i="156"/>
  <c r="D104" i="69"/>
  <c r="D103" i="69"/>
  <c r="BK10" i="17"/>
  <c r="AT10" i="17"/>
  <c r="AT52" i="17"/>
  <c r="AI51" i="17"/>
  <c r="AI11" i="17"/>
  <c r="P10" i="24"/>
  <c r="I9" i="24"/>
  <c r="H249" i="149"/>
  <c r="H250" i="149" s="1"/>
  <c r="H251" i="149" s="1"/>
  <c r="H252" i="149" s="1"/>
  <c r="H253" i="149" s="1"/>
  <c r="H254" i="149" s="1"/>
  <c r="H255" i="149" s="1"/>
  <c r="H256" i="149" s="1"/>
  <c r="H257" i="149" s="1"/>
  <c r="H258" i="149" s="1"/>
  <c r="H259" i="149" s="1"/>
  <c r="H260" i="149" s="1"/>
  <c r="H261" i="149" s="1"/>
  <c r="H262" i="149" s="1"/>
  <c r="G254" i="149"/>
  <c r="G255" i="149" s="1"/>
  <c r="G256" i="149" s="1"/>
  <c r="G257" i="149" s="1"/>
  <c r="G258" i="149" s="1"/>
  <c r="G259" i="149" s="1"/>
  <c r="G260" i="149" s="1"/>
  <c r="G261" i="149" s="1"/>
  <c r="G262" i="149" s="1"/>
  <c r="F12" i="69"/>
  <c r="G12" i="69" s="1"/>
  <c r="H12" i="69" s="1"/>
  <c r="I12" i="69" s="1"/>
  <c r="J12" i="69" s="1"/>
  <c r="K12" i="69" s="1"/>
  <c r="L12" i="69" s="1"/>
  <c r="M12" i="69" s="1"/>
  <c r="P156" i="149"/>
  <c r="P157" i="149" s="1"/>
  <c r="P158" i="149" s="1"/>
  <c r="P159" i="149" s="1"/>
  <c r="P160" i="149" s="1"/>
  <c r="P161" i="149" s="1"/>
  <c r="P162" i="149" s="1"/>
  <c r="P163" i="149" s="1"/>
  <c r="P164" i="149" s="1"/>
  <c r="P165" i="149" s="1"/>
  <c r="P166" i="149" s="1"/>
  <c r="P167" i="149" s="1"/>
  <c r="P168" i="149" s="1"/>
  <c r="P169" i="149" s="1"/>
  <c r="P170" i="149" s="1"/>
  <c r="P171" i="149" s="1"/>
  <c r="P172" i="149" s="1"/>
  <c r="P173" i="149" s="1"/>
  <c r="P174" i="149" s="1"/>
  <c r="P175" i="149" s="1"/>
  <c r="P176" i="149" s="1"/>
  <c r="P177" i="149" s="1"/>
  <c r="P178" i="149" s="1"/>
  <c r="P179" i="149" s="1"/>
  <c r="P180" i="149" s="1"/>
  <c r="P181" i="149" s="1"/>
  <c r="P182" i="149" s="1"/>
  <c r="P183" i="149" s="1"/>
  <c r="P184" i="149" s="1"/>
  <c r="P185" i="149" s="1"/>
  <c r="P186" i="149" s="1"/>
  <c r="P187" i="149" s="1"/>
  <c r="P188" i="149" s="1"/>
  <c r="P189" i="149" s="1"/>
  <c r="P190" i="149" s="1"/>
  <c r="P191" i="149" s="1"/>
  <c r="P192" i="149" s="1"/>
  <c r="P193" i="149" s="1"/>
  <c r="P194" i="149" s="1"/>
  <c r="P195" i="149" s="1"/>
  <c r="P196" i="149" s="1"/>
  <c r="P197" i="149" s="1"/>
  <c r="P198" i="149" s="1"/>
  <c r="P199" i="149" s="1"/>
  <c r="P200" i="149" s="1"/>
  <c r="P201" i="149" s="1"/>
  <c r="P202" i="149" s="1"/>
  <c r="P203" i="149" s="1"/>
  <c r="P204" i="149" s="1"/>
  <c r="P205" i="149" s="1"/>
  <c r="P206" i="149" s="1"/>
  <c r="P207" i="149" s="1"/>
  <c r="P208" i="149" s="1"/>
  <c r="P209" i="149" s="1"/>
  <c r="P210" i="149" s="1"/>
  <c r="P211" i="149" s="1"/>
  <c r="P212" i="149" s="1"/>
  <c r="P213" i="149" s="1"/>
  <c r="P214" i="149" s="1"/>
  <c r="P215" i="149" s="1"/>
  <c r="P216" i="149" s="1"/>
  <c r="P217" i="149" s="1"/>
  <c r="P218" i="149" s="1"/>
  <c r="P219" i="149" s="1"/>
  <c r="P220" i="149" s="1"/>
  <c r="P221" i="149" s="1"/>
  <c r="P222" i="149" s="1"/>
  <c r="P223" i="149" s="1"/>
  <c r="P224" i="149" s="1"/>
  <c r="P225" i="149" s="1"/>
  <c r="P226" i="149" s="1"/>
  <c r="P227" i="149" s="1"/>
  <c r="P228" i="149" s="1"/>
  <c r="P229" i="149" s="1"/>
  <c r="P230" i="149" s="1"/>
  <c r="P231" i="149" s="1"/>
  <c r="P232" i="149" s="1"/>
  <c r="P233" i="149" s="1"/>
  <c r="P234" i="149" s="1"/>
  <c r="P235" i="149" s="1"/>
  <c r="P236" i="149" s="1"/>
  <c r="P237" i="149" s="1"/>
  <c r="P238" i="149" s="1"/>
  <c r="P239" i="149" s="1"/>
  <c r="P240" i="149" s="1"/>
  <c r="P241" i="149" s="1"/>
  <c r="P242" i="149" s="1"/>
  <c r="P243" i="149" s="1"/>
  <c r="P244" i="149" s="1"/>
  <c r="P245" i="149" s="1"/>
  <c r="P246" i="149" s="1"/>
  <c r="P247" i="149" s="1"/>
  <c r="P248" i="149" s="1"/>
  <c r="P249" i="149" s="1"/>
  <c r="P250" i="149" s="1"/>
  <c r="P251" i="149" s="1"/>
  <c r="P252" i="149" s="1"/>
  <c r="P253" i="149" s="1"/>
  <c r="P254" i="149" s="1"/>
  <c r="P255" i="149" s="1"/>
  <c r="P256" i="149" s="1"/>
  <c r="P257" i="149" s="1"/>
  <c r="P258" i="149" s="1"/>
  <c r="P259" i="149" s="1"/>
  <c r="J65" i="38" l="1"/>
  <c r="J65" i="28"/>
  <c r="J64" i="38"/>
  <c r="J64" i="28"/>
  <c r="G128" i="151"/>
  <c r="L128" i="151" s="1"/>
  <c r="L116" i="151"/>
  <c r="G126" i="151"/>
  <c r="L126" i="151" s="1"/>
  <c r="L114" i="151"/>
  <c r="J63" i="38"/>
  <c r="J63" i="28"/>
  <c r="J68" i="38"/>
  <c r="J68" i="28"/>
  <c r="J71" i="38"/>
  <c r="J71" i="28"/>
  <c r="J69" i="38"/>
  <c r="J69" i="28"/>
  <c r="G122" i="151"/>
  <c r="L122" i="151" s="1"/>
  <c r="L110" i="151"/>
  <c r="G123" i="151"/>
  <c r="L123" i="151" s="1"/>
  <c r="L111" i="151"/>
  <c r="J73" i="38"/>
  <c r="J73" i="28"/>
  <c r="J67" i="38"/>
  <c r="J67" i="28"/>
  <c r="J84" i="38"/>
  <c r="J84" i="28"/>
  <c r="J66" i="38"/>
  <c r="J66" i="28"/>
  <c r="G127" i="151"/>
  <c r="L127" i="151" s="1"/>
  <c r="L115" i="151"/>
  <c r="J70" i="38"/>
  <c r="J70" i="28"/>
  <c r="J62" i="38"/>
  <c r="J62" i="28"/>
  <c r="AE20" i="156"/>
  <c r="AK21" i="156"/>
  <c r="AE11" i="24"/>
  <c r="AK10" i="24"/>
  <c r="AE11" i="156"/>
  <c r="AK10" i="156"/>
  <c r="N12" i="69"/>
  <c r="P260" i="149"/>
  <c r="P261" i="149" s="1"/>
  <c r="P262" i="149" s="1"/>
  <c r="E250" i="149"/>
  <c r="E251" i="149" s="1"/>
  <c r="E252" i="149" s="1"/>
  <c r="E253" i="149" s="1"/>
  <c r="E254" i="149" s="1"/>
  <c r="E255" i="149" s="1"/>
  <c r="E256" i="149" s="1"/>
  <c r="E257" i="149" s="1"/>
  <c r="E258" i="149" s="1"/>
  <c r="E259" i="149" s="1"/>
  <c r="E260" i="149" s="1"/>
  <c r="E261" i="149" s="1"/>
  <c r="E262" i="149" s="1"/>
  <c r="N62" i="69"/>
  <c r="CK82" i="67"/>
  <c r="N70" i="155"/>
  <c r="L70" i="154"/>
  <c r="V70" i="154" s="1"/>
  <c r="L70" i="153"/>
  <c r="V70" i="153" s="1"/>
  <c r="L70" i="75"/>
  <c r="CE88" i="67"/>
  <c r="CE100" i="67" s="1"/>
  <c r="CK76" i="67"/>
  <c r="N64" i="155"/>
  <c r="L64" i="154"/>
  <c r="V64" i="154" s="1"/>
  <c r="L64" i="153"/>
  <c r="V64" i="153" s="1"/>
  <c r="L64" i="75"/>
  <c r="CE94" i="67"/>
  <c r="CE106" i="67" s="1"/>
  <c r="CK78" i="67"/>
  <c r="N66" i="155"/>
  <c r="L66" i="154"/>
  <c r="V66" i="154" s="1"/>
  <c r="L66" i="153"/>
  <c r="V66" i="153" s="1"/>
  <c r="L66" i="75"/>
  <c r="CK74" i="67"/>
  <c r="L62" i="154"/>
  <c r="V62" i="154" s="1"/>
  <c r="L62" i="153"/>
  <c r="V62" i="153" s="1"/>
  <c r="N62" i="155"/>
  <c r="L62" i="75"/>
  <c r="CK75" i="67"/>
  <c r="N63" i="155"/>
  <c r="L63" i="154"/>
  <c r="V63" i="154" s="1"/>
  <c r="L63" i="153"/>
  <c r="V63" i="153" s="1"/>
  <c r="L63" i="75"/>
  <c r="CK77" i="67"/>
  <c r="N65" i="155"/>
  <c r="L65" i="153"/>
  <c r="V65" i="153" s="1"/>
  <c r="L65" i="154"/>
  <c r="V65" i="154" s="1"/>
  <c r="L65" i="75"/>
  <c r="CK79" i="67"/>
  <c r="N67" i="155"/>
  <c r="L67" i="154"/>
  <c r="V67" i="154" s="1"/>
  <c r="L67" i="153"/>
  <c r="V67" i="153" s="1"/>
  <c r="L67" i="75"/>
  <c r="CK96" i="67"/>
  <c r="N84" i="155"/>
  <c r="L84" i="154"/>
  <c r="V84" i="154" s="1"/>
  <c r="L84" i="153"/>
  <c r="V84" i="153" s="1"/>
  <c r="L84" i="75"/>
  <c r="CK80" i="67"/>
  <c r="N68" i="155"/>
  <c r="L68" i="154"/>
  <c r="V68" i="154" s="1"/>
  <c r="L68" i="153"/>
  <c r="V68" i="153" s="1"/>
  <c r="L68" i="75"/>
  <c r="CE90" i="67"/>
  <c r="CE102" i="67" s="1"/>
  <c r="CK83" i="67"/>
  <c r="N71" i="155"/>
  <c r="L71" i="154"/>
  <c r="V71" i="154" s="1"/>
  <c r="L71" i="153"/>
  <c r="V71" i="153" s="1"/>
  <c r="L71" i="75"/>
  <c r="CK81" i="67"/>
  <c r="N69" i="155"/>
  <c r="L69" i="154"/>
  <c r="V69" i="154" s="1"/>
  <c r="L69" i="153"/>
  <c r="V69" i="153" s="1"/>
  <c r="L69" i="75"/>
  <c r="CK85" i="67"/>
  <c r="N73" i="155"/>
  <c r="L73" i="154"/>
  <c r="V73" i="154" s="1"/>
  <c r="L73" i="153"/>
  <c r="V73" i="153" s="1"/>
  <c r="L73" i="75"/>
  <c r="Z79" i="30"/>
  <c r="B11" i="156"/>
  <c r="BK11" i="17"/>
  <c r="AT11" i="17"/>
  <c r="AT53" i="17"/>
  <c r="AI12" i="17"/>
  <c r="AI52" i="17"/>
  <c r="P11" i="24"/>
  <c r="I10" i="24"/>
  <c r="J80" i="38" l="1"/>
  <c r="J80" i="28"/>
  <c r="J74" i="38"/>
  <c r="J74" i="28"/>
  <c r="J83" i="38"/>
  <c r="J83" i="28"/>
  <c r="J77" i="38"/>
  <c r="J77" i="28"/>
  <c r="J79" i="38"/>
  <c r="J79" i="28"/>
  <c r="J82" i="38"/>
  <c r="J82" i="28"/>
  <c r="J78" i="38"/>
  <c r="J78" i="28"/>
  <c r="J85" i="38"/>
  <c r="J85" i="28"/>
  <c r="J75" i="38"/>
  <c r="J75" i="28"/>
  <c r="J76" i="38"/>
  <c r="J76" i="28"/>
  <c r="J81" i="38"/>
  <c r="J81" i="28"/>
  <c r="CK108" i="67"/>
  <c r="L108" i="75" s="1"/>
  <c r="J96" i="38"/>
  <c r="J96" i="28"/>
  <c r="AK20" i="156"/>
  <c r="AE19" i="156"/>
  <c r="AE12" i="24"/>
  <c r="AK12" i="24" s="1"/>
  <c r="AK11" i="24"/>
  <c r="AE12" i="156"/>
  <c r="AK11" i="156"/>
  <c r="CK89" i="67"/>
  <c r="L77" i="154"/>
  <c r="V77" i="154" s="1"/>
  <c r="L77" i="153"/>
  <c r="V77" i="153" s="1"/>
  <c r="N77" i="155"/>
  <c r="L77" i="75"/>
  <c r="CK91" i="67"/>
  <c r="N79" i="155"/>
  <c r="L79" i="154"/>
  <c r="V79" i="154" s="1"/>
  <c r="L79" i="153"/>
  <c r="V79" i="153" s="1"/>
  <c r="L79" i="75"/>
  <c r="CK93" i="67"/>
  <c r="N81" i="155"/>
  <c r="L81" i="154"/>
  <c r="V81" i="154" s="1"/>
  <c r="L81" i="153"/>
  <c r="V81" i="153" s="1"/>
  <c r="L81" i="75"/>
  <c r="CK92" i="67"/>
  <c r="N80" i="155"/>
  <c r="L80" i="154"/>
  <c r="V80" i="154" s="1"/>
  <c r="L80" i="153"/>
  <c r="V80" i="153" s="1"/>
  <c r="L80" i="75"/>
  <c r="CK95" i="67"/>
  <c r="N83" i="155"/>
  <c r="L83" i="154"/>
  <c r="V83" i="154" s="1"/>
  <c r="L83" i="153"/>
  <c r="V83" i="153" s="1"/>
  <c r="L83" i="75"/>
  <c r="CK87" i="67"/>
  <c r="L75" i="153"/>
  <c r="V75" i="153" s="1"/>
  <c r="L75" i="154"/>
  <c r="V75" i="154" s="1"/>
  <c r="N75" i="155"/>
  <c r="L75" i="75"/>
  <c r="CK94" i="67"/>
  <c r="N82" i="155"/>
  <c r="L82" i="154"/>
  <c r="V82" i="154" s="1"/>
  <c r="L82" i="153"/>
  <c r="V82" i="153" s="1"/>
  <c r="L82" i="75"/>
  <c r="CK86" i="67"/>
  <c r="L74" i="153"/>
  <c r="V74" i="153" s="1"/>
  <c r="N74" i="155"/>
  <c r="L74" i="154"/>
  <c r="V74" i="154" s="1"/>
  <c r="L74" i="75"/>
  <c r="CK88" i="67"/>
  <c r="L76" i="154"/>
  <c r="V76" i="154" s="1"/>
  <c r="L76" i="153"/>
  <c r="V76" i="153" s="1"/>
  <c r="N76" i="155"/>
  <c r="L76" i="75"/>
  <c r="N96" i="155"/>
  <c r="L96" i="154"/>
  <c r="L96" i="153"/>
  <c r="V96" i="153" s="1"/>
  <c r="L96" i="75"/>
  <c r="CK97" i="67"/>
  <c r="N85" i="155"/>
  <c r="L85" i="154"/>
  <c r="V85" i="154" s="1"/>
  <c r="L85" i="153"/>
  <c r="V85" i="153" s="1"/>
  <c r="L85" i="75"/>
  <c r="CK90" i="67"/>
  <c r="L78" i="154"/>
  <c r="V78" i="154" s="1"/>
  <c r="N78" i="155"/>
  <c r="L78" i="153"/>
  <c r="V78" i="153" s="1"/>
  <c r="L78" i="75"/>
  <c r="Z80" i="30"/>
  <c r="B12" i="156"/>
  <c r="BK12" i="17"/>
  <c r="AT54" i="17"/>
  <c r="AT12" i="17"/>
  <c r="AI53" i="17"/>
  <c r="AI13" i="17"/>
  <c r="P12" i="24"/>
  <c r="I11" i="24"/>
  <c r="N108" i="155" l="1"/>
  <c r="CK99" i="67"/>
  <c r="N99" i="155" s="1"/>
  <c r="J87" i="38"/>
  <c r="J87" i="28"/>
  <c r="J97" i="38"/>
  <c r="J97" i="28"/>
  <c r="CK105" i="67"/>
  <c r="L105" i="153" s="1"/>
  <c r="V105" i="153" s="1"/>
  <c r="J93" i="38"/>
  <c r="J93" i="28"/>
  <c r="L108" i="153"/>
  <c r="V108" i="153" s="1"/>
  <c r="CK102" i="67"/>
  <c r="L102" i="154" s="1"/>
  <c r="V102" i="154" s="1"/>
  <c r="J90" i="38"/>
  <c r="J90" i="28"/>
  <c r="L108" i="154"/>
  <c r="V108" i="154" s="1"/>
  <c r="CK103" i="67"/>
  <c r="N103" i="155" s="1"/>
  <c r="J91" i="38"/>
  <c r="J91" i="28"/>
  <c r="CK107" i="67"/>
  <c r="L107" i="75" s="1"/>
  <c r="J95" i="38"/>
  <c r="J95" i="28"/>
  <c r="CK100" i="67"/>
  <c r="N100" i="155" s="1"/>
  <c r="J88" i="38"/>
  <c r="J88" i="28"/>
  <c r="CK98" i="67"/>
  <c r="L98" i="154" s="1"/>
  <c r="V98" i="154" s="1"/>
  <c r="J86" i="38"/>
  <c r="J86" i="28"/>
  <c r="CK101" i="67"/>
  <c r="N101" i="155" s="1"/>
  <c r="J89" i="38"/>
  <c r="J89" i="28"/>
  <c r="CK106" i="67"/>
  <c r="N106" i="155" s="1"/>
  <c r="J94" i="38"/>
  <c r="J94" i="28"/>
  <c r="J108" i="38"/>
  <c r="T108" i="38" s="1"/>
  <c r="J108" i="28"/>
  <c r="T108" i="28" s="1"/>
  <c r="CK104" i="67"/>
  <c r="L104" i="154" s="1"/>
  <c r="V104" i="154" s="1"/>
  <c r="J92" i="38"/>
  <c r="J92" i="28"/>
  <c r="L97" i="75"/>
  <c r="CK109" i="67"/>
  <c r="AK19" i="156"/>
  <c r="AE18" i="156"/>
  <c r="AK18" i="156" s="1"/>
  <c r="AK12" i="156"/>
  <c r="L90" i="153"/>
  <c r="V90" i="153" s="1"/>
  <c r="N90" i="155"/>
  <c r="L90" i="154"/>
  <c r="L90" i="75"/>
  <c r="L93" i="154"/>
  <c r="L93" i="153"/>
  <c r="V93" i="153" s="1"/>
  <c r="N93" i="155"/>
  <c r="L93" i="75"/>
  <c r="N120" i="155"/>
  <c r="N95" i="155"/>
  <c r="L95" i="154"/>
  <c r="L95" i="153"/>
  <c r="V95" i="153" s="1"/>
  <c r="L95" i="75"/>
  <c r="L94" i="154"/>
  <c r="L94" i="153"/>
  <c r="V94" i="153" s="1"/>
  <c r="N94" i="155"/>
  <c r="L94" i="75"/>
  <c r="L91" i="153"/>
  <c r="V91" i="153" s="1"/>
  <c r="N91" i="155"/>
  <c r="L91" i="154"/>
  <c r="L91" i="75"/>
  <c r="N97" i="155"/>
  <c r="L97" i="153"/>
  <c r="V97" i="153" s="1"/>
  <c r="L97" i="154"/>
  <c r="L89" i="153"/>
  <c r="V89" i="153" s="1"/>
  <c r="N89" i="155"/>
  <c r="L89" i="154"/>
  <c r="L89" i="75"/>
  <c r="N88" i="155"/>
  <c r="L88" i="154"/>
  <c r="L88" i="153"/>
  <c r="V88" i="153" s="1"/>
  <c r="L88" i="75"/>
  <c r="L92" i="154"/>
  <c r="L92" i="153"/>
  <c r="V92" i="153" s="1"/>
  <c r="N92" i="155"/>
  <c r="L92" i="75"/>
  <c r="N87" i="155"/>
  <c r="L87" i="154"/>
  <c r="L87" i="153"/>
  <c r="V87" i="153" s="1"/>
  <c r="L87" i="75"/>
  <c r="N86" i="155"/>
  <c r="L86" i="154"/>
  <c r="L86" i="153"/>
  <c r="V86" i="153" s="1"/>
  <c r="L86" i="75"/>
  <c r="V96" i="154"/>
  <c r="Z81" i="30"/>
  <c r="BK13" i="17"/>
  <c r="AT13" i="17"/>
  <c r="AI54" i="17"/>
  <c r="I12" i="24"/>
  <c r="N105" i="155" l="1"/>
  <c r="L105" i="154"/>
  <c r="V105" i="154" s="1"/>
  <c r="L100" i="153"/>
  <c r="V100" i="153" s="1"/>
  <c r="L100" i="154"/>
  <c r="V100" i="154" s="1"/>
  <c r="L103" i="153"/>
  <c r="V103" i="153" s="1"/>
  <c r="L101" i="154"/>
  <c r="V101" i="154" s="1"/>
  <c r="L101" i="75"/>
  <c r="L102" i="75"/>
  <c r="L106" i="154"/>
  <c r="V106" i="154" s="1"/>
  <c r="L99" i="75"/>
  <c r="N107" i="155"/>
  <c r="N119" i="155" s="1"/>
  <c r="L99" i="154"/>
  <c r="V99" i="154" s="1"/>
  <c r="L104" i="75"/>
  <c r="N102" i="155"/>
  <c r="N114" i="155" s="1"/>
  <c r="L99" i="153"/>
  <c r="V99" i="153" s="1"/>
  <c r="L104" i="153"/>
  <c r="V104" i="153" s="1"/>
  <c r="N104" i="155"/>
  <c r="N116" i="155" s="1"/>
  <c r="L102" i="153"/>
  <c r="V102" i="153" s="1"/>
  <c r="L107" i="154"/>
  <c r="V107" i="154" s="1"/>
  <c r="L107" i="153"/>
  <c r="V107" i="153" s="1"/>
  <c r="L103" i="75"/>
  <c r="J106" i="38"/>
  <c r="T106" i="38" s="1"/>
  <c r="J106" i="28"/>
  <c r="T106" i="28" s="1"/>
  <c r="J103" i="38"/>
  <c r="T103" i="38" s="1"/>
  <c r="J103" i="28"/>
  <c r="T103" i="28" s="1"/>
  <c r="J109" i="38"/>
  <c r="T109" i="38" s="1"/>
  <c r="J109" i="28"/>
  <c r="T109" i="28" s="1"/>
  <c r="L106" i="153"/>
  <c r="V106" i="153" s="1"/>
  <c r="J101" i="38"/>
  <c r="T101" i="38" s="1"/>
  <c r="J101" i="28"/>
  <c r="T101" i="28" s="1"/>
  <c r="J102" i="38"/>
  <c r="T102" i="38" s="1"/>
  <c r="J102" i="28"/>
  <c r="T102" i="28" s="1"/>
  <c r="L106" i="75"/>
  <c r="L98" i="75"/>
  <c r="J100" i="38"/>
  <c r="T100" i="38" s="1"/>
  <c r="J100" i="28"/>
  <c r="T100" i="28" s="1"/>
  <c r="L100" i="75"/>
  <c r="J104" i="38"/>
  <c r="T104" i="38" s="1"/>
  <c r="J104" i="28"/>
  <c r="T104" i="28" s="1"/>
  <c r="J98" i="38"/>
  <c r="T98" i="38" s="1"/>
  <c r="J98" i="28"/>
  <c r="T98" i="28" s="1"/>
  <c r="J105" i="38"/>
  <c r="T105" i="38" s="1"/>
  <c r="J105" i="28"/>
  <c r="T105" i="28" s="1"/>
  <c r="L105" i="75"/>
  <c r="L98" i="153"/>
  <c r="V98" i="153" s="1"/>
  <c r="L101" i="153"/>
  <c r="V101" i="153" s="1"/>
  <c r="N98" i="155"/>
  <c r="N110" i="155" s="1"/>
  <c r="L103" i="154"/>
  <c r="V103" i="154" s="1"/>
  <c r="J107" i="38"/>
  <c r="T107" i="38" s="1"/>
  <c r="J107" i="28"/>
  <c r="T107" i="28" s="1"/>
  <c r="J99" i="38"/>
  <c r="T99" i="38" s="1"/>
  <c r="J99" i="28"/>
  <c r="T99" i="28" s="1"/>
  <c r="N109" i="155"/>
  <c r="N121" i="155" s="1"/>
  <c r="L109" i="75"/>
  <c r="L109" i="154"/>
  <c r="V109" i="154" s="1"/>
  <c r="L109" i="153"/>
  <c r="V109" i="153" s="1"/>
  <c r="V95" i="154"/>
  <c r="V86" i="154"/>
  <c r="V88" i="154"/>
  <c r="N132" i="155"/>
  <c r="X132" i="155" s="1"/>
  <c r="X120" i="155"/>
  <c r="N112" i="155"/>
  <c r="V91" i="154"/>
  <c r="N115" i="155"/>
  <c r="V87" i="154"/>
  <c r="N113" i="155"/>
  <c r="N111" i="155"/>
  <c r="N118" i="155"/>
  <c r="V89" i="154"/>
  <c r="N117" i="155"/>
  <c r="V93" i="154"/>
  <c r="L120" i="154"/>
  <c r="V94" i="154"/>
  <c r="V92" i="154"/>
  <c r="V97" i="154"/>
  <c r="V90" i="154"/>
  <c r="BK15" i="17"/>
  <c r="BK16" i="17" s="1"/>
  <c r="AI15" i="17"/>
  <c r="L119" i="154" l="1"/>
  <c r="X117" i="155"/>
  <c r="N129" i="155"/>
  <c r="X129" i="155" s="1"/>
  <c r="N127" i="155"/>
  <c r="X127" i="155" s="1"/>
  <c r="X115" i="155"/>
  <c r="N126" i="155"/>
  <c r="X126" i="155" s="1"/>
  <c r="X114" i="155"/>
  <c r="X112" i="155"/>
  <c r="N124" i="155"/>
  <c r="X124" i="155" s="1"/>
  <c r="L114" i="154"/>
  <c r="L113" i="154"/>
  <c r="X113" i="155"/>
  <c r="N125" i="155"/>
  <c r="X125" i="155" s="1"/>
  <c r="L121" i="154"/>
  <c r="N130" i="155"/>
  <c r="X130" i="155" s="1"/>
  <c r="X118" i="155"/>
  <c r="L112" i="154"/>
  <c r="L132" i="154"/>
  <c r="V132" i="154" s="1"/>
  <c r="V120" i="154"/>
  <c r="L116" i="154"/>
  <c r="X111" i="155"/>
  <c r="N123" i="155"/>
  <c r="X123" i="155" s="1"/>
  <c r="X119" i="155"/>
  <c r="N131" i="155"/>
  <c r="X131" i="155" s="1"/>
  <c r="L118" i="154"/>
  <c r="X110" i="155"/>
  <c r="N122" i="155"/>
  <c r="X122" i="155" s="1"/>
  <c r="X116" i="155"/>
  <c r="N128" i="155"/>
  <c r="X128" i="155" s="1"/>
  <c r="L111" i="154"/>
  <c r="L110" i="154"/>
  <c r="N133" i="155"/>
  <c r="X133" i="155" s="1"/>
  <c r="X121" i="155"/>
  <c r="L117" i="154"/>
  <c r="L115" i="154"/>
  <c r="AT15" i="17"/>
  <c r="AT57" i="17"/>
  <c r="AI16" i="17"/>
  <c r="L133" i="154" l="1"/>
  <c r="V133" i="154" s="1"/>
  <c r="V121" i="154"/>
  <c r="V118" i="154"/>
  <c r="L130" i="154"/>
  <c r="V130" i="154" s="1"/>
  <c r="V115" i="154"/>
  <c r="L127" i="154"/>
  <c r="V127" i="154" s="1"/>
  <c r="L125" i="154"/>
  <c r="V125" i="154" s="1"/>
  <c r="V113" i="154"/>
  <c r="V117" i="154"/>
  <c r="L129" i="154"/>
  <c r="V129" i="154" s="1"/>
  <c r="V114" i="154"/>
  <c r="L126" i="154"/>
  <c r="V126" i="154" s="1"/>
  <c r="V110" i="154"/>
  <c r="L122" i="154"/>
  <c r="V122" i="154" s="1"/>
  <c r="L131" i="154"/>
  <c r="V131" i="154" s="1"/>
  <c r="V119" i="154"/>
  <c r="V116" i="154"/>
  <c r="L128" i="154"/>
  <c r="V128" i="154" s="1"/>
  <c r="L123" i="154"/>
  <c r="V123" i="154" s="1"/>
  <c r="V111" i="154"/>
  <c r="L124" i="154"/>
  <c r="V124" i="154" s="1"/>
  <c r="V112" i="154"/>
  <c r="AT58" i="17"/>
  <c r="AT16" i="17"/>
  <c r="AI57" i="17"/>
  <c r="A110" i="154" l="1"/>
  <c r="AI58" i="17"/>
  <c r="A110" i="155" l="1"/>
  <c r="A111" i="154"/>
  <c r="C110" i="154"/>
  <c r="B110" i="154"/>
  <c r="A110" i="151"/>
  <c r="A112" i="154" l="1"/>
  <c r="C111" i="154"/>
  <c r="B111" i="154"/>
  <c r="A111" i="155"/>
  <c r="C110" i="155"/>
  <c r="B110" i="155"/>
  <c r="C110" i="151"/>
  <c r="B110" i="151"/>
  <c r="A111" i="151"/>
  <c r="A110" i="152"/>
  <c r="N5" i="15"/>
  <c r="Z5" i="15" s="1"/>
  <c r="H5" i="15"/>
  <c r="T5" i="15" s="1"/>
  <c r="B6" i="15"/>
  <c r="B7" i="15" s="1"/>
  <c r="B8" i="15" s="1"/>
  <c r="B9" i="15" s="1"/>
  <c r="B10" i="15" s="1"/>
  <c r="B11" i="15" s="1"/>
  <c r="B12" i="15" s="1"/>
  <c r="N12" i="15" s="1"/>
  <c r="Z12" i="15" s="1"/>
  <c r="M3" i="38"/>
  <c r="M4" i="38"/>
  <c r="M5" i="38"/>
  <c r="M6" i="38"/>
  <c r="M7" i="38"/>
  <c r="M8" i="38"/>
  <c r="M9" i="38"/>
  <c r="M10" i="38"/>
  <c r="M11" i="38"/>
  <c r="M12" i="38"/>
  <c r="M13" i="38"/>
  <c r="M14" i="38"/>
  <c r="M15" i="38"/>
  <c r="M16" i="38"/>
  <c r="M17" i="38"/>
  <c r="M18" i="38"/>
  <c r="M19" i="38"/>
  <c r="M20" i="38"/>
  <c r="M21" i="38"/>
  <c r="M22" i="38"/>
  <c r="M23" i="38"/>
  <c r="M24" i="38"/>
  <c r="M25" i="38"/>
  <c r="M26" i="38"/>
  <c r="M27" i="38"/>
  <c r="M28" i="38"/>
  <c r="M29" i="38"/>
  <c r="M30" i="38"/>
  <c r="M31" i="38"/>
  <c r="M32" i="38"/>
  <c r="M33" i="38"/>
  <c r="M34" i="38"/>
  <c r="M35" i="38"/>
  <c r="M36" i="38"/>
  <c r="M37" i="38"/>
  <c r="M38" i="38"/>
  <c r="M39" i="38"/>
  <c r="M40" i="38"/>
  <c r="M41" i="38"/>
  <c r="M42" i="38"/>
  <c r="M43" i="38"/>
  <c r="M44" i="38"/>
  <c r="M45" i="38"/>
  <c r="M46" i="38"/>
  <c r="M47" i="38"/>
  <c r="M48" i="38"/>
  <c r="M49" i="38"/>
  <c r="M50" i="38"/>
  <c r="M51" i="38"/>
  <c r="M52" i="38"/>
  <c r="M53" i="38"/>
  <c r="M54" i="38"/>
  <c r="M55" i="38"/>
  <c r="M56" i="38"/>
  <c r="M57" i="38"/>
  <c r="M58" i="38"/>
  <c r="M59" i="38"/>
  <c r="M60" i="38"/>
  <c r="M61" i="38"/>
  <c r="M62" i="38"/>
  <c r="M63" i="38"/>
  <c r="M64" i="38"/>
  <c r="M65" i="38"/>
  <c r="M66" i="38"/>
  <c r="M67" i="38"/>
  <c r="M68" i="38"/>
  <c r="M69" i="38"/>
  <c r="M70" i="38"/>
  <c r="M71" i="38"/>
  <c r="M72" i="38"/>
  <c r="M73" i="38"/>
  <c r="M74" i="38"/>
  <c r="M75" i="38"/>
  <c r="M76" i="38"/>
  <c r="M77" i="38"/>
  <c r="M78" i="38"/>
  <c r="M79" i="38"/>
  <c r="M80" i="38"/>
  <c r="M81" i="38"/>
  <c r="M82" i="38"/>
  <c r="M83" i="38"/>
  <c r="M84" i="38"/>
  <c r="M85" i="38"/>
  <c r="M86" i="38"/>
  <c r="M87" i="38"/>
  <c r="M88" i="38"/>
  <c r="M89" i="38"/>
  <c r="M90" i="38"/>
  <c r="M91" i="38"/>
  <c r="M92" i="38"/>
  <c r="M93" i="38"/>
  <c r="M94" i="38"/>
  <c r="M95" i="38"/>
  <c r="M96" i="38"/>
  <c r="M97" i="38"/>
  <c r="M110" i="38"/>
  <c r="L1" i="38"/>
  <c r="V1" i="38" s="1"/>
  <c r="K1" i="38"/>
  <c r="U1" i="38" s="1"/>
  <c r="T3" i="38"/>
  <c r="T4" i="38"/>
  <c r="T5" i="38"/>
  <c r="T6" i="38"/>
  <c r="T7" i="38"/>
  <c r="T8" i="38"/>
  <c r="T9" i="38"/>
  <c r="T10" i="38"/>
  <c r="T11" i="38"/>
  <c r="T12" i="38"/>
  <c r="T13" i="38"/>
  <c r="T14" i="38"/>
  <c r="T15" i="38"/>
  <c r="T16" i="38"/>
  <c r="T17" i="38"/>
  <c r="T18" i="38"/>
  <c r="T19" i="38"/>
  <c r="T20" i="38"/>
  <c r="T21" i="38"/>
  <c r="T22" i="38"/>
  <c r="T23" i="38"/>
  <c r="T24" i="38"/>
  <c r="T25" i="38"/>
  <c r="T26" i="38"/>
  <c r="T27" i="38"/>
  <c r="T28" i="38"/>
  <c r="T29" i="38"/>
  <c r="T30" i="38"/>
  <c r="T31" i="38"/>
  <c r="T32" i="38"/>
  <c r="T33" i="38"/>
  <c r="T34" i="38"/>
  <c r="T35" i="38"/>
  <c r="T36" i="38"/>
  <c r="T37" i="38"/>
  <c r="T38" i="38"/>
  <c r="T39" i="38"/>
  <c r="T40" i="38"/>
  <c r="T41" i="38"/>
  <c r="T42" i="38"/>
  <c r="T43" i="38"/>
  <c r="T44" i="38"/>
  <c r="T45" i="38"/>
  <c r="T46" i="38"/>
  <c r="T47" i="38"/>
  <c r="T48" i="38"/>
  <c r="T49" i="38"/>
  <c r="T50" i="38"/>
  <c r="T51" i="38"/>
  <c r="T52" i="38"/>
  <c r="T53" i="38"/>
  <c r="T54" i="38"/>
  <c r="T55" i="38"/>
  <c r="T56" i="38"/>
  <c r="T57" i="38"/>
  <c r="T58" i="38"/>
  <c r="T59" i="38"/>
  <c r="T60" i="38"/>
  <c r="T61" i="38"/>
  <c r="T2" i="38"/>
  <c r="T1" i="38"/>
  <c r="G1" i="38"/>
  <c r="E1" i="38"/>
  <c r="L1" i="28"/>
  <c r="V1" i="28" s="1"/>
  <c r="K1" i="28"/>
  <c r="U1" i="28" s="1"/>
  <c r="T3" i="28"/>
  <c r="T4" i="28"/>
  <c r="T5" i="28"/>
  <c r="T6" i="28"/>
  <c r="T7" i="28"/>
  <c r="T8" i="28"/>
  <c r="T9" i="28"/>
  <c r="T10" i="28"/>
  <c r="T11" i="28"/>
  <c r="T12" i="28"/>
  <c r="T13" i="28"/>
  <c r="T14" i="28"/>
  <c r="T15" i="28"/>
  <c r="T16" i="28"/>
  <c r="T17" i="28"/>
  <c r="T18" i="28"/>
  <c r="T19" i="28"/>
  <c r="T20" i="28"/>
  <c r="T21" i="28"/>
  <c r="T22" i="28"/>
  <c r="T23" i="28"/>
  <c r="T24" i="28"/>
  <c r="T25" i="28"/>
  <c r="T26" i="28"/>
  <c r="T27" i="28"/>
  <c r="T28" i="28"/>
  <c r="T29" i="28"/>
  <c r="T30" i="28"/>
  <c r="T31" i="28"/>
  <c r="T32" i="28"/>
  <c r="T33" i="28"/>
  <c r="T34" i="28"/>
  <c r="T35" i="28"/>
  <c r="T36" i="28"/>
  <c r="T37" i="28"/>
  <c r="T38" i="28"/>
  <c r="T39" i="28"/>
  <c r="T40" i="28"/>
  <c r="T41" i="28"/>
  <c r="T42" i="28"/>
  <c r="T43" i="28"/>
  <c r="T44" i="28"/>
  <c r="T45" i="28"/>
  <c r="T46" i="28"/>
  <c r="T47" i="28"/>
  <c r="T48" i="28"/>
  <c r="T49" i="28"/>
  <c r="T50" i="28"/>
  <c r="T51" i="28"/>
  <c r="T52" i="28"/>
  <c r="T53" i="28"/>
  <c r="T54" i="28"/>
  <c r="T55" i="28"/>
  <c r="T56" i="28"/>
  <c r="T57" i="28"/>
  <c r="T58" i="28"/>
  <c r="T59" i="28"/>
  <c r="T60" i="28"/>
  <c r="T61" i="28"/>
  <c r="T2" i="28"/>
  <c r="T1" i="28"/>
  <c r="G1" i="28"/>
  <c r="E1" i="28"/>
  <c r="C111" i="155" l="1"/>
  <c r="B111" i="155"/>
  <c r="A112" i="155"/>
  <c r="B112" i="154"/>
  <c r="A113" i="154"/>
  <c r="C112" i="154"/>
  <c r="B110" i="152"/>
  <c r="A111" i="152"/>
  <c r="C110" i="152"/>
  <c r="C111" i="151"/>
  <c r="B111" i="151"/>
  <c r="A112" i="151"/>
  <c r="H12" i="15"/>
  <c r="T12" i="15" s="1"/>
  <c r="H11" i="15"/>
  <c r="T11" i="15" s="1"/>
  <c r="H10" i="15"/>
  <c r="T10" i="15" s="1"/>
  <c r="H9" i="15"/>
  <c r="T9" i="15" s="1"/>
  <c r="H8" i="15"/>
  <c r="T8" i="15" s="1"/>
  <c r="H7" i="15"/>
  <c r="T7" i="15" s="1"/>
  <c r="H6" i="15"/>
  <c r="T6" i="15" s="1"/>
  <c r="N11" i="15"/>
  <c r="Z11" i="15" s="1"/>
  <c r="N10" i="15"/>
  <c r="Z10" i="15" s="1"/>
  <c r="N9" i="15"/>
  <c r="Z9" i="15" s="1"/>
  <c r="N8" i="15"/>
  <c r="Z8" i="15" s="1"/>
  <c r="N7" i="15"/>
  <c r="Z7" i="15" s="1"/>
  <c r="N6" i="15"/>
  <c r="Z6" i="15" s="1"/>
  <c r="C113" i="154" l="1"/>
  <c r="B113" i="154"/>
  <c r="A114" i="154"/>
  <c r="A113" i="155"/>
  <c r="C112" i="155"/>
  <c r="B112" i="155"/>
  <c r="C112" i="151"/>
  <c r="B112" i="151"/>
  <c r="A113" i="151"/>
  <c r="C111" i="152"/>
  <c r="B111" i="152"/>
  <c r="A112" i="152"/>
  <c r="C113" i="155" l="1"/>
  <c r="B113" i="155"/>
  <c r="A114" i="155"/>
  <c r="A115" i="154"/>
  <c r="C114" i="154"/>
  <c r="B114" i="154"/>
  <c r="C112" i="152"/>
  <c r="B112" i="152"/>
  <c r="A113" i="152"/>
  <c r="A114" i="151"/>
  <c r="C113" i="151"/>
  <c r="B113" i="151"/>
  <c r="B115" i="154" l="1"/>
  <c r="A116" i="154"/>
  <c r="C115" i="154"/>
  <c r="A115" i="155"/>
  <c r="C114" i="155"/>
  <c r="B114" i="155"/>
  <c r="C114" i="151"/>
  <c r="B114" i="151"/>
  <c r="A115" i="151"/>
  <c r="C113" i="152"/>
  <c r="B113" i="152"/>
  <c r="A114" i="152"/>
  <c r="R16" i="65"/>
  <c r="AY2" i="67" s="1"/>
  <c r="S16" i="65"/>
  <c r="T16" i="65"/>
  <c r="U16" i="65"/>
  <c r="R17" i="65"/>
  <c r="AY3" i="67" s="1"/>
  <c r="S17" i="65"/>
  <c r="T17" i="65"/>
  <c r="U17" i="65"/>
  <c r="R18" i="65"/>
  <c r="AY4" i="67" s="1"/>
  <c r="S18" i="65"/>
  <c r="T18" i="65"/>
  <c r="U18" i="65"/>
  <c r="R19" i="65"/>
  <c r="AY5" i="67" s="1"/>
  <c r="S19" i="65"/>
  <c r="T19" i="65"/>
  <c r="U19" i="65"/>
  <c r="R20" i="65"/>
  <c r="AY6" i="67" s="1"/>
  <c r="S20" i="65"/>
  <c r="T20" i="65"/>
  <c r="U20" i="65"/>
  <c r="R21" i="65"/>
  <c r="AY7" i="67" s="1"/>
  <c r="S21" i="65"/>
  <c r="T21" i="65"/>
  <c r="U21" i="65"/>
  <c r="R22" i="65"/>
  <c r="AY8" i="67" s="1"/>
  <c r="S22" i="65"/>
  <c r="T22" i="65"/>
  <c r="U22" i="65"/>
  <c r="R23" i="65"/>
  <c r="AY9" i="67" s="1"/>
  <c r="S23" i="65"/>
  <c r="T23" i="65"/>
  <c r="U23" i="65"/>
  <c r="R24" i="65"/>
  <c r="AY10" i="67" s="1"/>
  <c r="S24" i="65"/>
  <c r="T24" i="65"/>
  <c r="U24" i="65"/>
  <c r="R25" i="65"/>
  <c r="AY11" i="67" s="1"/>
  <c r="S25" i="65"/>
  <c r="T25" i="65"/>
  <c r="U25" i="65"/>
  <c r="R26" i="65"/>
  <c r="AY12" i="67" s="1"/>
  <c r="S26" i="65"/>
  <c r="T26" i="65"/>
  <c r="U26" i="65"/>
  <c r="R27" i="65"/>
  <c r="AY13" i="67" s="1"/>
  <c r="S27" i="65"/>
  <c r="T27" i="65"/>
  <c r="U27" i="65"/>
  <c r="B4" i="65"/>
  <c r="B5" i="65"/>
  <c r="B6" i="65"/>
  <c r="B7" i="65"/>
  <c r="B8" i="65"/>
  <c r="B9" i="65"/>
  <c r="B10" i="65"/>
  <c r="B11" i="65"/>
  <c r="B12" i="65"/>
  <c r="B13" i="65"/>
  <c r="B14" i="65"/>
  <c r="B15" i="65"/>
  <c r="AT3" i="67"/>
  <c r="AU3" i="67"/>
  <c r="AV3" i="67"/>
  <c r="AW3" i="67"/>
  <c r="AT4" i="67"/>
  <c r="AU4" i="67"/>
  <c r="AV4" i="67"/>
  <c r="AW4" i="67"/>
  <c r="AT5" i="67"/>
  <c r="AU5" i="67"/>
  <c r="AV5" i="67"/>
  <c r="AW5" i="67"/>
  <c r="AT6" i="67"/>
  <c r="AU6" i="67"/>
  <c r="AV6" i="67"/>
  <c r="AW6" i="67"/>
  <c r="AT7" i="67"/>
  <c r="AU7" i="67"/>
  <c r="AV7" i="67"/>
  <c r="AW7" i="67"/>
  <c r="AT8" i="67"/>
  <c r="AU8" i="67"/>
  <c r="AV8" i="67"/>
  <c r="AW8" i="67"/>
  <c r="AT9" i="67"/>
  <c r="AU9" i="67"/>
  <c r="AV9" i="67"/>
  <c r="AW9" i="67"/>
  <c r="AT10" i="67"/>
  <c r="AU10" i="67"/>
  <c r="AV10" i="67"/>
  <c r="AW10" i="67"/>
  <c r="AT11" i="67"/>
  <c r="AU11" i="67"/>
  <c r="AV11" i="67"/>
  <c r="AW11" i="67"/>
  <c r="AT12" i="67"/>
  <c r="AU12" i="67"/>
  <c r="AV12" i="67"/>
  <c r="AW12" i="67"/>
  <c r="AT13" i="67"/>
  <c r="AU13" i="67"/>
  <c r="AV13" i="67"/>
  <c r="AW13" i="67"/>
  <c r="AT14" i="67"/>
  <c r="AU14" i="67"/>
  <c r="AV14" i="67"/>
  <c r="AW14" i="67"/>
  <c r="AT15" i="67"/>
  <c r="AU15" i="67"/>
  <c r="AV15" i="67"/>
  <c r="AW15" i="67"/>
  <c r="AT16" i="67"/>
  <c r="AU16" i="67"/>
  <c r="AV16" i="67"/>
  <c r="AW16" i="67"/>
  <c r="AT17" i="67"/>
  <c r="AU17" i="67"/>
  <c r="AV17" i="67"/>
  <c r="AW17" i="67"/>
  <c r="AT18" i="67"/>
  <c r="AU18" i="67"/>
  <c r="AV18" i="67"/>
  <c r="AW18" i="67"/>
  <c r="AT19" i="67"/>
  <c r="AU19" i="67"/>
  <c r="AV19" i="67"/>
  <c r="AW19" i="67"/>
  <c r="AT20" i="67"/>
  <c r="AU20" i="67"/>
  <c r="AV20" i="67"/>
  <c r="AW20" i="67"/>
  <c r="AT21" i="67"/>
  <c r="AU21" i="67"/>
  <c r="AV21" i="67"/>
  <c r="AW21" i="67"/>
  <c r="AT22" i="67"/>
  <c r="AU22" i="67"/>
  <c r="AV22" i="67"/>
  <c r="AW22" i="67"/>
  <c r="AT23" i="67"/>
  <c r="AU23" i="67"/>
  <c r="AV23" i="67"/>
  <c r="AW23" i="67"/>
  <c r="AT24" i="67"/>
  <c r="AU24" i="67"/>
  <c r="AV24" i="67"/>
  <c r="AW24" i="67"/>
  <c r="AT25" i="67"/>
  <c r="AU25" i="67"/>
  <c r="AV25" i="67"/>
  <c r="AW25" i="67"/>
  <c r="AT26" i="67"/>
  <c r="AU26" i="67"/>
  <c r="AV26" i="67"/>
  <c r="AW26" i="67"/>
  <c r="AT27" i="67"/>
  <c r="AU27" i="67"/>
  <c r="AV27" i="67"/>
  <c r="AW27" i="67"/>
  <c r="AT28" i="67"/>
  <c r="AU28" i="67"/>
  <c r="AV28" i="67"/>
  <c r="AW28" i="67"/>
  <c r="AT29" i="67"/>
  <c r="AU29" i="67"/>
  <c r="AV29" i="67"/>
  <c r="AW29" i="67"/>
  <c r="AT30" i="67"/>
  <c r="AU30" i="67"/>
  <c r="AV30" i="67"/>
  <c r="AW30" i="67"/>
  <c r="AT31" i="67"/>
  <c r="AU31" i="67"/>
  <c r="AV31" i="67"/>
  <c r="AW31" i="67"/>
  <c r="AT32" i="67"/>
  <c r="AU32" i="67"/>
  <c r="AV32" i="67"/>
  <c r="AW32" i="67"/>
  <c r="AT33" i="67"/>
  <c r="AU33" i="67"/>
  <c r="AV33" i="67"/>
  <c r="AW33" i="67"/>
  <c r="AT34" i="67"/>
  <c r="AU34" i="67"/>
  <c r="AV34" i="67"/>
  <c r="AW34" i="67"/>
  <c r="AT35" i="67"/>
  <c r="AU35" i="67"/>
  <c r="AV35" i="67"/>
  <c r="AW35" i="67"/>
  <c r="AT36" i="67"/>
  <c r="AU36" i="67"/>
  <c r="AV36" i="67"/>
  <c r="AW36" i="67"/>
  <c r="AT37" i="67"/>
  <c r="AU37" i="67"/>
  <c r="AV37" i="67"/>
  <c r="AW37" i="67"/>
  <c r="AT38" i="67"/>
  <c r="AU38" i="67"/>
  <c r="AV38" i="67"/>
  <c r="AW38" i="67"/>
  <c r="AT39" i="67"/>
  <c r="AU39" i="67"/>
  <c r="AV39" i="67"/>
  <c r="AW39" i="67"/>
  <c r="AT40" i="67"/>
  <c r="AU40" i="67"/>
  <c r="AV40" i="67"/>
  <c r="AW40" i="67"/>
  <c r="AT41" i="67"/>
  <c r="AU41" i="67"/>
  <c r="AV41" i="67"/>
  <c r="AW41" i="67"/>
  <c r="AT42" i="67"/>
  <c r="AU42" i="67"/>
  <c r="AV42" i="67"/>
  <c r="AW42" i="67"/>
  <c r="AT43" i="67"/>
  <c r="AU43" i="67"/>
  <c r="AV43" i="67"/>
  <c r="AW43" i="67"/>
  <c r="AT44" i="67"/>
  <c r="AU44" i="67"/>
  <c r="AV44" i="67"/>
  <c r="AW44" i="67"/>
  <c r="AT45" i="67"/>
  <c r="AU45" i="67"/>
  <c r="AV45" i="67"/>
  <c r="AW45" i="67"/>
  <c r="AT46" i="67"/>
  <c r="AU46" i="67"/>
  <c r="AV46" i="67"/>
  <c r="AW46" i="67"/>
  <c r="AT47" i="67"/>
  <c r="AU47" i="67"/>
  <c r="AV47" i="67"/>
  <c r="AW47" i="67"/>
  <c r="AT48" i="67"/>
  <c r="AU48" i="67"/>
  <c r="AV48" i="67"/>
  <c r="AW48" i="67"/>
  <c r="AT49" i="67"/>
  <c r="AU49" i="67"/>
  <c r="AV49" i="67"/>
  <c r="AW49" i="67"/>
  <c r="AT50" i="67"/>
  <c r="AU50" i="67"/>
  <c r="AV50" i="67"/>
  <c r="AW50" i="67"/>
  <c r="AT51" i="67"/>
  <c r="AU51" i="67"/>
  <c r="AV51" i="67"/>
  <c r="AW51" i="67"/>
  <c r="AT52" i="67"/>
  <c r="AU52" i="67"/>
  <c r="AV52" i="67"/>
  <c r="AW52" i="67"/>
  <c r="AT53" i="67"/>
  <c r="AU53" i="67"/>
  <c r="AV53" i="67"/>
  <c r="AW53" i="67"/>
  <c r="AT54" i="67"/>
  <c r="AU54" i="67"/>
  <c r="AV54" i="67"/>
  <c r="AW54" i="67"/>
  <c r="AT55" i="67"/>
  <c r="AU55" i="67"/>
  <c r="AV55" i="67"/>
  <c r="AW55" i="67"/>
  <c r="AT56" i="67"/>
  <c r="AU56" i="67"/>
  <c r="AV56" i="67"/>
  <c r="AW56" i="67"/>
  <c r="AT57" i="67"/>
  <c r="AU57" i="67"/>
  <c r="AV57" i="67"/>
  <c r="AW57" i="67"/>
  <c r="AT58" i="67"/>
  <c r="AU58" i="67"/>
  <c r="AV58" i="67"/>
  <c r="AW58" i="67"/>
  <c r="AT59" i="67"/>
  <c r="AU59" i="67"/>
  <c r="AV59" i="67"/>
  <c r="AW59" i="67"/>
  <c r="AT60" i="67"/>
  <c r="AU60" i="67"/>
  <c r="AV60" i="67"/>
  <c r="AW60" i="67"/>
  <c r="AT61" i="67"/>
  <c r="AU61" i="67"/>
  <c r="AV61" i="67"/>
  <c r="AW61" i="67"/>
  <c r="AT62" i="67"/>
  <c r="AU62" i="67"/>
  <c r="AV62" i="67"/>
  <c r="AW62" i="67"/>
  <c r="AT63" i="67"/>
  <c r="AU63" i="67"/>
  <c r="AV63" i="67"/>
  <c r="AW63" i="67"/>
  <c r="AT64" i="67"/>
  <c r="AU64" i="67"/>
  <c r="AV64" i="67"/>
  <c r="AW64" i="67"/>
  <c r="AT65" i="67"/>
  <c r="AU65" i="67"/>
  <c r="AV65" i="67"/>
  <c r="AW65" i="67"/>
  <c r="AT66" i="67"/>
  <c r="AU66" i="67"/>
  <c r="AV66" i="67"/>
  <c r="AW66" i="67"/>
  <c r="AT67" i="67"/>
  <c r="AU67" i="67"/>
  <c r="AV67" i="67"/>
  <c r="AW67" i="67"/>
  <c r="AT68" i="67"/>
  <c r="AU68" i="67"/>
  <c r="AV68" i="67"/>
  <c r="AW68" i="67"/>
  <c r="AT69" i="67"/>
  <c r="AU69" i="67"/>
  <c r="AV69" i="67"/>
  <c r="AW69" i="67"/>
  <c r="AT70" i="67"/>
  <c r="AU70" i="67"/>
  <c r="AV70" i="67"/>
  <c r="AW70" i="67"/>
  <c r="AT71" i="67"/>
  <c r="AU71" i="67"/>
  <c r="AV71" i="67"/>
  <c r="AW71" i="67"/>
  <c r="AT72" i="67"/>
  <c r="AU72" i="67"/>
  <c r="AV72" i="67"/>
  <c r="AW72" i="67"/>
  <c r="AT73" i="67"/>
  <c r="AU73" i="67"/>
  <c r="AV73" i="67"/>
  <c r="AW73" i="67"/>
  <c r="AT74" i="67"/>
  <c r="AU74" i="67"/>
  <c r="AV74" i="67"/>
  <c r="AW74" i="67"/>
  <c r="AT75" i="67"/>
  <c r="AU75" i="67"/>
  <c r="AV75" i="67"/>
  <c r="AW75" i="67"/>
  <c r="AT76" i="67"/>
  <c r="AU76" i="67"/>
  <c r="AV76" i="67"/>
  <c r="AW76" i="67"/>
  <c r="AT77" i="67"/>
  <c r="AU77" i="67"/>
  <c r="AV77" i="67"/>
  <c r="AW77" i="67"/>
  <c r="AT78" i="67"/>
  <c r="AU78" i="67"/>
  <c r="AV78" i="67"/>
  <c r="AW78" i="67"/>
  <c r="AT79" i="67"/>
  <c r="AU79" i="67"/>
  <c r="AV79" i="67"/>
  <c r="AW79" i="67"/>
  <c r="AT80" i="67"/>
  <c r="AU80" i="67"/>
  <c r="AV80" i="67"/>
  <c r="AW80" i="67"/>
  <c r="AT81" i="67"/>
  <c r="AU81" i="67"/>
  <c r="AV81" i="67"/>
  <c r="AW81" i="67"/>
  <c r="AT82" i="67"/>
  <c r="AU82" i="67"/>
  <c r="AV82" i="67"/>
  <c r="AW82" i="67"/>
  <c r="AT83" i="67"/>
  <c r="AU83" i="67"/>
  <c r="AV83" i="67"/>
  <c r="AW83" i="67"/>
  <c r="AT84" i="67"/>
  <c r="AU84" i="67"/>
  <c r="AV84" i="67"/>
  <c r="AW84" i="67"/>
  <c r="AT85" i="67"/>
  <c r="AU85" i="67"/>
  <c r="AV85" i="67"/>
  <c r="AW85" i="67"/>
  <c r="AT86" i="67"/>
  <c r="AU86" i="67"/>
  <c r="AV86" i="67"/>
  <c r="AW86" i="67"/>
  <c r="AT87" i="67"/>
  <c r="AU87" i="67"/>
  <c r="AV87" i="67"/>
  <c r="AW87" i="67"/>
  <c r="AT88" i="67"/>
  <c r="AU88" i="67"/>
  <c r="AV88" i="67"/>
  <c r="AW88" i="67"/>
  <c r="AT89" i="67"/>
  <c r="AU89" i="67"/>
  <c r="AV89" i="67"/>
  <c r="AW89" i="67"/>
  <c r="AT90" i="67"/>
  <c r="AU90" i="67"/>
  <c r="AV90" i="67"/>
  <c r="AW90" i="67"/>
  <c r="AT91" i="67"/>
  <c r="AU91" i="67"/>
  <c r="AV91" i="67"/>
  <c r="AW91" i="67"/>
  <c r="AT92" i="67"/>
  <c r="AU92" i="67"/>
  <c r="AV92" i="67"/>
  <c r="AW92" i="67"/>
  <c r="AT93" i="67"/>
  <c r="AU93" i="67"/>
  <c r="AV93" i="67"/>
  <c r="AW93" i="67"/>
  <c r="AT94" i="67"/>
  <c r="AU94" i="67"/>
  <c r="AV94" i="67"/>
  <c r="AW94" i="67"/>
  <c r="AT95" i="67"/>
  <c r="AU95" i="67"/>
  <c r="AV95" i="67"/>
  <c r="AW95" i="67"/>
  <c r="AT96" i="67"/>
  <c r="AU96" i="67"/>
  <c r="AV96" i="67"/>
  <c r="AW96" i="67"/>
  <c r="AT97" i="67"/>
  <c r="AU97" i="67"/>
  <c r="AV97" i="67"/>
  <c r="AW97" i="67"/>
  <c r="AU2" i="67"/>
  <c r="AV2" i="67"/>
  <c r="AW2" i="67"/>
  <c r="AT2" i="67"/>
  <c r="Y2" i="65"/>
  <c r="B136" i="65"/>
  <c r="B137" i="65"/>
  <c r="B138" i="65"/>
  <c r="B139" i="65"/>
  <c r="B140" i="65"/>
  <c r="B141" i="65"/>
  <c r="B142" i="65"/>
  <c r="B143" i="65"/>
  <c r="B144" i="65"/>
  <c r="B145" i="65"/>
  <c r="B146" i="65"/>
  <c r="B147" i="65"/>
  <c r="D38" i="72"/>
  <c r="E38" i="72"/>
  <c r="F38" i="72"/>
  <c r="G38" i="72"/>
  <c r="D35" i="72"/>
  <c r="E35" i="72" s="1"/>
  <c r="F35" i="72" s="1"/>
  <c r="G35" i="72" s="1"/>
  <c r="B29" i="72"/>
  <c r="B28" i="72"/>
  <c r="B27" i="72"/>
  <c r="B26" i="72"/>
  <c r="B25" i="72"/>
  <c r="H79" i="72"/>
  <c r="G25" i="72" s="1"/>
  <c r="G79" i="72"/>
  <c r="F25" i="72" s="1"/>
  <c r="F79" i="72"/>
  <c r="E25" i="72" s="1"/>
  <c r="E79" i="72"/>
  <c r="D25" i="72" s="1"/>
  <c r="D79" i="72"/>
  <c r="C25" i="72" s="1"/>
  <c r="H82" i="72"/>
  <c r="G26" i="72" s="1"/>
  <c r="G82" i="72"/>
  <c r="F26" i="72" s="1"/>
  <c r="F82" i="72"/>
  <c r="E26" i="72" s="1"/>
  <c r="E82" i="72"/>
  <c r="D26" i="72" s="1"/>
  <c r="D82" i="72"/>
  <c r="C26" i="72" s="1"/>
  <c r="H85" i="72"/>
  <c r="G27" i="72" s="1"/>
  <c r="G85" i="72"/>
  <c r="F27" i="72" s="1"/>
  <c r="F85" i="72"/>
  <c r="E27" i="72" s="1"/>
  <c r="E85" i="72"/>
  <c r="D27" i="72" s="1"/>
  <c r="D85" i="72"/>
  <c r="C27" i="72" s="1"/>
  <c r="D88" i="72"/>
  <c r="C28" i="72" s="1"/>
  <c r="E88" i="72"/>
  <c r="D28" i="72" s="1"/>
  <c r="F88" i="72"/>
  <c r="E28" i="72" s="1"/>
  <c r="G88" i="72"/>
  <c r="F28" i="72" s="1"/>
  <c r="H88" i="72"/>
  <c r="G28" i="72" s="1"/>
  <c r="I87" i="72"/>
  <c r="I86" i="72"/>
  <c r="I84" i="72"/>
  <c r="I83" i="72"/>
  <c r="I81" i="72"/>
  <c r="I80" i="72"/>
  <c r="I78" i="72"/>
  <c r="I77" i="72"/>
  <c r="E89" i="72"/>
  <c r="F89" i="72"/>
  <c r="G89" i="72"/>
  <c r="H89" i="72"/>
  <c r="E90" i="72"/>
  <c r="F90" i="72"/>
  <c r="G90" i="72"/>
  <c r="H90" i="72"/>
  <c r="D90" i="72"/>
  <c r="D89" i="72"/>
  <c r="R74" i="72"/>
  <c r="S74" i="72"/>
  <c r="H68" i="72"/>
  <c r="H70" i="72"/>
  <c r="L8" i="148"/>
  <c r="L9" i="148" s="1"/>
  <c r="L10" i="148" s="1"/>
  <c r="L11" i="148" s="1"/>
  <c r="L12" i="148" s="1"/>
  <c r="L13" i="148" s="1"/>
  <c r="L14" i="148" s="1"/>
  <c r="L15" i="148" s="1"/>
  <c r="L16" i="148" s="1"/>
  <c r="L17" i="148" s="1"/>
  <c r="N5" i="148"/>
  <c r="O5" i="148"/>
  <c r="P5" i="148"/>
  <c r="P26" i="148" s="1"/>
  <c r="Q5" i="148"/>
  <c r="Q26" i="148" s="1"/>
  <c r="R5" i="148"/>
  <c r="R26" i="148" s="1"/>
  <c r="S5" i="148"/>
  <c r="S26" i="148" s="1"/>
  <c r="T5" i="148"/>
  <c r="T26" i="148" s="1"/>
  <c r="M5" i="148"/>
  <c r="F54" i="148"/>
  <c r="F60" i="148" s="1"/>
  <c r="K52" i="148"/>
  <c r="K51" i="148"/>
  <c r="K50" i="148"/>
  <c r="K49" i="148"/>
  <c r="K48" i="148"/>
  <c r="K47" i="148"/>
  <c r="K46" i="148"/>
  <c r="B46" i="148"/>
  <c r="B47" i="148" s="1"/>
  <c r="B48" i="148" s="1"/>
  <c r="B49" i="148" s="1"/>
  <c r="B50" i="148" s="1"/>
  <c r="B51" i="148" s="1"/>
  <c r="B52" i="148" s="1"/>
  <c r="B87" i="148"/>
  <c r="B84" i="148"/>
  <c r="B85" i="148" s="1"/>
  <c r="B80" i="148"/>
  <c r="B81" i="148" s="1"/>
  <c r="B82" i="148" s="1"/>
  <c r="B75" i="148"/>
  <c r="B62" i="148"/>
  <c r="B54" i="148"/>
  <c r="B37" i="148"/>
  <c r="B27" i="148"/>
  <c r="B28" i="148" s="1"/>
  <c r="B29" i="148" s="1"/>
  <c r="B30" i="148" s="1"/>
  <c r="B31" i="148" s="1"/>
  <c r="B32" i="148" s="1"/>
  <c r="B33" i="148" s="1"/>
  <c r="B34" i="148" s="1"/>
  <c r="B35" i="148" s="1"/>
  <c r="B69" i="148"/>
  <c r="B70" i="148" s="1"/>
  <c r="B71" i="148" s="1"/>
  <c r="B72" i="148" s="1"/>
  <c r="B73" i="148" s="1"/>
  <c r="B16" i="148"/>
  <c r="B17" i="148" s="1"/>
  <c r="B18" i="148" s="1"/>
  <c r="B19" i="148" s="1"/>
  <c r="B20" i="148" s="1"/>
  <c r="B21" i="148" s="1"/>
  <c r="B22" i="148" s="1"/>
  <c r="B23" i="148" s="1"/>
  <c r="B24" i="148" s="1"/>
  <c r="B25" i="148" s="1"/>
  <c r="B4" i="148"/>
  <c r="I85" i="72" l="1"/>
  <c r="H27" i="72" s="1"/>
  <c r="D91" i="72"/>
  <c r="C29" i="72" s="1"/>
  <c r="H91" i="72"/>
  <c r="G29" i="72" s="1"/>
  <c r="G91" i="72"/>
  <c r="F29" i="72" s="1"/>
  <c r="F91" i="72"/>
  <c r="E29" i="72" s="1"/>
  <c r="E91" i="72"/>
  <c r="D29" i="72" s="1"/>
  <c r="I79" i="72"/>
  <c r="H25" i="72" s="1"/>
  <c r="K10" i="72" s="1"/>
  <c r="I82" i="72"/>
  <c r="H26" i="72" s="1"/>
  <c r="I89" i="72"/>
  <c r="I88" i="72"/>
  <c r="H28" i="72" s="1"/>
  <c r="I90" i="72"/>
  <c r="C115" i="155"/>
  <c r="B115" i="155"/>
  <c r="A116" i="155"/>
  <c r="A117" i="154"/>
  <c r="C116" i="154"/>
  <c r="B116" i="154"/>
  <c r="C114" i="152"/>
  <c r="B114" i="152"/>
  <c r="A115" i="152"/>
  <c r="A116" i="151"/>
  <c r="B115" i="151"/>
  <c r="C115" i="151"/>
  <c r="B5" i="148"/>
  <c r="B6" i="148" s="1"/>
  <c r="B7" i="148" s="1"/>
  <c r="B8" i="148" s="1"/>
  <c r="B9" i="148" s="1"/>
  <c r="B10" i="148" s="1"/>
  <c r="B11" i="148" s="1"/>
  <c r="B12" i="148" s="1"/>
  <c r="B13" i="148" s="1"/>
  <c r="B14" i="148" s="1"/>
  <c r="H66" i="72"/>
  <c r="F58" i="148"/>
  <c r="F59" i="148"/>
  <c r="F57" i="148"/>
  <c r="F56" i="148"/>
  <c r="F55" i="148"/>
  <c r="B76" i="148"/>
  <c r="B77" i="148" s="1"/>
  <c r="B78" i="148" s="1"/>
  <c r="B63" i="148"/>
  <c r="B64" i="148" s="1"/>
  <c r="B65" i="148" s="1"/>
  <c r="B66" i="148" s="1"/>
  <c r="B67" i="148" s="1"/>
  <c r="B55" i="148"/>
  <c r="B56" i="148" s="1"/>
  <c r="B57" i="148" s="1"/>
  <c r="B58" i="148" s="1"/>
  <c r="B59" i="148" s="1"/>
  <c r="B60" i="148" s="1"/>
  <c r="B38" i="148"/>
  <c r="I91" i="72" l="1"/>
  <c r="H29" i="72" s="1"/>
  <c r="K5" i="72"/>
  <c r="K7" i="72"/>
  <c r="K8" i="72"/>
  <c r="K6" i="72"/>
  <c r="C117" i="154"/>
  <c r="B117" i="154"/>
  <c r="A118" i="154"/>
  <c r="A117" i="155"/>
  <c r="B116" i="155"/>
  <c r="C116" i="155"/>
  <c r="C116" i="151"/>
  <c r="A117" i="151"/>
  <c r="B116" i="151"/>
  <c r="C115" i="152"/>
  <c r="B115" i="152"/>
  <c r="A116" i="152"/>
  <c r="B39" i="148"/>
  <c r="C117" i="155" l="1"/>
  <c r="B117" i="155"/>
  <c r="A118" i="155"/>
  <c r="A119" i="154"/>
  <c r="C118" i="154"/>
  <c r="B118" i="154"/>
  <c r="C116" i="152"/>
  <c r="B116" i="152"/>
  <c r="A117" i="152"/>
  <c r="B117" i="151"/>
  <c r="C117" i="151"/>
  <c r="A118" i="151"/>
  <c r="B40" i="148"/>
  <c r="A120" i="154" l="1"/>
  <c r="C119" i="154"/>
  <c r="B119" i="154"/>
  <c r="A119" i="155"/>
  <c r="C118" i="155"/>
  <c r="B118" i="155"/>
  <c r="C118" i="151"/>
  <c r="B118" i="151"/>
  <c r="A119" i="151"/>
  <c r="C117" i="152"/>
  <c r="B117" i="152"/>
  <c r="A118" i="152"/>
  <c r="B41" i="148"/>
  <c r="A120" i="155" l="1"/>
  <c r="C119" i="155"/>
  <c r="B119" i="155"/>
  <c r="B120" i="154"/>
  <c r="A121" i="154"/>
  <c r="C120" i="154"/>
  <c r="A119" i="152"/>
  <c r="C118" i="152"/>
  <c r="B118" i="152"/>
  <c r="A120" i="151"/>
  <c r="C119" i="151"/>
  <c r="B119" i="151"/>
  <c r="B42" i="148"/>
  <c r="A122" i="154" l="1"/>
  <c r="C121" i="154"/>
  <c r="B121" i="154"/>
  <c r="B120" i="155"/>
  <c r="C120" i="155"/>
  <c r="A121" i="155"/>
  <c r="C120" i="151"/>
  <c r="B120" i="151"/>
  <c r="A121" i="151"/>
  <c r="C119" i="152"/>
  <c r="B119" i="152"/>
  <c r="A120" i="152"/>
  <c r="B43" i="148"/>
  <c r="A122" i="155" l="1"/>
  <c r="C121" i="155"/>
  <c r="B121" i="155"/>
  <c r="C122" i="154"/>
  <c r="B122" i="154"/>
  <c r="A123" i="154"/>
  <c r="B120" i="152"/>
  <c r="A121" i="152"/>
  <c r="C120" i="152"/>
  <c r="A122" i="151"/>
  <c r="C121" i="151"/>
  <c r="B121" i="151"/>
  <c r="B44" i="148"/>
  <c r="R12" i="148"/>
  <c r="A124" i="154" l="1"/>
  <c r="C123" i="154"/>
  <c r="B123" i="154"/>
  <c r="C122" i="155"/>
  <c r="B122" i="155"/>
  <c r="A123" i="155"/>
  <c r="A123" i="151"/>
  <c r="B122" i="151"/>
  <c r="C122" i="151"/>
  <c r="C121" i="152"/>
  <c r="B121" i="152"/>
  <c r="A122" i="152"/>
  <c r="S12" i="148"/>
  <c r="R17" i="148"/>
  <c r="S10" i="148"/>
  <c r="S9" i="148"/>
  <c r="S7" i="148"/>
  <c r="T17" i="148"/>
  <c r="S14" i="148"/>
  <c r="P11" i="148"/>
  <c r="R10" i="148"/>
  <c r="S15" i="148"/>
  <c r="T12" i="148"/>
  <c r="R15" i="148"/>
  <c r="P10" i="148"/>
  <c r="M8" i="148"/>
  <c r="T15" i="148"/>
  <c r="R11" i="148"/>
  <c r="R16" i="148"/>
  <c r="M10" i="148"/>
  <c r="M9" i="148"/>
  <c r="T14" i="148"/>
  <c r="S11" i="148"/>
  <c r="T8" i="148"/>
  <c r="T9" i="148"/>
  <c r="S17" i="148"/>
  <c r="R7" i="148"/>
  <c r="R8" i="148"/>
  <c r="P8" i="148"/>
  <c r="T16" i="148"/>
  <c r="P9" i="148"/>
  <c r="Q8" i="148"/>
  <c r="Q7" i="148"/>
  <c r="M7" i="148"/>
  <c r="R9" i="148"/>
  <c r="T11" i="148"/>
  <c r="R14" i="148"/>
  <c r="T7" i="148"/>
  <c r="P7" i="148"/>
  <c r="T10" i="148"/>
  <c r="R13" i="148"/>
  <c r="S16" i="148"/>
  <c r="S13" i="148"/>
  <c r="Q9" i="148"/>
  <c r="T13" i="148"/>
  <c r="S8" i="148"/>
  <c r="Q10" i="148"/>
  <c r="A124" i="155" l="1"/>
  <c r="C123" i="155"/>
  <c r="B123" i="155"/>
  <c r="C124" i="154"/>
  <c r="B124" i="154"/>
  <c r="A125" i="154"/>
  <c r="A123" i="152"/>
  <c r="C122" i="152"/>
  <c r="B122" i="152"/>
  <c r="C123" i="151"/>
  <c r="B123" i="151"/>
  <c r="A124" i="151"/>
  <c r="P39" i="148"/>
  <c r="P40" i="148"/>
  <c r="P38" i="148"/>
  <c r="P37" i="148"/>
  <c r="P41" i="148"/>
  <c r="Q37" i="148"/>
  <c r="Q38" i="148"/>
  <c r="M38" i="148"/>
  <c r="Q39" i="148"/>
  <c r="Q40" i="148"/>
  <c r="C125" i="154" l="1"/>
  <c r="A126" i="154"/>
  <c r="B125" i="154"/>
  <c r="C124" i="155"/>
  <c r="B124" i="155"/>
  <c r="A125" i="155"/>
  <c r="A125" i="151"/>
  <c r="C124" i="151"/>
  <c r="B124" i="151"/>
  <c r="C123" i="152"/>
  <c r="B123" i="152"/>
  <c r="A124" i="152"/>
  <c r="A126" i="155" l="1"/>
  <c r="C125" i="155"/>
  <c r="B125" i="155"/>
  <c r="A127" i="154"/>
  <c r="C126" i="154"/>
  <c r="B126" i="154"/>
  <c r="B124" i="152"/>
  <c r="A125" i="152"/>
  <c r="C124" i="152"/>
  <c r="A126" i="151"/>
  <c r="C125" i="151"/>
  <c r="B125" i="151"/>
  <c r="R28" i="65"/>
  <c r="AY14" i="67" s="1"/>
  <c r="A128" i="154" l="1"/>
  <c r="C127" i="154"/>
  <c r="B127" i="154"/>
  <c r="A127" i="155"/>
  <c r="C126" i="155"/>
  <c r="B126" i="155"/>
  <c r="B126" i="151"/>
  <c r="A127" i="151"/>
  <c r="C126" i="151"/>
  <c r="C125" i="152"/>
  <c r="A126" i="152"/>
  <c r="B125" i="152"/>
  <c r="BC3" i="67"/>
  <c r="BD3" i="67"/>
  <c r="BE3" i="67"/>
  <c r="BF3" i="67"/>
  <c r="BG3" i="67"/>
  <c r="BH3" i="67"/>
  <c r="BI3" i="67"/>
  <c r="BJ3" i="67"/>
  <c r="BK3" i="67"/>
  <c r="F3" i="157" s="1"/>
  <c r="K3" i="157" s="1"/>
  <c r="BL3" i="67"/>
  <c r="BM3" i="67"/>
  <c r="BN3" i="67"/>
  <c r="BO3" i="67"/>
  <c r="BP3" i="67"/>
  <c r="BQ3" i="67"/>
  <c r="BC4" i="67"/>
  <c r="BD4" i="67"/>
  <c r="BE4" i="67"/>
  <c r="BF4" i="67"/>
  <c r="BG4" i="67"/>
  <c r="BH4" i="67"/>
  <c r="BI4" i="67"/>
  <c r="BJ4" i="67"/>
  <c r="BK4" i="67"/>
  <c r="F4" i="157" s="1"/>
  <c r="K4" i="157" s="1"/>
  <c r="BL4" i="67"/>
  <c r="BM4" i="67"/>
  <c r="BN4" i="67"/>
  <c r="BO4" i="67"/>
  <c r="BP4" i="67"/>
  <c r="BQ4" i="67"/>
  <c r="BC5" i="67"/>
  <c r="BD5" i="67"/>
  <c r="BE5" i="67"/>
  <c r="BF5" i="67"/>
  <c r="BG5" i="67"/>
  <c r="BH5" i="67"/>
  <c r="BI5" i="67"/>
  <c r="BJ5" i="67"/>
  <c r="BK5" i="67"/>
  <c r="F5" i="157" s="1"/>
  <c r="K5" i="157" s="1"/>
  <c r="BL5" i="67"/>
  <c r="BM5" i="67"/>
  <c r="BN5" i="67"/>
  <c r="BO5" i="67"/>
  <c r="BP5" i="67"/>
  <c r="BQ5" i="67"/>
  <c r="BC6" i="67"/>
  <c r="BD6" i="67"/>
  <c r="BE6" i="67"/>
  <c r="BF6" i="67"/>
  <c r="BG6" i="67"/>
  <c r="BH6" i="67"/>
  <c r="BI6" i="67"/>
  <c r="BJ6" i="67"/>
  <c r="BK6" i="67"/>
  <c r="F6" i="157" s="1"/>
  <c r="K6" i="157" s="1"/>
  <c r="BL6" i="67"/>
  <c r="BM6" i="67"/>
  <c r="BN6" i="67"/>
  <c r="BO6" i="67"/>
  <c r="BP6" i="67"/>
  <c r="BQ6" i="67"/>
  <c r="BC7" i="67"/>
  <c r="BD7" i="67"/>
  <c r="BE7" i="67"/>
  <c r="BF7" i="67"/>
  <c r="BG7" i="67"/>
  <c r="BH7" i="67"/>
  <c r="BI7" i="67"/>
  <c r="BJ7" i="67"/>
  <c r="BK7" i="67"/>
  <c r="F7" i="157" s="1"/>
  <c r="K7" i="157" s="1"/>
  <c r="BL7" i="67"/>
  <c r="BM7" i="67"/>
  <c r="BN7" i="67"/>
  <c r="BO7" i="67"/>
  <c r="BP7" i="67"/>
  <c r="BQ7" i="67"/>
  <c r="BC8" i="67"/>
  <c r="BD8" i="67"/>
  <c r="BE8" i="67"/>
  <c r="BF8" i="67"/>
  <c r="BG8" i="67"/>
  <c r="BH8" i="67"/>
  <c r="BI8" i="67"/>
  <c r="BJ8" i="67"/>
  <c r="BK8" i="67"/>
  <c r="F8" i="157" s="1"/>
  <c r="K8" i="157" s="1"/>
  <c r="BL8" i="67"/>
  <c r="BM8" i="67"/>
  <c r="BN8" i="67"/>
  <c r="BO8" i="67"/>
  <c r="BP8" i="67"/>
  <c r="BQ8" i="67"/>
  <c r="BC9" i="67"/>
  <c r="BD9" i="67"/>
  <c r="BE9" i="67"/>
  <c r="BF9" i="67"/>
  <c r="BG9" i="67"/>
  <c r="BH9" i="67"/>
  <c r="BI9" i="67"/>
  <c r="BJ9" i="67"/>
  <c r="BK9" i="67"/>
  <c r="F9" i="157" s="1"/>
  <c r="K9" i="157" s="1"/>
  <c r="BL9" i="67"/>
  <c r="BM9" i="67"/>
  <c r="BN9" i="67"/>
  <c r="BO9" i="67"/>
  <c r="BP9" i="67"/>
  <c r="BQ9" i="67"/>
  <c r="BC10" i="67"/>
  <c r="BD10" i="67"/>
  <c r="BE10" i="67"/>
  <c r="BF10" i="67"/>
  <c r="BG10" i="67"/>
  <c r="BH10" i="67"/>
  <c r="BI10" i="67"/>
  <c r="BJ10" i="67"/>
  <c r="BK10" i="67"/>
  <c r="F10" i="157" s="1"/>
  <c r="K10" i="157" s="1"/>
  <c r="BL10" i="67"/>
  <c r="BM10" i="67"/>
  <c r="BN10" i="67"/>
  <c r="BO10" i="67"/>
  <c r="BP10" i="67"/>
  <c r="BQ10" i="67"/>
  <c r="BC11" i="67"/>
  <c r="BD11" i="67"/>
  <c r="BE11" i="67"/>
  <c r="BF11" i="67"/>
  <c r="BG11" i="67"/>
  <c r="BH11" i="67"/>
  <c r="BI11" i="67"/>
  <c r="BJ11" i="67"/>
  <c r="BK11" i="67"/>
  <c r="F11" i="157" s="1"/>
  <c r="K11" i="157" s="1"/>
  <c r="BL11" i="67"/>
  <c r="BM11" i="67"/>
  <c r="BN11" i="67"/>
  <c r="BO11" i="67"/>
  <c r="BP11" i="67"/>
  <c r="BQ11" i="67"/>
  <c r="BC12" i="67"/>
  <c r="BD12" i="67"/>
  <c r="BE12" i="67"/>
  <c r="BF12" i="67"/>
  <c r="BG12" i="67"/>
  <c r="BH12" i="67"/>
  <c r="BI12" i="67"/>
  <c r="BJ12" i="67"/>
  <c r="BK12" i="67"/>
  <c r="F12" i="157" s="1"/>
  <c r="K12" i="157" s="1"/>
  <c r="BL12" i="67"/>
  <c r="BM12" i="67"/>
  <c r="BN12" i="67"/>
  <c r="BO12" i="67"/>
  <c r="BP12" i="67"/>
  <c r="BQ12" i="67"/>
  <c r="BC13" i="67"/>
  <c r="BD13" i="67"/>
  <c r="BE13" i="67"/>
  <c r="BF13" i="67"/>
  <c r="BG13" i="67"/>
  <c r="BH13" i="67"/>
  <c r="BI13" i="67"/>
  <c r="BJ13" i="67"/>
  <c r="BK13" i="67"/>
  <c r="F13" i="157" s="1"/>
  <c r="K13" i="157" s="1"/>
  <c r="BL13" i="67"/>
  <c r="BM13" i="67"/>
  <c r="BN13" i="67"/>
  <c r="BO13" i="67"/>
  <c r="BP13" i="67"/>
  <c r="BQ13" i="67"/>
  <c r="BC14" i="67"/>
  <c r="BD14" i="67"/>
  <c r="BE14" i="67"/>
  <c r="BF14" i="67"/>
  <c r="BG14" i="67"/>
  <c r="BH14" i="67"/>
  <c r="BI14" i="67"/>
  <c r="BJ14" i="67"/>
  <c r="BK14" i="67"/>
  <c r="F14" i="157" s="1"/>
  <c r="K14" i="157" s="1"/>
  <c r="BL14" i="67"/>
  <c r="BM14" i="67"/>
  <c r="BN14" i="67"/>
  <c r="BO14" i="67"/>
  <c r="BP14" i="67"/>
  <c r="BQ14" i="67"/>
  <c r="BC15" i="67"/>
  <c r="BD15" i="67"/>
  <c r="BE15" i="67"/>
  <c r="BF15" i="67"/>
  <c r="BG15" i="67"/>
  <c r="BH15" i="67"/>
  <c r="BI15" i="67"/>
  <c r="BJ15" i="67"/>
  <c r="BK15" i="67"/>
  <c r="F15" i="157" s="1"/>
  <c r="K15" i="157" s="1"/>
  <c r="BL15" i="67"/>
  <c r="BM15" i="67"/>
  <c r="BN15" i="67"/>
  <c r="BO15" i="67"/>
  <c r="BP15" i="67"/>
  <c r="BQ15" i="67"/>
  <c r="BC16" i="67"/>
  <c r="BD16" i="67"/>
  <c r="BE16" i="67"/>
  <c r="BF16" i="67"/>
  <c r="BG16" i="67"/>
  <c r="BH16" i="67"/>
  <c r="BI16" i="67"/>
  <c r="BJ16" i="67"/>
  <c r="BK16" i="67"/>
  <c r="F16" i="157" s="1"/>
  <c r="K16" i="157" s="1"/>
  <c r="BL16" i="67"/>
  <c r="BM16" i="67"/>
  <c r="BN16" i="67"/>
  <c r="BO16" i="67"/>
  <c r="BP16" i="67"/>
  <c r="BQ16" i="67"/>
  <c r="BC17" i="67"/>
  <c r="BD17" i="67"/>
  <c r="BE17" i="67"/>
  <c r="BF17" i="67"/>
  <c r="BG17" i="67"/>
  <c r="BH17" i="67"/>
  <c r="BI17" i="67"/>
  <c r="BJ17" i="67"/>
  <c r="BK17" i="67"/>
  <c r="F17" i="157" s="1"/>
  <c r="K17" i="157" s="1"/>
  <c r="BL17" i="67"/>
  <c r="BM17" i="67"/>
  <c r="BN17" i="67"/>
  <c r="BO17" i="67"/>
  <c r="BP17" i="67"/>
  <c r="BQ17" i="67"/>
  <c r="BC18" i="67"/>
  <c r="BD18" i="67"/>
  <c r="BE18" i="67"/>
  <c r="BF18" i="67"/>
  <c r="BG18" i="67"/>
  <c r="BH18" i="67"/>
  <c r="BI18" i="67"/>
  <c r="BJ18" i="67"/>
  <c r="BK18" i="67"/>
  <c r="F18" i="157" s="1"/>
  <c r="K18" i="157" s="1"/>
  <c r="BL18" i="67"/>
  <c r="BM18" i="67"/>
  <c r="BN18" i="67"/>
  <c r="BO18" i="67"/>
  <c r="BP18" i="67"/>
  <c r="BQ18" i="67"/>
  <c r="BC19" i="67"/>
  <c r="BD19" i="67"/>
  <c r="BE19" i="67"/>
  <c r="BF19" i="67"/>
  <c r="BG19" i="67"/>
  <c r="BH19" i="67"/>
  <c r="BI19" i="67"/>
  <c r="BJ19" i="67"/>
  <c r="BK19" i="67"/>
  <c r="F19" i="157" s="1"/>
  <c r="K19" i="157" s="1"/>
  <c r="BL19" i="67"/>
  <c r="BM19" i="67"/>
  <c r="BN19" i="67"/>
  <c r="BO19" i="67"/>
  <c r="BP19" i="67"/>
  <c r="BQ19" i="67"/>
  <c r="BC20" i="67"/>
  <c r="BD20" i="67"/>
  <c r="BE20" i="67"/>
  <c r="BF20" i="67"/>
  <c r="BG20" i="67"/>
  <c r="BH20" i="67"/>
  <c r="BI20" i="67"/>
  <c r="BJ20" i="67"/>
  <c r="BK20" i="67"/>
  <c r="F20" i="157" s="1"/>
  <c r="K20" i="157" s="1"/>
  <c r="BL20" i="67"/>
  <c r="BM20" i="67"/>
  <c r="BN20" i="67"/>
  <c r="BO20" i="67"/>
  <c r="BP20" i="67"/>
  <c r="BQ20" i="67"/>
  <c r="BC21" i="67"/>
  <c r="BD21" i="67"/>
  <c r="BE21" i="67"/>
  <c r="BF21" i="67"/>
  <c r="BG21" i="67"/>
  <c r="BH21" i="67"/>
  <c r="BI21" i="67"/>
  <c r="BJ21" i="67"/>
  <c r="BK21" i="67"/>
  <c r="F21" i="157" s="1"/>
  <c r="K21" i="157" s="1"/>
  <c r="BL21" i="67"/>
  <c r="BM21" i="67"/>
  <c r="BN21" i="67"/>
  <c r="BO21" i="67"/>
  <c r="BP21" i="67"/>
  <c r="BQ21" i="67"/>
  <c r="BC22" i="67"/>
  <c r="BD22" i="67"/>
  <c r="BE22" i="67"/>
  <c r="BF22" i="67"/>
  <c r="BG22" i="67"/>
  <c r="BH22" i="67"/>
  <c r="BI22" i="67"/>
  <c r="BJ22" i="67"/>
  <c r="BK22" i="67"/>
  <c r="F22" i="157" s="1"/>
  <c r="K22" i="157" s="1"/>
  <c r="BL22" i="67"/>
  <c r="BM22" i="67"/>
  <c r="BN22" i="67"/>
  <c r="BO22" i="67"/>
  <c r="BP22" i="67"/>
  <c r="BQ22" i="67"/>
  <c r="BC23" i="67"/>
  <c r="BD23" i="67"/>
  <c r="BE23" i="67"/>
  <c r="BF23" i="67"/>
  <c r="BG23" i="67"/>
  <c r="BH23" i="67"/>
  <c r="BI23" i="67"/>
  <c r="BJ23" i="67"/>
  <c r="BK23" i="67"/>
  <c r="F23" i="157" s="1"/>
  <c r="K23" i="157" s="1"/>
  <c r="BL23" i="67"/>
  <c r="BM23" i="67"/>
  <c r="BN23" i="67"/>
  <c r="BO23" i="67"/>
  <c r="BP23" i="67"/>
  <c r="BQ23" i="67"/>
  <c r="BC24" i="67"/>
  <c r="BD24" i="67"/>
  <c r="BE24" i="67"/>
  <c r="BF24" i="67"/>
  <c r="BG24" i="67"/>
  <c r="BH24" i="67"/>
  <c r="BI24" i="67"/>
  <c r="BJ24" i="67"/>
  <c r="BK24" i="67"/>
  <c r="F24" i="157" s="1"/>
  <c r="K24" i="157" s="1"/>
  <c r="BL24" i="67"/>
  <c r="BM24" i="67"/>
  <c r="BN24" i="67"/>
  <c r="BO24" i="67"/>
  <c r="BP24" i="67"/>
  <c r="BQ24" i="67"/>
  <c r="BC25" i="67"/>
  <c r="BD25" i="67"/>
  <c r="BE25" i="67"/>
  <c r="BF25" i="67"/>
  <c r="BG25" i="67"/>
  <c r="BH25" i="67"/>
  <c r="BI25" i="67"/>
  <c r="BJ25" i="67"/>
  <c r="BK25" i="67"/>
  <c r="F25" i="157" s="1"/>
  <c r="K25" i="157" s="1"/>
  <c r="BL25" i="67"/>
  <c r="BM25" i="67"/>
  <c r="BN25" i="67"/>
  <c r="BO25" i="67"/>
  <c r="BP25" i="67"/>
  <c r="BQ25" i="67"/>
  <c r="BC26" i="67"/>
  <c r="BD26" i="67"/>
  <c r="BE26" i="67"/>
  <c r="BF26" i="67"/>
  <c r="BG26" i="67"/>
  <c r="BH26" i="67"/>
  <c r="BI26" i="67"/>
  <c r="BJ26" i="67"/>
  <c r="BK26" i="67"/>
  <c r="F26" i="157" s="1"/>
  <c r="K26" i="157" s="1"/>
  <c r="BL26" i="67"/>
  <c r="BM26" i="67"/>
  <c r="BN26" i="67"/>
  <c r="BO26" i="67"/>
  <c r="BP26" i="67"/>
  <c r="BQ26" i="67"/>
  <c r="BC27" i="67"/>
  <c r="BD27" i="67"/>
  <c r="BE27" i="67"/>
  <c r="BF27" i="67"/>
  <c r="BG27" i="67"/>
  <c r="BH27" i="67"/>
  <c r="BI27" i="67"/>
  <c r="BJ27" i="67"/>
  <c r="BK27" i="67"/>
  <c r="F27" i="157" s="1"/>
  <c r="K27" i="157" s="1"/>
  <c r="BL27" i="67"/>
  <c r="BM27" i="67"/>
  <c r="BN27" i="67"/>
  <c r="BO27" i="67"/>
  <c r="BP27" i="67"/>
  <c r="BQ27" i="67"/>
  <c r="BC28" i="67"/>
  <c r="BD28" i="67"/>
  <c r="BE28" i="67"/>
  <c r="BF28" i="67"/>
  <c r="BG28" i="67"/>
  <c r="BH28" i="67"/>
  <c r="BI28" i="67"/>
  <c r="BJ28" i="67"/>
  <c r="BK28" i="67"/>
  <c r="F28" i="157" s="1"/>
  <c r="K28" i="157" s="1"/>
  <c r="BL28" i="67"/>
  <c r="BM28" i="67"/>
  <c r="BN28" i="67"/>
  <c r="BO28" i="67"/>
  <c r="BP28" i="67"/>
  <c r="BQ28" i="67"/>
  <c r="BC29" i="67"/>
  <c r="BD29" i="67"/>
  <c r="BE29" i="67"/>
  <c r="BF29" i="67"/>
  <c r="BG29" i="67"/>
  <c r="BH29" i="67"/>
  <c r="BI29" i="67"/>
  <c r="BJ29" i="67"/>
  <c r="BK29" i="67"/>
  <c r="F29" i="157" s="1"/>
  <c r="K29" i="157" s="1"/>
  <c r="BL29" i="67"/>
  <c r="BM29" i="67"/>
  <c r="BN29" i="67"/>
  <c r="BO29" i="67"/>
  <c r="BP29" i="67"/>
  <c r="BQ29" i="67"/>
  <c r="BC30" i="67"/>
  <c r="BD30" i="67"/>
  <c r="BE30" i="67"/>
  <c r="BF30" i="67"/>
  <c r="BG30" i="67"/>
  <c r="BH30" i="67"/>
  <c r="BI30" i="67"/>
  <c r="BJ30" i="67"/>
  <c r="BK30" i="67"/>
  <c r="F30" i="157" s="1"/>
  <c r="K30" i="157" s="1"/>
  <c r="BL30" i="67"/>
  <c r="BM30" i="67"/>
  <c r="BN30" i="67"/>
  <c r="BO30" i="67"/>
  <c r="BP30" i="67"/>
  <c r="BQ30" i="67"/>
  <c r="BC31" i="67"/>
  <c r="BD31" i="67"/>
  <c r="BE31" i="67"/>
  <c r="BF31" i="67"/>
  <c r="BG31" i="67"/>
  <c r="BH31" i="67"/>
  <c r="BI31" i="67"/>
  <c r="BJ31" i="67"/>
  <c r="BK31" i="67"/>
  <c r="F31" i="157" s="1"/>
  <c r="K31" i="157" s="1"/>
  <c r="BL31" i="67"/>
  <c r="BM31" i="67"/>
  <c r="BN31" i="67"/>
  <c r="BO31" i="67"/>
  <c r="BP31" i="67"/>
  <c r="BQ31" i="67"/>
  <c r="BC32" i="67"/>
  <c r="BD32" i="67"/>
  <c r="BE32" i="67"/>
  <c r="BF32" i="67"/>
  <c r="BG32" i="67"/>
  <c r="BH32" i="67"/>
  <c r="BI32" i="67"/>
  <c r="BJ32" i="67"/>
  <c r="BK32" i="67"/>
  <c r="F32" i="157" s="1"/>
  <c r="K32" i="157" s="1"/>
  <c r="BL32" i="67"/>
  <c r="BM32" i="67"/>
  <c r="BN32" i="67"/>
  <c r="BO32" i="67"/>
  <c r="BP32" i="67"/>
  <c r="BQ32" i="67"/>
  <c r="BC33" i="67"/>
  <c r="BD33" i="67"/>
  <c r="BE33" i="67"/>
  <c r="BF33" i="67"/>
  <c r="BG33" i="67"/>
  <c r="BH33" i="67"/>
  <c r="BI33" i="67"/>
  <c r="BJ33" i="67"/>
  <c r="BK33" i="67"/>
  <c r="F33" i="157" s="1"/>
  <c r="K33" i="157" s="1"/>
  <c r="BL33" i="67"/>
  <c r="BM33" i="67"/>
  <c r="BN33" i="67"/>
  <c r="BO33" i="67"/>
  <c r="BP33" i="67"/>
  <c r="BQ33" i="67"/>
  <c r="BC34" i="67"/>
  <c r="BD34" i="67"/>
  <c r="BE34" i="67"/>
  <c r="BF34" i="67"/>
  <c r="BG34" i="67"/>
  <c r="BH34" i="67"/>
  <c r="BI34" i="67"/>
  <c r="BJ34" i="67"/>
  <c r="BK34" i="67"/>
  <c r="F34" i="157" s="1"/>
  <c r="K34" i="157" s="1"/>
  <c r="BL34" i="67"/>
  <c r="BM34" i="67"/>
  <c r="BN34" i="67"/>
  <c r="BO34" i="67"/>
  <c r="BP34" i="67"/>
  <c r="BQ34" i="67"/>
  <c r="BC35" i="67"/>
  <c r="BD35" i="67"/>
  <c r="BE35" i="67"/>
  <c r="BF35" i="67"/>
  <c r="BG35" i="67"/>
  <c r="BH35" i="67"/>
  <c r="BI35" i="67"/>
  <c r="BJ35" i="67"/>
  <c r="BK35" i="67"/>
  <c r="F35" i="157" s="1"/>
  <c r="K35" i="157" s="1"/>
  <c r="BL35" i="67"/>
  <c r="BM35" i="67"/>
  <c r="BN35" i="67"/>
  <c r="BO35" i="67"/>
  <c r="BP35" i="67"/>
  <c r="BQ35" i="67"/>
  <c r="BC36" i="67"/>
  <c r="BD36" i="67"/>
  <c r="BE36" i="67"/>
  <c r="BF36" i="67"/>
  <c r="BG36" i="67"/>
  <c r="BH36" i="67"/>
  <c r="BI36" i="67"/>
  <c r="BJ36" i="67"/>
  <c r="BK36" i="67"/>
  <c r="F36" i="157" s="1"/>
  <c r="K36" i="157" s="1"/>
  <c r="BL36" i="67"/>
  <c r="BM36" i="67"/>
  <c r="BN36" i="67"/>
  <c r="BO36" i="67"/>
  <c r="BP36" i="67"/>
  <c r="BQ36" i="67"/>
  <c r="BC37" i="67"/>
  <c r="BD37" i="67"/>
  <c r="BE37" i="67"/>
  <c r="BF37" i="67"/>
  <c r="BG37" i="67"/>
  <c r="BH37" i="67"/>
  <c r="BI37" i="67"/>
  <c r="BJ37" i="67"/>
  <c r="BK37" i="67"/>
  <c r="F37" i="157" s="1"/>
  <c r="K37" i="157" s="1"/>
  <c r="BL37" i="67"/>
  <c r="BM37" i="67"/>
  <c r="BN37" i="67"/>
  <c r="BO37" i="67"/>
  <c r="BP37" i="67"/>
  <c r="BQ37" i="67"/>
  <c r="BC38" i="67"/>
  <c r="BD38" i="67"/>
  <c r="BE38" i="67"/>
  <c r="BF38" i="67"/>
  <c r="BG38" i="67"/>
  <c r="BH38" i="67"/>
  <c r="BI38" i="67"/>
  <c r="BJ38" i="67"/>
  <c r="BK38" i="67"/>
  <c r="F38" i="157" s="1"/>
  <c r="K38" i="157" s="1"/>
  <c r="BL38" i="67"/>
  <c r="BM38" i="67"/>
  <c r="BN38" i="67"/>
  <c r="BO38" i="67"/>
  <c r="BP38" i="67"/>
  <c r="BQ38" i="67"/>
  <c r="BC39" i="67"/>
  <c r="BD39" i="67"/>
  <c r="CZ39" i="67" s="1"/>
  <c r="BE39" i="67"/>
  <c r="BF39" i="67"/>
  <c r="BG39" i="67"/>
  <c r="BH39" i="67"/>
  <c r="BI39" i="67"/>
  <c r="BJ39" i="67"/>
  <c r="BK39" i="67"/>
  <c r="F39" i="157" s="1"/>
  <c r="K39" i="157" s="1"/>
  <c r="BL39" i="67"/>
  <c r="BM39" i="67"/>
  <c r="BN39" i="67"/>
  <c r="BO39" i="67"/>
  <c r="BP39" i="67"/>
  <c r="BQ39" i="67"/>
  <c r="BC40" i="67"/>
  <c r="BD40" i="67"/>
  <c r="BE40" i="67"/>
  <c r="BF40" i="67"/>
  <c r="BG40" i="67"/>
  <c r="BH40" i="67"/>
  <c r="BI40" i="67"/>
  <c r="BJ40" i="67"/>
  <c r="BK40" i="67"/>
  <c r="F40" i="157" s="1"/>
  <c r="K40" i="157" s="1"/>
  <c r="BL40" i="67"/>
  <c r="BM40" i="67"/>
  <c r="BN40" i="67"/>
  <c r="DJ40" i="67" s="1"/>
  <c r="BO40" i="67"/>
  <c r="DK40" i="67" s="1"/>
  <c r="BP40" i="67"/>
  <c r="BQ40" i="67"/>
  <c r="BC41" i="67"/>
  <c r="BD41" i="67"/>
  <c r="BE41" i="67"/>
  <c r="DO41" i="67" s="1"/>
  <c r="BF41" i="67"/>
  <c r="DB41" i="67" s="1"/>
  <c r="BG41" i="67"/>
  <c r="DC41" i="67" s="1"/>
  <c r="BH41" i="67"/>
  <c r="DD41" i="67" s="1"/>
  <c r="BI41" i="67"/>
  <c r="BJ41" i="67"/>
  <c r="BK41" i="67"/>
  <c r="F41" i="157" s="1"/>
  <c r="K41" i="157" s="1"/>
  <c r="BL41" i="67"/>
  <c r="BM41" i="67"/>
  <c r="BN41" i="67"/>
  <c r="BO41" i="67"/>
  <c r="BP41" i="67"/>
  <c r="DZ41" i="67" s="1"/>
  <c r="BQ41" i="67"/>
  <c r="BC42" i="67"/>
  <c r="BD42" i="67"/>
  <c r="DN42" i="67" s="1"/>
  <c r="BE42" i="67"/>
  <c r="DO42" i="67" s="1"/>
  <c r="BF42" i="67"/>
  <c r="BG42" i="67"/>
  <c r="DC42" i="67" s="1"/>
  <c r="BH42" i="67"/>
  <c r="BI42" i="67"/>
  <c r="DS42" i="67" s="1"/>
  <c r="BJ42" i="67"/>
  <c r="BK42" i="67"/>
  <c r="F42" i="157" s="1"/>
  <c r="K42" i="157" s="1"/>
  <c r="BL42" i="67"/>
  <c r="DH42" i="67" s="1"/>
  <c r="BM42" i="67"/>
  <c r="BN42" i="67"/>
  <c r="BO42" i="67"/>
  <c r="BP42" i="67"/>
  <c r="BQ42" i="67"/>
  <c r="BC43" i="67"/>
  <c r="BD43" i="67"/>
  <c r="BE43" i="67"/>
  <c r="BF43" i="67"/>
  <c r="BG43" i="67"/>
  <c r="DC43" i="67" s="1"/>
  <c r="BH43" i="67"/>
  <c r="DR43" i="67" s="1"/>
  <c r="BI43" i="67"/>
  <c r="DS43" i="67" s="1"/>
  <c r="BJ43" i="67"/>
  <c r="BK43" i="67"/>
  <c r="F43" i="157" s="1"/>
  <c r="K43" i="157" s="1"/>
  <c r="BL43" i="67"/>
  <c r="DV43" i="67" s="1"/>
  <c r="BM43" i="67"/>
  <c r="BN43" i="67"/>
  <c r="DJ43" i="67" s="1"/>
  <c r="BO43" i="67"/>
  <c r="DK43" i="67" s="1"/>
  <c r="BP43" i="67"/>
  <c r="DL43" i="67" s="1"/>
  <c r="BQ43" i="67"/>
  <c r="BC44" i="67"/>
  <c r="BD44" i="67"/>
  <c r="BE44" i="67"/>
  <c r="BF44" i="67"/>
  <c r="BG44" i="67"/>
  <c r="BH44" i="67"/>
  <c r="BI44" i="67"/>
  <c r="DS44" i="67" s="1"/>
  <c r="BJ44" i="67"/>
  <c r="BK44" i="67"/>
  <c r="F44" i="157" s="1"/>
  <c r="K44" i="157" s="1"/>
  <c r="BL44" i="67"/>
  <c r="DV44" i="67" s="1"/>
  <c r="BM44" i="67"/>
  <c r="BN44" i="67"/>
  <c r="DJ44" i="67" s="1"/>
  <c r="BO44" i="67"/>
  <c r="DK44" i="67" s="1"/>
  <c r="BP44" i="67"/>
  <c r="DZ44" i="67" s="1"/>
  <c r="BQ44" i="67"/>
  <c r="EA44" i="67" s="1"/>
  <c r="BC45" i="67"/>
  <c r="BD45" i="67"/>
  <c r="DN45" i="67" s="1"/>
  <c r="BE45" i="67"/>
  <c r="BF45" i="67"/>
  <c r="DP45" i="67" s="1"/>
  <c r="BG45" i="67"/>
  <c r="DC45" i="67" s="1"/>
  <c r="BH45" i="67"/>
  <c r="DD45" i="67" s="1"/>
  <c r="BI45" i="67"/>
  <c r="BJ45" i="67"/>
  <c r="BK45" i="67"/>
  <c r="F45" i="157" s="1"/>
  <c r="K45" i="157" s="1"/>
  <c r="BL45" i="67"/>
  <c r="BM45" i="67"/>
  <c r="BN45" i="67"/>
  <c r="DX45" i="67" s="1"/>
  <c r="BO45" i="67"/>
  <c r="DK45" i="67" s="1"/>
  <c r="BP45" i="67"/>
  <c r="DL45" i="67" s="1"/>
  <c r="BQ45" i="67"/>
  <c r="EA45" i="67" s="1"/>
  <c r="BC46" i="67"/>
  <c r="BD46" i="67"/>
  <c r="CZ46" i="67" s="1"/>
  <c r="BE46" i="67"/>
  <c r="DA46" i="67" s="1"/>
  <c r="BF46" i="67"/>
  <c r="BG46" i="67"/>
  <c r="DC46" i="67" s="1"/>
  <c r="BH46" i="67"/>
  <c r="DR46" i="67" s="1"/>
  <c r="BI46" i="67"/>
  <c r="DE46" i="67" s="1"/>
  <c r="BJ46" i="67"/>
  <c r="BK46" i="67"/>
  <c r="BL46" i="67"/>
  <c r="DH46" i="67" s="1"/>
  <c r="BM46" i="67"/>
  <c r="BN46" i="67"/>
  <c r="BO46" i="67"/>
  <c r="BP46" i="67"/>
  <c r="BQ46" i="67"/>
  <c r="EA46" i="67" s="1"/>
  <c r="BC47" i="67"/>
  <c r="BD47" i="67"/>
  <c r="BE47" i="67"/>
  <c r="DO47" i="67" s="1"/>
  <c r="BF47" i="67"/>
  <c r="BG47" i="67"/>
  <c r="BH47" i="67"/>
  <c r="DD47" i="67" s="1"/>
  <c r="BI47" i="67"/>
  <c r="DE47" i="67" s="1"/>
  <c r="BJ47" i="67"/>
  <c r="BK47" i="67"/>
  <c r="BL47" i="67"/>
  <c r="DV47" i="67" s="1"/>
  <c r="BM47" i="67"/>
  <c r="BN47" i="67"/>
  <c r="DJ47" i="67" s="1"/>
  <c r="BO47" i="67"/>
  <c r="DK47" i="67" s="1"/>
  <c r="BP47" i="67"/>
  <c r="DL47" i="67" s="1"/>
  <c r="BQ47" i="67"/>
  <c r="BC48" i="67"/>
  <c r="BD48" i="67"/>
  <c r="CZ48" i="67" s="1"/>
  <c r="BE48" i="67"/>
  <c r="BF48" i="67"/>
  <c r="BG48" i="67"/>
  <c r="BH48" i="67"/>
  <c r="BI48" i="67"/>
  <c r="DS48" i="67" s="1"/>
  <c r="BJ48" i="67"/>
  <c r="BK48" i="67"/>
  <c r="BL48" i="67"/>
  <c r="DH48" i="67" s="1"/>
  <c r="BM48" i="67"/>
  <c r="BN48" i="67"/>
  <c r="DJ48" i="67" s="1"/>
  <c r="BO48" i="67"/>
  <c r="DK48" i="67" s="1"/>
  <c r="BP48" i="67"/>
  <c r="DZ48" i="67" s="1"/>
  <c r="BQ48" i="67"/>
  <c r="DM48" i="67" s="1"/>
  <c r="BC49" i="67"/>
  <c r="BD49" i="67"/>
  <c r="DN49" i="67" s="1"/>
  <c r="BE49" i="67"/>
  <c r="DA49" i="67" s="1"/>
  <c r="BF49" i="67"/>
  <c r="DP49" i="67" s="1"/>
  <c r="BG49" i="67"/>
  <c r="DC49" i="67" s="1"/>
  <c r="BH49" i="67"/>
  <c r="DD49" i="67" s="1"/>
  <c r="BI49" i="67"/>
  <c r="BJ49" i="67"/>
  <c r="BK49" i="67"/>
  <c r="F49" i="157" s="1"/>
  <c r="K49" i="157" s="1"/>
  <c r="BL49" i="67"/>
  <c r="BM49" i="67"/>
  <c r="BN49" i="67"/>
  <c r="DX49" i="67" s="1"/>
  <c r="BO49" i="67"/>
  <c r="DK49" i="67" s="1"/>
  <c r="BP49" i="67"/>
  <c r="DL49" i="67" s="1"/>
  <c r="BQ49" i="67"/>
  <c r="DM49" i="67" s="1"/>
  <c r="BC50" i="67"/>
  <c r="BD50" i="67"/>
  <c r="CZ50" i="67" s="1"/>
  <c r="BE50" i="67"/>
  <c r="DO50" i="67" s="1"/>
  <c r="BF50" i="67"/>
  <c r="DP50" i="67" s="1"/>
  <c r="BG50" i="67"/>
  <c r="DC50" i="67" s="1"/>
  <c r="BH50" i="67"/>
  <c r="DD50" i="67" s="1"/>
  <c r="BI50" i="67"/>
  <c r="DS50" i="67" s="1"/>
  <c r="BJ50" i="67"/>
  <c r="BK50" i="67"/>
  <c r="BL50" i="67"/>
  <c r="DH50" i="67" s="1"/>
  <c r="BM50" i="67"/>
  <c r="BN50" i="67"/>
  <c r="BO50" i="67"/>
  <c r="BP50" i="67"/>
  <c r="BQ50" i="67"/>
  <c r="BC51" i="67"/>
  <c r="BD51" i="67"/>
  <c r="BE51" i="67"/>
  <c r="BF51" i="67"/>
  <c r="DB51" i="67" s="1"/>
  <c r="BG51" i="67"/>
  <c r="DQ51" i="67" s="1"/>
  <c r="BH51" i="67"/>
  <c r="DD51" i="67" s="1"/>
  <c r="BI51" i="67"/>
  <c r="DE51" i="67" s="1"/>
  <c r="BJ51" i="67"/>
  <c r="BK51" i="67"/>
  <c r="F51" i="157" s="1"/>
  <c r="K51" i="157" s="1"/>
  <c r="BL51" i="67"/>
  <c r="DH51" i="67" s="1"/>
  <c r="BM51" i="67"/>
  <c r="BN51" i="67"/>
  <c r="DJ51" i="67" s="1"/>
  <c r="BO51" i="67"/>
  <c r="DK51" i="67" s="1"/>
  <c r="BP51" i="67"/>
  <c r="DL51" i="67" s="1"/>
  <c r="BQ51" i="67"/>
  <c r="DM51" i="67" s="1"/>
  <c r="BC52" i="67"/>
  <c r="BD52" i="67"/>
  <c r="CZ52" i="67" s="1"/>
  <c r="BE52" i="67"/>
  <c r="DA52" i="67" s="1"/>
  <c r="BF52" i="67"/>
  <c r="BG52" i="67"/>
  <c r="BH52" i="67"/>
  <c r="BI52" i="67"/>
  <c r="BJ52" i="67"/>
  <c r="BK52" i="67"/>
  <c r="F52" i="157" s="1"/>
  <c r="K52" i="157" s="1"/>
  <c r="BL52" i="67"/>
  <c r="BM52" i="67"/>
  <c r="BN52" i="67"/>
  <c r="DJ52" i="67" s="1"/>
  <c r="BO52" i="67"/>
  <c r="DK52" i="67" s="1"/>
  <c r="BP52" i="67"/>
  <c r="DZ52" i="67" s="1"/>
  <c r="BQ52" i="67"/>
  <c r="EA52" i="67" s="1"/>
  <c r="BC53" i="67"/>
  <c r="BD53" i="67"/>
  <c r="CZ53" i="67" s="1"/>
  <c r="BE53" i="67"/>
  <c r="DA53" i="67" s="1"/>
  <c r="BF53" i="67"/>
  <c r="BG53" i="67"/>
  <c r="DC53" i="67" s="1"/>
  <c r="BH53" i="67"/>
  <c r="DD53" i="67" s="1"/>
  <c r="BI53" i="67"/>
  <c r="DE53" i="67" s="1"/>
  <c r="BJ53" i="67"/>
  <c r="BK53" i="67"/>
  <c r="F53" i="157" s="1"/>
  <c r="K53" i="157" s="1"/>
  <c r="BL53" i="67"/>
  <c r="BM53" i="67"/>
  <c r="BN53" i="67"/>
  <c r="DX53" i="67" s="1"/>
  <c r="BO53" i="67"/>
  <c r="DY53" i="67" s="1"/>
  <c r="BP53" i="67"/>
  <c r="DZ53" i="67" s="1"/>
  <c r="BQ53" i="67"/>
  <c r="EA53" i="67" s="1"/>
  <c r="BC54" i="67"/>
  <c r="BD54" i="67"/>
  <c r="CZ54" i="67" s="1"/>
  <c r="BE54" i="67"/>
  <c r="DA54" i="67" s="1"/>
  <c r="BF54" i="67"/>
  <c r="DP54" i="67" s="1"/>
  <c r="BG54" i="67"/>
  <c r="DQ54" i="67" s="1"/>
  <c r="BH54" i="67"/>
  <c r="DR54" i="67" s="1"/>
  <c r="BI54" i="67"/>
  <c r="DS54" i="67" s="1"/>
  <c r="BJ54" i="67"/>
  <c r="BK54" i="67"/>
  <c r="BL54" i="67"/>
  <c r="DH54" i="67" s="1"/>
  <c r="BM54" i="67"/>
  <c r="BN54" i="67"/>
  <c r="BO54" i="67"/>
  <c r="DY54" i="67" s="1"/>
  <c r="BP54" i="67"/>
  <c r="BQ54" i="67"/>
  <c r="EA54" i="67" s="1"/>
  <c r="BC55" i="67"/>
  <c r="BD55" i="67"/>
  <c r="BE55" i="67"/>
  <c r="DO55" i="67" s="1"/>
  <c r="BF55" i="67"/>
  <c r="BG55" i="67"/>
  <c r="DQ55" i="67" s="1"/>
  <c r="BH55" i="67"/>
  <c r="DR55" i="67" s="1"/>
  <c r="BI55" i="67"/>
  <c r="DS55" i="67" s="1"/>
  <c r="BJ55" i="67"/>
  <c r="BK55" i="67"/>
  <c r="BL55" i="67"/>
  <c r="DV55" i="67" s="1"/>
  <c r="BM55" i="67"/>
  <c r="BN55" i="67"/>
  <c r="DJ55" i="67" s="1"/>
  <c r="BO55" i="67"/>
  <c r="BP55" i="67"/>
  <c r="DL55" i="67" s="1"/>
  <c r="BQ55" i="67"/>
  <c r="DM55" i="67" s="1"/>
  <c r="BC56" i="67"/>
  <c r="BD56" i="67"/>
  <c r="CZ56" i="67" s="1"/>
  <c r="BE56" i="67"/>
  <c r="DA56" i="67" s="1"/>
  <c r="BF56" i="67"/>
  <c r="BG56" i="67"/>
  <c r="DQ56" i="67" s="1"/>
  <c r="BH56" i="67"/>
  <c r="BI56" i="67"/>
  <c r="DE56" i="67" s="1"/>
  <c r="BJ56" i="67"/>
  <c r="BK56" i="67"/>
  <c r="BL56" i="67"/>
  <c r="DH56" i="67" s="1"/>
  <c r="BM56" i="67"/>
  <c r="BN56" i="67"/>
  <c r="DJ56" i="67" s="1"/>
  <c r="BO56" i="67"/>
  <c r="DY56" i="67" s="1"/>
  <c r="BP56" i="67"/>
  <c r="BQ56" i="67"/>
  <c r="EA56" i="67" s="1"/>
  <c r="BC57" i="67"/>
  <c r="BD57" i="67"/>
  <c r="CZ57" i="67" s="1"/>
  <c r="BE57" i="67"/>
  <c r="DA57" i="67" s="1"/>
  <c r="BF57" i="67"/>
  <c r="BG57" i="67"/>
  <c r="DQ57" i="67" s="1"/>
  <c r="BH57" i="67"/>
  <c r="DD57" i="67" s="1"/>
  <c r="BI57" i="67"/>
  <c r="DE57" i="67" s="1"/>
  <c r="BJ57" i="67"/>
  <c r="BK57" i="67"/>
  <c r="F57" i="157" s="1"/>
  <c r="K57" i="157" s="1"/>
  <c r="BL57" i="67"/>
  <c r="DV57" i="67" s="1"/>
  <c r="BM57" i="67"/>
  <c r="BN57" i="67"/>
  <c r="DX57" i="67" s="1"/>
  <c r="BO57" i="67"/>
  <c r="DY57" i="67" s="1"/>
  <c r="BP57" i="67"/>
  <c r="DZ57" i="67" s="1"/>
  <c r="BQ57" i="67"/>
  <c r="BC58" i="67"/>
  <c r="BD58" i="67"/>
  <c r="DN58" i="67" s="1"/>
  <c r="BE58" i="67"/>
  <c r="DO58" i="67" s="1"/>
  <c r="BF58" i="67"/>
  <c r="DB58" i="67" s="1"/>
  <c r="BG58" i="67"/>
  <c r="DQ58" i="67" s="1"/>
  <c r="BH58" i="67"/>
  <c r="DR58" i="67" s="1"/>
  <c r="BI58" i="67"/>
  <c r="DS58" i="67" s="1"/>
  <c r="BJ58" i="67"/>
  <c r="BK58" i="67"/>
  <c r="F58" i="157" s="1"/>
  <c r="K58" i="157" s="1"/>
  <c r="BL58" i="67"/>
  <c r="DH58" i="67" s="1"/>
  <c r="BM58" i="67"/>
  <c r="BN58" i="67"/>
  <c r="BO58" i="67"/>
  <c r="DY58" i="67" s="1"/>
  <c r="BP58" i="67"/>
  <c r="DZ58" i="67" s="1"/>
  <c r="BQ58" i="67"/>
  <c r="DM58" i="67" s="1"/>
  <c r="BC59" i="67"/>
  <c r="BD59" i="67"/>
  <c r="DN59" i="67" s="1"/>
  <c r="BE59" i="67"/>
  <c r="DA59" i="67" s="1"/>
  <c r="BF59" i="67"/>
  <c r="DP59" i="67" s="1"/>
  <c r="BG59" i="67"/>
  <c r="DC59" i="67" s="1"/>
  <c r="BH59" i="67"/>
  <c r="DD59" i="67" s="1"/>
  <c r="BI59" i="67"/>
  <c r="DE59" i="67" s="1"/>
  <c r="BJ59" i="67"/>
  <c r="BK59" i="67"/>
  <c r="F59" i="157" s="1"/>
  <c r="K59" i="157" s="1"/>
  <c r="BL59" i="67"/>
  <c r="DV59" i="67" s="1"/>
  <c r="BM59" i="67"/>
  <c r="BN59" i="67"/>
  <c r="DX59" i="67" s="1"/>
  <c r="BO59" i="67"/>
  <c r="DY59" i="67" s="1"/>
  <c r="BP59" i="67"/>
  <c r="DL59" i="67" s="1"/>
  <c r="BQ59" i="67"/>
  <c r="DM59" i="67" s="1"/>
  <c r="BC60" i="67"/>
  <c r="BD60" i="67"/>
  <c r="BE60" i="67"/>
  <c r="DA60" i="67" s="1"/>
  <c r="BF60" i="67"/>
  <c r="BG60" i="67"/>
  <c r="DQ60" i="67" s="1"/>
  <c r="BH60" i="67"/>
  <c r="DR60" i="67" s="1"/>
  <c r="BI60" i="67"/>
  <c r="DS60" i="67" s="1"/>
  <c r="BJ60" i="67"/>
  <c r="BK60" i="67"/>
  <c r="F60" i="157" s="1"/>
  <c r="K60" i="157" s="1"/>
  <c r="BL60" i="67"/>
  <c r="DV60" i="67" s="1"/>
  <c r="BM60" i="67"/>
  <c r="BN60" i="67"/>
  <c r="DX60" i="67" s="1"/>
  <c r="BO60" i="67"/>
  <c r="DK60" i="67" s="1"/>
  <c r="BP60" i="67"/>
  <c r="DL60" i="67" s="1"/>
  <c r="BQ60" i="67"/>
  <c r="DM60" i="67" s="1"/>
  <c r="BC61" i="67"/>
  <c r="BD61" i="67"/>
  <c r="DN61" i="67" s="1"/>
  <c r="BE61" i="67"/>
  <c r="BF61" i="67"/>
  <c r="DP61" i="67" s="1"/>
  <c r="BG61" i="67"/>
  <c r="DC61" i="67" s="1"/>
  <c r="BH61" i="67"/>
  <c r="DD61" i="67" s="1"/>
  <c r="BI61" i="67"/>
  <c r="BJ61" i="67"/>
  <c r="BK61" i="67"/>
  <c r="F61" i="157" s="1"/>
  <c r="K61" i="157" s="1"/>
  <c r="BL61" i="67"/>
  <c r="DV61" i="67" s="1"/>
  <c r="BM61" i="67"/>
  <c r="BN61" i="67"/>
  <c r="DX61" i="67" s="1"/>
  <c r="BO61" i="67"/>
  <c r="DY61" i="67" s="1"/>
  <c r="BP61" i="67"/>
  <c r="DZ61" i="67" s="1"/>
  <c r="BQ61" i="67"/>
  <c r="EA61" i="67" s="1"/>
  <c r="BC62" i="67"/>
  <c r="BD62" i="67"/>
  <c r="CZ62" i="67" s="1"/>
  <c r="BE62" i="67"/>
  <c r="DO62" i="67" s="1"/>
  <c r="BF62" i="67"/>
  <c r="BG62" i="67"/>
  <c r="DQ62" i="67" s="1"/>
  <c r="BH62" i="67"/>
  <c r="DR62" i="67" s="1"/>
  <c r="BI62" i="67"/>
  <c r="DS62" i="67" s="1"/>
  <c r="BJ62" i="67"/>
  <c r="BK62" i="67"/>
  <c r="BL62" i="67"/>
  <c r="DH62" i="67" s="1"/>
  <c r="BM62" i="67"/>
  <c r="BN62" i="67"/>
  <c r="BO62" i="67"/>
  <c r="DY62" i="67" s="1"/>
  <c r="BP62" i="67"/>
  <c r="DZ62" i="67" s="1"/>
  <c r="BQ62" i="67"/>
  <c r="EA62" i="67" s="1"/>
  <c r="BC63" i="67"/>
  <c r="BD63" i="67"/>
  <c r="DN63" i="67" s="1"/>
  <c r="BE63" i="67"/>
  <c r="DO63" i="67" s="1"/>
  <c r="BF63" i="67"/>
  <c r="DP63" i="67" s="1"/>
  <c r="BG63" i="67"/>
  <c r="BH63" i="67"/>
  <c r="DR63" i="67" s="1"/>
  <c r="BI63" i="67"/>
  <c r="DS63" i="67" s="1"/>
  <c r="BJ63" i="67"/>
  <c r="BK63" i="67"/>
  <c r="F63" i="157" s="1"/>
  <c r="K63" i="157" s="1"/>
  <c r="BL63" i="67"/>
  <c r="DH63" i="67" s="1"/>
  <c r="BM63" i="67"/>
  <c r="BN63" i="67"/>
  <c r="DJ63" i="67" s="1"/>
  <c r="BO63" i="67"/>
  <c r="DY63" i="67" s="1"/>
  <c r="BP63" i="67"/>
  <c r="DL63" i="67" s="1"/>
  <c r="BQ63" i="67"/>
  <c r="DM63" i="67" s="1"/>
  <c r="BC64" i="67"/>
  <c r="BD64" i="67"/>
  <c r="CZ64" i="67" s="1"/>
  <c r="BE64" i="67"/>
  <c r="DA64" i="67" s="1"/>
  <c r="BF64" i="67"/>
  <c r="BG64" i="67"/>
  <c r="DQ64" i="67" s="1"/>
  <c r="BH64" i="67"/>
  <c r="BI64" i="67"/>
  <c r="DS64" i="67" s="1"/>
  <c r="BJ64" i="67"/>
  <c r="BK64" i="67"/>
  <c r="F64" i="157" s="1"/>
  <c r="K64" i="157" s="1"/>
  <c r="BL64" i="67"/>
  <c r="BM64" i="67"/>
  <c r="BN64" i="67"/>
  <c r="DX64" i="67" s="1"/>
  <c r="BO64" i="67"/>
  <c r="DY64" i="67" s="1"/>
  <c r="BP64" i="67"/>
  <c r="DZ64" i="67" s="1"/>
  <c r="BQ64" i="67"/>
  <c r="EA64" i="67" s="1"/>
  <c r="BC65" i="67"/>
  <c r="BD65" i="67"/>
  <c r="DN65" i="67" s="1"/>
  <c r="BE65" i="67"/>
  <c r="DO65" i="67" s="1"/>
  <c r="BF65" i="67"/>
  <c r="DP65" i="67" s="1"/>
  <c r="BG65" i="67"/>
  <c r="DQ65" i="67" s="1"/>
  <c r="BH65" i="67"/>
  <c r="DD65" i="67" s="1"/>
  <c r="BI65" i="67"/>
  <c r="BJ65" i="67"/>
  <c r="BK65" i="67"/>
  <c r="BL65" i="67"/>
  <c r="DV65" i="67" s="1"/>
  <c r="BM65" i="67"/>
  <c r="BN65" i="67"/>
  <c r="DJ65" i="67" s="1"/>
  <c r="BO65" i="67"/>
  <c r="DK65" i="67" s="1"/>
  <c r="BP65" i="67"/>
  <c r="DL65" i="67" s="1"/>
  <c r="BQ65" i="67"/>
  <c r="DM65" i="67" s="1"/>
  <c r="BC66" i="67"/>
  <c r="BD66" i="67"/>
  <c r="DN66" i="67" s="1"/>
  <c r="BE66" i="67"/>
  <c r="DA66" i="67" s="1"/>
  <c r="BF66" i="67"/>
  <c r="DP66" i="67" s="1"/>
  <c r="BG66" i="67"/>
  <c r="DC66" i="67" s="1"/>
  <c r="BH66" i="67"/>
  <c r="DD66" i="67" s="1"/>
  <c r="BI66" i="67"/>
  <c r="DE66" i="67" s="1"/>
  <c r="BJ66" i="67"/>
  <c r="BK66" i="67"/>
  <c r="F66" i="157" s="1"/>
  <c r="K66" i="157" s="1"/>
  <c r="BL66" i="67"/>
  <c r="DH66" i="67" s="1"/>
  <c r="BM66" i="67"/>
  <c r="BN66" i="67"/>
  <c r="BO66" i="67"/>
  <c r="DY66" i="67" s="1"/>
  <c r="BP66" i="67"/>
  <c r="DZ66" i="67" s="1"/>
  <c r="BQ66" i="67"/>
  <c r="EA66" i="67" s="1"/>
  <c r="BC67" i="67"/>
  <c r="BD67" i="67"/>
  <c r="DN67" i="67" s="1"/>
  <c r="BE67" i="67"/>
  <c r="DO67" i="67" s="1"/>
  <c r="BF67" i="67"/>
  <c r="DP67" i="67" s="1"/>
  <c r="BG67" i="67"/>
  <c r="DQ67" i="67" s="1"/>
  <c r="BH67" i="67"/>
  <c r="DR67" i="67" s="1"/>
  <c r="BI67" i="67"/>
  <c r="DS67" i="67" s="1"/>
  <c r="BJ67" i="67"/>
  <c r="BK67" i="67"/>
  <c r="F67" i="157" s="1"/>
  <c r="K67" i="157" s="1"/>
  <c r="BL67" i="67"/>
  <c r="DV67" i="67" s="1"/>
  <c r="BM67" i="67"/>
  <c r="BN67" i="67"/>
  <c r="DX67" i="67" s="1"/>
  <c r="BO67" i="67"/>
  <c r="BP67" i="67"/>
  <c r="DL67" i="67" s="1"/>
  <c r="BQ67" i="67"/>
  <c r="DM67" i="67" s="1"/>
  <c r="BC68" i="67"/>
  <c r="BD68" i="67"/>
  <c r="CZ68" i="67" s="1"/>
  <c r="BE68" i="67"/>
  <c r="DA68" i="67" s="1"/>
  <c r="BF68" i="67"/>
  <c r="BG68" i="67"/>
  <c r="DQ68" i="67" s="1"/>
  <c r="BH68" i="67"/>
  <c r="DR68" i="67" s="1"/>
  <c r="BI68" i="67"/>
  <c r="DE68" i="67" s="1"/>
  <c r="BJ68" i="67"/>
  <c r="BK68" i="67"/>
  <c r="BL68" i="67"/>
  <c r="BM68" i="67"/>
  <c r="BN68" i="67"/>
  <c r="DX68" i="67" s="1"/>
  <c r="BO68" i="67"/>
  <c r="DY68" i="67" s="1"/>
  <c r="BP68" i="67"/>
  <c r="BQ68" i="67"/>
  <c r="EA68" i="67" s="1"/>
  <c r="BC69" i="67"/>
  <c r="BD69" i="67"/>
  <c r="CZ69" i="67" s="1"/>
  <c r="BE69" i="67"/>
  <c r="DO69" i="67" s="1"/>
  <c r="BF69" i="67"/>
  <c r="BG69" i="67"/>
  <c r="DQ69" i="67" s="1"/>
  <c r="BH69" i="67"/>
  <c r="DD69" i="67" s="1"/>
  <c r="BI69" i="67"/>
  <c r="DE69" i="67" s="1"/>
  <c r="BJ69" i="67"/>
  <c r="BK69" i="67"/>
  <c r="BL69" i="67"/>
  <c r="DV69" i="67" s="1"/>
  <c r="BM69" i="67"/>
  <c r="BN69" i="67"/>
  <c r="DX69" i="67" s="1"/>
  <c r="BO69" i="67"/>
  <c r="DY69" i="67" s="1"/>
  <c r="BP69" i="67"/>
  <c r="DZ69" i="67" s="1"/>
  <c r="BQ69" i="67"/>
  <c r="BC70" i="67"/>
  <c r="BD70" i="67"/>
  <c r="DN70" i="67" s="1"/>
  <c r="BE70" i="67"/>
  <c r="DO70" i="67" s="1"/>
  <c r="BF70" i="67"/>
  <c r="BG70" i="67"/>
  <c r="DQ70" i="67" s="1"/>
  <c r="BH70" i="67"/>
  <c r="DR70" i="67" s="1"/>
  <c r="BI70" i="67"/>
  <c r="DS70" i="67" s="1"/>
  <c r="BJ70" i="67"/>
  <c r="BK70" i="67"/>
  <c r="BL70" i="67"/>
  <c r="DH70" i="67" s="1"/>
  <c r="BM70" i="67"/>
  <c r="BN70" i="67"/>
  <c r="BO70" i="67"/>
  <c r="DY70" i="67" s="1"/>
  <c r="BP70" i="67"/>
  <c r="DZ70" i="67" s="1"/>
  <c r="BQ70" i="67"/>
  <c r="DM70" i="67" s="1"/>
  <c r="BC71" i="67"/>
  <c r="BD71" i="67"/>
  <c r="DN71" i="67" s="1"/>
  <c r="BE71" i="67"/>
  <c r="DA71" i="67" s="1"/>
  <c r="BF71" i="67"/>
  <c r="DP71" i="67" s="1"/>
  <c r="BG71" i="67"/>
  <c r="DC71" i="67" s="1"/>
  <c r="BH71" i="67"/>
  <c r="DD71" i="67" s="1"/>
  <c r="BI71" i="67"/>
  <c r="DS71" i="67" s="1"/>
  <c r="BJ71" i="67"/>
  <c r="BK71" i="67"/>
  <c r="BL71" i="67"/>
  <c r="DV71" i="67" s="1"/>
  <c r="BM71" i="67"/>
  <c r="BN71" i="67"/>
  <c r="DX71" i="67" s="1"/>
  <c r="BO71" i="67"/>
  <c r="BP71" i="67"/>
  <c r="DL71" i="67" s="1"/>
  <c r="BQ71" i="67"/>
  <c r="DM71" i="67" s="1"/>
  <c r="BC72" i="67"/>
  <c r="BD72" i="67"/>
  <c r="BE72" i="67"/>
  <c r="DA72" i="67" s="1"/>
  <c r="BF72" i="67"/>
  <c r="BG72" i="67"/>
  <c r="DQ72" i="67" s="1"/>
  <c r="BH72" i="67"/>
  <c r="DR72" i="67" s="1"/>
  <c r="BI72" i="67"/>
  <c r="DS72" i="67" s="1"/>
  <c r="BJ72" i="67"/>
  <c r="BK72" i="67"/>
  <c r="BL72" i="67"/>
  <c r="DV72" i="67" s="1"/>
  <c r="BM72" i="67"/>
  <c r="BN72" i="67"/>
  <c r="DJ72" i="67" s="1"/>
  <c r="BO72" i="67"/>
  <c r="DK72" i="67" s="1"/>
  <c r="BP72" i="67"/>
  <c r="BQ72" i="67"/>
  <c r="DM72" i="67" s="1"/>
  <c r="BC73" i="67"/>
  <c r="BD73" i="67"/>
  <c r="BE73" i="67"/>
  <c r="BF73" i="67"/>
  <c r="DP73" i="67" s="1"/>
  <c r="BG73" i="67"/>
  <c r="DC73" i="67" s="1"/>
  <c r="BH73" i="67"/>
  <c r="DD73" i="67" s="1"/>
  <c r="BI73" i="67"/>
  <c r="DE73" i="67" s="1"/>
  <c r="BJ73" i="67"/>
  <c r="BK73" i="67"/>
  <c r="F73" i="157" s="1"/>
  <c r="K73" i="157" s="1"/>
  <c r="BL73" i="67"/>
  <c r="DV73" i="67" s="1"/>
  <c r="BM73" i="67"/>
  <c r="BN73" i="67"/>
  <c r="DX73" i="67" s="1"/>
  <c r="BO73" i="67"/>
  <c r="DY73" i="67" s="1"/>
  <c r="BP73" i="67"/>
  <c r="DZ73" i="67" s="1"/>
  <c r="BQ73" i="67"/>
  <c r="BC74" i="67"/>
  <c r="BD74" i="67"/>
  <c r="DN74" i="67" s="1"/>
  <c r="BE74" i="67"/>
  <c r="BF74" i="67"/>
  <c r="BG74" i="67"/>
  <c r="BH74" i="67"/>
  <c r="DR74" i="67" s="1"/>
  <c r="BI74" i="67"/>
  <c r="DS74" i="67" s="1"/>
  <c r="BJ74" i="67"/>
  <c r="BK74" i="67"/>
  <c r="F74" i="157" s="1"/>
  <c r="K74" i="157" s="1"/>
  <c r="BL74" i="67"/>
  <c r="DH74" i="67" s="1"/>
  <c r="BM74" i="67"/>
  <c r="BN74" i="67"/>
  <c r="BO74" i="67"/>
  <c r="DY74" i="67" s="1"/>
  <c r="BP74" i="67"/>
  <c r="DZ74" i="67" s="1"/>
  <c r="BQ74" i="67"/>
  <c r="EA74" i="67" s="1"/>
  <c r="BC75" i="67"/>
  <c r="BD75" i="67"/>
  <c r="DN75" i="67" s="1"/>
  <c r="BE75" i="67"/>
  <c r="DO75" i="67" s="1"/>
  <c r="BF75" i="67"/>
  <c r="BG75" i="67"/>
  <c r="BH75" i="67"/>
  <c r="BI75" i="67"/>
  <c r="DE75" i="67" s="1"/>
  <c r="BJ75" i="67"/>
  <c r="BK75" i="67"/>
  <c r="F75" i="157" s="1"/>
  <c r="K75" i="157" s="1"/>
  <c r="BL75" i="67"/>
  <c r="DH75" i="67" s="1"/>
  <c r="BM75" i="67"/>
  <c r="BN75" i="67"/>
  <c r="DX75" i="67" s="1"/>
  <c r="BO75" i="67"/>
  <c r="DY75" i="67" s="1"/>
  <c r="BP75" i="67"/>
  <c r="DL75" i="67" s="1"/>
  <c r="BQ75" i="67"/>
  <c r="DM75" i="67" s="1"/>
  <c r="BC76" i="67"/>
  <c r="BD76" i="67"/>
  <c r="BE76" i="67"/>
  <c r="DA76" i="67" s="1"/>
  <c r="BF76" i="67"/>
  <c r="BG76" i="67"/>
  <c r="BH76" i="67"/>
  <c r="BI76" i="67"/>
  <c r="BJ76" i="67"/>
  <c r="BK76" i="67"/>
  <c r="F76" i="157" s="1"/>
  <c r="K76" i="157" s="1"/>
  <c r="BL76" i="67"/>
  <c r="DV76" i="67" s="1"/>
  <c r="BM76" i="67"/>
  <c r="BN76" i="67"/>
  <c r="DX76" i="67" s="1"/>
  <c r="BO76" i="67"/>
  <c r="DY76" i="67" s="1"/>
  <c r="BP76" i="67"/>
  <c r="DZ76" i="67" s="1"/>
  <c r="BQ76" i="67"/>
  <c r="EA76" i="67" s="1"/>
  <c r="BC77" i="67"/>
  <c r="BD77" i="67"/>
  <c r="DN77" i="67" s="1"/>
  <c r="BE77" i="67"/>
  <c r="BF77" i="67"/>
  <c r="DP77" i="67" s="1"/>
  <c r="BG77" i="67"/>
  <c r="DQ77" i="67" s="1"/>
  <c r="BH77" i="67"/>
  <c r="BI77" i="67"/>
  <c r="BJ77" i="67"/>
  <c r="BK77" i="67"/>
  <c r="BL77" i="67"/>
  <c r="DV77" i="67" s="1"/>
  <c r="BM77" i="67"/>
  <c r="BN77" i="67"/>
  <c r="DJ77" i="67" s="1"/>
  <c r="BO77" i="67"/>
  <c r="DK77" i="67" s="1"/>
  <c r="BP77" i="67"/>
  <c r="DL77" i="67" s="1"/>
  <c r="BQ77" i="67"/>
  <c r="DM77" i="67" s="1"/>
  <c r="BC78" i="67"/>
  <c r="BD78" i="67"/>
  <c r="CZ78" i="67" s="1"/>
  <c r="BE78" i="67"/>
  <c r="DA78" i="67" s="1"/>
  <c r="BF78" i="67"/>
  <c r="BG78" i="67"/>
  <c r="DC78" i="67" s="1"/>
  <c r="BH78" i="67"/>
  <c r="DD78" i="67" s="1"/>
  <c r="BI78" i="67"/>
  <c r="BJ78" i="67"/>
  <c r="BK78" i="67"/>
  <c r="F78" i="157" s="1"/>
  <c r="K78" i="157" s="1"/>
  <c r="BL78" i="67"/>
  <c r="DH78" i="67" s="1"/>
  <c r="BM78" i="67"/>
  <c r="BN78" i="67"/>
  <c r="BO78" i="67"/>
  <c r="DY78" i="67" s="1"/>
  <c r="BP78" i="67"/>
  <c r="DZ78" i="67" s="1"/>
  <c r="BQ78" i="67"/>
  <c r="EA78" i="67" s="1"/>
  <c r="BC79" i="67"/>
  <c r="BD79" i="67"/>
  <c r="DN79" i="67" s="1"/>
  <c r="BE79" i="67"/>
  <c r="DO79" i="67" s="1"/>
  <c r="BF79" i="67"/>
  <c r="DB79" i="67" s="1"/>
  <c r="BG79" i="67"/>
  <c r="BH79" i="67"/>
  <c r="DR79" i="67" s="1"/>
  <c r="BI79" i="67"/>
  <c r="DS79" i="67" s="1"/>
  <c r="BJ79" i="67"/>
  <c r="BK79" i="67"/>
  <c r="F79" i="157" s="1"/>
  <c r="K79" i="157" s="1"/>
  <c r="BL79" i="67"/>
  <c r="BM79" i="67"/>
  <c r="BN79" i="67"/>
  <c r="DJ79" i="67" s="1"/>
  <c r="BO79" i="67"/>
  <c r="DK79" i="67" s="1"/>
  <c r="BP79" i="67"/>
  <c r="DL79" i="67" s="1"/>
  <c r="BQ79" i="67"/>
  <c r="DM79" i="67" s="1"/>
  <c r="BC80" i="67"/>
  <c r="BD80" i="67"/>
  <c r="CZ80" i="67" s="1"/>
  <c r="BE80" i="67"/>
  <c r="DA80" i="67" s="1"/>
  <c r="BF80" i="67"/>
  <c r="BG80" i="67"/>
  <c r="DQ80" i="67" s="1"/>
  <c r="BH80" i="67"/>
  <c r="BI80" i="67"/>
  <c r="DE80" i="67" s="1"/>
  <c r="BJ80" i="67"/>
  <c r="BK80" i="67"/>
  <c r="F80" i="157" s="1"/>
  <c r="K80" i="157" s="1"/>
  <c r="BL80" i="67"/>
  <c r="BM80" i="67"/>
  <c r="BN80" i="67"/>
  <c r="DX80" i="67" s="1"/>
  <c r="BO80" i="67"/>
  <c r="DY80" i="67" s="1"/>
  <c r="BP80" i="67"/>
  <c r="DZ80" i="67" s="1"/>
  <c r="BQ80" i="67"/>
  <c r="EA80" i="67" s="1"/>
  <c r="BC81" i="67"/>
  <c r="BD81" i="67"/>
  <c r="DN81" i="67" s="1"/>
  <c r="BE81" i="67"/>
  <c r="DO81" i="67" s="1"/>
  <c r="BF81" i="67"/>
  <c r="DB81" i="67" s="1"/>
  <c r="BG81" i="67"/>
  <c r="DQ81" i="67" s="1"/>
  <c r="BH81" i="67"/>
  <c r="BI81" i="67"/>
  <c r="BJ81" i="67"/>
  <c r="BK81" i="67"/>
  <c r="BL81" i="67"/>
  <c r="BM81" i="67"/>
  <c r="BN81" i="67"/>
  <c r="BO81" i="67"/>
  <c r="DY81" i="67" s="1"/>
  <c r="BP81" i="67"/>
  <c r="DZ81" i="67" s="1"/>
  <c r="BQ81" i="67"/>
  <c r="EA81" i="67" s="1"/>
  <c r="BC82" i="67"/>
  <c r="BD82" i="67"/>
  <c r="DN82" i="67" s="1"/>
  <c r="BE82" i="67"/>
  <c r="DO82" i="67" s="1"/>
  <c r="BF82" i="67"/>
  <c r="DP82" i="67" s="1"/>
  <c r="BG82" i="67"/>
  <c r="DQ82" i="67" s="1"/>
  <c r="BH82" i="67"/>
  <c r="DR82" i="67" s="1"/>
  <c r="BI82" i="67"/>
  <c r="BJ82" i="67"/>
  <c r="BK82" i="67"/>
  <c r="BL82" i="67"/>
  <c r="DH82" i="67" s="1"/>
  <c r="BM82" i="67"/>
  <c r="BN82" i="67"/>
  <c r="BO82" i="67"/>
  <c r="BP82" i="67"/>
  <c r="DZ82" i="67" s="1"/>
  <c r="BQ82" i="67"/>
  <c r="EA82" i="67" s="1"/>
  <c r="BC83" i="67"/>
  <c r="BD83" i="67"/>
  <c r="DN83" i="67" s="1"/>
  <c r="BE83" i="67"/>
  <c r="DA83" i="67" s="1"/>
  <c r="BF83" i="67"/>
  <c r="DB83" i="67" s="1"/>
  <c r="BG83" i="67"/>
  <c r="DC83" i="67" s="1"/>
  <c r="BH83" i="67"/>
  <c r="DR83" i="67" s="1"/>
  <c r="BI83" i="67"/>
  <c r="DS83" i="67" s="1"/>
  <c r="BJ83" i="67"/>
  <c r="BK83" i="67"/>
  <c r="F83" i="157" s="1"/>
  <c r="K83" i="157" s="1"/>
  <c r="BL83" i="67"/>
  <c r="DV83" i="67" s="1"/>
  <c r="BM83" i="67"/>
  <c r="BN83" i="67"/>
  <c r="BO83" i="67"/>
  <c r="BP83" i="67"/>
  <c r="BQ83" i="67"/>
  <c r="DM83" i="67" s="1"/>
  <c r="BC84" i="67"/>
  <c r="BD84" i="67"/>
  <c r="CZ84" i="67" s="1"/>
  <c r="BE84" i="67"/>
  <c r="DA84" i="67" s="1"/>
  <c r="BF84" i="67"/>
  <c r="BG84" i="67"/>
  <c r="DQ84" i="67" s="1"/>
  <c r="BH84" i="67"/>
  <c r="DR84" i="67" s="1"/>
  <c r="BI84" i="67"/>
  <c r="DS84" i="67" s="1"/>
  <c r="BJ84" i="67"/>
  <c r="BK84" i="67"/>
  <c r="F84" i="157" s="1"/>
  <c r="K84" i="157" s="1"/>
  <c r="BL84" i="67"/>
  <c r="BM84" i="67"/>
  <c r="BN84" i="67"/>
  <c r="BO84" i="67"/>
  <c r="BP84" i="67"/>
  <c r="BQ84" i="67"/>
  <c r="BC85" i="67"/>
  <c r="BD85" i="67"/>
  <c r="CZ85" i="67" s="1"/>
  <c r="BE85" i="67"/>
  <c r="DA85" i="67" s="1"/>
  <c r="BF85" i="67"/>
  <c r="BG85" i="67"/>
  <c r="DC85" i="67" s="1"/>
  <c r="BH85" i="67"/>
  <c r="DD85" i="67" s="1"/>
  <c r="BI85" i="67"/>
  <c r="DE85" i="67" s="1"/>
  <c r="BJ85" i="67"/>
  <c r="BK85" i="67"/>
  <c r="BL85" i="67"/>
  <c r="BM85" i="67"/>
  <c r="BN85" i="67"/>
  <c r="DX85" i="67" s="1"/>
  <c r="BO85" i="67"/>
  <c r="BP85" i="67"/>
  <c r="BQ85" i="67"/>
  <c r="BC86" i="67"/>
  <c r="BD86" i="67"/>
  <c r="DN86" i="67" s="1"/>
  <c r="BE86" i="67"/>
  <c r="DO86" i="67" s="1"/>
  <c r="BF86" i="67"/>
  <c r="BG86" i="67"/>
  <c r="DQ86" i="67" s="1"/>
  <c r="BH86" i="67"/>
  <c r="DR86" i="67" s="1"/>
  <c r="BI86" i="67"/>
  <c r="DS86" i="67" s="1"/>
  <c r="BJ86" i="67"/>
  <c r="BK86" i="67"/>
  <c r="BL86" i="67"/>
  <c r="DH86" i="67" s="1"/>
  <c r="BM86" i="67"/>
  <c r="BN86" i="67"/>
  <c r="BO86" i="67"/>
  <c r="DY86" i="67" s="1"/>
  <c r="BP86" i="67"/>
  <c r="BQ86" i="67"/>
  <c r="BC87" i="67"/>
  <c r="BD87" i="67"/>
  <c r="BE87" i="67"/>
  <c r="DO87" i="67" s="1"/>
  <c r="BF87" i="67"/>
  <c r="DB87" i="67" s="1"/>
  <c r="BG87" i="67"/>
  <c r="DQ87" i="67" s="1"/>
  <c r="BH87" i="67"/>
  <c r="DD87" i="67" s="1"/>
  <c r="BI87" i="67"/>
  <c r="DE87" i="67" s="1"/>
  <c r="BJ87" i="67"/>
  <c r="BK87" i="67"/>
  <c r="BL87" i="67"/>
  <c r="DH87" i="67" s="1"/>
  <c r="BM87" i="67"/>
  <c r="BN87" i="67"/>
  <c r="BO87" i="67"/>
  <c r="BP87" i="67"/>
  <c r="DL87" i="67" s="1"/>
  <c r="BQ87" i="67"/>
  <c r="BC88" i="67"/>
  <c r="BD88" i="67"/>
  <c r="BE88" i="67"/>
  <c r="BF88" i="67"/>
  <c r="BG88" i="67"/>
  <c r="DQ88" i="67" s="1"/>
  <c r="BH88" i="67"/>
  <c r="DR88" i="67" s="1"/>
  <c r="BI88" i="67"/>
  <c r="DS88" i="67" s="1"/>
  <c r="BJ88" i="67"/>
  <c r="BK88" i="67"/>
  <c r="H88" i="76" s="1"/>
  <c r="BL88" i="67"/>
  <c r="DV88" i="67" s="1"/>
  <c r="BM88" i="67"/>
  <c r="BN88" i="67"/>
  <c r="DX88" i="67" s="1"/>
  <c r="BO88" i="67"/>
  <c r="BP88" i="67"/>
  <c r="BQ88" i="67"/>
  <c r="DM88" i="67" s="1"/>
  <c r="BC89" i="67"/>
  <c r="BD89" i="67"/>
  <c r="BE89" i="67"/>
  <c r="BF89" i="67"/>
  <c r="BG89" i="67"/>
  <c r="DQ89" i="67" s="1"/>
  <c r="BH89" i="67"/>
  <c r="DR89" i="67" s="1"/>
  <c r="BI89" i="67"/>
  <c r="DS89" i="67" s="1"/>
  <c r="BJ89" i="67"/>
  <c r="BK89" i="67"/>
  <c r="BL89" i="67"/>
  <c r="DV89" i="67" s="1"/>
  <c r="BM89" i="67"/>
  <c r="BN89" i="67"/>
  <c r="DX89" i="67" s="1"/>
  <c r="BO89" i="67"/>
  <c r="DY89" i="67" s="1"/>
  <c r="BP89" i="67"/>
  <c r="BQ89" i="67"/>
  <c r="BC90" i="67"/>
  <c r="BD90" i="67"/>
  <c r="BE90" i="67"/>
  <c r="BF90" i="67"/>
  <c r="BG90" i="67"/>
  <c r="BH90" i="67"/>
  <c r="DD90" i="67" s="1"/>
  <c r="BI90" i="67"/>
  <c r="DE90" i="67" s="1"/>
  <c r="BJ90" i="67"/>
  <c r="BK90" i="67"/>
  <c r="BL90" i="67"/>
  <c r="DV90" i="67" s="1"/>
  <c r="BM90" i="67"/>
  <c r="BN90" i="67"/>
  <c r="DX90" i="67" s="1"/>
  <c r="BO90" i="67"/>
  <c r="DY90" i="67" s="1"/>
  <c r="BP90" i="67"/>
  <c r="DZ90" i="67" s="1"/>
  <c r="BQ90" i="67"/>
  <c r="BC91" i="67"/>
  <c r="BD91" i="67"/>
  <c r="DN91" i="67" s="1"/>
  <c r="BE91" i="67"/>
  <c r="BF91" i="67"/>
  <c r="BG91" i="67"/>
  <c r="BH91" i="67"/>
  <c r="BI91" i="67"/>
  <c r="DS91" i="67" s="1"/>
  <c r="BJ91" i="67"/>
  <c r="BK91" i="67"/>
  <c r="H91" i="76" s="1"/>
  <c r="BL91" i="67"/>
  <c r="DH91" i="67" s="1"/>
  <c r="BM91" i="67"/>
  <c r="BN91" i="67"/>
  <c r="DX91" i="67" s="1"/>
  <c r="BO91" i="67"/>
  <c r="DY91" i="67" s="1"/>
  <c r="BP91" i="67"/>
  <c r="DZ91" i="67" s="1"/>
  <c r="BQ91" i="67"/>
  <c r="EA91" i="67" s="1"/>
  <c r="BC92" i="67"/>
  <c r="BD92" i="67"/>
  <c r="BE92" i="67"/>
  <c r="BF92" i="67"/>
  <c r="BG92" i="67"/>
  <c r="BH92" i="67"/>
  <c r="BI92" i="67"/>
  <c r="BJ92" i="67"/>
  <c r="BK92" i="67"/>
  <c r="BL92" i="67"/>
  <c r="DV92" i="67" s="1"/>
  <c r="BM92" i="67"/>
  <c r="BN92" i="67"/>
  <c r="DX92" i="67" s="1"/>
  <c r="BO92" i="67"/>
  <c r="DY92" i="67" s="1"/>
  <c r="BP92" i="67"/>
  <c r="DL92" i="67" s="1"/>
  <c r="BQ92" i="67"/>
  <c r="DM92" i="67" s="1"/>
  <c r="BC93" i="67"/>
  <c r="BD93" i="67"/>
  <c r="BE93" i="67"/>
  <c r="BF93" i="67"/>
  <c r="BG93" i="67"/>
  <c r="BH93" i="67"/>
  <c r="BI93" i="67"/>
  <c r="BJ93" i="67"/>
  <c r="BK93" i="67"/>
  <c r="BL93" i="67"/>
  <c r="DV93" i="67" s="1"/>
  <c r="BM93" i="67"/>
  <c r="BN93" i="67"/>
  <c r="DX93" i="67" s="1"/>
  <c r="BO93" i="67"/>
  <c r="DY93" i="67" s="1"/>
  <c r="BP93" i="67"/>
  <c r="DZ93" i="67" s="1"/>
  <c r="BQ93" i="67"/>
  <c r="EA93" i="67" s="1"/>
  <c r="BC94" i="67"/>
  <c r="BD94" i="67"/>
  <c r="DN94" i="67" s="1"/>
  <c r="BE94" i="67"/>
  <c r="BF94" i="67"/>
  <c r="BG94" i="67"/>
  <c r="BH94" i="67"/>
  <c r="BI94" i="67"/>
  <c r="BJ94" i="67"/>
  <c r="BK94" i="67"/>
  <c r="BL94" i="67"/>
  <c r="DV94" i="67" s="1"/>
  <c r="BM94" i="67"/>
  <c r="BN94" i="67"/>
  <c r="DX94" i="67" s="1"/>
  <c r="BO94" i="67"/>
  <c r="DY94" i="67" s="1"/>
  <c r="BP94" i="67"/>
  <c r="DZ94" i="67" s="1"/>
  <c r="BQ94" i="67"/>
  <c r="EA94" i="67" s="1"/>
  <c r="BC95" i="67"/>
  <c r="BD95" i="67"/>
  <c r="DN95" i="67" s="1"/>
  <c r="BE95" i="67"/>
  <c r="DO95" i="67" s="1"/>
  <c r="BF95" i="67"/>
  <c r="BG95" i="67"/>
  <c r="BH95" i="67"/>
  <c r="BI95" i="67"/>
  <c r="BJ95" i="67"/>
  <c r="BK95" i="67"/>
  <c r="BL95" i="67"/>
  <c r="BM95" i="67"/>
  <c r="BN95" i="67"/>
  <c r="DX95" i="67" s="1"/>
  <c r="BO95" i="67"/>
  <c r="DY95" i="67" s="1"/>
  <c r="BP95" i="67"/>
  <c r="DZ95" i="67" s="1"/>
  <c r="BQ95" i="67"/>
  <c r="EA95" i="67" s="1"/>
  <c r="BC96" i="67"/>
  <c r="BD96" i="67"/>
  <c r="DN96" i="67" s="1"/>
  <c r="BE96" i="67"/>
  <c r="DO96" i="67" s="1"/>
  <c r="BF96" i="67"/>
  <c r="DP96" i="67" s="1"/>
  <c r="BG96" i="67"/>
  <c r="BH96" i="67"/>
  <c r="BI96" i="67"/>
  <c r="BJ96" i="67"/>
  <c r="BK96" i="67"/>
  <c r="BL96" i="67"/>
  <c r="BM96" i="67"/>
  <c r="BN96" i="67"/>
  <c r="DX96" i="67" s="1"/>
  <c r="BO96" i="67"/>
  <c r="DY96" i="67" s="1"/>
  <c r="BP96" i="67"/>
  <c r="DL96" i="67" s="1"/>
  <c r="BQ96" i="67"/>
  <c r="DM96" i="67" s="1"/>
  <c r="BC97" i="67"/>
  <c r="BD97" i="67"/>
  <c r="CZ97" i="67" s="1"/>
  <c r="BE97" i="67"/>
  <c r="DA97" i="67" s="1"/>
  <c r="BF97" i="67"/>
  <c r="G97" i="75" s="1"/>
  <c r="BG97" i="67"/>
  <c r="DQ97" i="67" s="1"/>
  <c r="BH97" i="67"/>
  <c r="BI97" i="67"/>
  <c r="BJ97" i="67"/>
  <c r="BK97" i="67"/>
  <c r="BL97" i="67"/>
  <c r="BM97" i="67"/>
  <c r="BN97" i="67"/>
  <c r="BO97" i="67"/>
  <c r="DY97" i="67" s="1"/>
  <c r="BP97" i="67"/>
  <c r="DZ97" i="67" s="1"/>
  <c r="BQ97" i="67"/>
  <c r="EA97" i="67" s="1"/>
  <c r="BD2" i="67"/>
  <c r="CZ2" i="67" s="1"/>
  <c r="BE2" i="67"/>
  <c r="BF2" i="67"/>
  <c r="BG2" i="67"/>
  <c r="BH2" i="67"/>
  <c r="BI2" i="67"/>
  <c r="BJ2" i="67"/>
  <c r="BK2" i="67"/>
  <c r="F2" i="157" s="1"/>
  <c r="K2" i="157" s="1"/>
  <c r="BL2" i="67"/>
  <c r="BM2" i="67"/>
  <c r="BN2" i="67"/>
  <c r="BO2" i="67"/>
  <c r="BP2" i="67"/>
  <c r="BQ2" i="67"/>
  <c r="BC2" i="67"/>
  <c r="G24" i="23"/>
  <c r="K24" i="23"/>
  <c r="W24" i="23"/>
  <c r="AE24" i="23"/>
  <c r="G25" i="23"/>
  <c r="K25" i="23"/>
  <c r="O25" i="23"/>
  <c r="S25" i="23"/>
  <c r="W25" i="23"/>
  <c r="AE25" i="23"/>
  <c r="AA25" i="23"/>
  <c r="G26" i="23"/>
  <c r="K26" i="23"/>
  <c r="O26" i="23"/>
  <c r="S26" i="23"/>
  <c r="W26" i="23"/>
  <c r="AE26" i="23"/>
  <c r="AA26" i="23"/>
  <c r="G27" i="23"/>
  <c r="K27" i="23"/>
  <c r="O27" i="23"/>
  <c r="S27" i="23"/>
  <c r="W27" i="23"/>
  <c r="AE27" i="23"/>
  <c r="AA27" i="23"/>
  <c r="G28" i="23"/>
  <c r="K28" i="23"/>
  <c r="O28" i="23"/>
  <c r="S28" i="23"/>
  <c r="W28" i="23"/>
  <c r="AE28" i="23"/>
  <c r="AA28" i="23"/>
  <c r="G29" i="23"/>
  <c r="K29" i="23"/>
  <c r="O29" i="23"/>
  <c r="S29" i="23"/>
  <c r="W29" i="23"/>
  <c r="AE29" i="23"/>
  <c r="AA29" i="23"/>
  <c r="G30" i="23"/>
  <c r="K30" i="23"/>
  <c r="O30" i="23"/>
  <c r="S30" i="23"/>
  <c r="W30" i="23"/>
  <c r="AE30" i="23"/>
  <c r="AA30" i="23"/>
  <c r="G31" i="23"/>
  <c r="K31" i="23"/>
  <c r="O31" i="23"/>
  <c r="S31" i="23"/>
  <c r="W31" i="23"/>
  <c r="AE31" i="23"/>
  <c r="AA31" i="23"/>
  <c r="G32" i="23"/>
  <c r="K32" i="23"/>
  <c r="O32" i="23"/>
  <c r="S32" i="23"/>
  <c r="W32" i="23"/>
  <c r="AE32" i="23"/>
  <c r="AA32" i="23"/>
  <c r="G33" i="23"/>
  <c r="K33" i="23"/>
  <c r="O33" i="23"/>
  <c r="S33" i="23"/>
  <c r="W33" i="23"/>
  <c r="AE33" i="23"/>
  <c r="AA33" i="23"/>
  <c r="G34" i="23"/>
  <c r="K34" i="23"/>
  <c r="O34" i="23"/>
  <c r="S34" i="23"/>
  <c r="W34" i="23"/>
  <c r="AE34" i="23"/>
  <c r="AA34" i="23"/>
  <c r="O35" i="23"/>
  <c r="P36" i="23" s="1"/>
  <c r="S35" i="23"/>
  <c r="T36" i="23" s="1"/>
  <c r="W35" i="23"/>
  <c r="X36" i="23" s="1"/>
  <c r="AE35" i="23"/>
  <c r="AF36" i="23" s="1"/>
  <c r="AA35" i="23"/>
  <c r="AB36" i="23" s="1"/>
  <c r="E87" i="153" l="1"/>
  <c r="O87" i="153" s="1"/>
  <c r="G87" i="155"/>
  <c r="E71" i="153"/>
  <c r="O71" i="153" s="1"/>
  <c r="G71" i="155"/>
  <c r="E55" i="153"/>
  <c r="O55" i="153" s="1"/>
  <c r="G55" i="155"/>
  <c r="E39" i="153"/>
  <c r="O39" i="153" s="1"/>
  <c r="G39" i="155"/>
  <c r="E23" i="153"/>
  <c r="O23" i="153" s="1"/>
  <c r="G23" i="155"/>
  <c r="G7" i="155"/>
  <c r="E7" i="153"/>
  <c r="O7" i="153" s="1"/>
  <c r="G88" i="76"/>
  <c r="G88" i="155"/>
  <c r="E88" i="153"/>
  <c r="O88" i="153" s="1"/>
  <c r="G72" i="155"/>
  <c r="E72" i="153"/>
  <c r="O72" i="153" s="1"/>
  <c r="G56" i="155"/>
  <c r="E56" i="153"/>
  <c r="O56" i="153" s="1"/>
  <c r="G40" i="155"/>
  <c r="E40" i="153"/>
  <c r="O40" i="153" s="1"/>
  <c r="G24" i="155"/>
  <c r="E24" i="153"/>
  <c r="O24" i="153" s="1"/>
  <c r="G8" i="155"/>
  <c r="E8" i="153"/>
  <c r="O8" i="153" s="1"/>
  <c r="G57" i="155"/>
  <c r="E57" i="153"/>
  <c r="O57" i="153" s="1"/>
  <c r="G41" i="155"/>
  <c r="E41" i="153"/>
  <c r="O41" i="153" s="1"/>
  <c r="G25" i="155"/>
  <c r="E25" i="153"/>
  <c r="O25" i="153" s="1"/>
  <c r="G9" i="155"/>
  <c r="E9" i="153"/>
  <c r="O9" i="153" s="1"/>
  <c r="E58" i="153"/>
  <c r="O58" i="153" s="1"/>
  <c r="G58" i="155"/>
  <c r="E42" i="153"/>
  <c r="O42" i="153" s="1"/>
  <c r="G42" i="155"/>
  <c r="E26" i="153"/>
  <c r="O26" i="153" s="1"/>
  <c r="G26" i="155"/>
  <c r="E10" i="153"/>
  <c r="O10" i="153" s="1"/>
  <c r="G10" i="155"/>
  <c r="E59" i="153"/>
  <c r="O59" i="153" s="1"/>
  <c r="G59" i="155"/>
  <c r="E43" i="153"/>
  <c r="O43" i="153" s="1"/>
  <c r="G43" i="155"/>
  <c r="E27" i="153"/>
  <c r="O27" i="153" s="1"/>
  <c r="G27" i="155"/>
  <c r="E11" i="153"/>
  <c r="O11" i="153" s="1"/>
  <c r="G11" i="155"/>
  <c r="E76" i="153"/>
  <c r="O76" i="153" s="1"/>
  <c r="G76" i="155"/>
  <c r="E60" i="153"/>
  <c r="O60" i="153" s="1"/>
  <c r="G60" i="155"/>
  <c r="E44" i="153"/>
  <c r="O44" i="153" s="1"/>
  <c r="G44" i="155"/>
  <c r="E28" i="153"/>
  <c r="O28" i="153" s="1"/>
  <c r="G28" i="155"/>
  <c r="E12" i="153"/>
  <c r="O12" i="153" s="1"/>
  <c r="G12" i="155"/>
  <c r="G90" i="76"/>
  <c r="E90" i="153"/>
  <c r="O90" i="153" s="1"/>
  <c r="G90" i="155"/>
  <c r="E74" i="153"/>
  <c r="O74" i="153" s="1"/>
  <c r="G74" i="155"/>
  <c r="G91" i="76"/>
  <c r="E91" i="153"/>
  <c r="O91" i="153" s="1"/>
  <c r="G91" i="155"/>
  <c r="G92" i="76"/>
  <c r="E92" i="153"/>
  <c r="O92" i="153" s="1"/>
  <c r="G92" i="155"/>
  <c r="G93" i="76"/>
  <c r="E93" i="153"/>
  <c r="O93" i="153" s="1"/>
  <c r="G93" i="155"/>
  <c r="E77" i="153"/>
  <c r="O77" i="153" s="1"/>
  <c r="G77" i="155"/>
  <c r="E61" i="153"/>
  <c r="O61" i="153" s="1"/>
  <c r="G61" i="155"/>
  <c r="E45" i="153"/>
  <c r="O45" i="153" s="1"/>
  <c r="G45" i="155"/>
  <c r="E29" i="153"/>
  <c r="O29" i="153" s="1"/>
  <c r="G29" i="155"/>
  <c r="E13" i="153"/>
  <c r="O13" i="153" s="1"/>
  <c r="G13" i="155"/>
  <c r="E75" i="153"/>
  <c r="O75" i="153" s="1"/>
  <c r="G75" i="155"/>
  <c r="G94" i="76"/>
  <c r="E94" i="153"/>
  <c r="O94" i="153" s="1"/>
  <c r="G94" i="155"/>
  <c r="E78" i="153"/>
  <c r="O78" i="153" s="1"/>
  <c r="G78" i="155"/>
  <c r="E62" i="153"/>
  <c r="O62" i="153" s="1"/>
  <c r="G62" i="155"/>
  <c r="E46" i="153"/>
  <c r="O46" i="153" s="1"/>
  <c r="G46" i="155"/>
  <c r="E30" i="153"/>
  <c r="O30" i="153" s="1"/>
  <c r="G30" i="155"/>
  <c r="E14" i="153"/>
  <c r="O14" i="153" s="1"/>
  <c r="G14" i="155"/>
  <c r="G63" i="155"/>
  <c r="E63" i="153"/>
  <c r="O63" i="153" s="1"/>
  <c r="G15" i="155"/>
  <c r="E15" i="153"/>
  <c r="O15" i="153" s="1"/>
  <c r="G95" i="76"/>
  <c r="G95" i="155"/>
  <c r="E95" i="153"/>
  <c r="O95" i="153" s="1"/>
  <c r="G47" i="155"/>
  <c r="E47" i="153"/>
  <c r="O47" i="153" s="1"/>
  <c r="G31" i="155"/>
  <c r="E31" i="153"/>
  <c r="O31" i="153" s="1"/>
  <c r="G96" i="76"/>
  <c r="E96" i="153"/>
  <c r="O96" i="153" s="1"/>
  <c r="G96" i="155"/>
  <c r="E80" i="153"/>
  <c r="O80" i="153" s="1"/>
  <c r="G80" i="155"/>
  <c r="E64" i="153"/>
  <c r="O64" i="153" s="1"/>
  <c r="G64" i="155"/>
  <c r="E48" i="153"/>
  <c r="O48" i="153" s="1"/>
  <c r="G48" i="155"/>
  <c r="E32" i="153"/>
  <c r="O32" i="153" s="1"/>
  <c r="G32" i="155"/>
  <c r="E16" i="153"/>
  <c r="O16" i="153" s="1"/>
  <c r="G16" i="155"/>
  <c r="E97" i="153"/>
  <c r="O97" i="153" s="1"/>
  <c r="G97" i="155"/>
  <c r="E81" i="153"/>
  <c r="O81" i="153" s="1"/>
  <c r="G81" i="155"/>
  <c r="E65" i="153"/>
  <c r="O65" i="153" s="1"/>
  <c r="G65" i="155"/>
  <c r="E49" i="153"/>
  <c r="O49" i="153" s="1"/>
  <c r="G49" i="155"/>
  <c r="E33" i="153"/>
  <c r="O33" i="153" s="1"/>
  <c r="G33" i="155"/>
  <c r="E17" i="153"/>
  <c r="O17" i="153" s="1"/>
  <c r="G17" i="155"/>
  <c r="G73" i="155"/>
  <c r="E73" i="153"/>
  <c r="O73" i="153" s="1"/>
  <c r="G82" i="155"/>
  <c r="E82" i="153"/>
  <c r="O82" i="153" s="1"/>
  <c r="G66" i="155"/>
  <c r="E66" i="153"/>
  <c r="O66" i="153" s="1"/>
  <c r="G50" i="155"/>
  <c r="E50" i="153"/>
  <c r="O50" i="153" s="1"/>
  <c r="G34" i="155"/>
  <c r="E34" i="153"/>
  <c r="O34" i="153" s="1"/>
  <c r="G18" i="155"/>
  <c r="E18" i="153"/>
  <c r="O18" i="153" s="1"/>
  <c r="G83" i="155"/>
  <c r="E83" i="153"/>
  <c r="O83" i="153" s="1"/>
  <c r="G67" i="155"/>
  <c r="E67" i="153"/>
  <c r="O67" i="153" s="1"/>
  <c r="G51" i="155"/>
  <c r="E51" i="153"/>
  <c r="O51" i="153" s="1"/>
  <c r="G35" i="155"/>
  <c r="E35" i="153"/>
  <c r="O35" i="153" s="1"/>
  <c r="G19" i="155"/>
  <c r="E19" i="153"/>
  <c r="O19" i="153" s="1"/>
  <c r="E3" i="153"/>
  <c r="O3" i="153" s="1"/>
  <c r="G3" i="155"/>
  <c r="G84" i="155"/>
  <c r="E84" i="153"/>
  <c r="O84" i="153" s="1"/>
  <c r="G68" i="155"/>
  <c r="E68" i="153"/>
  <c r="O68" i="153" s="1"/>
  <c r="G52" i="155"/>
  <c r="E52" i="153"/>
  <c r="O52" i="153" s="1"/>
  <c r="G36" i="155"/>
  <c r="E36" i="153"/>
  <c r="O36" i="153" s="1"/>
  <c r="G20" i="155"/>
  <c r="E20" i="153"/>
  <c r="O20" i="153" s="1"/>
  <c r="G4" i="155"/>
  <c r="E4" i="153"/>
  <c r="O4" i="153" s="1"/>
  <c r="G89" i="76"/>
  <c r="G89" i="155"/>
  <c r="E89" i="153"/>
  <c r="O89" i="153" s="1"/>
  <c r="E69" i="153"/>
  <c r="O69" i="153" s="1"/>
  <c r="G69" i="155"/>
  <c r="G53" i="155"/>
  <c r="E53" i="153"/>
  <c r="O53" i="153" s="1"/>
  <c r="G37" i="155"/>
  <c r="E37" i="153"/>
  <c r="O37" i="153" s="1"/>
  <c r="G21" i="155"/>
  <c r="E21" i="153"/>
  <c r="O21" i="153" s="1"/>
  <c r="E5" i="153"/>
  <c r="O5" i="153" s="1"/>
  <c r="G5" i="155"/>
  <c r="G79" i="155"/>
  <c r="E79" i="153"/>
  <c r="O79" i="153" s="1"/>
  <c r="E2" i="153"/>
  <c r="O2" i="153" s="1"/>
  <c r="G2" i="155"/>
  <c r="G85" i="155"/>
  <c r="E85" i="153"/>
  <c r="O85" i="153" s="1"/>
  <c r="G86" i="155"/>
  <c r="E86" i="153"/>
  <c r="O86" i="153" s="1"/>
  <c r="G70" i="155"/>
  <c r="E70" i="153"/>
  <c r="O70" i="153" s="1"/>
  <c r="G54" i="155"/>
  <c r="E54" i="153"/>
  <c r="O54" i="153" s="1"/>
  <c r="G38" i="155"/>
  <c r="E38" i="153"/>
  <c r="O38" i="153" s="1"/>
  <c r="G22" i="155"/>
  <c r="E22" i="153"/>
  <c r="O22" i="153" s="1"/>
  <c r="G6" i="155"/>
  <c r="E6" i="153"/>
  <c r="O6" i="153" s="1"/>
  <c r="F90" i="157"/>
  <c r="K90" i="157" s="1"/>
  <c r="H90" i="76"/>
  <c r="F92" i="157"/>
  <c r="K92" i="157" s="1"/>
  <c r="H92" i="76"/>
  <c r="F93" i="157"/>
  <c r="K93" i="157" s="1"/>
  <c r="H93" i="76"/>
  <c r="F94" i="157"/>
  <c r="K94" i="157" s="1"/>
  <c r="H94" i="76"/>
  <c r="F95" i="157"/>
  <c r="K95" i="157" s="1"/>
  <c r="H95" i="76"/>
  <c r="F89" i="157"/>
  <c r="K89" i="157" s="1"/>
  <c r="H89" i="76"/>
  <c r="F96" i="157"/>
  <c r="K96" i="157" s="1"/>
  <c r="H96" i="76"/>
  <c r="H97" i="76"/>
  <c r="F97" i="157"/>
  <c r="K97" i="157" s="1"/>
  <c r="H97" i="75"/>
  <c r="E97" i="157"/>
  <c r="J97" i="157" s="1"/>
  <c r="G97" i="76"/>
  <c r="DW90" i="67"/>
  <c r="F90" i="153"/>
  <c r="H90" i="155"/>
  <c r="DU88" i="67"/>
  <c r="F88" i="157"/>
  <c r="K88" i="157" s="1"/>
  <c r="DF87" i="67"/>
  <c r="E87" i="157"/>
  <c r="J87" i="157" s="1"/>
  <c r="E87" i="150"/>
  <c r="G87" i="77"/>
  <c r="G87" i="76"/>
  <c r="E87" i="30"/>
  <c r="DI74" i="67"/>
  <c r="F74" i="153"/>
  <c r="P74" i="153" s="1"/>
  <c r="H74" i="155"/>
  <c r="DU72" i="67"/>
  <c r="F72" i="157"/>
  <c r="K72" i="157" s="1"/>
  <c r="DT71" i="67"/>
  <c r="E71" i="157"/>
  <c r="J71" i="157" s="1"/>
  <c r="G71" i="77"/>
  <c r="G71" i="76"/>
  <c r="E71" i="30"/>
  <c r="E71" i="150"/>
  <c r="DI58" i="67"/>
  <c r="F58" i="153"/>
  <c r="P58" i="153" s="1"/>
  <c r="H58" i="155"/>
  <c r="DG56" i="67"/>
  <c r="F56" i="157"/>
  <c r="K56" i="157" s="1"/>
  <c r="DT55" i="67"/>
  <c r="E55" i="157"/>
  <c r="J55" i="157" s="1"/>
  <c r="G55" i="77"/>
  <c r="E55" i="150"/>
  <c r="G55" i="76"/>
  <c r="E55" i="30"/>
  <c r="F42" i="153"/>
  <c r="H42" i="155"/>
  <c r="E39" i="157"/>
  <c r="J39" i="157" s="1"/>
  <c r="M39" i="157" s="1"/>
  <c r="E39" i="150"/>
  <c r="G39" i="77"/>
  <c r="G39" i="76"/>
  <c r="E39" i="30"/>
  <c r="F26" i="153"/>
  <c r="P26" i="153" s="1"/>
  <c r="H26" i="155"/>
  <c r="E23" i="157"/>
  <c r="J23" i="157" s="1"/>
  <c r="M23" i="157" s="1"/>
  <c r="G23" i="77"/>
  <c r="E23" i="150"/>
  <c r="G23" i="76"/>
  <c r="E23" i="30"/>
  <c r="F10" i="153"/>
  <c r="H10" i="155"/>
  <c r="E7" i="157"/>
  <c r="J7" i="157" s="1"/>
  <c r="M7" i="157" s="1"/>
  <c r="G7" i="77"/>
  <c r="E7" i="150"/>
  <c r="E7" i="30"/>
  <c r="G7" i="76"/>
  <c r="DI75" i="67"/>
  <c r="F75" i="153"/>
  <c r="P75" i="153" s="1"/>
  <c r="H75" i="155"/>
  <c r="DW59" i="67"/>
  <c r="F59" i="153"/>
  <c r="P59" i="153" s="1"/>
  <c r="H59" i="155"/>
  <c r="DW43" i="67"/>
  <c r="F43" i="153"/>
  <c r="H43" i="155"/>
  <c r="E40" i="157"/>
  <c r="J40" i="157" s="1"/>
  <c r="M40" i="157" s="1"/>
  <c r="G40" i="77"/>
  <c r="E40" i="150"/>
  <c r="G40" i="76"/>
  <c r="E40" i="30"/>
  <c r="F27" i="153"/>
  <c r="H27" i="155"/>
  <c r="E24" i="157"/>
  <c r="J24" i="157" s="1"/>
  <c r="M24" i="157" s="1"/>
  <c r="G24" i="77"/>
  <c r="E24" i="150"/>
  <c r="G24" i="76"/>
  <c r="E24" i="30"/>
  <c r="E8" i="157"/>
  <c r="J8" i="157" s="1"/>
  <c r="M8" i="157" s="1"/>
  <c r="G8" i="77"/>
  <c r="E8" i="150"/>
  <c r="E8" i="30"/>
  <c r="G8" i="76"/>
  <c r="DW92" i="67"/>
  <c r="F92" i="153"/>
  <c r="H92" i="155"/>
  <c r="DT89" i="67"/>
  <c r="E89" i="157"/>
  <c r="J89" i="157" s="1"/>
  <c r="G89" i="77"/>
  <c r="E89" i="30"/>
  <c r="E89" i="150"/>
  <c r="DW76" i="67"/>
  <c r="F76" i="153"/>
  <c r="P76" i="153" s="1"/>
  <c r="H76" i="155"/>
  <c r="E73" i="157"/>
  <c r="J73" i="157" s="1"/>
  <c r="M73" i="157" s="1"/>
  <c r="G73" i="77"/>
  <c r="E73" i="150"/>
  <c r="G73" i="76"/>
  <c r="E73" i="30"/>
  <c r="DW60" i="67"/>
  <c r="F60" i="153"/>
  <c r="H60" i="155"/>
  <c r="E57" i="157"/>
  <c r="J57" i="157" s="1"/>
  <c r="M57" i="157" s="1"/>
  <c r="G57" i="77"/>
  <c r="E57" i="150"/>
  <c r="G57" i="76"/>
  <c r="E57" i="30"/>
  <c r="DW44" i="67"/>
  <c r="F44" i="153"/>
  <c r="P44" i="153" s="1"/>
  <c r="H44" i="155"/>
  <c r="E41" i="157"/>
  <c r="J41" i="157" s="1"/>
  <c r="M41" i="157" s="1"/>
  <c r="G41" i="77"/>
  <c r="E41" i="150"/>
  <c r="G41" i="76"/>
  <c r="E41" i="30"/>
  <c r="F28" i="153"/>
  <c r="H28" i="155"/>
  <c r="E25" i="157"/>
  <c r="J25" i="157" s="1"/>
  <c r="M25" i="157" s="1"/>
  <c r="G25" i="77"/>
  <c r="E25" i="150"/>
  <c r="G25" i="76"/>
  <c r="E25" i="30"/>
  <c r="F12" i="153"/>
  <c r="P12" i="153" s="1"/>
  <c r="H12" i="155"/>
  <c r="E9" i="157"/>
  <c r="J9" i="157" s="1"/>
  <c r="M9" i="157" s="1"/>
  <c r="G9" i="77"/>
  <c r="E9" i="150"/>
  <c r="G9" i="76"/>
  <c r="E9" i="30"/>
  <c r="DW93" i="67"/>
  <c r="H93" i="155"/>
  <c r="F93" i="153"/>
  <c r="DG91" i="67"/>
  <c r="L91" i="28" s="1"/>
  <c r="V91" i="28" s="1"/>
  <c r="F91" i="157"/>
  <c r="K91" i="157" s="1"/>
  <c r="DT90" i="67"/>
  <c r="E90" i="157"/>
  <c r="J90" i="157" s="1"/>
  <c r="G90" i="77"/>
  <c r="E90" i="150"/>
  <c r="N90" i="150" s="1"/>
  <c r="E90" i="30"/>
  <c r="DI77" i="67"/>
  <c r="H77" i="155"/>
  <c r="F77" i="153"/>
  <c r="P77" i="153" s="1"/>
  <c r="DT74" i="67"/>
  <c r="E74" i="157"/>
  <c r="J74" i="157" s="1"/>
  <c r="M74" i="157" s="1"/>
  <c r="G74" i="77"/>
  <c r="E74" i="150"/>
  <c r="G74" i="76"/>
  <c r="E74" i="30"/>
  <c r="DI61" i="67"/>
  <c r="H61" i="155"/>
  <c r="F61" i="153"/>
  <c r="DT58" i="67"/>
  <c r="E58" i="157"/>
  <c r="J58" i="157" s="1"/>
  <c r="M58" i="157" s="1"/>
  <c r="G58" i="77"/>
  <c r="E58" i="150"/>
  <c r="G58" i="76"/>
  <c r="E58" i="30"/>
  <c r="DW45" i="67"/>
  <c r="H45" i="155"/>
  <c r="F45" i="153"/>
  <c r="P45" i="153" s="1"/>
  <c r="DF42" i="67"/>
  <c r="E42" i="157"/>
  <c r="J42" i="157" s="1"/>
  <c r="M42" i="157" s="1"/>
  <c r="G42" i="77"/>
  <c r="E42" i="150"/>
  <c r="G42" i="76"/>
  <c r="E42" i="30"/>
  <c r="H29" i="155"/>
  <c r="F29" i="153"/>
  <c r="P29" i="153" s="1"/>
  <c r="E26" i="157"/>
  <c r="J26" i="157" s="1"/>
  <c r="M26" i="157" s="1"/>
  <c r="G26" i="77"/>
  <c r="E26" i="150"/>
  <c r="G26" i="76"/>
  <c r="E26" i="30"/>
  <c r="H13" i="155"/>
  <c r="F13" i="153"/>
  <c r="E10" i="157"/>
  <c r="J10" i="157" s="1"/>
  <c r="M10" i="157" s="1"/>
  <c r="G10" i="77"/>
  <c r="E10" i="150"/>
  <c r="G10" i="76"/>
  <c r="E10" i="30"/>
  <c r="DI91" i="67"/>
  <c r="F91" i="153"/>
  <c r="H91" i="155"/>
  <c r="F11" i="153"/>
  <c r="P11" i="153" s="1"/>
  <c r="H11" i="155"/>
  <c r="DW94" i="67"/>
  <c r="H94" i="155"/>
  <c r="F94" i="153"/>
  <c r="P94" i="153" s="1"/>
  <c r="DT91" i="67"/>
  <c r="E91" i="157"/>
  <c r="J91" i="157" s="1"/>
  <c r="G91" i="77"/>
  <c r="E91" i="30"/>
  <c r="E91" i="150"/>
  <c r="N91" i="150" s="1"/>
  <c r="DI78" i="67"/>
  <c r="H78" i="155"/>
  <c r="F78" i="153"/>
  <c r="P78" i="153" s="1"/>
  <c r="DF75" i="67"/>
  <c r="E75" i="157"/>
  <c r="J75" i="157" s="1"/>
  <c r="M75" i="157" s="1"/>
  <c r="G75" i="77"/>
  <c r="G75" i="76"/>
  <c r="E75" i="30"/>
  <c r="E75" i="150"/>
  <c r="N75" i="150" s="1"/>
  <c r="DI62" i="67"/>
  <c r="H62" i="155"/>
  <c r="F62" i="153"/>
  <c r="P62" i="153" s="1"/>
  <c r="DT59" i="67"/>
  <c r="E59" i="157"/>
  <c r="J59" i="157" s="1"/>
  <c r="M59" i="157" s="1"/>
  <c r="G59" i="77"/>
  <c r="G59" i="76"/>
  <c r="E59" i="30"/>
  <c r="E59" i="150"/>
  <c r="H46" i="155"/>
  <c r="F46" i="153"/>
  <c r="DF43" i="67"/>
  <c r="E43" i="157"/>
  <c r="J43" i="157" s="1"/>
  <c r="M43" i="157" s="1"/>
  <c r="G43" i="77"/>
  <c r="G43" i="76"/>
  <c r="E43" i="30"/>
  <c r="E43" i="150"/>
  <c r="H30" i="155"/>
  <c r="F30" i="153"/>
  <c r="P30" i="153" s="1"/>
  <c r="E27" i="157"/>
  <c r="J27" i="157" s="1"/>
  <c r="M27" i="157" s="1"/>
  <c r="G27" i="77"/>
  <c r="G27" i="76"/>
  <c r="E27" i="30"/>
  <c r="E27" i="150"/>
  <c r="H14" i="155"/>
  <c r="F14" i="153"/>
  <c r="E11" i="157"/>
  <c r="J11" i="157" s="1"/>
  <c r="M11" i="157" s="1"/>
  <c r="G11" i="77"/>
  <c r="E11" i="30"/>
  <c r="G11" i="76"/>
  <c r="E11" i="150"/>
  <c r="DI95" i="67"/>
  <c r="H95" i="155"/>
  <c r="F95" i="153"/>
  <c r="P95" i="153" s="1"/>
  <c r="DT92" i="67"/>
  <c r="E92" i="157"/>
  <c r="J92" i="157" s="1"/>
  <c r="G92" i="77"/>
  <c r="E92" i="150"/>
  <c r="E92" i="30"/>
  <c r="DW79" i="67"/>
  <c r="H79" i="155"/>
  <c r="F79" i="153"/>
  <c r="P79" i="153" s="1"/>
  <c r="DG77" i="67"/>
  <c r="L77" i="28" s="1"/>
  <c r="V77" i="28" s="1"/>
  <c r="F77" i="157"/>
  <c r="K77" i="157" s="1"/>
  <c r="DT76" i="67"/>
  <c r="E76" i="157"/>
  <c r="J76" i="157" s="1"/>
  <c r="M76" i="157" s="1"/>
  <c r="G76" i="77"/>
  <c r="E76" i="150"/>
  <c r="G76" i="76"/>
  <c r="E76" i="30"/>
  <c r="DI63" i="67"/>
  <c r="H63" i="155"/>
  <c r="F63" i="153"/>
  <c r="P63" i="153" s="1"/>
  <c r="DT60" i="67"/>
  <c r="E60" i="157"/>
  <c r="J60" i="157" s="1"/>
  <c r="M60" i="157" s="1"/>
  <c r="G60" i="77"/>
  <c r="G60" i="76"/>
  <c r="E60" i="150"/>
  <c r="E60" i="30"/>
  <c r="DI47" i="67"/>
  <c r="H47" i="155"/>
  <c r="F47" i="153"/>
  <c r="P47" i="153" s="1"/>
  <c r="DT44" i="67"/>
  <c r="E44" i="157"/>
  <c r="J44" i="157" s="1"/>
  <c r="M44" i="157" s="1"/>
  <c r="G44" i="77"/>
  <c r="G44" i="76"/>
  <c r="E44" i="150"/>
  <c r="E44" i="30"/>
  <c r="H31" i="155"/>
  <c r="F31" i="153"/>
  <c r="P31" i="153" s="1"/>
  <c r="E28" i="157"/>
  <c r="J28" i="157" s="1"/>
  <c r="M28" i="157" s="1"/>
  <c r="G28" i="77"/>
  <c r="G28" i="76"/>
  <c r="E28" i="150"/>
  <c r="E28" i="30"/>
  <c r="H15" i="155"/>
  <c r="F15" i="153"/>
  <c r="E12" i="157"/>
  <c r="J12" i="157" s="1"/>
  <c r="M12" i="157" s="1"/>
  <c r="G12" i="77"/>
  <c r="E12" i="150"/>
  <c r="G12" i="76"/>
  <c r="E12" i="30"/>
  <c r="DT88" i="67"/>
  <c r="E88" i="157"/>
  <c r="J88" i="157" s="1"/>
  <c r="M88" i="157" s="1"/>
  <c r="G88" i="77"/>
  <c r="E88" i="150"/>
  <c r="E88" i="30"/>
  <c r="E93" i="157"/>
  <c r="J93" i="157" s="1"/>
  <c r="G93" i="77"/>
  <c r="E93" i="30"/>
  <c r="E93" i="150"/>
  <c r="N93" i="150" s="1"/>
  <c r="H80" i="155"/>
  <c r="F80" i="153"/>
  <c r="P80" i="153" s="1"/>
  <c r="E77" i="157"/>
  <c r="J77" i="157" s="1"/>
  <c r="G77" i="77"/>
  <c r="E77" i="150"/>
  <c r="G77" i="76"/>
  <c r="E77" i="30"/>
  <c r="DW64" i="67"/>
  <c r="H64" i="155"/>
  <c r="F64" i="153"/>
  <c r="P64" i="153" s="1"/>
  <c r="DG62" i="67"/>
  <c r="L62" i="28" s="1"/>
  <c r="V62" i="28" s="1"/>
  <c r="F62" i="157"/>
  <c r="K62" i="157" s="1"/>
  <c r="E61" i="157"/>
  <c r="J61" i="157" s="1"/>
  <c r="M61" i="157" s="1"/>
  <c r="G61" i="77"/>
  <c r="E61" i="150"/>
  <c r="G61" i="76"/>
  <c r="E61" i="30"/>
  <c r="DI48" i="67"/>
  <c r="H48" i="155"/>
  <c r="F48" i="153"/>
  <c r="P48" i="153" s="1"/>
  <c r="DU46" i="67"/>
  <c r="F46" i="157"/>
  <c r="K46" i="157" s="1"/>
  <c r="E45" i="157"/>
  <c r="J45" i="157" s="1"/>
  <c r="M45" i="157" s="1"/>
  <c r="G45" i="77"/>
  <c r="E45" i="150"/>
  <c r="G45" i="76"/>
  <c r="E45" i="30"/>
  <c r="H32" i="155"/>
  <c r="F32" i="153"/>
  <c r="E29" i="157"/>
  <c r="J29" i="157" s="1"/>
  <c r="M29" i="157" s="1"/>
  <c r="G29" i="77"/>
  <c r="E29" i="150"/>
  <c r="G29" i="76"/>
  <c r="E29" i="30"/>
  <c r="H16" i="155"/>
  <c r="F16" i="153"/>
  <c r="P16" i="153" s="1"/>
  <c r="E13" i="157"/>
  <c r="J13" i="157" s="1"/>
  <c r="M13" i="157" s="1"/>
  <c r="E13" i="150"/>
  <c r="E13" i="30"/>
  <c r="G13" i="76"/>
  <c r="G13" i="77"/>
  <c r="H97" i="155"/>
  <c r="F97" i="153"/>
  <c r="P97" i="153" s="1"/>
  <c r="E94" i="157"/>
  <c r="J94" i="157" s="1"/>
  <c r="E94" i="30"/>
  <c r="G94" i="77"/>
  <c r="E94" i="150"/>
  <c r="N94" i="150" s="1"/>
  <c r="H81" i="155"/>
  <c r="F81" i="153"/>
  <c r="E78" i="157"/>
  <c r="J78" i="157" s="1"/>
  <c r="M78" i="157" s="1"/>
  <c r="E78" i="150"/>
  <c r="N78" i="150" s="1"/>
  <c r="G78" i="76"/>
  <c r="E78" i="30"/>
  <c r="G78" i="77"/>
  <c r="H65" i="155"/>
  <c r="F65" i="153"/>
  <c r="P65" i="153" s="1"/>
  <c r="E62" i="157"/>
  <c r="J62" i="157" s="1"/>
  <c r="E62" i="150"/>
  <c r="N62" i="150" s="1"/>
  <c r="G62" i="76"/>
  <c r="E62" i="30"/>
  <c r="G62" i="77"/>
  <c r="DW49" i="67"/>
  <c r="H49" i="155"/>
  <c r="F49" i="153"/>
  <c r="P49" i="153" s="1"/>
  <c r="DU47" i="67"/>
  <c r="F47" i="157"/>
  <c r="K47" i="157" s="1"/>
  <c r="DF46" i="67"/>
  <c r="E46" i="157"/>
  <c r="J46" i="157" s="1"/>
  <c r="E46" i="150"/>
  <c r="G46" i="76"/>
  <c r="E46" i="30"/>
  <c r="G46" i="77"/>
  <c r="H33" i="155"/>
  <c r="F33" i="153"/>
  <c r="P33" i="153" s="1"/>
  <c r="E30" i="157"/>
  <c r="J30" i="157" s="1"/>
  <c r="M30" i="157" s="1"/>
  <c r="E30" i="150"/>
  <c r="N30" i="150" s="1"/>
  <c r="G30" i="77"/>
  <c r="G30" i="76"/>
  <c r="E30" i="30"/>
  <c r="H17" i="155"/>
  <c r="F17" i="153"/>
  <c r="E14" i="157"/>
  <c r="J14" i="157" s="1"/>
  <c r="M14" i="157" s="1"/>
  <c r="E14" i="150"/>
  <c r="G14" i="77"/>
  <c r="G14" i="76"/>
  <c r="E14" i="30"/>
  <c r="E95" i="157"/>
  <c r="J95" i="157" s="1"/>
  <c r="M95" i="157" s="1"/>
  <c r="G95" i="77"/>
  <c r="E95" i="30"/>
  <c r="E95" i="150"/>
  <c r="N95" i="150" s="1"/>
  <c r="H82" i="155"/>
  <c r="F82" i="153"/>
  <c r="E79" i="157"/>
  <c r="J79" i="157" s="1"/>
  <c r="M79" i="157" s="1"/>
  <c r="G79" i="77"/>
  <c r="E79" i="150"/>
  <c r="N79" i="150" s="1"/>
  <c r="G79" i="76"/>
  <c r="E79" i="30"/>
  <c r="DI66" i="67"/>
  <c r="H66" i="155"/>
  <c r="F66" i="153"/>
  <c r="DF63" i="67"/>
  <c r="E63" i="157"/>
  <c r="J63" i="157" s="1"/>
  <c r="M63" i="157" s="1"/>
  <c r="G63" i="77"/>
  <c r="E63" i="150"/>
  <c r="G63" i="76"/>
  <c r="E63" i="30"/>
  <c r="DI50" i="67"/>
  <c r="F50" i="153"/>
  <c r="H50" i="155"/>
  <c r="DU48" i="67"/>
  <c r="F48" i="157"/>
  <c r="K48" i="157" s="1"/>
  <c r="DF47" i="67"/>
  <c r="E47" i="157"/>
  <c r="J47" i="157" s="1"/>
  <c r="G47" i="77"/>
  <c r="E47" i="150"/>
  <c r="G47" i="76"/>
  <c r="E47" i="30"/>
  <c r="H34" i="155"/>
  <c r="F34" i="153"/>
  <c r="P34" i="153" s="1"/>
  <c r="E31" i="157"/>
  <c r="J31" i="157" s="1"/>
  <c r="M31" i="157" s="1"/>
  <c r="G31" i="77"/>
  <c r="E31" i="150"/>
  <c r="G31" i="76"/>
  <c r="E31" i="30"/>
  <c r="H18" i="155"/>
  <c r="F18" i="153"/>
  <c r="E15" i="157"/>
  <c r="J15" i="157" s="1"/>
  <c r="M15" i="157" s="1"/>
  <c r="G15" i="77"/>
  <c r="E15" i="150"/>
  <c r="G15" i="76"/>
  <c r="E15" i="30"/>
  <c r="H2" i="155"/>
  <c r="F2" i="153"/>
  <c r="P2" i="153" s="1"/>
  <c r="E96" i="157"/>
  <c r="J96" i="157" s="1"/>
  <c r="G96" i="77"/>
  <c r="E96" i="150"/>
  <c r="E96" i="30"/>
  <c r="H83" i="155"/>
  <c r="F83" i="153"/>
  <c r="P83" i="153" s="1"/>
  <c r="DG81" i="67"/>
  <c r="N81" i="75" s="1"/>
  <c r="F81" i="157"/>
  <c r="K81" i="157" s="1"/>
  <c r="DF80" i="67"/>
  <c r="E80" i="157"/>
  <c r="J80" i="157" s="1"/>
  <c r="M80" i="157" s="1"/>
  <c r="G80" i="77"/>
  <c r="E80" i="150"/>
  <c r="G80" i="76"/>
  <c r="E80" i="30"/>
  <c r="DW67" i="67"/>
  <c r="H67" i="155"/>
  <c r="F67" i="153"/>
  <c r="P67" i="153" s="1"/>
  <c r="DG65" i="67"/>
  <c r="L65" i="28" s="1"/>
  <c r="V65" i="28" s="1"/>
  <c r="F65" i="157"/>
  <c r="K65" i="157" s="1"/>
  <c r="DT64" i="67"/>
  <c r="E64" i="157"/>
  <c r="J64" i="157" s="1"/>
  <c r="M64" i="157" s="1"/>
  <c r="G64" i="77"/>
  <c r="E64" i="150"/>
  <c r="G64" i="76"/>
  <c r="E64" i="30"/>
  <c r="DI51" i="67"/>
  <c r="H51" i="155"/>
  <c r="F51" i="153"/>
  <c r="P51" i="153" s="1"/>
  <c r="DT48" i="67"/>
  <c r="E48" i="157"/>
  <c r="J48" i="157" s="1"/>
  <c r="G48" i="77"/>
  <c r="E48" i="150"/>
  <c r="G48" i="76"/>
  <c r="E48" i="30"/>
  <c r="H35" i="155"/>
  <c r="F35" i="153"/>
  <c r="P35" i="153" s="1"/>
  <c r="E32" i="157"/>
  <c r="J32" i="157" s="1"/>
  <c r="M32" i="157" s="1"/>
  <c r="G32" i="77"/>
  <c r="E32" i="150"/>
  <c r="G32" i="76"/>
  <c r="E32" i="30"/>
  <c r="H19" i="155"/>
  <c r="F19" i="153"/>
  <c r="E16" i="157"/>
  <c r="J16" i="157" s="1"/>
  <c r="M16" i="157" s="1"/>
  <c r="G16" i="77"/>
  <c r="E16" i="150"/>
  <c r="G16" i="76"/>
  <c r="E16" i="30"/>
  <c r="H3" i="155"/>
  <c r="F3" i="153"/>
  <c r="P3" i="153" s="1"/>
  <c r="G97" i="77"/>
  <c r="E97" i="150"/>
  <c r="E97" i="30"/>
  <c r="DI84" i="67"/>
  <c r="H84" i="155"/>
  <c r="F84" i="153"/>
  <c r="P84" i="153" s="1"/>
  <c r="DU82" i="67"/>
  <c r="F82" i="157"/>
  <c r="K82" i="157" s="1"/>
  <c r="E81" i="157"/>
  <c r="J81" i="157" s="1"/>
  <c r="G81" i="77"/>
  <c r="E81" i="150"/>
  <c r="G81" i="76"/>
  <c r="E81" i="30"/>
  <c r="DI68" i="67"/>
  <c r="H68" i="155"/>
  <c r="F68" i="153"/>
  <c r="P68" i="153" s="1"/>
  <c r="E65" i="157"/>
  <c r="J65" i="157" s="1"/>
  <c r="G65" i="77"/>
  <c r="G65" i="76"/>
  <c r="E65" i="30"/>
  <c r="E65" i="150"/>
  <c r="DI52" i="67"/>
  <c r="H52" i="155"/>
  <c r="F52" i="153"/>
  <c r="DU50" i="67"/>
  <c r="F50" i="157"/>
  <c r="K50" i="157" s="1"/>
  <c r="E49" i="157"/>
  <c r="J49" i="157" s="1"/>
  <c r="M49" i="157" s="1"/>
  <c r="G49" i="77"/>
  <c r="E49" i="150"/>
  <c r="G49" i="76"/>
  <c r="E49" i="30"/>
  <c r="H36" i="155"/>
  <c r="F36" i="153"/>
  <c r="P36" i="153" s="1"/>
  <c r="E33" i="157"/>
  <c r="J33" i="157" s="1"/>
  <c r="M33" i="157" s="1"/>
  <c r="G33" i="77"/>
  <c r="G33" i="76"/>
  <c r="E33" i="30"/>
  <c r="E33" i="150"/>
  <c r="H20" i="155"/>
  <c r="F20" i="153"/>
  <c r="E17" i="157"/>
  <c r="J17" i="157" s="1"/>
  <c r="M17" i="157" s="1"/>
  <c r="G17" i="77"/>
  <c r="E17" i="150"/>
  <c r="G17" i="76"/>
  <c r="E17" i="30"/>
  <c r="H4" i="155"/>
  <c r="F4" i="153"/>
  <c r="P4" i="153" s="1"/>
  <c r="DT72" i="67"/>
  <c r="E72" i="157"/>
  <c r="J72" i="157" s="1"/>
  <c r="G72" i="77"/>
  <c r="G72" i="76"/>
  <c r="E72" i="150"/>
  <c r="N72" i="150" s="1"/>
  <c r="E72" i="30"/>
  <c r="H96" i="155"/>
  <c r="F96" i="153"/>
  <c r="P96" i="153" s="1"/>
  <c r="H85" i="155"/>
  <c r="F85" i="153"/>
  <c r="E82" i="157"/>
  <c r="J82" i="157" s="1"/>
  <c r="G82" i="77"/>
  <c r="E82" i="150"/>
  <c r="G82" i="76"/>
  <c r="E82" i="30"/>
  <c r="H69" i="155"/>
  <c r="F69" i="153"/>
  <c r="P69" i="153" s="1"/>
  <c r="E66" i="157"/>
  <c r="J66" i="157" s="1"/>
  <c r="M66" i="157" s="1"/>
  <c r="G66" i="77"/>
  <c r="E66" i="150"/>
  <c r="G66" i="76"/>
  <c r="E66" i="30"/>
  <c r="H53" i="155"/>
  <c r="F53" i="153"/>
  <c r="E50" i="157"/>
  <c r="J50" i="157" s="1"/>
  <c r="G50" i="77"/>
  <c r="E50" i="150"/>
  <c r="G50" i="76"/>
  <c r="E50" i="30"/>
  <c r="H37" i="155"/>
  <c r="F37" i="153"/>
  <c r="E34" i="157"/>
  <c r="J34" i="157" s="1"/>
  <c r="M34" i="157" s="1"/>
  <c r="G34" i="77"/>
  <c r="E34" i="150"/>
  <c r="G34" i="76"/>
  <c r="E34" i="30"/>
  <c r="H21" i="155"/>
  <c r="F21" i="153"/>
  <c r="P21" i="153" s="1"/>
  <c r="E18" i="157"/>
  <c r="J18" i="157" s="1"/>
  <c r="M18" i="157" s="1"/>
  <c r="G18" i="77"/>
  <c r="E18" i="150"/>
  <c r="G18" i="76"/>
  <c r="E18" i="30"/>
  <c r="H5" i="155"/>
  <c r="F5" i="153"/>
  <c r="P5" i="153" s="1"/>
  <c r="H86" i="155"/>
  <c r="F86" i="153"/>
  <c r="P86" i="153" s="1"/>
  <c r="E83" i="157"/>
  <c r="J83" i="157" s="1"/>
  <c r="M83" i="157" s="1"/>
  <c r="G83" i="77"/>
  <c r="E83" i="150"/>
  <c r="G83" i="76"/>
  <c r="E83" i="30"/>
  <c r="DI70" i="67"/>
  <c r="H70" i="155"/>
  <c r="F70" i="153"/>
  <c r="DU68" i="67"/>
  <c r="F68" i="157"/>
  <c r="K68" i="157" s="1"/>
  <c r="DT67" i="67"/>
  <c r="E67" i="150"/>
  <c r="E67" i="157"/>
  <c r="J67" i="157" s="1"/>
  <c r="M67" i="157" s="1"/>
  <c r="G67" i="77"/>
  <c r="E67" i="30"/>
  <c r="G67" i="76"/>
  <c r="DI54" i="67"/>
  <c r="H54" i="155"/>
  <c r="F54" i="153"/>
  <c r="P54" i="153" s="1"/>
  <c r="DF51" i="67"/>
  <c r="E51" i="150"/>
  <c r="E51" i="157"/>
  <c r="J51" i="157" s="1"/>
  <c r="M51" i="157" s="1"/>
  <c r="G51" i="77"/>
  <c r="E51" i="30"/>
  <c r="G51" i="76"/>
  <c r="H38" i="155"/>
  <c r="F38" i="153"/>
  <c r="E35" i="150"/>
  <c r="E35" i="157"/>
  <c r="J35" i="157" s="1"/>
  <c r="M35" i="157" s="1"/>
  <c r="G35" i="77"/>
  <c r="E35" i="30"/>
  <c r="G35" i="76"/>
  <c r="H22" i="155"/>
  <c r="F22" i="153"/>
  <c r="P22" i="153" s="1"/>
  <c r="E19" i="150"/>
  <c r="E19" i="157"/>
  <c r="J19" i="157" s="1"/>
  <c r="M19" i="157" s="1"/>
  <c r="G19" i="77"/>
  <c r="G19" i="76"/>
  <c r="E19" i="30"/>
  <c r="H6" i="155"/>
  <c r="F6" i="153"/>
  <c r="E3" i="157"/>
  <c r="J3" i="157" s="1"/>
  <c r="M3" i="157" s="1"/>
  <c r="G3" i="77"/>
  <c r="E3" i="150"/>
  <c r="E3" i="30"/>
  <c r="G3" i="76"/>
  <c r="E2" i="157"/>
  <c r="J2" i="157" s="1"/>
  <c r="M2" i="157" s="1"/>
  <c r="G2" i="77"/>
  <c r="E2" i="150"/>
  <c r="E2" i="30"/>
  <c r="G2" i="76"/>
  <c r="DW87" i="67"/>
  <c r="H87" i="155"/>
  <c r="F87" i="153"/>
  <c r="P87" i="153" s="1"/>
  <c r="DG85" i="67"/>
  <c r="N85" i="75" s="1"/>
  <c r="F85" i="157"/>
  <c r="K85" i="157" s="1"/>
  <c r="DT84" i="67"/>
  <c r="E84" i="157"/>
  <c r="J84" i="157" s="1"/>
  <c r="M84" i="157" s="1"/>
  <c r="G84" i="77"/>
  <c r="E84" i="150"/>
  <c r="N84" i="150" s="1"/>
  <c r="G84" i="76"/>
  <c r="E84" i="30"/>
  <c r="DW71" i="67"/>
  <c r="H71" i="155"/>
  <c r="F71" i="153"/>
  <c r="P71" i="153" s="1"/>
  <c r="DG69" i="67"/>
  <c r="L69" i="28" s="1"/>
  <c r="V69" i="28" s="1"/>
  <c r="F69" i="157"/>
  <c r="K69" i="157" s="1"/>
  <c r="DF68" i="67"/>
  <c r="E68" i="157"/>
  <c r="J68" i="157" s="1"/>
  <c r="G68" i="77"/>
  <c r="E68" i="150"/>
  <c r="N68" i="150" s="1"/>
  <c r="G68" i="76"/>
  <c r="E68" i="30"/>
  <c r="DI55" i="67"/>
  <c r="H55" i="155"/>
  <c r="F55" i="153"/>
  <c r="DT52" i="67"/>
  <c r="E52" i="157"/>
  <c r="J52" i="157" s="1"/>
  <c r="M52" i="157" s="1"/>
  <c r="G52" i="77"/>
  <c r="E52" i="150"/>
  <c r="N52" i="150" s="1"/>
  <c r="E52" i="30"/>
  <c r="G52" i="76"/>
  <c r="H39" i="155"/>
  <c r="F39" i="153"/>
  <c r="P39" i="153" s="1"/>
  <c r="E36" i="157"/>
  <c r="J36" i="157" s="1"/>
  <c r="M36" i="157" s="1"/>
  <c r="G36" i="77"/>
  <c r="E36" i="150"/>
  <c r="N36" i="150" s="1"/>
  <c r="E36" i="30"/>
  <c r="G36" i="76"/>
  <c r="H23" i="155"/>
  <c r="F23" i="153"/>
  <c r="E20" i="157"/>
  <c r="J20" i="157" s="1"/>
  <c r="M20" i="157" s="1"/>
  <c r="G20" i="77"/>
  <c r="E20" i="150"/>
  <c r="N20" i="150" s="1"/>
  <c r="E20" i="30"/>
  <c r="G20" i="76"/>
  <c r="H7" i="155"/>
  <c r="F7" i="153"/>
  <c r="P7" i="153" s="1"/>
  <c r="E4" i="157"/>
  <c r="J4" i="157" s="1"/>
  <c r="M4" i="157" s="1"/>
  <c r="G4" i="77"/>
  <c r="E4" i="150"/>
  <c r="N4" i="150" s="1"/>
  <c r="G4" i="76"/>
  <c r="E4" i="30"/>
  <c r="DT56" i="67"/>
  <c r="E56" i="157"/>
  <c r="J56" i="157" s="1"/>
  <c r="G56" i="77"/>
  <c r="G56" i="76"/>
  <c r="E56" i="30"/>
  <c r="E56" i="150"/>
  <c r="N56" i="150" s="1"/>
  <c r="DW88" i="67"/>
  <c r="F88" i="153"/>
  <c r="H88" i="155"/>
  <c r="DU86" i="67"/>
  <c r="F86" i="157"/>
  <c r="K86" i="157" s="1"/>
  <c r="E85" i="157"/>
  <c r="J85" i="157" s="1"/>
  <c r="G85" i="77"/>
  <c r="E85" i="150"/>
  <c r="N85" i="150" s="1"/>
  <c r="G85" i="76"/>
  <c r="E85" i="30"/>
  <c r="DW72" i="67"/>
  <c r="H72" i="155"/>
  <c r="F72" i="153"/>
  <c r="DU70" i="67"/>
  <c r="F70" i="157"/>
  <c r="K70" i="157" s="1"/>
  <c r="E69" i="150"/>
  <c r="N69" i="150" s="1"/>
  <c r="E69" i="157"/>
  <c r="J69" i="157" s="1"/>
  <c r="G69" i="77"/>
  <c r="G69" i="76"/>
  <c r="E69" i="30"/>
  <c r="DI56" i="67"/>
  <c r="F56" i="153"/>
  <c r="P56" i="153" s="1"/>
  <c r="H56" i="155"/>
  <c r="DU54" i="67"/>
  <c r="F54" i="157"/>
  <c r="K54" i="157" s="1"/>
  <c r="E53" i="150"/>
  <c r="N53" i="150" s="1"/>
  <c r="E53" i="157"/>
  <c r="J53" i="157" s="1"/>
  <c r="M53" i="157" s="1"/>
  <c r="G53" i="77"/>
  <c r="G53" i="76"/>
  <c r="E53" i="30"/>
  <c r="F40" i="153"/>
  <c r="H40" i="155"/>
  <c r="E37" i="150"/>
  <c r="N37" i="150" s="1"/>
  <c r="E37" i="157"/>
  <c r="J37" i="157" s="1"/>
  <c r="M37" i="157" s="1"/>
  <c r="G37" i="77"/>
  <c r="G37" i="76"/>
  <c r="E37" i="30"/>
  <c r="H24" i="155"/>
  <c r="F24" i="153"/>
  <c r="P24" i="153" s="1"/>
  <c r="E21" i="150"/>
  <c r="N21" i="150" s="1"/>
  <c r="E21" i="157"/>
  <c r="J21" i="157" s="1"/>
  <c r="M21" i="157" s="1"/>
  <c r="G21" i="77"/>
  <c r="G21" i="76"/>
  <c r="E21" i="30"/>
  <c r="F8" i="153"/>
  <c r="H8" i="155"/>
  <c r="G5" i="77"/>
  <c r="E5" i="150"/>
  <c r="N5" i="150" s="1"/>
  <c r="E5" i="157"/>
  <c r="J5" i="157" s="1"/>
  <c r="M5" i="157" s="1"/>
  <c r="E5" i="30"/>
  <c r="G5" i="76"/>
  <c r="DW89" i="67"/>
  <c r="F89" i="153"/>
  <c r="P89" i="153" s="1"/>
  <c r="H89" i="155"/>
  <c r="DG87" i="67"/>
  <c r="N87" i="75" s="1"/>
  <c r="F87" i="157"/>
  <c r="K87" i="157" s="1"/>
  <c r="DT86" i="67"/>
  <c r="E86" i="157"/>
  <c r="J86" i="157" s="1"/>
  <c r="G86" i="77"/>
  <c r="E86" i="150"/>
  <c r="N86" i="150" s="1"/>
  <c r="G86" i="76"/>
  <c r="E86" i="30"/>
  <c r="DW73" i="67"/>
  <c r="F73" i="153"/>
  <c r="P73" i="153" s="1"/>
  <c r="H73" i="155"/>
  <c r="DU71" i="67"/>
  <c r="F71" i="157"/>
  <c r="K71" i="157" s="1"/>
  <c r="DF70" i="67"/>
  <c r="E70" i="157"/>
  <c r="J70" i="157" s="1"/>
  <c r="G70" i="77"/>
  <c r="E70" i="150"/>
  <c r="N70" i="150" s="1"/>
  <c r="G70" i="76"/>
  <c r="E70" i="30"/>
  <c r="DW57" i="67"/>
  <c r="H57" i="155"/>
  <c r="F57" i="153"/>
  <c r="P57" i="153" s="1"/>
  <c r="DU55" i="67"/>
  <c r="F55" i="157"/>
  <c r="K55" i="157" s="1"/>
  <c r="DT54" i="67"/>
  <c r="E54" i="157"/>
  <c r="J54" i="157" s="1"/>
  <c r="G54" i="77"/>
  <c r="E54" i="150"/>
  <c r="N54" i="150" s="1"/>
  <c r="G54" i="76"/>
  <c r="E54" i="30"/>
  <c r="H41" i="155"/>
  <c r="F41" i="153"/>
  <c r="P41" i="153" s="1"/>
  <c r="E38" i="157"/>
  <c r="J38" i="157" s="1"/>
  <c r="M38" i="157" s="1"/>
  <c r="G38" i="77"/>
  <c r="E38" i="150"/>
  <c r="N38" i="150" s="1"/>
  <c r="G38" i="76"/>
  <c r="E38" i="30"/>
  <c r="F25" i="153"/>
  <c r="P25" i="153" s="1"/>
  <c r="H25" i="155"/>
  <c r="E22" i="157"/>
  <c r="J22" i="157" s="1"/>
  <c r="M22" i="157" s="1"/>
  <c r="G22" i="77"/>
  <c r="E22" i="150"/>
  <c r="N22" i="150" s="1"/>
  <c r="G22" i="76"/>
  <c r="E22" i="30"/>
  <c r="F9" i="153"/>
  <c r="P9" i="153" s="1"/>
  <c r="H9" i="155"/>
  <c r="E6" i="157"/>
  <c r="J6" i="157" s="1"/>
  <c r="M6" i="157" s="1"/>
  <c r="E6" i="150"/>
  <c r="N6" i="150" s="1"/>
  <c r="E6" i="30"/>
  <c r="G6" i="77"/>
  <c r="G6" i="76"/>
  <c r="P28" i="23"/>
  <c r="P26" i="23"/>
  <c r="T35" i="23"/>
  <c r="T32" i="23"/>
  <c r="AB27" i="23"/>
  <c r="AB34" i="23"/>
  <c r="P34" i="23"/>
  <c r="T28" i="23"/>
  <c r="M83" i="75"/>
  <c r="K83" i="28"/>
  <c r="U83" i="28" s="1"/>
  <c r="N56" i="75"/>
  <c r="L56" i="28"/>
  <c r="V56" i="28" s="1"/>
  <c r="M51" i="75"/>
  <c r="K51" i="28"/>
  <c r="U51" i="28" s="1"/>
  <c r="N91" i="75"/>
  <c r="M87" i="75"/>
  <c r="K87" i="28"/>
  <c r="U87" i="28" s="1"/>
  <c r="DX97" i="67"/>
  <c r="DJ97" i="67"/>
  <c r="DW96" i="67"/>
  <c r="DI96" i="67"/>
  <c r="DH95" i="67"/>
  <c r="DV95" i="67"/>
  <c r="F94" i="152"/>
  <c r="F94" i="150"/>
  <c r="O94" i="150" s="1"/>
  <c r="H94" i="77"/>
  <c r="H94" i="75"/>
  <c r="DU94" i="67"/>
  <c r="DG94" i="67"/>
  <c r="DT93" i="67"/>
  <c r="DF93" i="67"/>
  <c r="DS92" i="67"/>
  <c r="DE92" i="67"/>
  <c r="DR91" i="67"/>
  <c r="DD91" i="67"/>
  <c r="DQ90" i="67"/>
  <c r="DC90" i="67"/>
  <c r="N89" i="150"/>
  <c r="G89" i="75"/>
  <c r="E89" i="28"/>
  <c r="DP89" i="67"/>
  <c r="DB89" i="67"/>
  <c r="DO88" i="67"/>
  <c r="DA88" i="67"/>
  <c r="DN87" i="67"/>
  <c r="CZ87" i="67"/>
  <c r="DM84" i="67"/>
  <c r="EA84" i="67"/>
  <c r="DL83" i="67"/>
  <c r="DZ83" i="67"/>
  <c r="DY82" i="67"/>
  <c r="DK82" i="67"/>
  <c r="DX81" i="67"/>
  <c r="DJ81" i="67"/>
  <c r="DW80" i="67"/>
  <c r="DI80" i="67"/>
  <c r="DV79" i="67"/>
  <c r="DH79" i="67"/>
  <c r="F78" i="152"/>
  <c r="F78" i="150"/>
  <c r="O78" i="150" s="1"/>
  <c r="H78" i="77"/>
  <c r="H78" i="76"/>
  <c r="H78" i="75"/>
  <c r="DU78" i="67"/>
  <c r="DG78" i="67"/>
  <c r="DT77" i="67"/>
  <c r="DF77" i="67"/>
  <c r="DS76" i="67"/>
  <c r="DE76" i="67"/>
  <c r="DR75" i="67"/>
  <c r="DD75" i="67"/>
  <c r="DQ74" i="67"/>
  <c r="DC74" i="67"/>
  <c r="N62" i="75"/>
  <c r="M41" i="75"/>
  <c r="K41" i="28"/>
  <c r="U41" i="28" s="1"/>
  <c r="DW97" i="67"/>
  <c r="DI97" i="67"/>
  <c r="DV96" i="67"/>
  <c r="DH96" i="67"/>
  <c r="F95" i="150"/>
  <c r="O95" i="150" s="1"/>
  <c r="F95" i="152"/>
  <c r="H95" i="77"/>
  <c r="H95" i="75"/>
  <c r="DU95" i="67"/>
  <c r="DG95" i="67"/>
  <c r="DT94" i="67"/>
  <c r="DF94" i="67"/>
  <c r="DS93" i="67"/>
  <c r="DE93" i="67"/>
  <c r="DR92" i="67"/>
  <c r="DD92" i="67"/>
  <c r="DQ91" i="67"/>
  <c r="DC91" i="67"/>
  <c r="G90" i="75"/>
  <c r="E90" i="28"/>
  <c r="DP90" i="67"/>
  <c r="DB90" i="67"/>
  <c r="DA89" i="67"/>
  <c r="DO89" i="67"/>
  <c r="CZ88" i="67"/>
  <c r="DN88" i="67"/>
  <c r="EA85" i="67"/>
  <c r="DM85" i="67"/>
  <c r="DL84" i="67"/>
  <c r="DZ84" i="67"/>
  <c r="DY83" i="67"/>
  <c r="DK83" i="67"/>
  <c r="DX82" i="67"/>
  <c r="DJ82" i="67"/>
  <c r="DW81" i="67"/>
  <c r="DI81" i="67"/>
  <c r="DH80" i="67"/>
  <c r="DV80" i="67"/>
  <c r="F79" i="150"/>
  <c r="O79" i="150" s="1"/>
  <c r="H79" i="76"/>
  <c r="F79" i="152"/>
  <c r="H79" i="77"/>
  <c r="H79" i="75"/>
  <c r="DU79" i="67"/>
  <c r="DG79" i="67"/>
  <c r="DT78" i="67"/>
  <c r="DF78" i="67"/>
  <c r="DE77" i="67"/>
  <c r="DS77" i="67"/>
  <c r="DR76" i="67"/>
  <c r="DD76" i="67"/>
  <c r="DQ75" i="67"/>
  <c r="DC75" i="67"/>
  <c r="N74" i="150"/>
  <c r="G74" i="75"/>
  <c r="E74" i="28"/>
  <c r="DP74" i="67"/>
  <c r="DB74" i="67"/>
  <c r="DA73" i="67"/>
  <c r="DO73" i="67"/>
  <c r="CZ72" i="67"/>
  <c r="DN72" i="67"/>
  <c r="EA69" i="67"/>
  <c r="DM69" i="67"/>
  <c r="DZ68" i="67"/>
  <c r="DL68" i="67"/>
  <c r="DK67" i="67"/>
  <c r="DY67" i="67"/>
  <c r="DX66" i="67"/>
  <c r="DJ66" i="67"/>
  <c r="DW65" i="67"/>
  <c r="DI65" i="67"/>
  <c r="DV64" i="67"/>
  <c r="DH64" i="67"/>
  <c r="F63" i="150"/>
  <c r="O63" i="150" s="1"/>
  <c r="H63" i="76"/>
  <c r="H63" i="77"/>
  <c r="F63" i="152"/>
  <c r="H63" i="75"/>
  <c r="DG63" i="67"/>
  <c r="DU63" i="67"/>
  <c r="DT62" i="67"/>
  <c r="DF62" i="67"/>
  <c r="DE61" i="67"/>
  <c r="DS61" i="67"/>
  <c r="M58" i="75"/>
  <c r="K58" i="28"/>
  <c r="U58" i="28" s="1"/>
  <c r="DV97" i="67"/>
  <c r="DH97" i="67"/>
  <c r="F96" i="152"/>
  <c r="H96" i="77"/>
  <c r="F96" i="150"/>
  <c r="O96" i="150" s="1"/>
  <c r="H96" i="75"/>
  <c r="DU96" i="67"/>
  <c r="DG96" i="67"/>
  <c r="DT95" i="67"/>
  <c r="DF95" i="67"/>
  <c r="DE94" i="67"/>
  <c r="DS94" i="67"/>
  <c r="DR93" i="67"/>
  <c r="DD93" i="67"/>
  <c r="DQ92" i="67"/>
  <c r="DC92" i="67"/>
  <c r="G91" i="75"/>
  <c r="E91" i="28"/>
  <c r="DP91" i="67"/>
  <c r="DB91" i="67"/>
  <c r="DO90" i="67"/>
  <c r="DA90" i="67"/>
  <c r="CZ89" i="67"/>
  <c r="DN89" i="67"/>
  <c r="DM86" i="67"/>
  <c r="EA86" i="67"/>
  <c r="DZ85" i="67"/>
  <c r="DL85" i="67"/>
  <c r="DK84" i="67"/>
  <c r="DY84" i="67"/>
  <c r="DX83" i="67"/>
  <c r="DJ83" i="67"/>
  <c r="DI82" i="67"/>
  <c r="DW82" i="67"/>
  <c r="DV81" i="67"/>
  <c r="DH81" i="67"/>
  <c r="F80" i="152"/>
  <c r="F80" i="150"/>
  <c r="O80" i="150" s="1"/>
  <c r="H80" i="77"/>
  <c r="H80" i="76"/>
  <c r="H80" i="75"/>
  <c r="DG80" i="67"/>
  <c r="DU80" i="67"/>
  <c r="DT79" i="67"/>
  <c r="DF79" i="67"/>
  <c r="DS78" i="67"/>
  <c r="DE78" i="67"/>
  <c r="DD77" i="67"/>
  <c r="DR77" i="67"/>
  <c r="DQ76" i="67"/>
  <c r="DC76" i="67"/>
  <c r="G75" i="75"/>
  <c r="E75" i="28"/>
  <c r="DP75" i="67"/>
  <c r="DB75" i="67"/>
  <c r="DO74" i="67"/>
  <c r="DA74" i="67"/>
  <c r="DN73" i="67"/>
  <c r="CZ73" i="67"/>
  <c r="F97" i="152"/>
  <c r="F97" i="150"/>
  <c r="O97" i="150" s="1"/>
  <c r="H97" i="77"/>
  <c r="DU97" i="67"/>
  <c r="DG97" i="67"/>
  <c r="N97" i="75" s="1"/>
  <c r="DS95" i="67"/>
  <c r="DE95" i="67"/>
  <c r="DO91" i="67"/>
  <c r="DA91" i="67"/>
  <c r="DN90" i="67"/>
  <c r="CZ90" i="67"/>
  <c r="DM87" i="67"/>
  <c r="EA87" i="67"/>
  <c r="DZ86" i="67"/>
  <c r="DL86" i="67"/>
  <c r="DY85" i="67"/>
  <c r="DK85" i="67"/>
  <c r="DJ84" i="67"/>
  <c r="DX84" i="67"/>
  <c r="DW83" i="67"/>
  <c r="DI83" i="67"/>
  <c r="DT97" i="67"/>
  <c r="DF97" i="67"/>
  <c r="DS96" i="67"/>
  <c r="DE96" i="67"/>
  <c r="DR95" i="67"/>
  <c r="DD95" i="67"/>
  <c r="DQ94" i="67"/>
  <c r="DC94" i="67"/>
  <c r="G93" i="75"/>
  <c r="E93" i="28"/>
  <c r="DP93" i="67"/>
  <c r="DB93" i="67"/>
  <c r="DO92" i="67"/>
  <c r="DA92" i="67"/>
  <c r="DR96" i="67"/>
  <c r="DD96" i="67"/>
  <c r="G94" i="75"/>
  <c r="E94" i="28"/>
  <c r="DP94" i="67"/>
  <c r="DB94" i="67"/>
  <c r="DN92" i="67"/>
  <c r="CZ92" i="67"/>
  <c r="EA89" i="67"/>
  <c r="DM89" i="67"/>
  <c r="DL88" i="67"/>
  <c r="DZ88" i="67"/>
  <c r="DY87" i="67"/>
  <c r="DK87" i="67"/>
  <c r="DX86" i="67"/>
  <c r="DJ86" i="67"/>
  <c r="DV84" i="67"/>
  <c r="DH84" i="67"/>
  <c r="DE81" i="67"/>
  <c r="DS81" i="67"/>
  <c r="DR80" i="67"/>
  <c r="DD80" i="67"/>
  <c r="DQ79" i="67"/>
  <c r="DC79" i="67"/>
  <c r="G78" i="75"/>
  <c r="E78" i="28"/>
  <c r="DB78" i="67"/>
  <c r="DP78" i="67"/>
  <c r="DO77" i="67"/>
  <c r="DA77" i="67"/>
  <c r="CZ76" i="67"/>
  <c r="DN76" i="67"/>
  <c r="EA73" i="67"/>
  <c r="DM73" i="67"/>
  <c r="DL72" i="67"/>
  <c r="DZ72" i="67"/>
  <c r="DY71" i="67"/>
  <c r="DK71" i="67"/>
  <c r="DX70" i="67"/>
  <c r="DJ70" i="67"/>
  <c r="DW69" i="67"/>
  <c r="DI69" i="67"/>
  <c r="DH68" i="67"/>
  <c r="DV68" i="67"/>
  <c r="F67" i="152"/>
  <c r="F67" i="150"/>
  <c r="O67" i="150" s="1"/>
  <c r="H67" i="77"/>
  <c r="H67" i="76"/>
  <c r="H67" i="75"/>
  <c r="DU67" i="67"/>
  <c r="DG67" i="67"/>
  <c r="DT66" i="67"/>
  <c r="DF66" i="67"/>
  <c r="DE65" i="67"/>
  <c r="DS65" i="67"/>
  <c r="DR64" i="67"/>
  <c r="DD64" i="67"/>
  <c r="DQ63" i="67"/>
  <c r="DC63" i="67"/>
  <c r="G62" i="75"/>
  <c r="E62" i="28"/>
  <c r="DP62" i="67"/>
  <c r="DB62" i="67"/>
  <c r="DO61" i="67"/>
  <c r="DA61" i="67"/>
  <c r="CZ60" i="67"/>
  <c r="DN60" i="67"/>
  <c r="EA57" i="67"/>
  <c r="DM57" i="67"/>
  <c r="DZ56" i="67"/>
  <c r="DL56" i="67"/>
  <c r="DK55" i="67"/>
  <c r="DY55" i="67"/>
  <c r="DX54" i="67"/>
  <c r="DJ54" i="67"/>
  <c r="DW53" i="67"/>
  <c r="DI53" i="67"/>
  <c r="DH52" i="67"/>
  <c r="DV52" i="67"/>
  <c r="F51" i="152"/>
  <c r="F51" i="150"/>
  <c r="O51" i="150" s="1"/>
  <c r="H51" i="77"/>
  <c r="H51" i="76"/>
  <c r="H51" i="75"/>
  <c r="DG51" i="67"/>
  <c r="DU51" i="67"/>
  <c r="DF50" i="67"/>
  <c r="DT50" i="67"/>
  <c r="DS49" i="67"/>
  <c r="DE49" i="67"/>
  <c r="DR48" i="67"/>
  <c r="DD48" i="67"/>
  <c r="DC47" i="67"/>
  <c r="DQ47" i="67"/>
  <c r="N46" i="150"/>
  <c r="G46" i="75"/>
  <c r="E46" i="28"/>
  <c r="DB46" i="67"/>
  <c r="DP46" i="67"/>
  <c r="DO45" i="67"/>
  <c r="DA45" i="67"/>
  <c r="CZ44" i="67"/>
  <c r="DN44" i="67"/>
  <c r="EA41" i="67"/>
  <c r="DM41" i="67"/>
  <c r="DZ40" i="67"/>
  <c r="DL40" i="67"/>
  <c r="F35" i="152"/>
  <c r="F35" i="150"/>
  <c r="O35" i="150" s="1"/>
  <c r="H35" i="77"/>
  <c r="H35" i="76"/>
  <c r="H35" i="75"/>
  <c r="G30" i="75"/>
  <c r="E30" i="28"/>
  <c r="DQ93" i="67"/>
  <c r="DC93" i="67"/>
  <c r="EA90" i="67"/>
  <c r="DM90" i="67"/>
  <c r="DT83" i="67"/>
  <c r="DF83" i="67"/>
  <c r="DD94" i="67"/>
  <c r="DR94" i="67"/>
  <c r="DQ95" i="67"/>
  <c r="DC95" i="67"/>
  <c r="DA93" i="67"/>
  <c r="DO93" i="67"/>
  <c r="DW85" i="67"/>
  <c r="DI85" i="67"/>
  <c r="G95" i="75"/>
  <c r="E95" i="28"/>
  <c r="DP95" i="67"/>
  <c r="DB95" i="67"/>
  <c r="DO94" i="67"/>
  <c r="DA94" i="67"/>
  <c r="DZ89" i="67"/>
  <c r="DL89" i="67"/>
  <c r="DI86" i="67"/>
  <c r="DW86" i="67"/>
  <c r="F84" i="152"/>
  <c r="F84" i="150"/>
  <c r="O84" i="150" s="1"/>
  <c r="H84" i="77"/>
  <c r="H84" i="76"/>
  <c r="H84" i="75"/>
  <c r="DU84" i="67"/>
  <c r="DG84" i="67"/>
  <c r="M79" i="75"/>
  <c r="K79" i="28"/>
  <c r="U79" i="28" s="1"/>
  <c r="N92" i="150"/>
  <c r="G92" i="75"/>
  <c r="E92" i="28"/>
  <c r="DP92" i="67"/>
  <c r="DB92" i="67"/>
  <c r="F2" i="150"/>
  <c r="O2" i="150" s="1"/>
  <c r="F2" i="152"/>
  <c r="H2" i="77"/>
  <c r="H2" i="76"/>
  <c r="H2" i="75"/>
  <c r="DF82" i="67"/>
  <c r="DT82" i="67"/>
  <c r="DQ96" i="67"/>
  <c r="DC96" i="67"/>
  <c r="DX87" i="67"/>
  <c r="DJ87" i="67"/>
  <c r="DD81" i="67"/>
  <c r="DR81" i="67"/>
  <c r="M81" i="75"/>
  <c r="K81" i="28"/>
  <c r="U81" i="28" s="1"/>
  <c r="DT96" i="67"/>
  <c r="DF96" i="67"/>
  <c r="DS97" i="67"/>
  <c r="DE97" i="67"/>
  <c r="F83" i="152"/>
  <c r="F83" i="150"/>
  <c r="O83" i="150" s="1"/>
  <c r="H83" i="76"/>
  <c r="H83" i="77"/>
  <c r="H83" i="75"/>
  <c r="DU83" i="67"/>
  <c r="DG83" i="67"/>
  <c r="DR97" i="67"/>
  <c r="DD97" i="67"/>
  <c r="CZ93" i="67"/>
  <c r="DN93" i="67"/>
  <c r="DY88" i="67"/>
  <c r="DK88" i="67"/>
  <c r="DV85" i="67"/>
  <c r="DH85" i="67"/>
  <c r="DE82" i="67"/>
  <c r="DS82" i="67"/>
  <c r="AB33" i="23"/>
  <c r="P29" i="23"/>
  <c r="F89" i="152"/>
  <c r="F89" i="150"/>
  <c r="O89" i="150" s="1"/>
  <c r="H89" i="77"/>
  <c r="H89" i="75"/>
  <c r="G84" i="75"/>
  <c r="E84" i="28"/>
  <c r="DP84" i="67"/>
  <c r="DB84" i="67"/>
  <c r="F73" i="150"/>
  <c r="O73" i="150" s="1"/>
  <c r="F73" i="152"/>
  <c r="H73" i="76"/>
  <c r="H73" i="77"/>
  <c r="H73" i="75"/>
  <c r="DU73" i="67"/>
  <c r="G68" i="75"/>
  <c r="E68" i="28"/>
  <c r="DP68" i="67"/>
  <c r="DB68" i="67"/>
  <c r="F57" i="152"/>
  <c r="H57" i="77"/>
  <c r="F57" i="150"/>
  <c r="O57" i="150" s="1"/>
  <c r="H57" i="76"/>
  <c r="H57" i="75"/>
  <c r="DU57" i="67"/>
  <c r="G52" i="75"/>
  <c r="E52" i="28"/>
  <c r="DP52" i="67"/>
  <c r="DB52" i="67"/>
  <c r="DO51" i="67"/>
  <c r="DA51" i="67"/>
  <c r="EA47" i="67"/>
  <c r="DM47" i="67"/>
  <c r="DZ46" i="67"/>
  <c r="DL46" i="67"/>
  <c r="F41" i="152"/>
  <c r="F41" i="150"/>
  <c r="O41" i="150" s="1"/>
  <c r="H41" i="76"/>
  <c r="H41" i="77"/>
  <c r="H41" i="75"/>
  <c r="DU41" i="67"/>
  <c r="DG41" i="67"/>
  <c r="DT40" i="67"/>
  <c r="DF40" i="67"/>
  <c r="G36" i="75"/>
  <c r="E36" i="28"/>
  <c r="F25" i="152"/>
  <c r="F25" i="150"/>
  <c r="O25" i="150" s="1"/>
  <c r="H25" i="76"/>
  <c r="H25" i="77"/>
  <c r="H25" i="75"/>
  <c r="G20" i="75"/>
  <c r="E20" i="28"/>
  <c r="F9" i="152"/>
  <c r="H9" i="77"/>
  <c r="H9" i="76"/>
  <c r="F9" i="150"/>
  <c r="O9" i="150" s="1"/>
  <c r="H9" i="75"/>
  <c r="G4" i="75"/>
  <c r="E4" i="28"/>
  <c r="DO97" i="67"/>
  <c r="EA96" i="67"/>
  <c r="DK96" i="67"/>
  <c r="DW95" i="67"/>
  <c r="EA92" i="67"/>
  <c r="DK92" i="67"/>
  <c r="DW91" i="67"/>
  <c r="DS90" i="67"/>
  <c r="EA88" i="67"/>
  <c r="DV87" i="67"/>
  <c r="DC87" i="67"/>
  <c r="DR85" i="67"/>
  <c r="DQ83" i="67"/>
  <c r="DD82" i="67"/>
  <c r="DM81" i="67"/>
  <c r="DC80" i="67"/>
  <c r="DI79" i="67"/>
  <c r="DR78" i="67"/>
  <c r="EA77" i="67"/>
  <c r="DH77" i="67"/>
  <c r="DW75" i="67"/>
  <c r="DM74" i="67"/>
  <c r="DS73" i="67"/>
  <c r="DI72" i="67"/>
  <c r="DR71" i="67"/>
  <c r="EA70" i="67"/>
  <c r="DE70" i="67"/>
  <c r="DN69" i="67"/>
  <c r="DW68" i="67"/>
  <c r="DD68" i="67"/>
  <c r="DJ67" i="67"/>
  <c r="DS66" i="67"/>
  <c r="CZ66" i="67"/>
  <c r="DO64" i="67"/>
  <c r="DX63" i="67"/>
  <c r="DE63" i="67"/>
  <c r="DN62" i="67"/>
  <c r="DW61" i="67"/>
  <c r="DJ60" i="67"/>
  <c r="DS59" i="67"/>
  <c r="CZ59" i="67"/>
  <c r="DF58" i="67"/>
  <c r="DO57" i="67"/>
  <c r="DX56" i="67"/>
  <c r="DC56" i="67"/>
  <c r="DH55" i="67"/>
  <c r="DS53" i="67"/>
  <c r="DY52" i="67"/>
  <c r="DY51" i="67"/>
  <c r="DC51" i="67"/>
  <c r="DA50" i="67"/>
  <c r="EA48" i="67"/>
  <c r="DY47" i="67"/>
  <c r="DA47" i="67"/>
  <c r="DZ45" i="67"/>
  <c r="DH43" i="67"/>
  <c r="T31" i="23"/>
  <c r="AB26" i="23"/>
  <c r="F90" i="152"/>
  <c r="F90" i="150"/>
  <c r="O90" i="150" s="1"/>
  <c r="P90" i="153"/>
  <c r="H90" i="77"/>
  <c r="H90" i="75"/>
  <c r="G85" i="75"/>
  <c r="E85" i="28"/>
  <c r="F74" i="152"/>
  <c r="F74" i="150"/>
  <c r="O74" i="150" s="1"/>
  <c r="H74" i="77"/>
  <c r="H74" i="76"/>
  <c r="H74" i="75"/>
  <c r="DT73" i="67"/>
  <c r="DF73" i="67"/>
  <c r="G69" i="75"/>
  <c r="E69" i="28"/>
  <c r="F58" i="152"/>
  <c r="F58" i="150"/>
  <c r="O58" i="150" s="1"/>
  <c r="H58" i="77"/>
  <c r="H58" i="76"/>
  <c r="H58" i="75"/>
  <c r="DT57" i="67"/>
  <c r="DF57" i="67"/>
  <c r="G53" i="75"/>
  <c r="E53" i="28"/>
  <c r="DN51" i="67"/>
  <c r="CZ51" i="67"/>
  <c r="DY46" i="67"/>
  <c r="DK46" i="67"/>
  <c r="P42" i="153"/>
  <c r="F42" i="152"/>
  <c r="H42" i="77"/>
  <c r="F42" i="150"/>
  <c r="O42" i="150" s="1"/>
  <c r="H42" i="76"/>
  <c r="H42" i="75"/>
  <c r="DG42" i="67"/>
  <c r="DT41" i="67"/>
  <c r="DF41" i="67"/>
  <c r="DS40" i="67"/>
  <c r="DE40" i="67"/>
  <c r="G37" i="75"/>
  <c r="E37" i="28"/>
  <c r="F26" i="152"/>
  <c r="F26" i="150"/>
  <c r="O26" i="150" s="1"/>
  <c r="H26" i="77"/>
  <c r="H26" i="76"/>
  <c r="H26" i="75"/>
  <c r="G21" i="75"/>
  <c r="E21" i="28"/>
  <c r="P10" i="153"/>
  <c r="F10" i="152"/>
  <c r="F10" i="150"/>
  <c r="O10" i="150" s="1"/>
  <c r="H10" i="76"/>
  <c r="H10" i="77"/>
  <c r="H10" i="75"/>
  <c r="G5" i="75"/>
  <c r="E5" i="28"/>
  <c r="DN97" i="67"/>
  <c r="DZ96" i="67"/>
  <c r="DJ96" i="67"/>
  <c r="DZ92" i="67"/>
  <c r="DJ92" i="67"/>
  <c r="DV91" i="67"/>
  <c r="DF91" i="67"/>
  <c r="DR90" i="67"/>
  <c r="DJ88" i="67"/>
  <c r="DU87" i="67"/>
  <c r="DK86" i="67"/>
  <c r="DQ85" i="67"/>
  <c r="DP83" i="67"/>
  <c r="DV82" i="67"/>
  <c r="DC82" i="67"/>
  <c r="DL81" i="67"/>
  <c r="EA79" i="67"/>
  <c r="DQ78" i="67"/>
  <c r="DZ77" i="67"/>
  <c r="DM76" i="67"/>
  <c r="DV75" i="67"/>
  <c r="DL74" i="67"/>
  <c r="DR73" i="67"/>
  <c r="EA72" i="67"/>
  <c r="DH72" i="67"/>
  <c r="DQ71" i="67"/>
  <c r="DW70" i="67"/>
  <c r="DD70" i="67"/>
  <c r="DC68" i="67"/>
  <c r="DI67" i="67"/>
  <c r="DR66" i="67"/>
  <c r="EA65" i="67"/>
  <c r="DH65" i="67"/>
  <c r="DN64" i="67"/>
  <c r="DW63" i="67"/>
  <c r="DD63" i="67"/>
  <c r="DM62" i="67"/>
  <c r="CZ61" i="67"/>
  <c r="DI60" i="67"/>
  <c r="DR59" i="67"/>
  <c r="EA58" i="67"/>
  <c r="DE58" i="67"/>
  <c r="DN57" i="67"/>
  <c r="DW56" i="67"/>
  <c r="EA55" i="67"/>
  <c r="DG55" i="67"/>
  <c r="DO54" i="67"/>
  <c r="DR53" i="67"/>
  <c r="DX52" i="67"/>
  <c r="DX51" i="67"/>
  <c r="EA49" i="67"/>
  <c r="DY48" i="67"/>
  <c r="DX47" i="67"/>
  <c r="DV46" i="67"/>
  <c r="DY45" i="67"/>
  <c r="DM44" i="67"/>
  <c r="DE43" i="67"/>
  <c r="DA41" i="67"/>
  <c r="P31" i="23"/>
  <c r="P91" i="153"/>
  <c r="F91" i="150"/>
  <c r="O91" i="150" s="1"/>
  <c r="F91" i="152"/>
  <c r="H91" i="77"/>
  <c r="H91" i="75"/>
  <c r="G86" i="75"/>
  <c r="E86" i="28"/>
  <c r="DX78" i="67"/>
  <c r="DJ78" i="67"/>
  <c r="F75" i="152"/>
  <c r="F75" i="150"/>
  <c r="O75" i="150" s="1"/>
  <c r="H75" i="77"/>
  <c r="H75" i="76"/>
  <c r="H75" i="75"/>
  <c r="G70" i="75"/>
  <c r="E70" i="28"/>
  <c r="DX62" i="67"/>
  <c r="DJ62" i="67"/>
  <c r="F59" i="152"/>
  <c r="F59" i="150"/>
  <c r="O59" i="150" s="1"/>
  <c r="H59" i="77"/>
  <c r="H59" i="76"/>
  <c r="H59" i="75"/>
  <c r="DR56" i="67"/>
  <c r="DD56" i="67"/>
  <c r="G54" i="75"/>
  <c r="E54" i="28"/>
  <c r="DX46" i="67"/>
  <c r="DJ46" i="67"/>
  <c r="P43" i="153"/>
  <c r="F43" i="152"/>
  <c r="H43" i="77"/>
  <c r="F43" i="150"/>
  <c r="O43" i="150" s="1"/>
  <c r="H43" i="76"/>
  <c r="H43" i="75"/>
  <c r="DG43" i="67"/>
  <c r="DS41" i="67"/>
  <c r="DE41" i="67"/>
  <c r="DR40" i="67"/>
  <c r="DD40" i="67"/>
  <c r="G38" i="75"/>
  <c r="E38" i="28"/>
  <c r="P27" i="153"/>
  <c r="F27" i="152"/>
  <c r="F27" i="150"/>
  <c r="O27" i="150" s="1"/>
  <c r="H27" i="76"/>
  <c r="H27" i="77"/>
  <c r="H27" i="75"/>
  <c r="G22" i="75"/>
  <c r="E22" i="28"/>
  <c r="F11" i="152"/>
  <c r="H11" i="77"/>
  <c r="F11" i="150"/>
  <c r="O11" i="150" s="1"/>
  <c r="H11" i="76"/>
  <c r="H11" i="75"/>
  <c r="G6" i="75"/>
  <c r="E6" i="28"/>
  <c r="DM97" i="67"/>
  <c r="DM93" i="67"/>
  <c r="DI92" i="67"/>
  <c r="DU91" i="67"/>
  <c r="DE91" i="67"/>
  <c r="DI88" i="67"/>
  <c r="DT87" i="67"/>
  <c r="DA87" i="67"/>
  <c r="DG86" i="67"/>
  <c r="DP85" i="67"/>
  <c r="DF84" i="67"/>
  <c r="DO83" i="67"/>
  <c r="DB82" i="67"/>
  <c r="DK81" i="67"/>
  <c r="DT80" i="67"/>
  <c r="DZ79" i="67"/>
  <c r="DY77" i="67"/>
  <c r="DC77" i="67"/>
  <c r="DL76" i="67"/>
  <c r="DU75" i="67"/>
  <c r="DK74" i="67"/>
  <c r="DQ73" i="67"/>
  <c r="DG72" i="67"/>
  <c r="DV70" i="67"/>
  <c r="DC70" i="67"/>
  <c r="DL69" i="67"/>
  <c r="EA67" i="67"/>
  <c r="DH67" i="67"/>
  <c r="DQ66" i="67"/>
  <c r="DZ65" i="67"/>
  <c r="DM64" i="67"/>
  <c r="DV63" i="67"/>
  <c r="DL62" i="67"/>
  <c r="DR61" i="67"/>
  <c r="EA60" i="67"/>
  <c r="DH60" i="67"/>
  <c r="DQ59" i="67"/>
  <c r="DW58" i="67"/>
  <c r="DD58" i="67"/>
  <c r="DV56" i="67"/>
  <c r="DZ55" i="67"/>
  <c r="DF55" i="67"/>
  <c r="DN54" i="67"/>
  <c r="DQ53" i="67"/>
  <c r="DW52" i="67"/>
  <c r="DW51" i="67"/>
  <c r="DW50" i="67"/>
  <c r="DZ49" i="67"/>
  <c r="DX48" i="67"/>
  <c r="DW47" i="67"/>
  <c r="DR45" i="67"/>
  <c r="DL44" i="67"/>
  <c r="DD43" i="67"/>
  <c r="DY40" i="67"/>
  <c r="AB28" i="23"/>
  <c r="P92" i="153"/>
  <c r="F92" i="150"/>
  <c r="O92" i="150" s="1"/>
  <c r="F92" i="152"/>
  <c r="H92" i="77"/>
  <c r="H92" i="75"/>
  <c r="N87" i="150"/>
  <c r="G87" i="75"/>
  <c r="E87" i="28"/>
  <c r="F76" i="150"/>
  <c r="O76" i="150" s="1"/>
  <c r="F76" i="152"/>
  <c r="H76" i="76"/>
  <c r="H76" i="77"/>
  <c r="H76" i="75"/>
  <c r="N71" i="150"/>
  <c r="G71" i="75"/>
  <c r="E71" i="28"/>
  <c r="P60" i="153"/>
  <c r="F60" i="152"/>
  <c r="F60" i="150"/>
  <c r="O60" i="150" s="1"/>
  <c r="H60" i="76"/>
  <c r="H60" i="77"/>
  <c r="H60" i="75"/>
  <c r="N55" i="150"/>
  <c r="G55" i="75"/>
  <c r="E55" i="28"/>
  <c r="DP55" i="67"/>
  <c r="EA50" i="67"/>
  <c r="DM50" i="67"/>
  <c r="DW46" i="67"/>
  <c r="DI46" i="67"/>
  <c r="DV45" i="67"/>
  <c r="DH45" i="67"/>
  <c r="F44" i="150"/>
  <c r="O44" i="150" s="1"/>
  <c r="F44" i="152"/>
  <c r="H44" i="76"/>
  <c r="H44" i="77"/>
  <c r="H44" i="75"/>
  <c r="DG44" i="67"/>
  <c r="DQ40" i="67"/>
  <c r="DC40" i="67"/>
  <c r="N39" i="150"/>
  <c r="G39" i="75"/>
  <c r="E39" i="28"/>
  <c r="P28" i="153"/>
  <c r="F28" i="150"/>
  <c r="O28" i="150" s="1"/>
  <c r="H28" i="76"/>
  <c r="H28" i="77"/>
  <c r="F28" i="152"/>
  <c r="H28" i="75"/>
  <c r="N23" i="150"/>
  <c r="G23" i="75"/>
  <c r="E23" i="28"/>
  <c r="F12" i="152"/>
  <c r="F12" i="150"/>
  <c r="O12" i="150" s="1"/>
  <c r="H12" i="76"/>
  <c r="H12" i="77"/>
  <c r="H12" i="75"/>
  <c r="N7" i="150"/>
  <c r="G7" i="75"/>
  <c r="E7" i="28"/>
  <c r="DL97" i="67"/>
  <c r="CZ94" i="67"/>
  <c r="DL93" i="67"/>
  <c r="DH92" i="67"/>
  <c r="DH88" i="67"/>
  <c r="DS87" i="67"/>
  <c r="DF86" i="67"/>
  <c r="DO85" i="67"/>
  <c r="DE84" i="67"/>
  <c r="DA82" i="67"/>
  <c r="DS80" i="67"/>
  <c r="DY79" i="67"/>
  <c r="DO78" i="67"/>
  <c r="DX77" i="67"/>
  <c r="DB77" i="67"/>
  <c r="DK76" i="67"/>
  <c r="DT75" i="67"/>
  <c r="DA75" i="67"/>
  <c r="DG74" i="67"/>
  <c r="DY72" i="67"/>
  <c r="DF72" i="67"/>
  <c r="DO71" i="67"/>
  <c r="DB70" i="67"/>
  <c r="DK69" i="67"/>
  <c r="DT68" i="67"/>
  <c r="DZ67" i="67"/>
  <c r="DY65" i="67"/>
  <c r="DC65" i="67"/>
  <c r="DL64" i="67"/>
  <c r="DB63" i="67"/>
  <c r="DK62" i="67"/>
  <c r="DQ61" i="67"/>
  <c r="DZ60" i="67"/>
  <c r="DG60" i="67"/>
  <c r="DV58" i="67"/>
  <c r="DC58" i="67"/>
  <c r="DL57" i="67"/>
  <c r="DU56" i="67"/>
  <c r="DE55" i="67"/>
  <c r="DM54" i="67"/>
  <c r="DP53" i="67"/>
  <c r="DV51" i="67"/>
  <c r="DV50" i="67"/>
  <c r="DY49" i="67"/>
  <c r="DW48" i="67"/>
  <c r="DT46" i="67"/>
  <c r="DQ45" i="67"/>
  <c r="DI44" i="67"/>
  <c r="DV42" i="67"/>
  <c r="DX40" i="67"/>
  <c r="P33" i="23"/>
  <c r="T26" i="23"/>
  <c r="P93" i="153"/>
  <c r="F93" i="152"/>
  <c r="F93" i="150"/>
  <c r="O93" i="150" s="1"/>
  <c r="H93" i="77"/>
  <c r="H93" i="75"/>
  <c r="N88" i="150"/>
  <c r="G88" i="75"/>
  <c r="E88" i="28"/>
  <c r="F77" i="152"/>
  <c r="F77" i="150"/>
  <c r="O77" i="150" s="1"/>
  <c r="H77" i="76"/>
  <c r="H77" i="77"/>
  <c r="H77" i="75"/>
  <c r="DU77" i="67"/>
  <c r="G72" i="75"/>
  <c r="E72" i="28"/>
  <c r="DP72" i="67"/>
  <c r="DB72" i="67"/>
  <c r="P61" i="153"/>
  <c r="F61" i="152"/>
  <c r="F61" i="150"/>
  <c r="O61" i="150" s="1"/>
  <c r="H61" i="77"/>
  <c r="H61" i="76"/>
  <c r="H61" i="75"/>
  <c r="DU61" i="67"/>
  <c r="G56" i="75"/>
  <c r="E56" i="28"/>
  <c r="DP56" i="67"/>
  <c r="DB56" i="67"/>
  <c r="DZ50" i="67"/>
  <c r="DL50" i="67"/>
  <c r="F45" i="152"/>
  <c r="H45" i="77"/>
  <c r="F45" i="150"/>
  <c r="O45" i="150" s="1"/>
  <c r="H45" i="76"/>
  <c r="H45" i="75"/>
  <c r="DU45" i="67"/>
  <c r="DG45" i="67"/>
  <c r="DR42" i="67"/>
  <c r="DD42" i="67"/>
  <c r="N40" i="150"/>
  <c r="G40" i="75"/>
  <c r="E40" i="28"/>
  <c r="DP40" i="67"/>
  <c r="DB40" i="67"/>
  <c r="F29" i="152"/>
  <c r="H29" i="76"/>
  <c r="H29" i="77"/>
  <c r="F29" i="150"/>
  <c r="O29" i="150" s="1"/>
  <c r="H29" i="75"/>
  <c r="N24" i="150"/>
  <c r="G24" i="75"/>
  <c r="E24" i="28"/>
  <c r="P13" i="153"/>
  <c r="F13" i="150"/>
  <c r="O13" i="150" s="1"/>
  <c r="H13" i="77"/>
  <c r="F13" i="152"/>
  <c r="H13" i="76"/>
  <c r="H13" i="75"/>
  <c r="N8" i="150"/>
  <c r="G8" i="75"/>
  <c r="E8" i="28"/>
  <c r="DK97" i="67"/>
  <c r="DK93" i="67"/>
  <c r="DG92" i="67"/>
  <c r="DK89" i="67"/>
  <c r="DG88" i="67"/>
  <c r="DR87" i="67"/>
  <c r="DE86" i="67"/>
  <c r="DN85" i="67"/>
  <c r="DW84" i="67"/>
  <c r="DD84" i="67"/>
  <c r="CZ82" i="67"/>
  <c r="DO80" i="67"/>
  <c r="DX79" i="67"/>
  <c r="DE79" i="67"/>
  <c r="DN78" i="67"/>
  <c r="DW77" i="67"/>
  <c r="DJ76" i="67"/>
  <c r="DS75" i="67"/>
  <c r="CZ75" i="67"/>
  <c r="DF74" i="67"/>
  <c r="DX72" i="67"/>
  <c r="DE72" i="67"/>
  <c r="DT70" i="67"/>
  <c r="DA70" i="67"/>
  <c r="DJ69" i="67"/>
  <c r="DS68" i="67"/>
  <c r="DF67" i="67"/>
  <c r="DO66" i="67"/>
  <c r="DX65" i="67"/>
  <c r="DB65" i="67"/>
  <c r="DK64" i="67"/>
  <c r="DT63" i="67"/>
  <c r="DA63" i="67"/>
  <c r="DY60" i="67"/>
  <c r="DF60" i="67"/>
  <c r="DO59" i="67"/>
  <c r="DU58" i="67"/>
  <c r="DK57" i="67"/>
  <c r="DS56" i="67"/>
  <c r="DX55" i="67"/>
  <c r="DD55" i="67"/>
  <c r="DK54" i="67"/>
  <c r="DO53" i="67"/>
  <c r="DO52" i="67"/>
  <c r="DR49" i="67"/>
  <c r="DV48" i="67"/>
  <c r="DT47" i="67"/>
  <c r="DS46" i="67"/>
  <c r="DH44" i="67"/>
  <c r="DU42" i="67"/>
  <c r="N73" i="150"/>
  <c r="G73" i="75"/>
  <c r="E73" i="28"/>
  <c r="F62" i="152"/>
  <c r="F62" i="150"/>
  <c r="O62" i="150" s="1"/>
  <c r="H62" i="77"/>
  <c r="H62" i="76"/>
  <c r="H62" i="75"/>
  <c r="DT61" i="67"/>
  <c r="DF61" i="67"/>
  <c r="N57" i="150"/>
  <c r="G57" i="75"/>
  <c r="E57" i="28"/>
  <c r="DN55" i="67"/>
  <c r="CZ55" i="67"/>
  <c r="DY50" i="67"/>
  <c r="DK50" i="67"/>
  <c r="F46" i="152"/>
  <c r="P46" i="153"/>
  <c r="H46" i="77"/>
  <c r="H46" i="76"/>
  <c r="F46" i="150"/>
  <c r="O46" i="150" s="1"/>
  <c r="H46" i="75"/>
  <c r="DG46" i="67"/>
  <c r="DT45" i="67"/>
  <c r="DF45" i="67"/>
  <c r="N41" i="150"/>
  <c r="G41" i="75"/>
  <c r="E41" i="28"/>
  <c r="DP41" i="67"/>
  <c r="DO40" i="67"/>
  <c r="DA40" i="67"/>
  <c r="F30" i="152"/>
  <c r="F30" i="150"/>
  <c r="O30" i="150" s="1"/>
  <c r="H30" i="77"/>
  <c r="H30" i="76"/>
  <c r="H30" i="75"/>
  <c r="N25" i="150"/>
  <c r="G25" i="75"/>
  <c r="E25" i="28"/>
  <c r="P14" i="153"/>
  <c r="F14" i="152"/>
  <c r="F14" i="150"/>
  <c r="O14" i="150" s="1"/>
  <c r="H14" i="77"/>
  <c r="H14" i="76"/>
  <c r="H14" i="75"/>
  <c r="N9" i="150"/>
  <c r="G9" i="75"/>
  <c r="E9" i="28"/>
  <c r="DJ93" i="67"/>
  <c r="DF92" i="67"/>
  <c r="DJ89" i="67"/>
  <c r="DF88" i="67"/>
  <c r="DD86" i="67"/>
  <c r="DC84" i="67"/>
  <c r="DN80" i="67"/>
  <c r="DD79" i="67"/>
  <c r="DM78" i="67"/>
  <c r="CZ77" i="67"/>
  <c r="DI76" i="67"/>
  <c r="DE74" i="67"/>
  <c r="DD72" i="67"/>
  <c r="DJ71" i="67"/>
  <c r="CZ70" i="67"/>
  <c r="DO68" i="67"/>
  <c r="DE67" i="67"/>
  <c r="DA65" i="67"/>
  <c r="DJ64" i="67"/>
  <c r="CZ63" i="67"/>
  <c r="DE60" i="67"/>
  <c r="DK59" i="67"/>
  <c r="DA58" i="67"/>
  <c r="DJ57" i="67"/>
  <c r="DO56" i="67"/>
  <c r="DW55" i="67"/>
  <c r="DC55" i="67"/>
  <c r="DG54" i="67"/>
  <c r="DN53" i="67"/>
  <c r="DN52" i="67"/>
  <c r="DT51" i="67"/>
  <c r="DQ49" i="67"/>
  <c r="DS47" i="67"/>
  <c r="DQ46" i="67"/>
  <c r="DM45" i="67"/>
  <c r="DF44" i="67"/>
  <c r="DT42" i="67"/>
  <c r="N58" i="150"/>
  <c r="G58" i="75"/>
  <c r="E58" i="28"/>
  <c r="DX50" i="67"/>
  <c r="DJ50" i="67"/>
  <c r="F47" i="150"/>
  <c r="O47" i="150" s="1"/>
  <c r="F47" i="152"/>
  <c r="H47" i="76"/>
  <c r="H47" i="77"/>
  <c r="H47" i="75"/>
  <c r="DS45" i="67"/>
  <c r="DE45" i="67"/>
  <c r="DR44" i="67"/>
  <c r="DD44" i="67"/>
  <c r="N42" i="150"/>
  <c r="G42" i="75"/>
  <c r="E42" i="28"/>
  <c r="DB42" i="67"/>
  <c r="CZ40" i="67"/>
  <c r="DN40" i="67"/>
  <c r="F31" i="150"/>
  <c r="O31" i="150" s="1"/>
  <c r="H31" i="76"/>
  <c r="H31" i="77"/>
  <c r="F31" i="152"/>
  <c r="H31" i="75"/>
  <c r="N26" i="150"/>
  <c r="G26" i="75"/>
  <c r="E26" i="28"/>
  <c r="P15" i="153"/>
  <c r="F15" i="152"/>
  <c r="F15" i="150"/>
  <c r="O15" i="150" s="1"/>
  <c r="H15" i="76"/>
  <c r="H15" i="77"/>
  <c r="H15" i="75"/>
  <c r="N10" i="150"/>
  <c r="G10" i="75"/>
  <c r="E10" i="28"/>
  <c r="DA95" i="67"/>
  <c r="DM94" i="67"/>
  <c r="DI93" i="67"/>
  <c r="DU92" i="67"/>
  <c r="DI89" i="67"/>
  <c r="DE88" i="67"/>
  <c r="DP87" i="67"/>
  <c r="DV86" i="67"/>
  <c r="DC86" i="67"/>
  <c r="EA83" i="67"/>
  <c r="DH83" i="67"/>
  <c r="DM80" i="67"/>
  <c r="DL78" i="67"/>
  <c r="DH76" i="67"/>
  <c r="DW74" i="67"/>
  <c r="DD74" i="67"/>
  <c r="DC72" i="67"/>
  <c r="DI71" i="67"/>
  <c r="DH69" i="67"/>
  <c r="DN68" i="67"/>
  <c r="DD67" i="67"/>
  <c r="DM66" i="67"/>
  <c r="CZ65" i="67"/>
  <c r="DI64" i="67"/>
  <c r="DE62" i="67"/>
  <c r="DD60" i="67"/>
  <c r="DJ59" i="67"/>
  <c r="CZ58" i="67"/>
  <c r="DI57" i="67"/>
  <c r="DN56" i="67"/>
  <c r="DB55" i="67"/>
  <c r="DF54" i="67"/>
  <c r="DM53" i="67"/>
  <c r="DM52" i="67"/>
  <c r="DS51" i="67"/>
  <c r="DR50" i="67"/>
  <c r="DN48" i="67"/>
  <c r="DR47" i="67"/>
  <c r="DE44" i="67"/>
  <c r="DQ42" i="67"/>
  <c r="F64" i="152"/>
  <c r="F64" i="150"/>
  <c r="O64" i="150" s="1"/>
  <c r="H64" i="77"/>
  <c r="H64" i="76"/>
  <c r="H64" i="75"/>
  <c r="N59" i="150"/>
  <c r="G59" i="75"/>
  <c r="E59" i="28"/>
  <c r="DV49" i="67"/>
  <c r="DH49" i="67"/>
  <c r="F48" i="152"/>
  <c r="F48" i="150"/>
  <c r="O48" i="150" s="1"/>
  <c r="H48" i="77"/>
  <c r="H48" i="76"/>
  <c r="H48" i="75"/>
  <c r="DQ44" i="67"/>
  <c r="DC44" i="67"/>
  <c r="N43" i="150"/>
  <c r="G43" i="75"/>
  <c r="E43" i="28"/>
  <c r="DP43" i="67"/>
  <c r="DB43" i="67"/>
  <c r="DN41" i="67"/>
  <c r="CZ41" i="67"/>
  <c r="F32" i="152"/>
  <c r="H32" i="77"/>
  <c r="P32" i="153"/>
  <c r="F32" i="150"/>
  <c r="O32" i="150" s="1"/>
  <c r="H32" i="76"/>
  <c r="H32" i="75"/>
  <c r="N27" i="150"/>
  <c r="G27" i="75"/>
  <c r="E27" i="28"/>
  <c r="H16" i="77"/>
  <c r="F16" i="152"/>
  <c r="F16" i="150"/>
  <c r="O16" i="150" s="1"/>
  <c r="H16" i="76"/>
  <c r="H16" i="75"/>
  <c r="N11" i="150"/>
  <c r="G11" i="75"/>
  <c r="E11" i="28"/>
  <c r="CZ95" i="67"/>
  <c r="DL94" i="67"/>
  <c r="DH93" i="67"/>
  <c r="CZ91" i="67"/>
  <c r="DL90" i="67"/>
  <c r="DH89" i="67"/>
  <c r="DD88" i="67"/>
  <c r="DB86" i="67"/>
  <c r="DC81" i="67"/>
  <c r="DL80" i="67"/>
  <c r="DK78" i="67"/>
  <c r="DG76" i="67"/>
  <c r="DV74" i="67"/>
  <c r="DL73" i="67"/>
  <c r="EA71" i="67"/>
  <c r="DH71" i="67"/>
  <c r="DM68" i="67"/>
  <c r="DC67" i="67"/>
  <c r="DL66" i="67"/>
  <c r="DR65" i="67"/>
  <c r="DW62" i="67"/>
  <c r="DD62" i="67"/>
  <c r="DM61" i="67"/>
  <c r="DC60" i="67"/>
  <c r="DI59" i="67"/>
  <c r="DH57" i="67"/>
  <c r="DM56" i="67"/>
  <c r="DA55" i="67"/>
  <c r="DE54" i="67"/>
  <c r="DL53" i="67"/>
  <c r="DL52" i="67"/>
  <c r="DR51" i="67"/>
  <c r="DQ50" i="67"/>
  <c r="DO49" i="67"/>
  <c r="DO46" i="67"/>
  <c r="DJ45" i="67"/>
  <c r="DZ43" i="67"/>
  <c r="DP42" i="67"/>
  <c r="F81" i="150"/>
  <c r="O81" i="150" s="1"/>
  <c r="P81" i="153"/>
  <c r="F81" i="152"/>
  <c r="H81" i="77"/>
  <c r="H81" i="76"/>
  <c r="H81" i="75"/>
  <c r="DU81" i="67"/>
  <c r="N76" i="150"/>
  <c r="G76" i="75"/>
  <c r="E76" i="28"/>
  <c r="DP76" i="67"/>
  <c r="DB76" i="67"/>
  <c r="F65" i="152"/>
  <c r="F65" i="150"/>
  <c r="O65" i="150" s="1"/>
  <c r="H65" i="77"/>
  <c r="H65" i="76"/>
  <c r="H65" i="75"/>
  <c r="DU65" i="67"/>
  <c r="N60" i="150"/>
  <c r="G60" i="75"/>
  <c r="E60" i="28"/>
  <c r="DP60" i="67"/>
  <c r="DB60" i="67"/>
  <c r="DZ54" i="67"/>
  <c r="DL54" i="67"/>
  <c r="F49" i="150"/>
  <c r="O49" i="150" s="1"/>
  <c r="H49" i="77"/>
  <c r="F49" i="152"/>
  <c r="H49" i="76"/>
  <c r="H49" i="75"/>
  <c r="DU49" i="67"/>
  <c r="DG49" i="67"/>
  <c r="N44" i="150"/>
  <c r="G44" i="75"/>
  <c r="E44" i="28"/>
  <c r="DP44" i="67"/>
  <c r="DB44" i="67"/>
  <c r="DO43" i="67"/>
  <c r="DA43" i="67"/>
  <c r="F33" i="152"/>
  <c r="H33" i="77"/>
  <c r="F33" i="150"/>
  <c r="O33" i="150" s="1"/>
  <c r="H33" i="76"/>
  <c r="H33" i="75"/>
  <c r="N28" i="150"/>
  <c r="G28" i="75"/>
  <c r="E28" i="28"/>
  <c r="P17" i="153"/>
  <c r="F17" i="150"/>
  <c r="O17" i="150" s="1"/>
  <c r="F17" i="152"/>
  <c r="H17" i="77"/>
  <c r="H17" i="76"/>
  <c r="H17" i="75"/>
  <c r="N12" i="150"/>
  <c r="G12" i="75"/>
  <c r="E12" i="28"/>
  <c r="DK94" i="67"/>
  <c r="DG93" i="67"/>
  <c r="DK90" i="67"/>
  <c r="DG89" i="67"/>
  <c r="DC88" i="67"/>
  <c r="DA86" i="67"/>
  <c r="DJ85" i="67"/>
  <c r="DK80" i="67"/>
  <c r="DA79" i="67"/>
  <c r="DF76" i="67"/>
  <c r="DU74" i="67"/>
  <c r="DK73" i="67"/>
  <c r="DZ71" i="67"/>
  <c r="DG71" i="67"/>
  <c r="DP70" i="67"/>
  <c r="DC69" i="67"/>
  <c r="DB67" i="67"/>
  <c r="DK66" i="67"/>
  <c r="DG64" i="67"/>
  <c r="DV62" i="67"/>
  <c r="DC62" i="67"/>
  <c r="DL61" i="67"/>
  <c r="DU60" i="67"/>
  <c r="EA59" i="67"/>
  <c r="DH59" i="67"/>
  <c r="DG57" i="67"/>
  <c r="DD54" i="67"/>
  <c r="DK53" i="67"/>
  <c r="DL48" i="67"/>
  <c r="DN46" i="67"/>
  <c r="DI45" i="67"/>
  <c r="DY43" i="67"/>
  <c r="F82" i="150"/>
  <c r="O82" i="150" s="1"/>
  <c r="F82" i="152"/>
  <c r="P82" i="153"/>
  <c r="H82" i="77"/>
  <c r="H82" i="76"/>
  <c r="H82" i="75"/>
  <c r="DT81" i="67"/>
  <c r="DF81" i="67"/>
  <c r="N77" i="150"/>
  <c r="G77" i="75"/>
  <c r="E77" i="28"/>
  <c r="F66" i="152"/>
  <c r="F66" i="150"/>
  <c r="O66" i="150" s="1"/>
  <c r="P66" i="153"/>
  <c r="H66" i="77"/>
  <c r="H66" i="76"/>
  <c r="H66" i="75"/>
  <c r="DT65" i="67"/>
  <c r="DF65" i="67"/>
  <c r="N61" i="150"/>
  <c r="G61" i="75"/>
  <c r="E61" i="28"/>
  <c r="F50" i="152"/>
  <c r="F50" i="150"/>
  <c r="O50" i="150" s="1"/>
  <c r="H50" i="77"/>
  <c r="P50" i="153"/>
  <c r="H50" i="76"/>
  <c r="H50" i="75"/>
  <c r="DT49" i="67"/>
  <c r="DF49" i="67"/>
  <c r="N45" i="150"/>
  <c r="G45" i="75"/>
  <c r="E45" i="28"/>
  <c r="DO44" i="67"/>
  <c r="DA44" i="67"/>
  <c r="DN43" i="67"/>
  <c r="CZ43" i="67"/>
  <c r="EA40" i="67"/>
  <c r="DM40" i="67"/>
  <c r="F34" i="152"/>
  <c r="F34" i="150"/>
  <c r="O34" i="150" s="1"/>
  <c r="H34" i="77"/>
  <c r="H34" i="76"/>
  <c r="H34" i="75"/>
  <c r="N29" i="150"/>
  <c r="G29" i="75"/>
  <c r="E29" i="28"/>
  <c r="P18" i="153"/>
  <c r="F18" i="152"/>
  <c r="H18" i="77"/>
  <c r="H18" i="76"/>
  <c r="F18" i="150"/>
  <c r="O18" i="150" s="1"/>
  <c r="H18" i="75"/>
  <c r="N13" i="150"/>
  <c r="G13" i="75"/>
  <c r="E13" i="28"/>
  <c r="DB96" i="67"/>
  <c r="DJ94" i="67"/>
  <c r="DJ90" i="67"/>
  <c r="DF89" i="67"/>
  <c r="DB88" i="67"/>
  <c r="CZ86" i="67"/>
  <c r="DO84" i="67"/>
  <c r="DE83" i="67"/>
  <c r="DA81" i="67"/>
  <c r="DJ80" i="67"/>
  <c r="CZ79" i="67"/>
  <c r="DK75" i="67"/>
  <c r="DJ73" i="67"/>
  <c r="DF71" i="67"/>
  <c r="DB69" i="67"/>
  <c r="DK68" i="67"/>
  <c r="DA67" i="67"/>
  <c r="DG66" i="67"/>
  <c r="DF64" i="67"/>
  <c r="DU62" i="67"/>
  <c r="DK61" i="67"/>
  <c r="DZ59" i="67"/>
  <c r="DG59" i="67"/>
  <c r="DP58" i="67"/>
  <c r="DC57" i="67"/>
  <c r="DK56" i="67"/>
  <c r="DW54" i="67"/>
  <c r="DC54" i="67"/>
  <c r="DJ53" i="67"/>
  <c r="DM46" i="67"/>
  <c r="DB45" i="67"/>
  <c r="DX43" i="67"/>
  <c r="DE42" i="67"/>
  <c r="P19" i="153"/>
  <c r="F19" i="152"/>
  <c r="F19" i="150"/>
  <c r="O19" i="150" s="1"/>
  <c r="H19" i="76"/>
  <c r="H19" i="77"/>
  <c r="H19" i="75"/>
  <c r="N14" i="150"/>
  <c r="G14" i="75"/>
  <c r="E14" i="28"/>
  <c r="F3" i="152"/>
  <c r="F3" i="150"/>
  <c r="O3" i="150" s="1"/>
  <c r="H3" i="77"/>
  <c r="H3" i="76"/>
  <c r="H3" i="75"/>
  <c r="DA96" i="67"/>
  <c r="DM95" i="67"/>
  <c r="DI94" i="67"/>
  <c r="DU93" i="67"/>
  <c r="DM91" i="67"/>
  <c r="DI90" i="67"/>
  <c r="DU89" i="67"/>
  <c r="DE89" i="67"/>
  <c r="DI87" i="67"/>
  <c r="DN84" i="67"/>
  <c r="DD83" i="67"/>
  <c r="DM82" i="67"/>
  <c r="CZ81" i="67"/>
  <c r="DJ75" i="67"/>
  <c r="CZ74" i="67"/>
  <c r="DI73" i="67"/>
  <c r="DO72" i="67"/>
  <c r="DE71" i="67"/>
  <c r="DA69" i="67"/>
  <c r="DJ68" i="67"/>
  <c r="CZ67" i="67"/>
  <c r="DE64" i="67"/>
  <c r="DK63" i="67"/>
  <c r="DA62" i="67"/>
  <c r="DJ61" i="67"/>
  <c r="DF59" i="67"/>
  <c r="DB57" i="67"/>
  <c r="DV54" i="67"/>
  <c r="DB54" i="67"/>
  <c r="DN50" i="67"/>
  <c r="DH47" i="67"/>
  <c r="DU43" i="67"/>
  <c r="DA42" i="67"/>
  <c r="G79" i="75"/>
  <c r="E79" i="28"/>
  <c r="F68" i="150"/>
  <c r="O68" i="150" s="1"/>
  <c r="F68" i="152"/>
  <c r="H68" i="77"/>
  <c r="H68" i="76"/>
  <c r="H68" i="75"/>
  <c r="N63" i="150"/>
  <c r="G63" i="75"/>
  <c r="E63" i="28"/>
  <c r="DV53" i="67"/>
  <c r="DH53" i="67"/>
  <c r="P52" i="153"/>
  <c r="F52" i="152"/>
  <c r="F52" i="150"/>
  <c r="O52" i="150" s="1"/>
  <c r="H52" i="76"/>
  <c r="H52" i="77"/>
  <c r="H52" i="75"/>
  <c r="DU52" i="67"/>
  <c r="DQ48" i="67"/>
  <c r="DC48" i="67"/>
  <c r="N47" i="150"/>
  <c r="G47" i="75"/>
  <c r="E47" i="28"/>
  <c r="DP47" i="67"/>
  <c r="EA42" i="67"/>
  <c r="DM42" i="67"/>
  <c r="F36" i="150"/>
  <c r="O36" i="150" s="1"/>
  <c r="F36" i="152"/>
  <c r="H36" i="76"/>
  <c r="H36" i="77"/>
  <c r="H36" i="75"/>
  <c r="N31" i="150"/>
  <c r="G31" i="75"/>
  <c r="E31" i="28"/>
  <c r="P20" i="153"/>
  <c r="F20" i="152"/>
  <c r="F20" i="150"/>
  <c r="O20" i="150" s="1"/>
  <c r="H20" i="76"/>
  <c r="H20" i="77"/>
  <c r="H20" i="75"/>
  <c r="N15" i="150"/>
  <c r="G15" i="75"/>
  <c r="E15" i="28"/>
  <c r="F4" i="152"/>
  <c r="H4" i="76"/>
  <c r="F4" i="150"/>
  <c r="O4" i="150" s="1"/>
  <c r="H4" i="77"/>
  <c r="H4" i="75"/>
  <c r="CZ96" i="67"/>
  <c r="DL95" i="67"/>
  <c r="DH94" i="67"/>
  <c r="DL91" i="67"/>
  <c r="DH90" i="67"/>
  <c r="DD89" i="67"/>
  <c r="DP88" i="67"/>
  <c r="DL82" i="67"/>
  <c r="DW78" i="67"/>
  <c r="DH73" i="67"/>
  <c r="DS69" i="67"/>
  <c r="DO60" i="67"/>
  <c r="DB53" i="67"/>
  <c r="DG50" i="67"/>
  <c r="DJ49" i="67"/>
  <c r="DG47" i="67"/>
  <c r="CZ45" i="67"/>
  <c r="DT43" i="67"/>
  <c r="CZ42" i="67"/>
  <c r="N96" i="150"/>
  <c r="G96" i="75"/>
  <c r="E96" i="28"/>
  <c r="P85" i="153"/>
  <c r="F85" i="150"/>
  <c r="O85" i="150" s="1"/>
  <c r="F85" i="152"/>
  <c r="H85" i="76"/>
  <c r="H85" i="77"/>
  <c r="H85" i="75"/>
  <c r="DU85" i="67"/>
  <c r="N80" i="150"/>
  <c r="G80" i="75"/>
  <c r="E80" i="28"/>
  <c r="DP80" i="67"/>
  <c r="DB80" i="67"/>
  <c r="F69" i="150"/>
  <c r="O69" i="150" s="1"/>
  <c r="F69" i="152"/>
  <c r="H69" i="77"/>
  <c r="H69" i="76"/>
  <c r="H69" i="75"/>
  <c r="DU69" i="67"/>
  <c r="N64" i="150"/>
  <c r="G64" i="75"/>
  <c r="E64" i="28"/>
  <c r="DP64" i="67"/>
  <c r="DB64" i="67"/>
  <c r="P53" i="153"/>
  <c r="F53" i="152"/>
  <c r="H53" i="77"/>
  <c r="H53" i="76"/>
  <c r="F53" i="150"/>
  <c r="O53" i="150" s="1"/>
  <c r="H53" i="75"/>
  <c r="DU53" i="67"/>
  <c r="DG53" i="67"/>
  <c r="N48" i="150"/>
  <c r="G48" i="75"/>
  <c r="E48" i="28"/>
  <c r="DP48" i="67"/>
  <c r="DB48" i="67"/>
  <c r="EA43" i="67"/>
  <c r="DM43" i="67"/>
  <c r="DZ42" i="67"/>
  <c r="DL42" i="67"/>
  <c r="DY41" i="67"/>
  <c r="DK41" i="67"/>
  <c r="P37" i="153"/>
  <c r="F37" i="152"/>
  <c r="F37" i="150"/>
  <c r="O37" i="150" s="1"/>
  <c r="H37" i="76"/>
  <c r="H37" i="77"/>
  <c r="H37" i="75"/>
  <c r="N32" i="150"/>
  <c r="G32" i="75"/>
  <c r="E32" i="28"/>
  <c r="F21" i="150"/>
  <c r="O21" i="150" s="1"/>
  <c r="F21" i="152"/>
  <c r="H21" i="76"/>
  <c r="H21" i="77"/>
  <c r="H21" i="75"/>
  <c r="N16" i="150"/>
  <c r="G16" i="75"/>
  <c r="E16" i="28"/>
  <c r="F5" i="152"/>
  <c r="F5" i="150"/>
  <c r="O5" i="150" s="1"/>
  <c r="H5" i="77"/>
  <c r="H5" i="76"/>
  <c r="H5" i="75"/>
  <c r="DC97" i="67"/>
  <c r="DK95" i="67"/>
  <c r="DK91" i="67"/>
  <c r="DG90" i="67"/>
  <c r="DC89" i="67"/>
  <c r="DZ87" i="67"/>
  <c r="DP86" i="67"/>
  <c r="DP79" i="67"/>
  <c r="DV78" i="67"/>
  <c r="DU76" i="67"/>
  <c r="EA75" i="67"/>
  <c r="DG73" i="67"/>
  <c r="DL70" i="67"/>
  <c r="DR69" i="67"/>
  <c r="DW66" i="67"/>
  <c r="DC64" i="67"/>
  <c r="DH61" i="67"/>
  <c r="DS57" i="67"/>
  <c r="DG52" i="67"/>
  <c r="DI49" i="67"/>
  <c r="DG48" i="67"/>
  <c r="DD46" i="67"/>
  <c r="DY44" i="67"/>
  <c r="DR41" i="67"/>
  <c r="T27" i="23"/>
  <c r="N97" i="150"/>
  <c r="E97" i="28"/>
  <c r="F86" i="152"/>
  <c r="F86" i="150"/>
  <c r="O86" i="150" s="1"/>
  <c r="H86" i="76"/>
  <c r="H86" i="77"/>
  <c r="H86" i="75"/>
  <c r="DT85" i="67"/>
  <c r="DF85" i="67"/>
  <c r="N81" i="150"/>
  <c r="G81" i="75"/>
  <c r="E81" i="28"/>
  <c r="F70" i="152"/>
  <c r="P70" i="153"/>
  <c r="F70" i="150"/>
  <c r="O70" i="150" s="1"/>
  <c r="H70" i="77"/>
  <c r="H70" i="76"/>
  <c r="H70" i="75"/>
  <c r="DT69" i="67"/>
  <c r="DF69" i="67"/>
  <c r="N65" i="150"/>
  <c r="G65" i="75"/>
  <c r="E65" i="28"/>
  <c r="F54" i="152"/>
  <c r="H54" i="77"/>
  <c r="F54" i="150"/>
  <c r="O54" i="150" s="1"/>
  <c r="H54" i="76"/>
  <c r="H54" i="75"/>
  <c r="DT53" i="67"/>
  <c r="DF53" i="67"/>
  <c r="DS52" i="67"/>
  <c r="DE52" i="67"/>
  <c r="N49" i="150"/>
  <c r="G49" i="75"/>
  <c r="E49" i="28"/>
  <c r="DO48" i="67"/>
  <c r="DA48" i="67"/>
  <c r="DN47" i="67"/>
  <c r="CZ47" i="67"/>
  <c r="DY42" i="67"/>
  <c r="DK42" i="67"/>
  <c r="DX41" i="67"/>
  <c r="DJ41" i="67"/>
  <c r="DW40" i="67"/>
  <c r="DI40" i="67"/>
  <c r="P38" i="153"/>
  <c r="F38" i="152"/>
  <c r="H38" i="77"/>
  <c r="H38" i="76"/>
  <c r="F38" i="150"/>
  <c r="O38" i="150" s="1"/>
  <c r="H38" i="75"/>
  <c r="N33" i="150"/>
  <c r="G33" i="75"/>
  <c r="E33" i="28"/>
  <c r="H22" i="77"/>
  <c r="F22" i="150"/>
  <c r="O22" i="150" s="1"/>
  <c r="F22" i="152"/>
  <c r="H22" i="76"/>
  <c r="H22" i="75"/>
  <c r="N17" i="150"/>
  <c r="G17" i="75"/>
  <c r="E17" i="28"/>
  <c r="P6" i="153"/>
  <c r="H6" i="77"/>
  <c r="F6" i="150"/>
  <c r="O6" i="150" s="1"/>
  <c r="H6" i="76"/>
  <c r="F6" i="152"/>
  <c r="H6" i="75"/>
  <c r="DB97" i="67"/>
  <c r="M97" i="75" s="1"/>
  <c r="DJ95" i="67"/>
  <c r="DJ91" i="67"/>
  <c r="DF90" i="67"/>
  <c r="DB85" i="67"/>
  <c r="DG82" i="67"/>
  <c r="DP81" i="67"/>
  <c r="DZ75" i="67"/>
  <c r="DG75" i="67"/>
  <c r="DB71" i="67"/>
  <c r="DK70" i="67"/>
  <c r="DG68" i="67"/>
  <c r="DV66" i="67"/>
  <c r="DU64" i="67"/>
  <c r="EA63" i="67"/>
  <c r="DG61" i="67"/>
  <c r="DL58" i="67"/>
  <c r="DR57" i="67"/>
  <c r="DF52" i="67"/>
  <c r="DE50" i="67"/>
  <c r="DB49" i="67"/>
  <c r="DF48" i="67"/>
  <c r="DX44" i="67"/>
  <c r="DQ43" i="67"/>
  <c r="DQ41" i="67"/>
  <c r="P27" i="23"/>
  <c r="F87" i="150"/>
  <c r="O87" i="150" s="1"/>
  <c r="F87" i="152"/>
  <c r="H87" i="76"/>
  <c r="H87" i="77"/>
  <c r="H87" i="75"/>
  <c r="N82" i="150"/>
  <c r="G82" i="75"/>
  <c r="E82" i="28"/>
  <c r="DX74" i="67"/>
  <c r="DJ74" i="67"/>
  <c r="F71" i="150"/>
  <c r="O71" i="150" s="1"/>
  <c r="F71" i="152"/>
  <c r="H71" i="76"/>
  <c r="H71" i="77"/>
  <c r="H71" i="75"/>
  <c r="N66" i="150"/>
  <c r="G66" i="75"/>
  <c r="E66" i="28"/>
  <c r="DX58" i="67"/>
  <c r="DJ58" i="67"/>
  <c r="P55" i="153"/>
  <c r="F55" i="152"/>
  <c r="F55" i="150"/>
  <c r="O55" i="150" s="1"/>
  <c r="H55" i="76"/>
  <c r="H55" i="77"/>
  <c r="H55" i="75"/>
  <c r="DR52" i="67"/>
  <c r="DD52" i="67"/>
  <c r="N50" i="150"/>
  <c r="G50" i="75"/>
  <c r="E50" i="28"/>
  <c r="DX42" i="67"/>
  <c r="DJ42" i="67"/>
  <c r="DW41" i="67"/>
  <c r="DI41" i="67"/>
  <c r="DV40" i="67"/>
  <c r="DH40" i="67"/>
  <c r="F39" i="152"/>
  <c r="H39" i="76"/>
  <c r="F39" i="150"/>
  <c r="O39" i="150" s="1"/>
  <c r="H39" i="77"/>
  <c r="H39" i="75"/>
  <c r="N34" i="150"/>
  <c r="G34" i="75"/>
  <c r="E34" i="28"/>
  <c r="F23" i="152"/>
  <c r="P23" i="153"/>
  <c r="F23" i="150"/>
  <c r="O23" i="150" s="1"/>
  <c r="H23" i="76"/>
  <c r="H23" i="77"/>
  <c r="H23" i="75"/>
  <c r="N18" i="150"/>
  <c r="G18" i="75"/>
  <c r="E18" i="28"/>
  <c r="F7" i="152"/>
  <c r="F7" i="150"/>
  <c r="O7" i="150" s="1"/>
  <c r="H7" i="76"/>
  <c r="H7" i="77"/>
  <c r="H7" i="75"/>
  <c r="DU90" i="67"/>
  <c r="CZ83" i="67"/>
  <c r="DB73" i="67"/>
  <c r="DG70" i="67"/>
  <c r="DP69" i="67"/>
  <c r="DU66" i="67"/>
  <c r="DB66" i="67"/>
  <c r="DZ63" i="67"/>
  <c r="DU59" i="67"/>
  <c r="DB59" i="67"/>
  <c r="DK58" i="67"/>
  <c r="DF56" i="67"/>
  <c r="EA51" i="67"/>
  <c r="DE48" i="67"/>
  <c r="T29" i="23"/>
  <c r="N2" i="150"/>
  <c r="G2" i="75"/>
  <c r="E2" i="28"/>
  <c r="O2" i="28" s="1"/>
  <c r="P88" i="153"/>
  <c r="F88" i="152"/>
  <c r="F88" i="150"/>
  <c r="O88" i="150" s="1"/>
  <c r="H88" i="77"/>
  <c r="H88" i="75"/>
  <c r="N83" i="150"/>
  <c r="G83" i="75"/>
  <c r="E83" i="28"/>
  <c r="F72" i="152"/>
  <c r="P72" i="153"/>
  <c r="F72" i="150"/>
  <c r="O72" i="150" s="1"/>
  <c r="H72" i="77"/>
  <c r="H72" i="76"/>
  <c r="H72" i="75"/>
  <c r="N67" i="150"/>
  <c r="G67" i="75"/>
  <c r="E67" i="28"/>
  <c r="F56" i="152"/>
  <c r="F56" i="150"/>
  <c r="O56" i="150" s="1"/>
  <c r="H56" i="77"/>
  <c r="H56" i="76"/>
  <c r="H56" i="75"/>
  <c r="DQ52" i="67"/>
  <c r="DC52" i="67"/>
  <c r="N51" i="150"/>
  <c r="G51" i="75"/>
  <c r="E51" i="28"/>
  <c r="DP51" i="67"/>
  <c r="DW42" i="67"/>
  <c r="DI42" i="67"/>
  <c r="DV41" i="67"/>
  <c r="DH41" i="67"/>
  <c r="P40" i="153"/>
  <c r="F40" i="152"/>
  <c r="F40" i="150"/>
  <c r="O40" i="150" s="1"/>
  <c r="H40" i="76"/>
  <c r="H40" i="77"/>
  <c r="H40" i="75"/>
  <c r="DU40" i="67"/>
  <c r="DG40" i="67"/>
  <c r="N35" i="150"/>
  <c r="G35" i="75"/>
  <c r="E35" i="28"/>
  <c r="F24" i="152"/>
  <c r="F24" i="150"/>
  <c r="O24" i="150" s="1"/>
  <c r="H24" i="77"/>
  <c r="H24" i="76"/>
  <c r="H24" i="75"/>
  <c r="N19" i="150"/>
  <c r="G19" i="75"/>
  <c r="E19" i="28"/>
  <c r="P8" i="153"/>
  <c r="F8" i="152"/>
  <c r="F8" i="150"/>
  <c r="O8" i="150" s="1"/>
  <c r="H8" i="76"/>
  <c r="H8" i="77"/>
  <c r="H8" i="75"/>
  <c r="N3" i="150"/>
  <c r="G3" i="75"/>
  <c r="E3" i="28"/>
  <c r="DP97" i="67"/>
  <c r="DS85" i="67"/>
  <c r="DO76" i="67"/>
  <c r="CZ71" i="67"/>
  <c r="DB61" i="67"/>
  <c r="DG58" i="67"/>
  <c r="DP57" i="67"/>
  <c r="DZ51" i="67"/>
  <c r="DB50" i="67"/>
  <c r="CZ49" i="67"/>
  <c r="DZ47" i="67"/>
  <c r="DB47" i="67"/>
  <c r="DU44" i="67"/>
  <c r="DI43" i="67"/>
  <c r="DL41" i="67"/>
  <c r="A128" i="155"/>
  <c r="C127" i="155"/>
  <c r="B127" i="155"/>
  <c r="C128" i="154"/>
  <c r="B128" i="154"/>
  <c r="A129" i="154"/>
  <c r="B126" i="152"/>
  <c r="A127" i="152"/>
  <c r="C126" i="152"/>
  <c r="C127" i="151"/>
  <c r="B127" i="151"/>
  <c r="A128" i="151"/>
  <c r="I30" i="75"/>
  <c r="G30" i="28"/>
  <c r="G30" i="38"/>
  <c r="I29" i="75"/>
  <c r="G29" i="28"/>
  <c r="G29" i="38"/>
  <c r="I27" i="75"/>
  <c r="G27" i="28"/>
  <c r="G27" i="38"/>
  <c r="I26" i="75"/>
  <c r="G26" i="28"/>
  <c r="G26" i="38"/>
  <c r="I25" i="75"/>
  <c r="G25" i="38"/>
  <c r="G25" i="28"/>
  <c r="I24" i="75"/>
  <c r="G24" i="38"/>
  <c r="G24" i="28"/>
  <c r="I23" i="75"/>
  <c r="G23" i="38"/>
  <c r="G23" i="28"/>
  <c r="I22" i="75"/>
  <c r="G22" i="38"/>
  <c r="G22" i="28"/>
  <c r="I21" i="75"/>
  <c r="G21" i="28"/>
  <c r="G21" i="38"/>
  <c r="I20" i="75"/>
  <c r="G20" i="38"/>
  <c r="G20" i="28"/>
  <c r="I19" i="75"/>
  <c r="G19" i="38"/>
  <c r="G19" i="28"/>
  <c r="I18" i="75"/>
  <c r="G18" i="38"/>
  <c r="G18" i="28"/>
  <c r="I17" i="75"/>
  <c r="G17" i="38"/>
  <c r="G17" i="28"/>
  <c r="I16" i="75"/>
  <c r="G16" i="28"/>
  <c r="G16" i="38"/>
  <c r="I15" i="75"/>
  <c r="G15" i="28"/>
  <c r="G15" i="38"/>
  <c r="I14" i="75"/>
  <c r="G14" i="28"/>
  <c r="G14" i="38"/>
  <c r="I13" i="75"/>
  <c r="G13" i="38"/>
  <c r="G13" i="28"/>
  <c r="I12" i="75"/>
  <c r="G12" i="28"/>
  <c r="G12" i="38"/>
  <c r="I11" i="75"/>
  <c r="G11" i="28"/>
  <c r="G11" i="38"/>
  <c r="I10" i="75"/>
  <c r="G10" i="28"/>
  <c r="G10" i="38"/>
  <c r="I9" i="75"/>
  <c r="G9" i="38"/>
  <c r="G9" i="28"/>
  <c r="I8" i="75"/>
  <c r="G8" i="38"/>
  <c r="G8" i="28"/>
  <c r="I7" i="75"/>
  <c r="G7" i="38"/>
  <c r="G7" i="28"/>
  <c r="I6" i="75"/>
  <c r="G6" i="38"/>
  <c r="G6" i="28"/>
  <c r="I5" i="75"/>
  <c r="G5" i="38"/>
  <c r="G5" i="28"/>
  <c r="I4" i="75"/>
  <c r="G4" i="38"/>
  <c r="G4" i="28"/>
  <c r="I3" i="75"/>
  <c r="G3" i="38"/>
  <c r="G3" i="28"/>
  <c r="C35" i="23"/>
  <c r="D36" i="23" s="1"/>
  <c r="G97" i="38"/>
  <c r="G97" i="28"/>
  <c r="C34" i="23"/>
  <c r="I96" i="75"/>
  <c r="G96" i="28"/>
  <c r="G96" i="38"/>
  <c r="I95" i="75"/>
  <c r="C33" i="23"/>
  <c r="G95" i="28"/>
  <c r="G95" i="38"/>
  <c r="I94" i="75"/>
  <c r="C32" i="23"/>
  <c r="G94" i="28"/>
  <c r="G94" i="38"/>
  <c r="C31" i="23"/>
  <c r="I93" i="75"/>
  <c r="G93" i="28"/>
  <c r="G93" i="38"/>
  <c r="I92" i="75"/>
  <c r="C30" i="23"/>
  <c r="G92" i="28"/>
  <c r="G92" i="38"/>
  <c r="C29" i="23"/>
  <c r="I91" i="75"/>
  <c r="G91" i="28"/>
  <c r="G91" i="38"/>
  <c r="C28" i="23"/>
  <c r="I90" i="75"/>
  <c r="G90" i="28"/>
  <c r="G90" i="38"/>
  <c r="I89" i="75"/>
  <c r="C27" i="23"/>
  <c r="G89" i="38"/>
  <c r="G89" i="28"/>
  <c r="C26" i="23"/>
  <c r="I88" i="75"/>
  <c r="G88" i="38"/>
  <c r="G88" i="28"/>
  <c r="C25" i="23"/>
  <c r="I87" i="75"/>
  <c r="G87" i="38"/>
  <c r="G87" i="28"/>
  <c r="I86" i="75"/>
  <c r="C24" i="23"/>
  <c r="G86" i="38"/>
  <c r="G86" i="28"/>
  <c r="I85" i="75"/>
  <c r="G85" i="28"/>
  <c r="G85" i="38"/>
  <c r="I84" i="75"/>
  <c r="G84" i="38"/>
  <c r="G84" i="28"/>
  <c r="I83" i="75"/>
  <c r="G83" i="38"/>
  <c r="G83" i="28"/>
  <c r="I82" i="75"/>
  <c r="G82" i="38"/>
  <c r="G82" i="28"/>
  <c r="I81" i="75"/>
  <c r="G81" i="38"/>
  <c r="G81" i="28"/>
  <c r="I80" i="75"/>
  <c r="G80" i="28"/>
  <c r="G80" i="38"/>
  <c r="I79" i="75"/>
  <c r="G79" i="28"/>
  <c r="G79" i="38"/>
  <c r="I78" i="75"/>
  <c r="G78" i="28"/>
  <c r="G78" i="38"/>
  <c r="I77" i="75"/>
  <c r="G77" i="38"/>
  <c r="G77" i="28"/>
  <c r="I76" i="75"/>
  <c r="G76" i="38"/>
  <c r="G76" i="28"/>
  <c r="I75" i="75"/>
  <c r="G75" i="28"/>
  <c r="G75" i="38"/>
  <c r="I74" i="75"/>
  <c r="G74" i="28"/>
  <c r="G74" i="38"/>
  <c r="I73" i="75"/>
  <c r="G73" i="38"/>
  <c r="G73" i="28"/>
  <c r="I72" i="75"/>
  <c r="G72" i="38"/>
  <c r="G72" i="28"/>
  <c r="I71" i="75"/>
  <c r="G71" i="38"/>
  <c r="G71" i="28"/>
  <c r="I70" i="75"/>
  <c r="G70" i="38"/>
  <c r="G70" i="28"/>
  <c r="I69" i="75"/>
  <c r="G69" i="28"/>
  <c r="G69" i="38"/>
  <c r="I68" i="75"/>
  <c r="G68" i="38"/>
  <c r="G68" i="28"/>
  <c r="I67" i="75"/>
  <c r="G67" i="38"/>
  <c r="G67" i="28"/>
  <c r="I66" i="75"/>
  <c r="G66" i="38"/>
  <c r="G66" i="28"/>
  <c r="I65" i="75"/>
  <c r="G65" i="38"/>
  <c r="G65" i="28"/>
  <c r="I64" i="75"/>
  <c r="G64" i="28"/>
  <c r="G64" i="38"/>
  <c r="I63" i="75"/>
  <c r="G63" i="28"/>
  <c r="G63" i="38"/>
  <c r="I62" i="75"/>
  <c r="G62" i="38"/>
  <c r="G62" i="28"/>
  <c r="I61" i="75"/>
  <c r="G61" i="28"/>
  <c r="G61" i="38"/>
  <c r="I60" i="75"/>
  <c r="G60" i="28"/>
  <c r="G60" i="38"/>
  <c r="I59" i="75"/>
  <c r="G59" i="28"/>
  <c r="G59" i="38"/>
  <c r="I58" i="75"/>
  <c r="G58" i="28"/>
  <c r="G58" i="38"/>
  <c r="I57" i="75"/>
  <c r="G57" i="38"/>
  <c r="G57" i="28"/>
  <c r="I56" i="75"/>
  <c r="G56" i="38"/>
  <c r="G56" i="28"/>
  <c r="I55" i="75"/>
  <c r="G55" i="38"/>
  <c r="G55" i="28"/>
  <c r="I54" i="75"/>
  <c r="G54" i="38"/>
  <c r="G54" i="28"/>
  <c r="I53" i="75"/>
  <c r="G53" i="38"/>
  <c r="G53" i="28"/>
  <c r="I52" i="75"/>
  <c r="G52" i="38"/>
  <c r="G52" i="28"/>
  <c r="I51" i="75"/>
  <c r="G51" i="38"/>
  <c r="G51" i="28"/>
  <c r="I50" i="75"/>
  <c r="G50" i="38"/>
  <c r="G50" i="28"/>
  <c r="I49" i="75"/>
  <c r="G49" i="38"/>
  <c r="G49" i="28"/>
  <c r="I48" i="75"/>
  <c r="G48" i="28"/>
  <c r="G48" i="38"/>
  <c r="I47" i="75"/>
  <c r="G47" i="28"/>
  <c r="G47" i="38"/>
  <c r="I46" i="75"/>
  <c r="G46" i="28"/>
  <c r="G46" i="38"/>
  <c r="I45" i="75"/>
  <c r="G45" i="28"/>
  <c r="G45" i="38"/>
  <c r="I44" i="75"/>
  <c r="G44" i="28"/>
  <c r="G44" i="38"/>
  <c r="I43" i="75"/>
  <c r="G43" i="28"/>
  <c r="G43" i="38"/>
  <c r="I42" i="75"/>
  <c r="G42" i="28"/>
  <c r="G42" i="38"/>
  <c r="I41" i="75"/>
  <c r="G41" i="38"/>
  <c r="G41" i="28"/>
  <c r="I40" i="75"/>
  <c r="G40" i="38"/>
  <c r="G40" i="28"/>
  <c r="I39" i="75"/>
  <c r="G39" i="38"/>
  <c r="G39" i="28"/>
  <c r="I38" i="75"/>
  <c r="G38" i="38"/>
  <c r="G38" i="28"/>
  <c r="I37" i="75"/>
  <c r="G37" i="38"/>
  <c r="G37" i="28"/>
  <c r="I36" i="75"/>
  <c r="G36" i="38"/>
  <c r="G36" i="28"/>
  <c r="I35" i="75"/>
  <c r="G35" i="38"/>
  <c r="G35" i="28"/>
  <c r="I34" i="75"/>
  <c r="G34" i="38"/>
  <c r="G34" i="28"/>
  <c r="I33" i="75"/>
  <c r="G33" i="38"/>
  <c r="G33" i="28"/>
  <c r="I32" i="75"/>
  <c r="G32" i="28"/>
  <c r="G32" i="38"/>
  <c r="I31" i="75"/>
  <c r="G31" i="28"/>
  <c r="G31" i="38"/>
  <c r="I28" i="75"/>
  <c r="G28" i="38"/>
  <c r="G28" i="28"/>
  <c r="AB31" i="23"/>
  <c r="AB30" i="23"/>
  <c r="AB29" i="23"/>
  <c r="AA24" i="23"/>
  <c r="AB25" i="23" s="1"/>
  <c r="T30" i="23"/>
  <c r="AB35" i="23"/>
  <c r="AB32" i="23"/>
  <c r="P35" i="23"/>
  <c r="I2" i="75"/>
  <c r="G2" i="38"/>
  <c r="G2" i="28"/>
  <c r="S24" i="23"/>
  <c r="T25" i="23" s="1"/>
  <c r="T34" i="23"/>
  <c r="T33" i="23"/>
  <c r="P30" i="23"/>
  <c r="O24" i="23"/>
  <c r="P25" i="23" s="1"/>
  <c r="P32" i="23"/>
  <c r="T5" i="4"/>
  <c r="B122" i="36"/>
  <c r="C122" i="36"/>
  <c r="B123" i="36"/>
  <c r="C123" i="36"/>
  <c r="B124" i="36"/>
  <c r="C124" i="36"/>
  <c r="B125" i="36"/>
  <c r="C125" i="36"/>
  <c r="B126" i="36"/>
  <c r="C126" i="36"/>
  <c r="B74" i="34"/>
  <c r="L74" i="34"/>
  <c r="B75" i="34"/>
  <c r="L75" i="34"/>
  <c r="C76" i="34"/>
  <c r="L76" i="34"/>
  <c r="B77" i="34"/>
  <c r="L77" i="34"/>
  <c r="B78" i="34"/>
  <c r="L78" i="34"/>
  <c r="B79" i="34"/>
  <c r="L79" i="34"/>
  <c r="C80" i="34"/>
  <c r="L80" i="34"/>
  <c r="C81" i="34"/>
  <c r="L81" i="34"/>
  <c r="C82" i="34"/>
  <c r="L82" i="34"/>
  <c r="C83" i="34"/>
  <c r="L83" i="34"/>
  <c r="C84" i="34"/>
  <c r="L84" i="34"/>
  <c r="C85" i="34"/>
  <c r="L85" i="34"/>
  <c r="B86" i="34"/>
  <c r="L86" i="34"/>
  <c r="B87" i="34"/>
  <c r="L87" i="34"/>
  <c r="B88" i="34"/>
  <c r="L88" i="34"/>
  <c r="C89" i="34"/>
  <c r="L89" i="34"/>
  <c r="B90" i="34"/>
  <c r="L90" i="34"/>
  <c r="C91" i="34"/>
  <c r="L91" i="34"/>
  <c r="B92" i="34"/>
  <c r="L92" i="34"/>
  <c r="B93" i="34"/>
  <c r="L93" i="34"/>
  <c r="B94" i="34"/>
  <c r="L94" i="34"/>
  <c r="B95" i="34"/>
  <c r="L95" i="34"/>
  <c r="B96" i="34"/>
  <c r="L96" i="34"/>
  <c r="C97" i="34"/>
  <c r="L97" i="34"/>
  <c r="B110" i="34"/>
  <c r="L110" i="34"/>
  <c r="B111" i="34"/>
  <c r="L111" i="34"/>
  <c r="B112" i="34"/>
  <c r="L112" i="34"/>
  <c r="C113" i="34"/>
  <c r="L113" i="34"/>
  <c r="B114" i="34"/>
  <c r="L114" i="34"/>
  <c r="C115" i="34"/>
  <c r="L115" i="34"/>
  <c r="B116" i="34"/>
  <c r="L116" i="34"/>
  <c r="B117" i="34"/>
  <c r="L117" i="34"/>
  <c r="B118" i="34"/>
  <c r="L118" i="34"/>
  <c r="B119" i="34"/>
  <c r="L119" i="34"/>
  <c r="B120" i="34"/>
  <c r="L120" i="34"/>
  <c r="C121" i="34"/>
  <c r="L121" i="34"/>
  <c r="B122" i="34"/>
  <c r="L122" i="34"/>
  <c r="B123" i="34"/>
  <c r="L123" i="34"/>
  <c r="B124" i="34"/>
  <c r="L124" i="34"/>
  <c r="C125" i="34"/>
  <c r="L125" i="34"/>
  <c r="B126" i="34"/>
  <c r="L126" i="34"/>
  <c r="N122" i="38"/>
  <c r="N123" i="38"/>
  <c r="N124" i="38"/>
  <c r="N125" i="38"/>
  <c r="N126" i="38"/>
  <c r="W2" i="153" l="1"/>
  <c r="M90" i="157"/>
  <c r="M92" i="157"/>
  <c r="M96" i="157"/>
  <c r="M89" i="157"/>
  <c r="M47" i="157"/>
  <c r="M56" i="157"/>
  <c r="M93" i="157"/>
  <c r="M97" i="157"/>
  <c r="M94" i="157"/>
  <c r="M72" i="157"/>
  <c r="N65" i="75"/>
  <c r="N77" i="75"/>
  <c r="L81" i="28"/>
  <c r="V81" i="28" s="1"/>
  <c r="N69" i="75"/>
  <c r="M70" i="157"/>
  <c r="L85" i="28"/>
  <c r="V85" i="28" s="1"/>
  <c r="M69" i="157"/>
  <c r="M68" i="157"/>
  <c r="M62" i="157"/>
  <c r="M54" i="157"/>
  <c r="L87" i="28"/>
  <c r="V87" i="28" s="1"/>
  <c r="M82" i="157"/>
  <c r="M48" i="157"/>
  <c r="M91" i="157"/>
  <c r="M86" i="157"/>
  <c r="M81" i="157"/>
  <c r="M46" i="157"/>
  <c r="M55" i="157"/>
  <c r="M50" i="157"/>
  <c r="M77" i="157"/>
  <c r="M87" i="157"/>
  <c r="M85" i="157"/>
  <c r="M65" i="157"/>
  <c r="M71" i="157"/>
  <c r="N59" i="75"/>
  <c r="L59" i="28"/>
  <c r="V59" i="28" s="1"/>
  <c r="N89" i="75"/>
  <c r="L89" i="28"/>
  <c r="V89" i="28" s="1"/>
  <c r="M44" i="75"/>
  <c r="K44" i="28"/>
  <c r="U44" i="28" s="1"/>
  <c r="M91" i="75"/>
  <c r="K91" i="28"/>
  <c r="U91" i="28" s="1"/>
  <c r="N96" i="75"/>
  <c r="L96" i="28"/>
  <c r="V96" i="28" s="1"/>
  <c r="N64" i="75"/>
  <c r="L64" i="28"/>
  <c r="V64" i="28" s="1"/>
  <c r="M86" i="75"/>
  <c r="K86" i="28"/>
  <c r="U86" i="28" s="1"/>
  <c r="M77" i="75"/>
  <c r="K77" i="28"/>
  <c r="U77" i="28" s="1"/>
  <c r="M78" i="75"/>
  <c r="K78" i="28"/>
  <c r="U78" i="28" s="1"/>
  <c r="N68" i="75"/>
  <c r="L68" i="28"/>
  <c r="V68" i="28" s="1"/>
  <c r="N48" i="75"/>
  <c r="L48" i="28"/>
  <c r="V48" i="28" s="1"/>
  <c r="M88" i="75"/>
  <c r="K88" i="28"/>
  <c r="U88" i="28" s="1"/>
  <c r="N93" i="75"/>
  <c r="L93" i="28"/>
  <c r="V93" i="28" s="1"/>
  <c r="M65" i="75"/>
  <c r="K65" i="28"/>
  <c r="U65" i="28" s="1"/>
  <c r="M63" i="75"/>
  <c r="K63" i="28"/>
  <c r="U63" i="28" s="1"/>
  <c r="N44" i="75"/>
  <c r="L44" i="28"/>
  <c r="V44" i="28" s="1"/>
  <c r="M82" i="75"/>
  <c r="K82" i="28"/>
  <c r="U82" i="28" s="1"/>
  <c r="N63" i="75"/>
  <c r="L63" i="28"/>
  <c r="V63" i="28" s="1"/>
  <c r="N90" i="75"/>
  <c r="L90" i="28"/>
  <c r="V90" i="28" s="1"/>
  <c r="M67" i="75"/>
  <c r="K67" i="28"/>
  <c r="U67" i="28" s="1"/>
  <c r="M60" i="75"/>
  <c r="K60" i="28"/>
  <c r="U60" i="28" s="1"/>
  <c r="M76" i="75"/>
  <c r="K76" i="28"/>
  <c r="U76" i="28" s="1"/>
  <c r="N43" i="75"/>
  <c r="L43" i="28"/>
  <c r="V43" i="28" s="1"/>
  <c r="M95" i="75"/>
  <c r="K95" i="28"/>
  <c r="U95" i="28" s="1"/>
  <c r="M90" i="75"/>
  <c r="K90" i="28"/>
  <c r="U90" i="28" s="1"/>
  <c r="N95" i="75"/>
  <c r="L95" i="28"/>
  <c r="V95" i="28" s="1"/>
  <c r="M71" i="75"/>
  <c r="K71" i="28"/>
  <c r="U71" i="28" s="1"/>
  <c r="N52" i="75"/>
  <c r="L52" i="28"/>
  <c r="V52" i="28" s="1"/>
  <c r="N45" i="75"/>
  <c r="L45" i="28"/>
  <c r="V45" i="28" s="1"/>
  <c r="N84" i="75"/>
  <c r="L84" i="28"/>
  <c r="V84" i="28" s="1"/>
  <c r="N40" i="75"/>
  <c r="L40" i="28"/>
  <c r="V40" i="28" s="1"/>
  <c r="N75" i="75"/>
  <c r="L75" i="28"/>
  <c r="V75" i="28" s="1"/>
  <c r="M54" i="75"/>
  <c r="K54" i="28"/>
  <c r="U54" i="28" s="1"/>
  <c r="N66" i="75"/>
  <c r="L66" i="28"/>
  <c r="V66" i="28" s="1"/>
  <c r="M43" i="75"/>
  <c r="K43" i="28"/>
  <c r="U43" i="28" s="1"/>
  <c r="M89" i="75"/>
  <c r="K89" i="28"/>
  <c r="U89" i="28" s="1"/>
  <c r="N94" i="75"/>
  <c r="L94" i="28"/>
  <c r="V94" i="28" s="1"/>
  <c r="M59" i="75"/>
  <c r="K59" i="28"/>
  <c r="U59" i="28" s="1"/>
  <c r="N53" i="75"/>
  <c r="L53" i="28"/>
  <c r="V53" i="28" s="1"/>
  <c r="M96" i="75"/>
  <c r="K96" i="28"/>
  <c r="U96" i="28" s="1"/>
  <c r="N71" i="75"/>
  <c r="L71" i="28"/>
  <c r="V71" i="28" s="1"/>
  <c r="N86" i="75"/>
  <c r="L86" i="28"/>
  <c r="V86" i="28" s="1"/>
  <c r="M92" i="75"/>
  <c r="K92" i="28"/>
  <c r="U92" i="28" s="1"/>
  <c r="M93" i="75"/>
  <c r="K93" i="28"/>
  <c r="U93" i="28" s="1"/>
  <c r="M57" i="75"/>
  <c r="K57" i="28"/>
  <c r="U57" i="28" s="1"/>
  <c r="N55" i="75"/>
  <c r="L55" i="28"/>
  <c r="V55" i="28" s="1"/>
  <c r="M62" i="75"/>
  <c r="K62" i="28"/>
  <c r="U62" i="28" s="1"/>
  <c r="N67" i="75"/>
  <c r="L67" i="28"/>
  <c r="V67" i="28" s="1"/>
  <c r="M75" i="75"/>
  <c r="K75" i="28"/>
  <c r="U75" i="28" s="1"/>
  <c r="M47" i="75"/>
  <c r="K47" i="28"/>
  <c r="U47" i="28" s="1"/>
  <c r="N82" i="75"/>
  <c r="L82" i="28"/>
  <c r="V82" i="28" s="1"/>
  <c r="N47" i="75"/>
  <c r="L47" i="28"/>
  <c r="V47" i="28" s="1"/>
  <c r="M45" i="75"/>
  <c r="K45" i="28"/>
  <c r="U45" i="28" s="1"/>
  <c r="M69" i="75"/>
  <c r="K69" i="28"/>
  <c r="U69" i="28" s="1"/>
  <c r="N49" i="75"/>
  <c r="L49" i="28"/>
  <c r="V49" i="28" s="1"/>
  <c r="N72" i="75"/>
  <c r="L72" i="28"/>
  <c r="V72" i="28" s="1"/>
  <c r="N83" i="75"/>
  <c r="L83" i="28"/>
  <c r="V83" i="28" s="1"/>
  <c r="N80" i="75"/>
  <c r="L80" i="28"/>
  <c r="V80" i="28" s="1"/>
  <c r="M66" i="75"/>
  <c r="K66" i="28"/>
  <c r="U66" i="28" s="1"/>
  <c r="M49" i="75"/>
  <c r="K49" i="28"/>
  <c r="U49" i="28" s="1"/>
  <c r="M85" i="75"/>
  <c r="K85" i="28"/>
  <c r="U85" i="28" s="1"/>
  <c r="M42" i="75"/>
  <c r="K42" i="28"/>
  <c r="U42" i="28" s="1"/>
  <c r="M70" i="75"/>
  <c r="K70" i="28"/>
  <c r="U70" i="28" s="1"/>
  <c r="N42" i="75"/>
  <c r="L42" i="28"/>
  <c r="V42" i="28" s="1"/>
  <c r="N50" i="75"/>
  <c r="L50" i="28"/>
  <c r="V50" i="28" s="1"/>
  <c r="N57" i="75"/>
  <c r="L57" i="28"/>
  <c r="V57" i="28" s="1"/>
  <c r="M40" i="75"/>
  <c r="K40" i="28"/>
  <c r="U40" i="28" s="1"/>
  <c r="M94" i="75"/>
  <c r="K94" i="28"/>
  <c r="U94" i="28" s="1"/>
  <c r="L97" i="28"/>
  <c r="V97" i="28" s="1"/>
  <c r="M74" i="75"/>
  <c r="K74" i="28"/>
  <c r="U74" i="28" s="1"/>
  <c r="N79" i="75"/>
  <c r="L79" i="28"/>
  <c r="V79" i="28" s="1"/>
  <c r="M50" i="75"/>
  <c r="K50" i="28"/>
  <c r="U50" i="28" s="1"/>
  <c r="N73" i="75"/>
  <c r="L73" i="28"/>
  <c r="V73" i="28" s="1"/>
  <c r="M53" i="75"/>
  <c r="K53" i="28"/>
  <c r="U53" i="28" s="1"/>
  <c r="N88" i="75"/>
  <c r="L88" i="28"/>
  <c r="V88" i="28" s="1"/>
  <c r="M52" i="75"/>
  <c r="K52" i="28"/>
  <c r="U52" i="28" s="1"/>
  <c r="M68" i="75"/>
  <c r="K68" i="28"/>
  <c r="U68" i="28" s="1"/>
  <c r="M84" i="75"/>
  <c r="K84" i="28"/>
  <c r="U84" i="28" s="1"/>
  <c r="N70" i="75"/>
  <c r="L70" i="28"/>
  <c r="V70" i="28" s="1"/>
  <c r="N54" i="75"/>
  <c r="L54" i="28"/>
  <c r="V54" i="28" s="1"/>
  <c r="N41" i="75"/>
  <c r="L41" i="28"/>
  <c r="V41" i="28" s="1"/>
  <c r="N78" i="75"/>
  <c r="L78" i="28"/>
  <c r="V78" i="28" s="1"/>
  <c r="M73" i="75"/>
  <c r="K73" i="28"/>
  <c r="U73" i="28" s="1"/>
  <c r="K97" i="28"/>
  <c r="U97" i="28" s="1"/>
  <c r="N76" i="75"/>
  <c r="L76" i="28"/>
  <c r="V76" i="28" s="1"/>
  <c r="N46" i="75"/>
  <c r="L46" i="28"/>
  <c r="V46" i="28" s="1"/>
  <c r="N92" i="75"/>
  <c r="L92" i="28"/>
  <c r="V92" i="28" s="1"/>
  <c r="N74" i="75"/>
  <c r="L74" i="28"/>
  <c r="V74" i="28" s="1"/>
  <c r="N61" i="75"/>
  <c r="L61" i="28"/>
  <c r="V61" i="28" s="1"/>
  <c r="M48" i="75"/>
  <c r="K48" i="28"/>
  <c r="U48" i="28" s="1"/>
  <c r="M55" i="75"/>
  <c r="K55" i="28"/>
  <c r="U55" i="28" s="1"/>
  <c r="N60" i="75"/>
  <c r="L60" i="28"/>
  <c r="V60" i="28" s="1"/>
  <c r="N58" i="75"/>
  <c r="L58" i="28"/>
  <c r="V58" i="28" s="1"/>
  <c r="M61" i="75"/>
  <c r="K61" i="28"/>
  <c r="U61" i="28" s="1"/>
  <c r="M64" i="75"/>
  <c r="K64" i="28"/>
  <c r="U64" i="28" s="1"/>
  <c r="M80" i="75"/>
  <c r="K80" i="28"/>
  <c r="U80" i="28" s="1"/>
  <c r="M56" i="75"/>
  <c r="K56" i="28"/>
  <c r="U56" i="28" s="1"/>
  <c r="M72" i="75"/>
  <c r="K72" i="28"/>
  <c r="U72" i="28" s="1"/>
  <c r="M46" i="75"/>
  <c r="K46" i="28"/>
  <c r="U46" i="28" s="1"/>
  <c r="N51" i="75"/>
  <c r="L51" i="28"/>
  <c r="V51" i="28" s="1"/>
  <c r="C129" i="154"/>
  <c r="B129" i="154"/>
  <c r="A130" i="154"/>
  <c r="A129" i="155"/>
  <c r="C128" i="155"/>
  <c r="B128" i="155"/>
  <c r="A129" i="151"/>
  <c r="C128" i="151"/>
  <c r="B128" i="151"/>
  <c r="C127" i="152"/>
  <c r="B127" i="152"/>
  <c r="A128" i="152"/>
  <c r="B115" i="34"/>
  <c r="C122" i="34"/>
  <c r="C120" i="34"/>
  <c r="B113" i="34"/>
  <c r="C112" i="34"/>
  <c r="C117" i="34"/>
  <c r="C114" i="34"/>
  <c r="B80" i="34"/>
  <c r="C116" i="34"/>
  <c r="C124" i="34"/>
  <c r="B121" i="34"/>
  <c r="C123" i="34"/>
  <c r="C75" i="34"/>
  <c r="C92" i="34"/>
  <c r="C93" i="34"/>
  <c r="C96" i="34"/>
  <c r="B83" i="34"/>
  <c r="B84" i="34"/>
  <c r="B85" i="34"/>
  <c r="B76" i="34"/>
  <c r="B81" i="34"/>
  <c r="B82" i="34"/>
  <c r="B91" i="34"/>
  <c r="C88" i="34"/>
  <c r="C90" i="34"/>
  <c r="C74" i="34"/>
  <c r="C77" i="34"/>
  <c r="B89" i="34"/>
  <c r="B97" i="34"/>
  <c r="B125" i="34"/>
  <c r="C119" i="34"/>
  <c r="C111" i="34"/>
  <c r="C95" i="34"/>
  <c r="C87" i="34"/>
  <c r="C79" i="34"/>
  <c r="C126" i="34"/>
  <c r="C110" i="34"/>
  <c r="C94" i="34"/>
  <c r="C86" i="34"/>
  <c r="C78" i="34"/>
  <c r="C118" i="34"/>
  <c r="C129" i="155" l="1"/>
  <c r="B129" i="155"/>
  <c r="A130" i="155"/>
  <c r="A131" i="154"/>
  <c r="C130" i="154"/>
  <c r="B130" i="154"/>
  <c r="C128" i="152"/>
  <c r="B128" i="152"/>
  <c r="A129" i="152"/>
  <c r="A130" i="151"/>
  <c r="C129" i="151"/>
  <c r="B129" i="151"/>
  <c r="D13" i="72"/>
  <c r="E13" i="72"/>
  <c r="D14" i="72"/>
  <c r="D15" i="72"/>
  <c r="E15" i="72"/>
  <c r="D16" i="72"/>
  <c r="E16" i="72"/>
  <c r="D17" i="72"/>
  <c r="E17" i="72"/>
  <c r="C17" i="72"/>
  <c r="C7" i="72"/>
  <c r="C8" i="72"/>
  <c r="C13" i="72"/>
  <c r="C14" i="72"/>
  <c r="C15" i="72"/>
  <c r="C16" i="72"/>
  <c r="U69" i="72"/>
  <c r="U68" i="72"/>
  <c r="U66" i="72"/>
  <c r="U65" i="72"/>
  <c r="U64" i="72"/>
  <c r="U63" i="72"/>
  <c r="U62" i="72"/>
  <c r="U61" i="72"/>
  <c r="U60" i="72"/>
  <c r="U59" i="72"/>
  <c r="U58" i="72"/>
  <c r="U57" i="72"/>
  <c r="L80" i="72"/>
  <c r="L62" i="72" s="1"/>
  <c r="L81" i="72"/>
  <c r="L63" i="72" s="1"/>
  <c r="L82" i="72"/>
  <c r="L64" i="72" s="1"/>
  <c r="L83" i="72"/>
  <c r="L65" i="72" s="1"/>
  <c r="O27" i="72"/>
  <c r="O28" i="72"/>
  <c r="O29" i="72"/>
  <c r="O30" i="72"/>
  <c r="A131" i="155" l="1"/>
  <c r="C130" i="155"/>
  <c r="B130" i="155"/>
  <c r="B131" i="154"/>
  <c r="C131" i="154"/>
  <c r="A132" i="154"/>
  <c r="C129" i="152"/>
  <c r="B129" i="152"/>
  <c r="A130" i="152"/>
  <c r="B130" i="151"/>
  <c r="A131" i="151"/>
  <c r="C130" i="151"/>
  <c r="A133" i="154" l="1"/>
  <c r="C132" i="154"/>
  <c r="B132" i="154"/>
  <c r="C131" i="155"/>
  <c r="B131" i="155"/>
  <c r="A132" i="155"/>
  <c r="C131" i="151"/>
  <c r="A132" i="151"/>
  <c r="B131" i="151"/>
  <c r="C130" i="152"/>
  <c r="B130" i="152"/>
  <c r="A131" i="152"/>
  <c r="G15" i="73" l="1"/>
  <c r="A133" i="155"/>
  <c r="C132" i="155"/>
  <c r="B132" i="155"/>
  <c r="C133" i="154"/>
  <c r="B133" i="154"/>
  <c r="C131" i="152"/>
  <c r="B131" i="152"/>
  <c r="A132" i="152"/>
  <c r="B132" i="151"/>
  <c r="A133" i="151"/>
  <c r="C132" i="151"/>
  <c r="C133" i="155" l="1"/>
  <c r="B133" i="155"/>
  <c r="C132" i="152"/>
  <c r="B132" i="152"/>
  <c r="A133" i="152"/>
  <c r="C133" i="151"/>
  <c r="B133" i="151"/>
  <c r="C133" i="152" l="1"/>
  <c r="B133" i="152"/>
  <c r="E7" i="72" l="1"/>
  <c r="E5" i="72"/>
  <c r="E6" i="72"/>
  <c r="E8" i="72"/>
  <c r="D5" i="72"/>
  <c r="D6" i="72"/>
  <c r="D7" i="72"/>
  <c r="D8" i="72"/>
  <c r="C5" i="72"/>
  <c r="C6" i="72"/>
  <c r="C4" i="72"/>
  <c r="AF4" i="72"/>
  <c r="D4" i="72" s="1"/>
  <c r="AJ12" i="72"/>
  <c r="AG14" i="72"/>
  <c r="E14" i="72" s="1"/>
  <c r="AE18" i="72"/>
  <c r="AC18" i="72"/>
  <c r="AB18" i="72"/>
  <c r="AA18" i="72"/>
  <c r="Z18" i="72"/>
  <c r="AJ18" i="72" l="1"/>
  <c r="E4" i="72"/>
  <c r="AF18" i="72"/>
  <c r="AG18" i="72"/>
  <c r="AK18" i="72" l="1"/>
  <c r="V314" i="4"/>
  <c r="V315" i="4"/>
  <c r="V316" i="4"/>
  <c r="V317" i="4"/>
  <c r="V318" i="4"/>
  <c r="AF33" i="65"/>
  <c r="AF32" i="65"/>
  <c r="D124" i="65" s="1"/>
  <c r="AF31" i="65"/>
  <c r="AF25" i="65"/>
  <c r="AF26" i="65"/>
  <c r="AF27" i="65"/>
  <c r="L47" i="148"/>
  <c r="D136" i="65" l="1"/>
  <c r="R136" i="65" s="1"/>
  <c r="B35" i="72" l="1"/>
  <c r="DR308" i="4" l="1"/>
  <c r="DS308" i="4"/>
  <c r="DT308" i="4"/>
  <c r="DR309" i="4"/>
  <c r="DS309" i="4"/>
  <c r="DT309" i="4"/>
  <c r="DR310" i="4"/>
  <c r="DS310" i="4"/>
  <c r="DT310" i="4"/>
  <c r="DR311" i="4"/>
  <c r="DS311" i="4"/>
  <c r="DT311" i="4"/>
  <c r="DR312" i="4"/>
  <c r="DS312" i="4"/>
  <c r="DT312" i="4"/>
  <c r="DR313" i="4"/>
  <c r="DS313" i="4"/>
  <c r="DT313" i="4"/>
  <c r="V308" i="4"/>
  <c r="V309" i="4"/>
  <c r="V310" i="4"/>
  <c r="V311" i="4"/>
  <c r="V312" i="4"/>
  <c r="V313" i="4"/>
  <c r="D8" i="73" l="1"/>
  <c r="N116" i="38"/>
  <c r="N117" i="38"/>
  <c r="N118" i="38"/>
  <c r="N119" i="38"/>
  <c r="N120" i="38"/>
  <c r="N121" i="38"/>
  <c r="D9" i="73" l="1"/>
  <c r="D10" i="73" s="1"/>
  <c r="L32" i="23"/>
  <c r="AF35" i="23"/>
  <c r="M74" i="69"/>
  <c r="L35" i="23"/>
  <c r="AF33" i="23"/>
  <c r="D31" i="23"/>
  <c r="L34" i="23"/>
  <c r="D32" i="23"/>
  <c r="H33" i="23"/>
  <c r="AF32" i="23"/>
  <c r="X32" i="23"/>
  <c r="AF34" i="23"/>
  <c r="X33" i="23"/>
  <c r="H34" i="23"/>
  <c r="H35" i="23"/>
  <c r="X35" i="23"/>
  <c r="X31" i="23"/>
  <c r="H31" i="23"/>
  <c r="H32" i="23"/>
  <c r="D34" i="23"/>
  <c r="L33" i="23"/>
  <c r="X34" i="23"/>
  <c r="D33" i="23"/>
  <c r="L31" i="23"/>
  <c r="AF31" i="23"/>
  <c r="D35" i="23"/>
  <c r="D11" i="73" l="1"/>
  <c r="DQ1" i="4"/>
  <c r="DP1" i="4"/>
  <c r="DO1" i="4"/>
  <c r="T193" i="4"/>
  <c r="S193" i="4"/>
  <c r="R193" i="4"/>
  <c r="AF30" i="23"/>
  <c r="X30" i="23"/>
  <c r="L30" i="23"/>
  <c r="H30" i="23"/>
  <c r="D30" i="23"/>
  <c r="A2" i="77"/>
  <c r="B2" i="77" s="1"/>
  <c r="A3" i="77"/>
  <c r="C3" i="77" s="1"/>
  <c r="A4" i="77"/>
  <c r="C4" i="77" s="1"/>
  <c r="A5" i="77"/>
  <c r="B5" i="77" s="1"/>
  <c r="A6" i="77"/>
  <c r="B6" i="77" s="1"/>
  <c r="A7" i="77"/>
  <c r="B7" i="77" s="1"/>
  <c r="A8" i="77"/>
  <c r="B8" i="77" s="1"/>
  <c r="A9" i="77"/>
  <c r="A10" i="77"/>
  <c r="B10" i="77" s="1"/>
  <c r="A11" i="77"/>
  <c r="C11" i="77" s="1"/>
  <c r="A12" i="77"/>
  <c r="A13" i="77"/>
  <c r="B13" i="77" s="1"/>
  <c r="A14" i="77"/>
  <c r="B14" i="77" s="1"/>
  <c r="A15" i="77"/>
  <c r="C15" i="77" s="1"/>
  <c r="A16" i="77"/>
  <c r="C16" i="77" s="1"/>
  <c r="A17" i="77"/>
  <c r="B17" i="77" s="1"/>
  <c r="A18" i="77"/>
  <c r="B18" i="77" s="1"/>
  <c r="A19" i="77"/>
  <c r="B19" i="77" s="1"/>
  <c r="A20" i="77"/>
  <c r="B20" i="77" s="1"/>
  <c r="A21" i="77"/>
  <c r="B21" i="77" s="1"/>
  <c r="A22" i="77"/>
  <c r="B22" i="77" s="1"/>
  <c r="A23" i="77"/>
  <c r="C23" i="77" s="1"/>
  <c r="A24" i="77"/>
  <c r="B24" i="77" s="1"/>
  <c r="A25" i="77"/>
  <c r="B25" i="77" s="1"/>
  <c r="A26" i="77"/>
  <c r="A27" i="77"/>
  <c r="B27" i="77" s="1"/>
  <c r="A28" i="77"/>
  <c r="C28" i="77" s="1"/>
  <c r="A29" i="77"/>
  <c r="A30" i="77"/>
  <c r="B30" i="77" s="1"/>
  <c r="A31" i="77"/>
  <c r="C31" i="77" s="1"/>
  <c r="A32" i="77"/>
  <c r="B32" i="77" s="1"/>
  <c r="A33" i="77"/>
  <c r="C33" i="77" s="1"/>
  <c r="A34" i="77"/>
  <c r="B34" i="77" s="1"/>
  <c r="A35" i="77"/>
  <c r="B35" i="77" s="1"/>
  <c r="A36" i="77"/>
  <c r="A37" i="77"/>
  <c r="B37" i="77" s="1"/>
  <c r="A38" i="77"/>
  <c r="B38" i="77" s="1"/>
  <c r="A39" i="77"/>
  <c r="A40" i="77"/>
  <c r="C40" i="77" s="1"/>
  <c r="A41" i="77"/>
  <c r="B41" i="77" s="1"/>
  <c r="A42" i="77"/>
  <c r="B42" i="77" s="1"/>
  <c r="A43" i="77"/>
  <c r="B43" i="77" s="1"/>
  <c r="A44" i="77"/>
  <c r="B44" i="77" s="1"/>
  <c r="A45" i="77"/>
  <c r="C45" i="77" s="1"/>
  <c r="A46" i="77"/>
  <c r="A47" i="77"/>
  <c r="B47" i="77" s="1"/>
  <c r="A48" i="77"/>
  <c r="B48" i="77" s="1"/>
  <c r="A49" i="77"/>
  <c r="C49" i="77" s="1"/>
  <c r="A50" i="77"/>
  <c r="B50" i="77" s="1"/>
  <c r="A51" i="77"/>
  <c r="B51" i="77" s="1"/>
  <c r="A52" i="77"/>
  <c r="A53" i="77"/>
  <c r="C53" i="77" s="1"/>
  <c r="A54" i="77"/>
  <c r="B54" i="77" s="1"/>
  <c r="A55" i="77"/>
  <c r="B55" i="77" s="1"/>
  <c r="A56" i="77"/>
  <c r="B56" i="77" s="1"/>
  <c r="A57" i="77"/>
  <c r="C57" i="77" s="1"/>
  <c r="A58" i="77"/>
  <c r="B58" i="77" s="1"/>
  <c r="A59" i="77"/>
  <c r="A60" i="77"/>
  <c r="B60" i="77" s="1"/>
  <c r="A61" i="77"/>
  <c r="A62" i="77"/>
  <c r="A63" i="77"/>
  <c r="A64" i="77"/>
  <c r="A65" i="77"/>
  <c r="A66" i="77"/>
  <c r="B66" i="77" s="1"/>
  <c r="A67" i="77"/>
  <c r="B67" i="77" s="1"/>
  <c r="A68" i="77"/>
  <c r="C68" i="77" s="1"/>
  <c r="A69" i="77"/>
  <c r="B69" i="77" s="1"/>
  <c r="A70" i="77"/>
  <c r="B70" i="77" s="1"/>
  <c r="A71" i="77"/>
  <c r="B71" i="77" s="1"/>
  <c r="A72" i="77"/>
  <c r="C72" i="77" s="1"/>
  <c r="A73" i="77"/>
  <c r="C73" i="77" s="1"/>
  <c r="A74" i="77"/>
  <c r="A75" i="77"/>
  <c r="A76" i="77"/>
  <c r="A77" i="77"/>
  <c r="A78" i="77"/>
  <c r="B78" i="77" s="1"/>
  <c r="A79" i="77"/>
  <c r="C79" i="77" s="1"/>
  <c r="A80" i="77"/>
  <c r="B80" i="77" s="1"/>
  <c r="A81" i="77"/>
  <c r="C81" i="77" s="1"/>
  <c r="A82" i="77"/>
  <c r="B82" i="77" s="1"/>
  <c r="A83" i="77"/>
  <c r="C83" i="77" s="1"/>
  <c r="A84" i="77"/>
  <c r="B84" i="77" s="1"/>
  <c r="A85" i="77"/>
  <c r="A86" i="77"/>
  <c r="B86" i="77" s="1"/>
  <c r="A87" i="77"/>
  <c r="A88" i="77"/>
  <c r="B88" i="77" s="1"/>
  <c r="A89" i="77"/>
  <c r="B89" i="77" s="1"/>
  <c r="A90" i="77"/>
  <c r="B90" i="77" s="1"/>
  <c r="A91" i="77"/>
  <c r="C91" i="77" s="1"/>
  <c r="A92" i="77"/>
  <c r="A93" i="77"/>
  <c r="B93" i="77" s="1"/>
  <c r="A94" i="77"/>
  <c r="B94" i="77" s="1"/>
  <c r="A95" i="77"/>
  <c r="B95" i="77" s="1"/>
  <c r="A96" i="77"/>
  <c r="C96" i="77" s="1"/>
  <c r="A97" i="77"/>
  <c r="D1" i="77"/>
  <c r="A1" i="77"/>
  <c r="A2" i="76"/>
  <c r="B2" i="76" s="1"/>
  <c r="A3" i="76"/>
  <c r="B3" i="76" s="1"/>
  <c r="A4" i="76"/>
  <c r="B4" i="76" s="1"/>
  <c r="A5" i="76"/>
  <c r="B5" i="76" s="1"/>
  <c r="A6" i="76"/>
  <c r="B6" i="76" s="1"/>
  <c r="A7" i="76"/>
  <c r="A8" i="76"/>
  <c r="B8" i="76" s="1"/>
  <c r="A9" i="76"/>
  <c r="B9" i="76" s="1"/>
  <c r="A10" i="76"/>
  <c r="B10" i="76" s="1"/>
  <c r="A11" i="76"/>
  <c r="B11" i="76" s="1"/>
  <c r="A12" i="76"/>
  <c r="B12" i="76" s="1"/>
  <c r="A13" i="76"/>
  <c r="B13" i="76" s="1"/>
  <c r="A14" i="76"/>
  <c r="B14" i="76" s="1"/>
  <c r="A15" i="76"/>
  <c r="B15" i="76" s="1"/>
  <c r="A16" i="76"/>
  <c r="B16" i="76" s="1"/>
  <c r="A17" i="76"/>
  <c r="B17" i="76" s="1"/>
  <c r="A18" i="76"/>
  <c r="B18" i="76" s="1"/>
  <c r="A19" i="76"/>
  <c r="B19" i="76" s="1"/>
  <c r="A20" i="76"/>
  <c r="B20" i="76" s="1"/>
  <c r="A21" i="76"/>
  <c r="B21" i="76" s="1"/>
  <c r="A22" i="76"/>
  <c r="B22" i="76" s="1"/>
  <c r="A23" i="76"/>
  <c r="B23" i="76" s="1"/>
  <c r="A24" i="76"/>
  <c r="B24" i="76" s="1"/>
  <c r="A25" i="76"/>
  <c r="B25" i="76" s="1"/>
  <c r="A26" i="76"/>
  <c r="B26" i="76" s="1"/>
  <c r="A27" i="76"/>
  <c r="A28" i="76"/>
  <c r="B28" i="76" s="1"/>
  <c r="A29" i="76"/>
  <c r="B29" i="76" s="1"/>
  <c r="A30" i="76"/>
  <c r="B30" i="76" s="1"/>
  <c r="A31" i="76"/>
  <c r="B31" i="76" s="1"/>
  <c r="A32" i="76"/>
  <c r="B32" i="76" s="1"/>
  <c r="A33" i="76"/>
  <c r="A34" i="76"/>
  <c r="B34" i="76" s="1"/>
  <c r="A35" i="76"/>
  <c r="B35" i="76" s="1"/>
  <c r="A36" i="76"/>
  <c r="B36" i="76" s="1"/>
  <c r="A37" i="76"/>
  <c r="B37" i="76" s="1"/>
  <c r="A38" i="76"/>
  <c r="B38" i="76" s="1"/>
  <c r="A39" i="76"/>
  <c r="A40" i="76"/>
  <c r="B40" i="76" s="1"/>
  <c r="A41" i="76"/>
  <c r="B41" i="76" s="1"/>
  <c r="A42" i="76"/>
  <c r="B42" i="76" s="1"/>
  <c r="A43" i="76"/>
  <c r="B43" i="76" s="1"/>
  <c r="A44" i="76"/>
  <c r="B44" i="76" s="1"/>
  <c r="A45" i="76"/>
  <c r="B45" i="76" s="1"/>
  <c r="A46" i="76"/>
  <c r="B46" i="76" s="1"/>
  <c r="A47" i="76"/>
  <c r="B47" i="76" s="1"/>
  <c r="A48" i="76"/>
  <c r="B48" i="76" s="1"/>
  <c r="A49" i="76"/>
  <c r="B49" i="76" s="1"/>
  <c r="A50" i="76"/>
  <c r="B50" i="76" s="1"/>
  <c r="A51" i="76"/>
  <c r="A52" i="76"/>
  <c r="B52" i="76" s="1"/>
  <c r="A53" i="76"/>
  <c r="B53" i="76" s="1"/>
  <c r="A54" i="76"/>
  <c r="B54" i="76" s="1"/>
  <c r="A55" i="76"/>
  <c r="B55" i="76" s="1"/>
  <c r="A56" i="76"/>
  <c r="B56" i="76" s="1"/>
  <c r="A57" i="76"/>
  <c r="A58" i="76"/>
  <c r="B58" i="76" s="1"/>
  <c r="A59" i="76"/>
  <c r="C59" i="76" s="1"/>
  <c r="A60" i="76"/>
  <c r="B60" i="76" s="1"/>
  <c r="A61" i="76"/>
  <c r="B61" i="76" s="1"/>
  <c r="A62" i="76"/>
  <c r="B62" i="76" s="1"/>
  <c r="A63" i="76"/>
  <c r="A64" i="76"/>
  <c r="B64" i="76" s="1"/>
  <c r="A65" i="76"/>
  <c r="B65" i="76" s="1"/>
  <c r="A66" i="76"/>
  <c r="B66" i="76" s="1"/>
  <c r="A67" i="76"/>
  <c r="C67" i="76" s="1"/>
  <c r="A68" i="76"/>
  <c r="B68" i="76" s="1"/>
  <c r="A69" i="76"/>
  <c r="B69" i="76" s="1"/>
  <c r="A70" i="76"/>
  <c r="B70" i="76" s="1"/>
  <c r="A71" i="76"/>
  <c r="B71" i="76" s="1"/>
  <c r="A72" i="76"/>
  <c r="B72" i="76" s="1"/>
  <c r="A73" i="76"/>
  <c r="A74" i="76"/>
  <c r="B74" i="76" s="1"/>
  <c r="A75" i="76"/>
  <c r="B75" i="76" s="1"/>
  <c r="A76" i="76"/>
  <c r="B76" i="76" s="1"/>
  <c r="A77" i="76"/>
  <c r="B77" i="76" s="1"/>
  <c r="A78" i="76"/>
  <c r="B78" i="76" s="1"/>
  <c r="A79" i="76"/>
  <c r="C79" i="76" s="1"/>
  <c r="A80" i="76"/>
  <c r="B80" i="76" s="1"/>
  <c r="A81" i="76"/>
  <c r="B81" i="76" s="1"/>
  <c r="A82" i="76"/>
  <c r="B82" i="76" s="1"/>
  <c r="A83" i="76"/>
  <c r="A84" i="76"/>
  <c r="B84" i="76" s="1"/>
  <c r="A85" i="76"/>
  <c r="B85" i="76" s="1"/>
  <c r="A86" i="76"/>
  <c r="B86" i="76" s="1"/>
  <c r="A87" i="76"/>
  <c r="B87" i="76" s="1"/>
  <c r="A88" i="76"/>
  <c r="B88" i="76" s="1"/>
  <c r="A89" i="76"/>
  <c r="A90" i="76"/>
  <c r="B90" i="76" s="1"/>
  <c r="A91" i="76"/>
  <c r="A92" i="76"/>
  <c r="B92" i="76" s="1"/>
  <c r="A93" i="76"/>
  <c r="B93" i="76" s="1"/>
  <c r="A94" i="76"/>
  <c r="B94" i="76" s="1"/>
  <c r="A95" i="76"/>
  <c r="B95" i="76" s="1"/>
  <c r="A96" i="76"/>
  <c r="B96" i="76" s="1"/>
  <c r="A97" i="76"/>
  <c r="A98" i="76" s="1"/>
  <c r="A110" i="76" s="1"/>
  <c r="A111" i="76" s="1"/>
  <c r="A112" i="76" s="1"/>
  <c r="A113" i="76" s="1"/>
  <c r="A114" i="76" s="1"/>
  <c r="A115" i="76" s="1"/>
  <c r="A116" i="76" s="1"/>
  <c r="A117" i="76" s="1"/>
  <c r="A118" i="76" s="1"/>
  <c r="A119" i="76" s="1"/>
  <c r="A120" i="76" s="1"/>
  <c r="A121" i="76" s="1"/>
  <c r="A122" i="76" s="1"/>
  <c r="H1" i="76"/>
  <c r="D1" i="76"/>
  <c r="A1" i="76"/>
  <c r="A3" i="75"/>
  <c r="A4" i="75"/>
  <c r="B4" i="75" s="1"/>
  <c r="A5" i="75"/>
  <c r="B5" i="75" s="1"/>
  <c r="A6" i="75"/>
  <c r="C6" i="75" s="1"/>
  <c r="A7" i="75"/>
  <c r="B7" i="75" s="1"/>
  <c r="A8" i="75"/>
  <c r="B8" i="75" s="1"/>
  <c r="A9" i="75"/>
  <c r="B9" i="75" s="1"/>
  <c r="A10" i="75"/>
  <c r="B10" i="75" s="1"/>
  <c r="A11" i="75"/>
  <c r="A12" i="75"/>
  <c r="B12" i="75" s="1"/>
  <c r="A13" i="75"/>
  <c r="B13" i="75" s="1"/>
  <c r="A14" i="75"/>
  <c r="B14" i="75" s="1"/>
  <c r="A15" i="75"/>
  <c r="B15" i="75" s="1"/>
  <c r="A16" i="75"/>
  <c r="B16" i="75" s="1"/>
  <c r="A17" i="75"/>
  <c r="B17" i="75" s="1"/>
  <c r="A18" i="75"/>
  <c r="C18" i="75" s="1"/>
  <c r="A19" i="75"/>
  <c r="B19" i="75" s="1"/>
  <c r="A20" i="75"/>
  <c r="B20" i="75" s="1"/>
  <c r="A21" i="75"/>
  <c r="A22" i="75"/>
  <c r="B22" i="75" s="1"/>
  <c r="A23" i="75"/>
  <c r="A24" i="75"/>
  <c r="B24" i="75" s="1"/>
  <c r="A25" i="75"/>
  <c r="B25" i="75" s="1"/>
  <c r="A26" i="75"/>
  <c r="A27" i="75"/>
  <c r="B27" i="75" s="1"/>
  <c r="A28" i="75"/>
  <c r="B28" i="75" s="1"/>
  <c r="A29" i="75"/>
  <c r="A30" i="75"/>
  <c r="B30" i="75" s="1"/>
  <c r="A31" i="75"/>
  <c r="C31" i="75" s="1"/>
  <c r="A32" i="75"/>
  <c r="B32" i="75" s="1"/>
  <c r="A33" i="75"/>
  <c r="A34" i="75"/>
  <c r="B34" i="75" s="1"/>
  <c r="A35" i="75"/>
  <c r="A36" i="75"/>
  <c r="B36" i="75" s="1"/>
  <c r="A37" i="75"/>
  <c r="B37" i="75" s="1"/>
  <c r="A38" i="75"/>
  <c r="A39" i="75"/>
  <c r="B39" i="75" s="1"/>
  <c r="A40" i="75"/>
  <c r="B40" i="75" s="1"/>
  <c r="A41" i="75"/>
  <c r="B41" i="75" s="1"/>
  <c r="A42" i="75"/>
  <c r="B42" i="75" s="1"/>
  <c r="A43" i="75"/>
  <c r="C43" i="75" s="1"/>
  <c r="A44" i="75"/>
  <c r="B44" i="75" s="1"/>
  <c r="A45" i="75"/>
  <c r="B45" i="75" s="1"/>
  <c r="A46" i="75"/>
  <c r="C46" i="75" s="1"/>
  <c r="A47" i="75"/>
  <c r="B47" i="75" s="1"/>
  <c r="A48" i="75"/>
  <c r="B48" i="75" s="1"/>
  <c r="A49" i="75"/>
  <c r="B49" i="75" s="1"/>
  <c r="A50" i="75"/>
  <c r="B50" i="75" s="1"/>
  <c r="A51" i="75"/>
  <c r="B51" i="75" s="1"/>
  <c r="A52" i="75"/>
  <c r="B52" i="75" s="1"/>
  <c r="A53" i="75"/>
  <c r="B53" i="75" s="1"/>
  <c r="A54" i="75"/>
  <c r="A55" i="75"/>
  <c r="A56" i="75"/>
  <c r="B56" i="75" s="1"/>
  <c r="A57" i="75"/>
  <c r="B57" i="75" s="1"/>
  <c r="A58" i="75"/>
  <c r="B58" i="75" s="1"/>
  <c r="A59" i="75"/>
  <c r="C59" i="75" s="1"/>
  <c r="A60" i="75"/>
  <c r="B60" i="75" s="1"/>
  <c r="A61" i="75"/>
  <c r="B61" i="75" s="1"/>
  <c r="A62" i="75"/>
  <c r="B62" i="75" s="1"/>
  <c r="A63" i="75"/>
  <c r="B63" i="75" s="1"/>
  <c r="A64" i="75"/>
  <c r="B64" i="75" s="1"/>
  <c r="A65" i="75"/>
  <c r="B65" i="75" s="1"/>
  <c r="A66" i="75"/>
  <c r="B66" i="75" s="1"/>
  <c r="A67" i="75"/>
  <c r="C67" i="75" s="1"/>
  <c r="A68" i="75"/>
  <c r="B68" i="75" s="1"/>
  <c r="A69" i="75"/>
  <c r="B69" i="75" s="1"/>
  <c r="A70" i="75"/>
  <c r="C70" i="75" s="1"/>
  <c r="A71" i="75"/>
  <c r="B71" i="75" s="1"/>
  <c r="A72" i="75"/>
  <c r="B72" i="75" s="1"/>
  <c r="A73" i="75"/>
  <c r="B73" i="75" s="1"/>
  <c r="A74" i="75"/>
  <c r="C74" i="75" s="1"/>
  <c r="A75" i="75"/>
  <c r="A76" i="75"/>
  <c r="B76" i="75" s="1"/>
  <c r="A77" i="75"/>
  <c r="B77" i="75" s="1"/>
  <c r="A78" i="75"/>
  <c r="B78" i="75" s="1"/>
  <c r="A79" i="75"/>
  <c r="B79" i="75" s="1"/>
  <c r="A80" i="75"/>
  <c r="B80" i="75" s="1"/>
  <c r="A81" i="75"/>
  <c r="B81" i="75" s="1"/>
  <c r="A82" i="75"/>
  <c r="A83" i="75"/>
  <c r="A84" i="75"/>
  <c r="B84" i="75" s="1"/>
  <c r="A85" i="75"/>
  <c r="B85" i="75" s="1"/>
  <c r="A86" i="75"/>
  <c r="B86" i="75" s="1"/>
  <c r="A87" i="75"/>
  <c r="A88" i="75"/>
  <c r="B88" i="75" s="1"/>
  <c r="A89" i="75"/>
  <c r="B89" i="75" s="1"/>
  <c r="A90" i="75"/>
  <c r="C90" i="75" s="1"/>
  <c r="A91" i="75"/>
  <c r="B91" i="75" s="1"/>
  <c r="A92" i="75"/>
  <c r="B92" i="75" s="1"/>
  <c r="A93" i="75"/>
  <c r="A94" i="75"/>
  <c r="B94" i="75" s="1"/>
  <c r="A95" i="75"/>
  <c r="A96" i="75"/>
  <c r="B96" i="75" s="1"/>
  <c r="B2" i="36"/>
  <c r="B3" i="36"/>
  <c r="B4" i="36"/>
  <c r="B5" i="36"/>
  <c r="B6" i="36"/>
  <c r="B7" i="36"/>
  <c r="B8" i="36"/>
  <c r="C9" i="36"/>
  <c r="B10" i="36"/>
  <c r="B11" i="36"/>
  <c r="B12" i="36"/>
  <c r="B13" i="36"/>
  <c r="B15" i="36"/>
  <c r="C16" i="36"/>
  <c r="B17" i="36"/>
  <c r="B18" i="36"/>
  <c r="B19" i="36"/>
  <c r="C20" i="36"/>
  <c r="B22" i="36"/>
  <c r="B23" i="36"/>
  <c r="C24" i="36"/>
  <c r="B25" i="36"/>
  <c r="B26" i="36"/>
  <c r="B27" i="36"/>
  <c r="B28" i="36"/>
  <c r="B30" i="36"/>
  <c r="B31" i="36"/>
  <c r="B32" i="36"/>
  <c r="B33" i="36"/>
  <c r="B34" i="36"/>
  <c r="B35" i="36"/>
  <c r="B37" i="36"/>
  <c r="B38" i="36"/>
  <c r="B39" i="36"/>
  <c r="B40" i="36"/>
  <c r="B41" i="36"/>
  <c r="B42" i="36"/>
  <c r="B43" i="36"/>
  <c r="C45" i="36"/>
  <c r="B46" i="36"/>
  <c r="B47" i="36"/>
  <c r="C48" i="36"/>
  <c r="C49" i="36"/>
  <c r="B50" i="36"/>
  <c r="B51" i="36"/>
  <c r="C53" i="36"/>
  <c r="B55" i="36"/>
  <c r="B57" i="36"/>
  <c r="B58" i="36"/>
  <c r="B59" i="36"/>
  <c r="B60" i="36"/>
  <c r="C61" i="36"/>
  <c r="B62" i="36"/>
  <c r="B63" i="36"/>
  <c r="C64" i="36"/>
  <c r="B65" i="36"/>
  <c r="B66" i="36"/>
  <c r="B67" i="36"/>
  <c r="B68" i="36"/>
  <c r="B70" i="36"/>
  <c r="B71" i="36"/>
  <c r="B73" i="36"/>
  <c r="B74" i="36"/>
  <c r="B75" i="36"/>
  <c r="B76" i="36"/>
  <c r="C77" i="36"/>
  <c r="B78" i="36"/>
  <c r="B79" i="36"/>
  <c r="B80" i="36"/>
  <c r="B81" i="36"/>
  <c r="B83" i="36"/>
  <c r="B85" i="36"/>
  <c r="B86" i="36"/>
  <c r="B87" i="36"/>
  <c r="B89" i="36"/>
  <c r="B90" i="36"/>
  <c r="B91" i="36"/>
  <c r="B93" i="36"/>
  <c r="B94" i="36"/>
  <c r="B95" i="36"/>
  <c r="B96" i="36"/>
  <c r="B111" i="36"/>
  <c r="B112" i="36"/>
  <c r="C113" i="36"/>
  <c r="B114" i="36"/>
  <c r="B115" i="36"/>
  <c r="D1" i="36"/>
  <c r="D1" i="34"/>
  <c r="I2" i="38"/>
  <c r="A2" i="38"/>
  <c r="A3" i="38"/>
  <c r="A4" i="38"/>
  <c r="A5" i="38"/>
  <c r="A6" i="38"/>
  <c r="A7" i="38"/>
  <c r="A8" i="38"/>
  <c r="A9" i="38"/>
  <c r="A10" i="38"/>
  <c r="A11" i="38"/>
  <c r="A12" i="38"/>
  <c r="A13" i="38"/>
  <c r="A14" i="38"/>
  <c r="A15" i="38"/>
  <c r="A16" i="38"/>
  <c r="A17" i="38"/>
  <c r="A18" i="38"/>
  <c r="A19" i="38"/>
  <c r="A20" i="38"/>
  <c r="A21" i="38"/>
  <c r="A22" i="38"/>
  <c r="A23" i="38"/>
  <c r="A24" i="38"/>
  <c r="A25" i="38"/>
  <c r="A26" i="38"/>
  <c r="A27" i="38"/>
  <c r="A28" i="38"/>
  <c r="A29" i="38"/>
  <c r="A30" i="38"/>
  <c r="A31" i="38"/>
  <c r="A32" i="38"/>
  <c r="A33" i="38"/>
  <c r="A34" i="38"/>
  <c r="A35" i="38"/>
  <c r="A36" i="38"/>
  <c r="A37" i="38"/>
  <c r="A38" i="38"/>
  <c r="A39" i="38"/>
  <c r="A40" i="38"/>
  <c r="A41" i="38"/>
  <c r="A42" i="38"/>
  <c r="A43" i="38"/>
  <c r="A44" i="38"/>
  <c r="A45" i="38"/>
  <c r="A46" i="38"/>
  <c r="A47" i="38"/>
  <c r="A48" i="38"/>
  <c r="A49" i="38"/>
  <c r="A50" i="38"/>
  <c r="A51" i="38"/>
  <c r="A52" i="38"/>
  <c r="A53" i="38"/>
  <c r="A54" i="38"/>
  <c r="A55" i="38"/>
  <c r="A56" i="38"/>
  <c r="A57" i="38"/>
  <c r="A58" i="38"/>
  <c r="A59" i="38"/>
  <c r="A60" i="38"/>
  <c r="A61" i="38"/>
  <c r="A62" i="38"/>
  <c r="A63" i="38"/>
  <c r="A64" i="38"/>
  <c r="A65" i="38"/>
  <c r="A66" i="38"/>
  <c r="A67" i="38"/>
  <c r="A68" i="38"/>
  <c r="A69" i="38"/>
  <c r="A70" i="38"/>
  <c r="A71" i="38"/>
  <c r="A72" i="38"/>
  <c r="A73" i="38"/>
  <c r="A74" i="38"/>
  <c r="A75" i="38"/>
  <c r="A76" i="38"/>
  <c r="A77" i="38"/>
  <c r="A78" i="38"/>
  <c r="A79" i="38"/>
  <c r="A80" i="38"/>
  <c r="A81" i="38"/>
  <c r="A82" i="38"/>
  <c r="A83" i="38"/>
  <c r="A84" i="38"/>
  <c r="A85" i="38"/>
  <c r="A86" i="38"/>
  <c r="A87" i="38"/>
  <c r="A88" i="38"/>
  <c r="A89" i="38"/>
  <c r="A90" i="38"/>
  <c r="A91" i="38"/>
  <c r="A92" i="38"/>
  <c r="A93" i="38"/>
  <c r="A94" i="38"/>
  <c r="A95" i="38"/>
  <c r="A96" i="38"/>
  <c r="A97" i="38"/>
  <c r="A110" i="38" s="1"/>
  <c r="A111" i="38" s="1"/>
  <c r="A112" i="38" s="1"/>
  <c r="A113" i="38" s="1"/>
  <c r="A114" i="38" s="1"/>
  <c r="A115" i="38" s="1"/>
  <c r="A116" i="38" s="1"/>
  <c r="A117" i="38" s="1"/>
  <c r="A118" i="38" s="1"/>
  <c r="A119" i="38" s="1"/>
  <c r="A120" i="38" s="1"/>
  <c r="A121" i="38" s="1"/>
  <c r="A122" i="38" s="1"/>
  <c r="I1" i="38"/>
  <c r="F1" i="38"/>
  <c r="D1" i="38"/>
  <c r="A1" i="38"/>
  <c r="A2" i="32"/>
  <c r="C2" i="32" s="1"/>
  <c r="A3" i="32"/>
  <c r="C3" i="32" s="1"/>
  <c r="A4" i="32"/>
  <c r="C4" i="32" s="1"/>
  <c r="A5" i="32"/>
  <c r="B5" i="32" s="1"/>
  <c r="A6" i="32"/>
  <c r="A7" i="32"/>
  <c r="B7" i="32" s="1"/>
  <c r="A8" i="32"/>
  <c r="B8" i="32" s="1"/>
  <c r="A9" i="32"/>
  <c r="B9" i="32" s="1"/>
  <c r="A10" i="32"/>
  <c r="C10" i="32" s="1"/>
  <c r="A11" i="32"/>
  <c r="B11" i="32" s="1"/>
  <c r="A12" i="32"/>
  <c r="B12" i="32" s="1"/>
  <c r="A13" i="32"/>
  <c r="B13" i="32" s="1"/>
  <c r="A14" i="32"/>
  <c r="A15" i="32"/>
  <c r="C15" i="32" s="1"/>
  <c r="A16" i="32"/>
  <c r="B16" i="32" s="1"/>
  <c r="A17" i="32"/>
  <c r="A18" i="32"/>
  <c r="C18" i="32" s="1"/>
  <c r="A19" i="32"/>
  <c r="A20" i="32"/>
  <c r="B20" i="32" s="1"/>
  <c r="A21" i="32"/>
  <c r="C21" i="32" s="1"/>
  <c r="A22" i="32"/>
  <c r="B22" i="32" s="1"/>
  <c r="A23" i="32"/>
  <c r="B23" i="32" s="1"/>
  <c r="A24" i="32"/>
  <c r="B24" i="32" s="1"/>
  <c r="A25" i="32"/>
  <c r="C25" i="32" s="1"/>
  <c r="A26" i="32"/>
  <c r="C26" i="32" s="1"/>
  <c r="A27" i="32"/>
  <c r="C27" i="32" s="1"/>
  <c r="A28" i="32"/>
  <c r="B28" i="32" s="1"/>
  <c r="A29" i="32"/>
  <c r="B29" i="32" s="1"/>
  <c r="A30" i="32"/>
  <c r="B30" i="32" s="1"/>
  <c r="A31" i="32"/>
  <c r="A32" i="32"/>
  <c r="B32" i="32" s="1"/>
  <c r="A33" i="32"/>
  <c r="B33" i="32" s="1"/>
  <c r="A34" i="32"/>
  <c r="C34" i="32" s="1"/>
  <c r="A35" i="32"/>
  <c r="B35" i="32" s="1"/>
  <c r="A36" i="32"/>
  <c r="B36" i="32" s="1"/>
  <c r="A37" i="32"/>
  <c r="B37" i="32" s="1"/>
  <c r="A38" i="32"/>
  <c r="B38" i="32" s="1"/>
  <c r="A39" i="32"/>
  <c r="B39" i="32" s="1"/>
  <c r="A40" i="32"/>
  <c r="C40" i="32" s="1"/>
  <c r="A41" i="32"/>
  <c r="C41" i="32" s="1"/>
  <c r="A42" i="32"/>
  <c r="C42" i="32" s="1"/>
  <c r="A43" i="32"/>
  <c r="C43" i="32" s="1"/>
  <c r="A44" i="32"/>
  <c r="B44" i="32" s="1"/>
  <c r="A45" i="32"/>
  <c r="C45" i="32" s="1"/>
  <c r="A46" i="32"/>
  <c r="C46" i="32" s="1"/>
  <c r="A47" i="32"/>
  <c r="B47" i="32" s="1"/>
  <c r="A48" i="32"/>
  <c r="B48" i="32" s="1"/>
  <c r="A49" i="32"/>
  <c r="A50" i="32"/>
  <c r="C50" i="32" s="1"/>
  <c r="A51" i="32"/>
  <c r="C51" i="32" s="1"/>
  <c r="A52" i="32"/>
  <c r="B52" i="32" s="1"/>
  <c r="A53" i="32"/>
  <c r="B53" i="32" s="1"/>
  <c r="A54" i="32"/>
  <c r="C54" i="32" s="1"/>
  <c r="A55" i="32"/>
  <c r="A56" i="32"/>
  <c r="B56" i="32" s="1"/>
  <c r="A57" i="32"/>
  <c r="B57" i="32" s="1"/>
  <c r="A58" i="32"/>
  <c r="A59" i="32"/>
  <c r="A60" i="32"/>
  <c r="B60" i="32" s="1"/>
  <c r="A61" i="32"/>
  <c r="B61" i="32" s="1"/>
  <c r="A62" i="32"/>
  <c r="C62" i="32" s="1"/>
  <c r="A63" i="32"/>
  <c r="C63" i="32" s="1"/>
  <c r="A64" i="32"/>
  <c r="B64" i="32" s="1"/>
  <c r="A65" i="32"/>
  <c r="B65" i="32" s="1"/>
  <c r="A66" i="32"/>
  <c r="A67" i="32"/>
  <c r="B67" i="32" s="1"/>
  <c r="A68" i="32"/>
  <c r="A69" i="32"/>
  <c r="C69" i="32" s="1"/>
  <c r="A70" i="32"/>
  <c r="B70" i="32" s="1"/>
  <c r="A71" i="32"/>
  <c r="B71" i="32" s="1"/>
  <c r="A72" i="32"/>
  <c r="C72" i="32" s="1"/>
  <c r="A73" i="32"/>
  <c r="A74" i="32"/>
  <c r="A75" i="32"/>
  <c r="B75" i="32" s="1"/>
  <c r="A76" i="32"/>
  <c r="B76" i="32" s="1"/>
  <c r="A77" i="32"/>
  <c r="C77" i="32" s="1"/>
  <c r="A78" i="32"/>
  <c r="A79" i="32"/>
  <c r="A80" i="32"/>
  <c r="C80" i="32" s="1"/>
  <c r="A81" i="32"/>
  <c r="B81" i="32" s="1"/>
  <c r="A82" i="32"/>
  <c r="C82" i="32" s="1"/>
  <c r="A83" i="32"/>
  <c r="B83" i="32" s="1"/>
  <c r="A84" i="32"/>
  <c r="B84" i="32" s="1"/>
  <c r="A85" i="32"/>
  <c r="C85" i="32" s="1"/>
  <c r="A86" i="32"/>
  <c r="C86" i="32" s="1"/>
  <c r="A87" i="32"/>
  <c r="C87" i="32" s="1"/>
  <c r="A88" i="32"/>
  <c r="B88" i="32" s="1"/>
  <c r="A89" i="32"/>
  <c r="B89" i="32" s="1"/>
  <c r="A90" i="32"/>
  <c r="C90" i="32" s="1"/>
  <c r="A91" i="32"/>
  <c r="B91" i="32" s="1"/>
  <c r="A92" i="32"/>
  <c r="B92" i="32" s="1"/>
  <c r="A93" i="32"/>
  <c r="B93" i="32" s="1"/>
  <c r="A94" i="32"/>
  <c r="B94" i="32" s="1"/>
  <c r="A95" i="32"/>
  <c r="C95" i="32" s="1"/>
  <c r="A96" i="32"/>
  <c r="A97" i="32"/>
  <c r="E1" i="32"/>
  <c r="A1" i="32"/>
  <c r="A2" i="30"/>
  <c r="C2" i="30" s="1"/>
  <c r="A3" i="30"/>
  <c r="B3" i="30" s="1"/>
  <c r="A4" i="30"/>
  <c r="B4" i="30" s="1"/>
  <c r="A5" i="30"/>
  <c r="B5" i="30" s="1"/>
  <c r="A6" i="30"/>
  <c r="B6" i="30" s="1"/>
  <c r="A7" i="30"/>
  <c r="A8" i="30"/>
  <c r="C8" i="30" s="1"/>
  <c r="A9" i="30"/>
  <c r="B9" i="30" s="1"/>
  <c r="A10" i="30"/>
  <c r="B10" i="30" s="1"/>
  <c r="A11" i="30"/>
  <c r="B11" i="30" s="1"/>
  <c r="A12" i="30"/>
  <c r="A13" i="30"/>
  <c r="A14" i="30"/>
  <c r="B14" i="30" s="1"/>
  <c r="A15" i="30"/>
  <c r="C15" i="30" s="1"/>
  <c r="A16" i="30"/>
  <c r="B16" i="30" s="1"/>
  <c r="A17" i="30"/>
  <c r="B17" i="30" s="1"/>
  <c r="A18" i="30"/>
  <c r="A19" i="30"/>
  <c r="C19" i="30" s="1"/>
  <c r="A20" i="30"/>
  <c r="C20" i="30" s="1"/>
  <c r="A21" i="30"/>
  <c r="B21" i="30" s="1"/>
  <c r="A22" i="30"/>
  <c r="C22" i="30" s="1"/>
  <c r="A23" i="30"/>
  <c r="C23" i="30" s="1"/>
  <c r="A24" i="30"/>
  <c r="B24" i="30" s="1"/>
  <c r="A25" i="30"/>
  <c r="B25" i="30" s="1"/>
  <c r="A26" i="30"/>
  <c r="B26" i="30" s="1"/>
  <c r="A27" i="30"/>
  <c r="B27" i="30" s="1"/>
  <c r="A28" i="30"/>
  <c r="B28" i="30" s="1"/>
  <c r="A29" i="30"/>
  <c r="B29" i="30" s="1"/>
  <c r="A30" i="30"/>
  <c r="A31" i="30"/>
  <c r="A32" i="30"/>
  <c r="C32" i="30" s="1"/>
  <c r="A33" i="30"/>
  <c r="B33" i="30" s="1"/>
  <c r="A34" i="30"/>
  <c r="B34" i="30" s="1"/>
  <c r="A35" i="30"/>
  <c r="A36" i="30"/>
  <c r="A37" i="30"/>
  <c r="B37" i="30" s="1"/>
  <c r="A38" i="30"/>
  <c r="B38" i="30" s="1"/>
  <c r="A39" i="30"/>
  <c r="C39" i="30" s="1"/>
  <c r="A40" i="30"/>
  <c r="B40" i="30" s="1"/>
  <c r="A41" i="30"/>
  <c r="B41" i="30" s="1"/>
  <c r="A42" i="30"/>
  <c r="B42" i="30" s="1"/>
  <c r="A43" i="30"/>
  <c r="B43" i="30" s="1"/>
  <c r="A44" i="30"/>
  <c r="B44" i="30" s="1"/>
  <c r="A45" i="30"/>
  <c r="C45" i="30" s="1"/>
  <c r="A46" i="30"/>
  <c r="B46" i="30" s="1"/>
  <c r="A47" i="30"/>
  <c r="C47" i="30" s="1"/>
  <c r="A48" i="30"/>
  <c r="B48" i="30" s="1"/>
  <c r="A49" i="30"/>
  <c r="B49" i="30" s="1"/>
  <c r="A50" i="30"/>
  <c r="B50" i="30" s="1"/>
  <c r="A51" i="30"/>
  <c r="B51" i="30" s="1"/>
  <c r="A52" i="30"/>
  <c r="C52" i="30" s="1"/>
  <c r="A53" i="30"/>
  <c r="A54" i="30"/>
  <c r="A55" i="30"/>
  <c r="C55" i="30" s="1"/>
  <c r="A56" i="30"/>
  <c r="B56" i="30" s="1"/>
  <c r="A57" i="30"/>
  <c r="B57" i="30" s="1"/>
  <c r="A58" i="30"/>
  <c r="A59" i="30"/>
  <c r="A60" i="30"/>
  <c r="B60" i="30" s="1"/>
  <c r="A61" i="30"/>
  <c r="B61" i="30" s="1"/>
  <c r="A62" i="30"/>
  <c r="C62" i="30" s="1"/>
  <c r="A63" i="30"/>
  <c r="C63" i="30" s="1"/>
  <c r="A64" i="30"/>
  <c r="C64" i="30" s="1"/>
  <c r="A65" i="30"/>
  <c r="B65" i="30" s="1"/>
  <c r="A66" i="30"/>
  <c r="B66" i="30" s="1"/>
  <c r="A67" i="30"/>
  <c r="B67" i="30" s="1"/>
  <c r="A68" i="30"/>
  <c r="C68" i="30" s="1"/>
  <c r="A69" i="30"/>
  <c r="B69" i="30" s="1"/>
  <c r="A70" i="30"/>
  <c r="B70" i="30" s="1"/>
  <c r="A71" i="30"/>
  <c r="A72" i="30"/>
  <c r="C72" i="30" s="1"/>
  <c r="A73" i="30"/>
  <c r="B73" i="30" s="1"/>
  <c r="A74" i="30"/>
  <c r="B74" i="30" s="1"/>
  <c r="A75" i="30"/>
  <c r="B75" i="30" s="1"/>
  <c r="A76" i="30"/>
  <c r="A77" i="30"/>
  <c r="A78" i="30"/>
  <c r="B78" i="30" s="1"/>
  <c r="A79" i="30"/>
  <c r="C79" i="30" s="1"/>
  <c r="A80" i="30"/>
  <c r="C80" i="30" s="1"/>
  <c r="A81" i="30"/>
  <c r="B81" i="30" s="1"/>
  <c r="A82" i="30"/>
  <c r="A83" i="30"/>
  <c r="B83" i="30" s="1"/>
  <c r="A84" i="30"/>
  <c r="C84" i="30" s="1"/>
  <c r="A85" i="30"/>
  <c r="B85" i="30" s="1"/>
  <c r="A86" i="30"/>
  <c r="B86" i="30" s="1"/>
  <c r="A87" i="30"/>
  <c r="C87" i="30" s="1"/>
  <c r="A88" i="30"/>
  <c r="B88" i="30" s="1"/>
  <c r="A89" i="30"/>
  <c r="B89" i="30" s="1"/>
  <c r="A90" i="30"/>
  <c r="B90" i="30" s="1"/>
  <c r="A91" i="30"/>
  <c r="B91" i="30" s="1"/>
  <c r="A92" i="30"/>
  <c r="B92" i="30" s="1"/>
  <c r="A93" i="30"/>
  <c r="C93" i="30" s="1"/>
  <c r="A94" i="30"/>
  <c r="A95" i="30"/>
  <c r="A96" i="30"/>
  <c r="B96" i="30" s="1"/>
  <c r="A97" i="30"/>
  <c r="B97" i="30" s="1"/>
  <c r="F1" i="30"/>
  <c r="D1" i="30"/>
  <c r="A1" i="30"/>
  <c r="A2" i="28"/>
  <c r="B2" i="28" s="1"/>
  <c r="I2" i="28"/>
  <c r="A3" i="28"/>
  <c r="C3" i="28" s="1"/>
  <c r="I3" i="28"/>
  <c r="A4" i="28"/>
  <c r="I4" i="28"/>
  <c r="A5" i="28"/>
  <c r="C5" i="28" s="1"/>
  <c r="I5" i="28"/>
  <c r="A6" i="28"/>
  <c r="I6" i="28"/>
  <c r="A7" i="28"/>
  <c r="C7" i="28" s="1"/>
  <c r="I7" i="28"/>
  <c r="A8" i="28"/>
  <c r="C8" i="28" s="1"/>
  <c r="I8" i="28"/>
  <c r="A9" i="28"/>
  <c r="B9" i="28" s="1"/>
  <c r="I9" i="28"/>
  <c r="A10" i="28"/>
  <c r="I10" i="28"/>
  <c r="A11" i="28"/>
  <c r="B11" i="28" s="1"/>
  <c r="I11" i="28"/>
  <c r="A12" i="28"/>
  <c r="B12" i="28" s="1"/>
  <c r="I12" i="28"/>
  <c r="A13" i="28"/>
  <c r="B13" i="28" s="1"/>
  <c r="I13" i="28"/>
  <c r="A14" i="28"/>
  <c r="B14" i="28" s="1"/>
  <c r="I14" i="28"/>
  <c r="A15" i="28"/>
  <c r="B15" i="28" s="1"/>
  <c r="I15" i="28"/>
  <c r="A16" i="28"/>
  <c r="B16" i="28" s="1"/>
  <c r="I16" i="28"/>
  <c r="A17" i="28"/>
  <c r="B17" i="28" s="1"/>
  <c r="I17" i="28"/>
  <c r="A18" i="28"/>
  <c r="B18" i="28" s="1"/>
  <c r="I18" i="28"/>
  <c r="A19" i="28"/>
  <c r="B19" i="28" s="1"/>
  <c r="I19" i="28"/>
  <c r="A20" i="28"/>
  <c r="B20" i="28" s="1"/>
  <c r="I20" i="28"/>
  <c r="A21" i="28"/>
  <c r="C21" i="28" s="1"/>
  <c r="I21" i="28"/>
  <c r="A22" i="28"/>
  <c r="C22" i="28" s="1"/>
  <c r="I22" i="28"/>
  <c r="A23" i="28"/>
  <c r="C23" i="28" s="1"/>
  <c r="I23" i="28"/>
  <c r="A24" i="28"/>
  <c r="C24" i="28" s="1"/>
  <c r="I24" i="28"/>
  <c r="A25" i="28"/>
  <c r="B25" i="28" s="1"/>
  <c r="I25" i="28"/>
  <c r="A26" i="28"/>
  <c r="C26" i="28" s="1"/>
  <c r="I26" i="28"/>
  <c r="A27" i="28"/>
  <c r="C27" i="28" s="1"/>
  <c r="I27" i="28"/>
  <c r="A28" i="28"/>
  <c r="B28" i="28" s="1"/>
  <c r="I28" i="28"/>
  <c r="A29" i="28"/>
  <c r="C29" i="28" s="1"/>
  <c r="I29" i="28"/>
  <c r="A30" i="28"/>
  <c r="B30" i="28" s="1"/>
  <c r="I30" i="28"/>
  <c r="A31" i="28"/>
  <c r="C31" i="28" s="1"/>
  <c r="I31" i="28"/>
  <c r="A32" i="28"/>
  <c r="B32" i="28" s="1"/>
  <c r="I32" i="28"/>
  <c r="A33" i="28"/>
  <c r="B33" i="28" s="1"/>
  <c r="I33" i="28"/>
  <c r="A34" i="28"/>
  <c r="B34" i="28" s="1"/>
  <c r="I34" i="28"/>
  <c r="A35" i="28"/>
  <c r="I35" i="28"/>
  <c r="A36" i="28"/>
  <c r="C36" i="28" s="1"/>
  <c r="I36" i="28"/>
  <c r="A37" i="28"/>
  <c r="C37" i="28" s="1"/>
  <c r="I37" i="28"/>
  <c r="A38" i="28"/>
  <c r="I38" i="28"/>
  <c r="A39" i="28"/>
  <c r="I39" i="28"/>
  <c r="A40" i="28"/>
  <c r="C40" i="28" s="1"/>
  <c r="I40" i="28"/>
  <c r="A41" i="28"/>
  <c r="B41" i="28" s="1"/>
  <c r="I41" i="28"/>
  <c r="A42" i="28"/>
  <c r="I42" i="28"/>
  <c r="A43" i="28"/>
  <c r="I43" i="28"/>
  <c r="A44" i="28"/>
  <c r="C44" i="28" s="1"/>
  <c r="I44" i="28"/>
  <c r="A45" i="28"/>
  <c r="B45" i="28" s="1"/>
  <c r="I45" i="28"/>
  <c r="A46" i="28"/>
  <c r="B46" i="28" s="1"/>
  <c r="I46" i="28"/>
  <c r="A47" i="28"/>
  <c r="B47" i="28" s="1"/>
  <c r="I47" i="28"/>
  <c r="A48" i="28"/>
  <c r="B48" i="28" s="1"/>
  <c r="I48" i="28"/>
  <c r="A49" i="28"/>
  <c r="B49" i="28" s="1"/>
  <c r="I49" i="28"/>
  <c r="A50" i="28"/>
  <c r="B50" i="28" s="1"/>
  <c r="A51" i="28"/>
  <c r="B51" i="28" s="1"/>
  <c r="A52" i="28"/>
  <c r="C52" i="28" s="1"/>
  <c r="A53" i="28"/>
  <c r="C53" i="28" s="1"/>
  <c r="A54" i="28"/>
  <c r="A55" i="28"/>
  <c r="C55" i="28" s="1"/>
  <c r="A56" i="28"/>
  <c r="C56" i="28" s="1"/>
  <c r="A57" i="28"/>
  <c r="B57" i="28" s="1"/>
  <c r="A58" i="28"/>
  <c r="A59" i="28"/>
  <c r="B59" i="28" s="1"/>
  <c r="A60" i="28"/>
  <c r="C60" i="28" s="1"/>
  <c r="A61" i="28"/>
  <c r="B61" i="28" s="1"/>
  <c r="A62" i="28"/>
  <c r="B62" i="28" s="1"/>
  <c r="A63" i="28"/>
  <c r="C63" i="28" s="1"/>
  <c r="A64" i="28"/>
  <c r="B64" i="28" s="1"/>
  <c r="A65" i="28"/>
  <c r="B65" i="28" s="1"/>
  <c r="A66" i="28"/>
  <c r="B66" i="28" s="1"/>
  <c r="A67" i="28"/>
  <c r="B67" i="28" s="1"/>
  <c r="A68" i="28"/>
  <c r="A69" i="28"/>
  <c r="C69" i="28" s="1"/>
  <c r="A70" i="28"/>
  <c r="B70" i="28" s="1"/>
  <c r="A71" i="28"/>
  <c r="C71" i="28" s="1"/>
  <c r="A72" i="28"/>
  <c r="C72" i="28" s="1"/>
  <c r="A73" i="28"/>
  <c r="B73" i="28" s="1"/>
  <c r="A74" i="28"/>
  <c r="B74" i="28" s="1"/>
  <c r="A75" i="28"/>
  <c r="B75" i="28" s="1"/>
  <c r="A76" i="28"/>
  <c r="B76" i="28" s="1"/>
  <c r="A77" i="28"/>
  <c r="C77" i="28" s="1"/>
  <c r="A78" i="28"/>
  <c r="B78" i="28" s="1"/>
  <c r="A79" i="28"/>
  <c r="C79" i="28" s="1"/>
  <c r="A80" i="28"/>
  <c r="B80" i="28" s="1"/>
  <c r="A81" i="28"/>
  <c r="B81" i="28" s="1"/>
  <c r="A82" i="28"/>
  <c r="B82" i="28" s="1"/>
  <c r="A83" i="28"/>
  <c r="C83" i="28" s="1"/>
  <c r="A84" i="28"/>
  <c r="B84" i="28" s="1"/>
  <c r="A85" i="28"/>
  <c r="C85" i="28" s="1"/>
  <c r="A86" i="28"/>
  <c r="B86" i="28" s="1"/>
  <c r="A87" i="28"/>
  <c r="C87" i="28" s="1"/>
  <c r="A88" i="28"/>
  <c r="C88" i="28" s="1"/>
  <c r="A89" i="28"/>
  <c r="B89" i="28" s="1"/>
  <c r="A90" i="28"/>
  <c r="C90" i="28" s="1"/>
  <c r="A91" i="28"/>
  <c r="B91" i="28" s="1"/>
  <c r="A92" i="28"/>
  <c r="C92" i="28" s="1"/>
  <c r="A93" i="28"/>
  <c r="B93" i="28" s="1"/>
  <c r="A94" i="28"/>
  <c r="B94" i="28" s="1"/>
  <c r="A95" i="28"/>
  <c r="B95" i="28" s="1"/>
  <c r="A96" i="28"/>
  <c r="B96" i="28" s="1"/>
  <c r="A97" i="28"/>
  <c r="B97" i="28" s="1"/>
  <c r="I1" i="28"/>
  <c r="F1" i="28"/>
  <c r="D1" i="28"/>
  <c r="A1" i="28"/>
  <c r="DS194" i="4"/>
  <c r="DS195" i="4"/>
  <c r="DS196" i="4"/>
  <c r="DS197" i="4"/>
  <c r="DS198" i="4"/>
  <c r="DS199" i="4"/>
  <c r="DS200" i="4"/>
  <c r="DS201" i="4"/>
  <c r="DS202" i="4"/>
  <c r="DS203" i="4"/>
  <c r="DS204" i="4"/>
  <c r="DS205" i="4"/>
  <c r="DS206" i="4"/>
  <c r="DS207" i="4"/>
  <c r="DS208" i="4"/>
  <c r="DS209" i="4"/>
  <c r="DS210" i="4"/>
  <c r="DS211" i="4"/>
  <c r="DS212" i="4"/>
  <c r="DS213" i="4"/>
  <c r="DS214" i="4"/>
  <c r="DS215" i="4"/>
  <c r="DS216" i="4"/>
  <c r="DS217" i="4"/>
  <c r="DS218" i="4"/>
  <c r="DS219" i="4"/>
  <c r="DS220" i="4"/>
  <c r="DS221" i="4"/>
  <c r="DS222" i="4"/>
  <c r="DS223" i="4"/>
  <c r="DS224" i="4"/>
  <c r="DS225" i="4"/>
  <c r="DS226" i="4"/>
  <c r="DS227" i="4"/>
  <c r="DS228" i="4"/>
  <c r="DS229" i="4"/>
  <c r="DS230" i="4"/>
  <c r="DS231" i="4"/>
  <c r="DS232" i="4"/>
  <c r="DS233" i="4"/>
  <c r="DS234" i="4"/>
  <c r="DS235" i="4"/>
  <c r="DS236" i="4"/>
  <c r="DS237" i="4"/>
  <c r="DS238" i="4"/>
  <c r="DS239" i="4"/>
  <c r="DS240" i="4"/>
  <c r="DS241" i="4"/>
  <c r="DS242" i="4"/>
  <c r="DS243" i="4"/>
  <c r="DS244" i="4"/>
  <c r="DS245" i="4"/>
  <c r="DS246" i="4"/>
  <c r="DS247" i="4"/>
  <c r="DS248" i="4"/>
  <c r="DS249" i="4"/>
  <c r="DS250" i="4"/>
  <c r="DS251" i="4"/>
  <c r="DS252" i="4"/>
  <c r="DS253" i="4"/>
  <c r="DS254" i="4"/>
  <c r="DS255" i="4"/>
  <c r="DS256" i="4"/>
  <c r="DS257" i="4"/>
  <c r="DS258" i="4"/>
  <c r="DS259" i="4"/>
  <c r="DS260" i="4"/>
  <c r="DS261" i="4"/>
  <c r="DS262" i="4"/>
  <c r="DS263" i="4"/>
  <c r="DS264" i="4"/>
  <c r="DS265" i="4"/>
  <c r="DS266" i="4"/>
  <c r="DS267" i="4"/>
  <c r="DS268" i="4"/>
  <c r="DS269" i="4"/>
  <c r="DS270" i="4"/>
  <c r="DS271" i="4"/>
  <c r="DS272" i="4"/>
  <c r="DS273" i="4"/>
  <c r="DS274" i="4"/>
  <c r="DS275" i="4"/>
  <c r="DS276" i="4"/>
  <c r="DS277" i="4"/>
  <c r="DS278" i="4"/>
  <c r="DS279" i="4"/>
  <c r="DS280" i="4"/>
  <c r="DS281" i="4"/>
  <c r="DS282" i="4"/>
  <c r="DS283" i="4"/>
  <c r="DS284" i="4"/>
  <c r="DS285" i="4"/>
  <c r="DS286" i="4"/>
  <c r="DS287" i="4"/>
  <c r="DS288" i="4"/>
  <c r="DS289" i="4"/>
  <c r="DS290" i="4"/>
  <c r="DS291" i="4"/>
  <c r="DS292" i="4"/>
  <c r="DS293" i="4"/>
  <c r="DS294" i="4"/>
  <c r="DS295" i="4"/>
  <c r="DS296" i="4"/>
  <c r="DS297" i="4"/>
  <c r="DS298" i="4"/>
  <c r="DS299" i="4"/>
  <c r="DS300" i="4"/>
  <c r="DS301" i="4"/>
  <c r="DS302" i="4"/>
  <c r="DS303" i="4"/>
  <c r="DS304" i="4"/>
  <c r="DS305" i="4"/>
  <c r="DS306" i="4"/>
  <c r="DS307" i="4"/>
  <c r="DT194" i="4"/>
  <c r="DT195" i="4"/>
  <c r="DT196" i="4"/>
  <c r="DT197" i="4"/>
  <c r="DT198" i="4"/>
  <c r="DT199" i="4"/>
  <c r="DT200" i="4"/>
  <c r="DT201" i="4"/>
  <c r="DT202" i="4"/>
  <c r="DT203" i="4"/>
  <c r="DT204" i="4"/>
  <c r="DT205" i="4"/>
  <c r="DT206" i="4"/>
  <c r="DT207" i="4"/>
  <c r="DT208" i="4"/>
  <c r="DT209" i="4"/>
  <c r="DT210" i="4"/>
  <c r="DT211" i="4"/>
  <c r="DT212" i="4"/>
  <c r="DT213" i="4"/>
  <c r="DT214" i="4"/>
  <c r="DT215" i="4"/>
  <c r="DT216" i="4"/>
  <c r="DT217" i="4"/>
  <c r="DT218" i="4"/>
  <c r="DT219" i="4"/>
  <c r="DT220" i="4"/>
  <c r="DT221" i="4"/>
  <c r="DT222" i="4"/>
  <c r="DT223" i="4"/>
  <c r="DT224" i="4"/>
  <c r="DT225" i="4"/>
  <c r="DT226" i="4"/>
  <c r="DT227" i="4"/>
  <c r="DT228" i="4"/>
  <c r="DT229" i="4"/>
  <c r="DT230" i="4"/>
  <c r="DT231" i="4"/>
  <c r="DT232" i="4"/>
  <c r="DT233" i="4"/>
  <c r="DT234" i="4"/>
  <c r="DT235" i="4"/>
  <c r="DT236" i="4"/>
  <c r="DT237" i="4"/>
  <c r="DT238" i="4"/>
  <c r="DT239" i="4"/>
  <c r="DT240" i="4"/>
  <c r="DT241" i="4"/>
  <c r="DT242" i="4"/>
  <c r="DT243" i="4"/>
  <c r="DT244" i="4"/>
  <c r="DT245" i="4"/>
  <c r="DT246" i="4"/>
  <c r="DT247" i="4"/>
  <c r="DT248" i="4"/>
  <c r="DT249" i="4"/>
  <c r="DT250" i="4"/>
  <c r="DT251" i="4"/>
  <c r="DT252" i="4"/>
  <c r="DT253" i="4"/>
  <c r="DT254" i="4"/>
  <c r="DT255" i="4"/>
  <c r="DT256" i="4"/>
  <c r="DT257" i="4"/>
  <c r="DT258" i="4"/>
  <c r="DT259" i="4"/>
  <c r="DT260" i="4"/>
  <c r="DT261" i="4"/>
  <c r="DT262" i="4"/>
  <c r="DT263" i="4"/>
  <c r="DT264" i="4"/>
  <c r="DT265" i="4"/>
  <c r="DT266" i="4"/>
  <c r="DT267" i="4"/>
  <c r="DT268" i="4"/>
  <c r="DT269" i="4"/>
  <c r="DT270" i="4"/>
  <c r="DT271" i="4"/>
  <c r="DT272" i="4"/>
  <c r="DT273" i="4"/>
  <c r="DT274" i="4"/>
  <c r="DT275" i="4"/>
  <c r="DT276" i="4"/>
  <c r="DT277" i="4"/>
  <c r="DT278" i="4"/>
  <c r="DT279" i="4"/>
  <c r="DT280" i="4"/>
  <c r="DT281" i="4"/>
  <c r="DT282" i="4"/>
  <c r="DT283" i="4"/>
  <c r="DT284" i="4"/>
  <c r="DT285" i="4"/>
  <c r="DT286" i="4"/>
  <c r="DT287" i="4"/>
  <c r="DT288" i="4"/>
  <c r="DT289" i="4"/>
  <c r="DT290" i="4"/>
  <c r="DT291" i="4"/>
  <c r="DT292" i="4"/>
  <c r="DT293" i="4"/>
  <c r="DT294" i="4"/>
  <c r="DT295" i="4"/>
  <c r="DT296" i="4"/>
  <c r="DT297" i="4"/>
  <c r="DT298" i="4"/>
  <c r="DT299" i="4"/>
  <c r="DT300" i="4"/>
  <c r="DT301" i="4"/>
  <c r="DT302" i="4"/>
  <c r="DT303" i="4"/>
  <c r="DT304" i="4"/>
  <c r="DT305" i="4"/>
  <c r="DT306" i="4"/>
  <c r="DT307" i="4"/>
  <c r="DR194" i="4"/>
  <c r="DR195" i="4"/>
  <c r="DR196" i="4"/>
  <c r="DR197" i="4"/>
  <c r="DR198" i="4"/>
  <c r="DR199" i="4"/>
  <c r="DR200" i="4"/>
  <c r="DR201" i="4"/>
  <c r="DR202" i="4"/>
  <c r="DR203" i="4"/>
  <c r="DR204" i="4"/>
  <c r="DR205" i="4"/>
  <c r="DR206" i="4"/>
  <c r="DR207" i="4"/>
  <c r="DR208" i="4"/>
  <c r="DR209" i="4"/>
  <c r="DR210" i="4"/>
  <c r="DR211" i="4"/>
  <c r="DR212" i="4"/>
  <c r="DR213" i="4"/>
  <c r="DR214" i="4"/>
  <c r="DR215" i="4"/>
  <c r="DR216" i="4"/>
  <c r="DR217" i="4"/>
  <c r="DR218" i="4"/>
  <c r="DR219" i="4"/>
  <c r="DR220" i="4"/>
  <c r="DR221" i="4"/>
  <c r="DR222" i="4"/>
  <c r="DR223" i="4"/>
  <c r="DR224" i="4"/>
  <c r="DR225" i="4"/>
  <c r="DR226" i="4"/>
  <c r="DR227" i="4"/>
  <c r="DR228" i="4"/>
  <c r="DR229" i="4"/>
  <c r="DR230" i="4"/>
  <c r="DR231" i="4"/>
  <c r="DR232" i="4"/>
  <c r="DR233" i="4"/>
  <c r="DR234" i="4"/>
  <c r="DR235" i="4"/>
  <c r="DR236" i="4"/>
  <c r="DR237" i="4"/>
  <c r="DR238" i="4"/>
  <c r="DR239" i="4"/>
  <c r="DR240" i="4"/>
  <c r="DR241" i="4"/>
  <c r="DR242" i="4"/>
  <c r="DR243" i="4"/>
  <c r="DR244" i="4"/>
  <c r="DR245" i="4"/>
  <c r="DR246" i="4"/>
  <c r="DR247" i="4"/>
  <c r="DR248" i="4"/>
  <c r="DR249" i="4"/>
  <c r="DR250" i="4"/>
  <c r="DR251" i="4"/>
  <c r="DR252" i="4"/>
  <c r="DR253" i="4"/>
  <c r="DR254" i="4"/>
  <c r="DR255" i="4"/>
  <c r="DR256" i="4"/>
  <c r="DR257" i="4"/>
  <c r="DR258" i="4"/>
  <c r="DR259" i="4"/>
  <c r="DR260" i="4"/>
  <c r="DR261" i="4"/>
  <c r="DR262" i="4"/>
  <c r="DR263" i="4"/>
  <c r="DR264" i="4"/>
  <c r="DR265" i="4"/>
  <c r="DR266" i="4"/>
  <c r="DR267" i="4"/>
  <c r="DR268" i="4"/>
  <c r="DR269" i="4"/>
  <c r="DR270" i="4"/>
  <c r="DR271" i="4"/>
  <c r="DR272" i="4"/>
  <c r="DR273" i="4"/>
  <c r="DR274" i="4"/>
  <c r="DR275" i="4"/>
  <c r="DR276" i="4"/>
  <c r="DR277" i="4"/>
  <c r="DR278" i="4"/>
  <c r="DR279" i="4"/>
  <c r="DR280" i="4"/>
  <c r="DR281" i="4"/>
  <c r="DR282" i="4"/>
  <c r="DR283" i="4"/>
  <c r="DR284" i="4"/>
  <c r="DR285" i="4"/>
  <c r="DR286" i="4"/>
  <c r="DR287" i="4"/>
  <c r="DR288" i="4"/>
  <c r="DR289" i="4"/>
  <c r="DR290" i="4"/>
  <c r="DR291" i="4"/>
  <c r="DR292" i="4"/>
  <c r="DR293" i="4"/>
  <c r="DR294" i="4"/>
  <c r="DR295" i="4"/>
  <c r="DR296" i="4"/>
  <c r="DR297" i="4"/>
  <c r="DR298" i="4"/>
  <c r="DR299" i="4"/>
  <c r="DR300" i="4"/>
  <c r="DR301" i="4"/>
  <c r="DR302" i="4"/>
  <c r="DR303" i="4"/>
  <c r="DR304" i="4"/>
  <c r="DR305" i="4"/>
  <c r="DR306" i="4"/>
  <c r="DR307" i="4"/>
  <c r="B110" i="76" l="1"/>
  <c r="B98" i="76"/>
  <c r="A123" i="76"/>
  <c r="C122" i="76"/>
  <c r="B122" i="76"/>
  <c r="B114" i="76"/>
  <c r="B112" i="76"/>
  <c r="B111" i="76"/>
  <c r="D12" i="73"/>
  <c r="C3" i="75"/>
  <c r="A123" i="38"/>
  <c r="B122" i="38"/>
  <c r="C122" i="38"/>
  <c r="B43" i="75"/>
  <c r="B40" i="28"/>
  <c r="B53" i="28"/>
  <c r="B84" i="30"/>
  <c r="B15" i="77"/>
  <c r="B69" i="32"/>
  <c r="B21" i="32"/>
  <c r="C5" i="32"/>
  <c r="B90" i="28"/>
  <c r="C50" i="30"/>
  <c r="C39" i="32"/>
  <c r="C28" i="32"/>
  <c r="B79" i="76"/>
  <c r="B44" i="28"/>
  <c r="C34" i="28"/>
  <c r="B86" i="32"/>
  <c r="B51" i="32"/>
  <c r="C55" i="76"/>
  <c r="C67" i="30"/>
  <c r="B81" i="77"/>
  <c r="B46" i="32"/>
  <c r="B87" i="28"/>
  <c r="C62" i="75"/>
  <c r="C9" i="32"/>
  <c r="C78" i="36"/>
  <c r="C29" i="30"/>
  <c r="B45" i="36"/>
  <c r="C57" i="75"/>
  <c r="C9" i="76"/>
  <c r="B3" i="28"/>
  <c r="C48" i="30"/>
  <c r="C12" i="32"/>
  <c r="B72" i="30"/>
  <c r="C75" i="32"/>
  <c r="B62" i="32"/>
  <c r="C47" i="77"/>
  <c r="B63" i="28"/>
  <c r="B91" i="77"/>
  <c r="C26" i="30"/>
  <c r="C44" i="77"/>
  <c r="B60" i="28"/>
  <c r="C111" i="76"/>
  <c r="C89" i="75"/>
  <c r="C14" i="75"/>
  <c r="B71" i="28"/>
  <c r="C90" i="30"/>
  <c r="C70" i="36"/>
  <c r="C41" i="36"/>
  <c r="C40" i="30"/>
  <c r="C35" i="32"/>
  <c r="C30" i="32"/>
  <c r="B68" i="77"/>
  <c r="B59" i="76"/>
  <c r="C13" i="76"/>
  <c r="C37" i="36"/>
  <c r="C93" i="77"/>
  <c r="C65" i="36"/>
  <c r="B20" i="30"/>
  <c r="B3" i="77"/>
  <c r="C38" i="77"/>
  <c r="C13" i="32"/>
  <c r="C21" i="30"/>
  <c r="B2" i="30"/>
  <c r="C53" i="32"/>
  <c r="C20" i="77"/>
  <c r="B36" i="28"/>
  <c r="B33" i="77"/>
  <c r="B47" i="30"/>
  <c r="C9" i="30"/>
  <c r="C43" i="77"/>
  <c r="B31" i="77"/>
  <c r="C18" i="77"/>
  <c r="C31" i="76"/>
  <c r="B37" i="28"/>
  <c r="C33" i="28"/>
  <c r="B23" i="28"/>
  <c r="B62" i="30"/>
  <c r="C43" i="30"/>
  <c r="B32" i="30"/>
  <c r="B22" i="30"/>
  <c r="C93" i="36"/>
  <c r="C80" i="36"/>
  <c r="C25" i="36"/>
  <c r="C76" i="28"/>
  <c r="B7" i="28"/>
  <c r="C25" i="30"/>
  <c r="B19" i="30"/>
  <c r="C4" i="30"/>
  <c r="C88" i="32"/>
  <c r="C65" i="75"/>
  <c r="C70" i="77"/>
  <c r="B57" i="77"/>
  <c r="C22" i="77"/>
  <c r="C61" i="30"/>
  <c r="C49" i="30"/>
  <c r="B39" i="30"/>
  <c r="C11" i="30"/>
  <c r="B26" i="32"/>
  <c r="B3" i="32"/>
  <c r="C35" i="76"/>
  <c r="C49" i="76"/>
  <c r="C21" i="76"/>
  <c r="C10" i="77"/>
  <c r="C86" i="30"/>
  <c r="C91" i="75"/>
  <c r="C84" i="28"/>
  <c r="C66" i="30"/>
  <c r="C60" i="30"/>
  <c r="C24" i="30"/>
  <c r="C14" i="30"/>
  <c r="B34" i="32"/>
  <c r="B53" i="77"/>
  <c r="B31" i="28"/>
  <c r="B45" i="30"/>
  <c r="C61" i="32"/>
  <c r="B25" i="32"/>
  <c r="B15" i="32"/>
  <c r="B20" i="36"/>
  <c r="C5" i="36"/>
  <c r="C30" i="77"/>
  <c r="B52" i="30"/>
  <c r="B43" i="32"/>
  <c r="C59" i="28"/>
  <c r="C4" i="36"/>
  <c r="C17" i="76"/>
  <c r="B40" i="77"/>
  <c r="C93" i="28"/>
  <c r="C82" i="28"/>
  <c r="B69" i="28"/>
  <c r="C93" i="32"/>
  <c r="B82" i="32"/>
  <c r="C33" i="32"/>
  <c r="C85" i="36"/>
  <c r="C58" i="36"/>
  <c r="C85" i="76"/>
  <c r="C90" i="77"/>
  <c r="C17" i="77"/>
  <c r="C5" i="77"/>
  <c r="C30" i="75"/>
  <c r="C67" i="28"/>
  <c r="C91" i="32"/>
  <c r="B55" i="28"/>
  <c r="C96" i="30"/>
  <c r="C75" i="30"/>
  <c r="B68" i="30"/>
  <c r="B27" i="32"/>
  <c r="C41" i="75"/>
  <c r="C27" i="75"/>
  <c r="C95" i="76"/>
  <c r="C25" i="76"/>
  <c r="C86" i="77"/>
  <c r="B23" i="77"/>
  <c r="C14" i="77"/>
  <c r="C70" i="28"/>
  <c r="B52" i="28"/>
  <c r="B87" i="32"/>
  <c r="B45" i="32"/>
  <c r="B41" i="32"/>
  <c r="B4" i="32"/>
  <c r="C81" i="28"/>
  <c r="B79" i="28"/>
  <c r="C18" i="28"/>
  <c r="B74" i="75"/>
  <c r="C49" i="75"/>
  <c r="B18" i="75"/>
  <c r="C82" i="77"/>
  <c r="B72" i="77"/>
  <c r="B77" i="36"/>
  <c r="C33" i="36"/>
  <c r="C22" i="36"/>
  <c r="C10" i="36"/>
  <c r="C50" i="28"/>
  <c r="B27" i="28"/>
  <c r="C89" i="30"/>
  <c r="C16" i="30"/>
  <c r="C20" i="32"/>
  <c r="C7" i="32"/>
  <c r="C73" i="75"/>
  <c r="B6" i="75"/>
  <c r="B77" i="28"/>
  <c r="C12" i="28"/>
  <c r="B64" i="30"/>
  <c r="C42" i="30"/>
  <c r="C92" i="32"/>
  <c r="C67" i="32"/>
  <c r="C48" i="32"/>
  <c r="C44" i="32"/>
  <c r="B40" i="32"/>
  <c r="C76" i="36"/>
  <c r="B53" i="36"/>
  <c r="C47" i="75"/>
  <c r="C39" i="75"/>
  <c r="C21" i="77"/>
  <c r="C95" i="28"/>
  <c r="B85" i="28"/>
  <c r="B85" i="32"/>
  <c r="B64" i="36"/>
  <c r="C15" i="75"/>
  <c r="C19" i="76"/>
  <c r="C80" i="77"/>
  <c r="B45" i="77"/>
  <c r="C37" i="77"/>
  <c r="B4" i="77"/>
  <c r="C40" i="36"/>
  <c r="C53" i="76"/>
  <c r="C41" i="76"/>
  <c r="C29" i="76"/>
  <c r="C89" i="77"/>
  <c r="C56" i="77"/>
  <c r="C13" i="77"/>
  <c r="B21" i="28"/>
  <c r="C2" i="28"/>
  <c r="B63" i="30"/>
  <c r="C84" i="32"/>
  <c r="B46" i="75"/>
  <c r="C25" i="75"/>
  <c r="B3" i="75"/>
  <c r="B96" i="77"/>
  <c r="B79" i="77"/>
  <c r="B28" i="77"/>
  <c r="C11" i="28"/>
  <c r="C38" i="30"/>
  <c r="C74" i="28"/>
  <c r="C66" i="28"/>
  <c r="C57" i="30"/>
  <c r="C41" i="30"/>
  <c r="C27" i="30"/>
  <c r="B15" i="30"/>
  <c r="B90" i="32"/>
  <c r="C83" i="32"/>
  <c r="C64" i="32"/>
  <c r="C22" i="32"/>
  <c r="B2" i="32"/>
  <c r="C45" i="75"/>
  <c r="C61" i="76"/>
  <c r="C3" i="76"/>
  <c r="C95" i="77"/>
  <c r="C78" i="77"/>
  <c r="C35" i="77"/>
  <c r="C27" i="77"/>
  <c r="B92" i="28"/>
  <c r="B83" i="28"/>
  <c r="B80" i="30"/>
  <c r="B8" i="30"/>
  <c r="B72" i="32"/>
  <c r="C57" i="32"/>
  <c r="C81" i="36"/>
  <c r="B48" i="36"/>
  <c r="C38" i="36"/>
  <c r="C26" i="36"/>
  <c r="B67" i="75"/>
  <c r="C13" i="75"/>
  <c r="B11" i="77"/>
  <c r="C2" i="77"/>
  <c r="B16" i="36"/>
  <c r="C91" i="30"/>
  <c r="B79" i="30"/>
  <c r="C81" i="32"/>
  <c r="C70" i="32"/>
  <c r="C56" i="32"/>
  <c r="C38" i="32"/>
  <c r="C71" i="76"/>
  <c r="C42" i="77"/>
  <c r="C25" i="77"/>
  <c r="B95" i="32"/>
  <c r="C57" i="36"/>
  <c r="B31" i="75"/>
  <c r="C19" i="75"/>
  <c r="C47" i="76"/>
  <c r="C23" i="76"/>
  <c r="C32" i="77"/>
  <c r="C68" i="36"/>
  <c r="B24" i="36"/>
  <c r="B90" i="75"/>
  <c r="C42" i="75"/>
  <c r="C9" i="75"/>
  <c r="B83" i="77"/>
  <c r="B73" i="77"/>
  <c r="B16" i="77"/>
  <c r="C8" i="77"/>
  <c r="B43" i="28"/>
  <c r="C43" i="28"/>
  <c r="B6" i="28"/>
  <c r="C6" i="28"/>
  <c r="C97" i="28"/>
  <c r="C68" i="28"/>
  <c r="B68" i="28"/>
  <c r="C65" i="28"/>
  <c r="C91" i="28"/>
  <c r="B10" i="28"/>
  <c r="C10" i="28"/>
  <c r="C86" i="28"/>
  <c r="C75" i="28"/>
  <c r="C61" i="28"/>
  <c r="B58" i="28"/>
  <c r="C58" i="28"/>
  <c r="C39" i="28"/>
  <c r="B39" i="28"/>
  <c r="B4" i="28"/>
  <c r="C4" i="28"/>
  <c r="B54" i="28"/>
  <c r="C54" i="28"/>
  <c r="B42" i="28"/>
  <c r="C42" i="28"/>
  <c r="B88" i="28"/>
  <c r="B29" i="28"/>
  <c r="B35" i="28"/>
  <c r="C35" i="28"/>
  <c r="B38" i="28"/>
  <c r="C38" i="28"/>
  <c r="B26" i="28"/>
  <c r="B22" i="28"/>
  <c r="C20" i="28"/>
  <c r="B93" i="30"/>
  <c r="C88" i="30"/>
  <c r="C44" i="30"/>
  <c r="B36" i="30"/>
  <c r="C36" i="30"/>
  <c r="B80" i="32"/>
  <c r="B63" i="32"/>
  <c r="B12" i="30"/>
  <c r="C12" i="30"/>
  <c r="B96" i="32"/>
  <c r="C96" i="32"/>
  <c r="B54" i="32"/>
  <c r="B76" i="30"/>
  <c r="C76" i="30"/>
  <c r="C58" i="32"/>
  <c r="B58" i="32"/>
  <c r="B56" i="28"/>
  <c r="C97" i="30"/>
  <c r="C95" i="30"/>
  <c r="B95" i="30"/>
  <c r="C85" i="30"/>
  <c r="C83" i="30"/>
  <c r="C70" i="30"/>
  <c r="B53" i="30"/>
  <c r="C53" i="30"/>
  <c r="C31" i="30"/>
  <c r="B31" i="30"/>
  <c r="C7" i="30"/>
  <c r="B7" i="30"/>
  <c r="B79" i="32"/>
  <c r="C79" i="32"/>
  <c r="B68" i="32"/>
  <c r="C68" i="32"/>
  <c r="B8" i="28"/>
  <c r="C78" i="30"/>
  <c r="C73" i="30"/>
  <c r="B18" i="30"/>
  <c r="C18" i="30"/>
  <c r="C65" i="30"/>
  <c r="B58" i="30"/>
  <c r="C58" i="30"/>
  <c r="B55" i="30"/>
  <c r="C74" i="32"/>
  <c r="B74" i="32"/>
  <c r="B35" i="30"/>
  <c r="C35" i="30"/>
  <c r="B78" i="32"/>
  <c r="C78" i="32"/>
  <c r="B19" i="32"/>
  <c r="C19" i="32"/>
  <c r="C19" i="28"/>
  <c r="C15" i="28"/>
  <c r="C13" i="28"/>
  <c r="B82" i="30"/>
  <c r="C82" i="30"/>
  <c r="C37" i="30"/>
  <c r="B13" i="30"/>
  <c r="C13" i="30"/>
  <c r="C6" i="30"/>
  <c r="C66" i="32"/>
  <c r="B66" i="32"/>
  <c r="C17" i="28"/>
  <c r="B77" i="30"/>
  <c r="C77" i="30"/>
  <c r="B77" i="32"/>
  <c r="B94" i="30"/>
  <c r="C94" i="30"/>
  <c r="B54" i="30"/>
  <c r="C54" i="30"/>
  <c r="B30" i="30"/>
  <c r="C30" i="30"/>
  <c r="C14" i="32"/>
  <c r="B14" i="32"/>
  <c r="B97" i="32"/>
  <c r="C97" i="32"/>
  <c r="B73" i="32"/>
  <c r="C73" i="32"/>
  <c r="C51" i="28"/>
  <c r="C28" i="28"/>
  <c r="B5" i="28"/>
  <c r="B59" i="30"/>
  <c r="C59" i="30"/>
  <c r="B72" i="28"/>
  <c r="C47" i="28"/>
  <c r="C45" i="28"/>
  <c r="C34" i="30"/>
  <c r="C3" i="30"/>
  <c r="C49" i="28"/>
  <c r="B24" i="28"/>
  <c r="C71" i="30"/>
  <c r="B71" i="30"/>
  <c r="B17" i="32"/>
  <c r="C17" i="32"/>
  <c r="C56" i="30"/>
  <c r="B59" i="32"/>
  <c r="C59" i="32"/>
  <c r="C92" i="30"/>
  <c r="C74" i="30"/>
  <c r="C69" i="30"/>
  <c r="C51" i="30"/>
  <c r="C46" i="30"/>
  <c r="C33" i="30"/>
  <c r="C28" i="30"/>
  <c r="C10" i="30"/>
  <c r="C5" i="30"/>
  <c r="C94" i="32"/>
  <c r="C89" i="32"/>
  <c r="C76" i="32"/>
  <c r="C71" i="32"/>
  <c r="B87" i="30"/>
  <c r="B23" i="30"/>
  <c r="B55" i="32"/>
  <c r="C55" i="32"/>
  <c r="C49" i="32"/>
  <c r="B49" i="32"/>
  <c r="C31" i="32"/>
  <c r="B31" i="32"/>
  <c r="B6" i="32"/>
  <c r="C6" i="32"/>
  <c r="B36" i="36"/>
  <c r="C36" i="36"/>
  <c r="C81" i="30"/>
  <c r="C17" i="30"/>
  <c r="B18" i="32"/>
  <c r="C35" i="75"/>
  <c r="B35" i="75"/>
  <c r="C8" i="32"/>
  <c r="C30" i="36"/>
  <c r="C65" i="32"/>
  <c r="C52" i="32"/>
  <c r="C47" i="32"/>
  <c r="C29" i="32"/>
  <c r="C16" i="32"/>
  <c r="B92" i="36"/>
  <c r="C92" i="36"/>
  <c r="B82" i="36"/>
  <c r="C82" i="36"/>
  <c r="B21" i="36"/>
  <c r="C21" i="36"/>
  <c r="B42" i="32"/>
  <c r="C24" i="32"/>
  <c r="B29" i="36"/>
  <c r="C29" i="36"/>
  <c r="C60" i="32"/>
  <c r="C37" i="32"/>
  <c r="C32" i="32"/>
  <c r="C11" i="32"/>
  <c r="B50" i="32"/>
  <c r="B44" i="36"/>
  <c r="C44" i="36"/>
  <c r="B9" i="36"/>
  <c r="C72" i="36"/>
  <c r="B72" i="36"/>
  <c r="C88" i="36"/>
  <c r="B88" i="36"/>
  <c r="B52" i="36"/>
  <c r="C52" i="36"/>
  <c r="B29" i="75"/>
  <c r="C29" i="75"/>
  <c r="B97" i="36"/>
  <c r="C97" i="36"/>
  <c r="C23" i="32"/>
  <c r="C36" i="32"/>
  <c r="B10" i="32"/>
  <c r="B14" i="36"/>
  <c r="C14" i="36"/>
  <c r="B21" i="75"/>
  <c r="C21" i="75"/>
  <c r="B113" i="36"/>
  <c r="C96" i="36"/>
  <c r="C28" i="36"/>
  <c r="C18" i="36"/>
  <c r="C13" i="36"/>
  <c r="C73" i="36"/>
  <c r="C8" i="36"/>
  <c r="C78" i="75"/>
  <c r="C34" i="75"/>
  <c r="C90" i="36"/>
  <c r="C42" i="36"/>
  <c r="B70" i="75"/>
  <c r="C5" i="75"/>
  <c r="C112" i="36"/>
  <c r="C32" i="36"/>
  <c r="C17" i="36"/>
  <c r="B54" i="75"/>
  <c r="C54" i="75"/>
  <c r="C12" i="36"/>
  <c r="C2" i="36"/>
  <c r="B33" i="75"/>
  <c r="C33" i="75"/>
  <c r="B26" i="75"/>
  <c r="C26" i="75"/>
  <c r="B11" i="75"/>
  <c r="C11" i="75"/>
  <c r="B89" i="76"/>
  <c r="C89" i="76"/>
  <c r="C46" i="36"/>
  <c r="C10" i="75"/>
  <c r="C6" i="36"/>
  <c r="C27" i="76"/>
  <c r="B27" i="76"/>
  <c r="B73" i="76"/>
  <c r="C73" i="76"/>
  <c r="B83" i="75"/>
  <c r="C83" i="75"/>
  <c r="B59" i="75"/>
  <c r="B38" i="75"/>
  <c r="C38" i="75"/>
  <c r="B97" i="76"/>
  <c r="C97" i="76"/>
  <c r="B23" i="75"/>
  <c r="C23" i="75"/>
  <c r="C86" i="36"/>
  <c r="C34" i="36"/>
  <c r="B113" i="76"/>
  <c r="C113" i="76"/>
  <c r="C53" i="75"/>
  <c r="C37" i="75"/>
  <c r="C22" i="75"/>
  <c r="C7" i="75"/>
  <c r="C69" i="75"/>
  <c r="C63" i="75"/>
  <c r="C58" i="75"/>
  <c r="C17" i="75"/>
  <c r="B29" i="77"/>
  <c r="C29" i="77"/>
  <c r="C94" i="75"/>
  <c r="B33" i="76"/>
  <c r="C33" i="76"/>
  <c r="B7" i="76"/>
  <c r="C7" i="76"/>
  <c r="B36" i="77"/>
  <c r="C36" i="77"/>
  <c r="B91" i="76"/>
  <c r="C91" i="76"/>
  <c r="C15" i="76"/>
  <c r="B65" i="77"/>
  <c r="C65" i="77"/>
  <c r="B67" i="76"/>
  <c r="B74" i="77"/>
  <c r="C74" i="77"/>
  <c r="B39" i="76"/>
  <c r="C39" i="76"/>
  <c r="C115" i="76"/>
  <c r="B115" i="76"/>
  <c r="B76" i="77"/>
  <c r="C76" i="77"/>
  <c r="C43" i="76"/>
  <c r="B63" i="77"/>
  <c r="C63" i="77"/>
  <c r="C37" i="76"/>
  <c r="B52" i="77"/>
  <c r="C52" i="77"/>
  <c r="B97" i="77"/>
  <c r="C97" i="77"/>
  <c r="C60" i="77"/>
  <c r="B12" i="77"/>
  <c r="C12" i="77"/>
  <c r="B59" i="77"/>
  <c r="C59" i="77"/>
  <c r="B26" i="77"/>
  <c r="C26" i="77"/>
  <c r="C11" i="76"/>
  <c r="B39" i="77"/>
  <c r="C39" i="77"/>
  <c r="C5" i="76"/>
  <c r="B46" i="77"/>
  <c r="C46" i="77"/>
  <c r="B9" i="77"/>
  <c r="C9" i="77"/>
  <c r="C45" i="76"/>
  <c r="B85" i="77"/>
  <c r="C85" i="77"/>
  <c r="C66" i="77"/>
  <c r="C34" i="77"/>
  <c r="C41" i="77"/>
  <c r="C24" i="77"/>
  <c r="C7" i="77"/>
  <c r="C51" i="77"/>
  <c r="C19" i="77"/>
  <c r="C6" i="77"/>
  <c r="B110" i="36"/>
  <c r="C110" i="36"/>
  <c r="B62" i="77"/>
  <c r="C62" i="77"/>
  <c r="B87" i="77"/>
  <c r="C87" i="77"/>
  <c r="C48" i="77"/>
  <c r="C87" i="75"/>
  <c r="B87" i="75"/>
  <c r="B55" i="75"/>
  <c r="C55" i="75"/>
  <c r="B77" i="77"/>
  <c r="C77" i="77"/>
  <c r="B54" i="36"/>
  <c r="C54" i="36"/>
  <c r="B93" i="75"/>
  <c r="C93" i="75"/>
  <c r="B83" i="76"/>
  <c r="C83" i="76"/>
  <c r="B61" i="77"/>
  <c r="C61" i="77"/>
  <c r="B69" i="36"/>
  <c r="C69" i="36"/>
  <c r="C66" i="36"/>
  <c r="B95" i="75"/>
  <c r="C95" i="75"/>
  <c r="B82" i="75"/>
  <c r="C82" i="75"/>
  <c r="C75" i="75"/>
  <c r="B75" i="75"/>
  <c r="B64" i="77"/>
  <c r="C64" i="77"/>
  <c r="B92" i="77"/>
  <c r="C92" i="77"/>
  <c r="B56" i="36"/>
  <c r="C56" i="36"/>
  <c r="C79" i="75"/>
  <c r="C51" i="76"/>
  <c r="B51" i="76"/>
  <c r="B61" i="36"/>
  <c r="B49" i="36"/>
  <c r="C85" i="75"/>
  <c r="B57" i="76"/>
  <c r="C57" i="76"/>
  <c r="B49" i="77"/>
  <c r="B63" i="76"/>
  <c r="C63" i="76"/>
  <c r="B75" i="77"/>
  <c r="C75" i="77"/>
  <c r="C62" i="36"/>
  <c r="C65" i="76"/>
  <c r="C94" i="77"/>
  <c r="B84" i="36"/>
  <c r="C84" i="36"/>
  <c r="C50" i="75"/>
  <c r="C69" i="77"/>
  <c r="C55" i="77"/>
  <c r="C77" i="75"/>
  <c r="C77" i="76"/>
  <c r="C114" i="36"/>
  <c r="C60" i="36"/>
  <c r="C50" i="36"/>
  <c r="C86" i="75"/>
  <c r="C71" i="75"/>
  <c r="C93" i="76"/>
  <c r="C87" i="76"/>
  <c r="C84" i="77"/>
  <c r="C67" i="77"/>
  <c r="C50" i="77"/>
  <c r="C94" i="36"/>
  <c r="C89" i="36"/>
  <c r="C81" i="75"/>
  <c r="C66" i="75"/>
  <c r="C51" i="75"/>
  <c r="C81" i="76"/>
  <c r="C75" i="76"/>
  <c r="C88" i="77"/>
  <c r="C71" i="77"/>
  <c r="C54" i="77"/>
  <c r="C74" i="36"/>
  <c r="C61" i="75"/>
  <c r="C69" i="76"/>
  <c r="C58" i="77"/>
  <c r="C114" i="76"/>
  <c r="C110" i="76"/>
  <c r="C98" i="76"/>
  <c r="C94" i="76"/>
  <c r="C90" i="76"/>
  <c r="C86" i="76"/>
  <c r="C82" i="76"/>
  <c r="C78" i="76"/>
  <c r="C74" i="76"/>
  <c r="C70" i="76"/>
  <c r="C66" i="76"/>
  <c r="C62" i="76"/>
  <c r="C58" i="76"/>
  <c r="C54" i="76"/>
  <c r="C50" i="76"/>
  <c r="C46" i="76"/>
  <c r="C42" i="76"/>
  <c r="C38" i="76"/>
  <c r="C34" i="76"/>
  <c r="C30" i="76"/>
  <c r="C26" i="76"/>
  <c r="C22" i="76"/>
  <c r="C18" i="76"/>
  <c r="C14" i="76"/>
  <c r="C10" i="76"/>
  <c r="C6" i="76"/>
  <c r="C2" i="76"/>
  <c r="C112" i="76"/>
  <c r="C96" i="76"/>
  <c r="C92" i="76"/>
  <c r="C88" i="76"/>
  <c r="C84" i="76"/>
  <c r="C80" i="76"/>
  <c r="C76" i="76"/>
  <c r="C72" i="76"/>
  <c r="C68" i="76"/>
  <c r="C64" i="76"/>
  <c r="C60" i="76"/>
  <c r="C56" i="76"/>
  <c r="C52" i="76"/>
  <c r="C48" i="76"/>
  <c r="C44" i="76"/>
  <c r="C40" i="76"/>
  <c r="C36" i="76"/>
  <c r="C32" i="76"/>
  <c r="C28" i="76"/>
  <c r="C24" i="76"/>
  <c r="C20" i="76"/>
  <c r="C16" i="76"/>
  <c r="C12" i="76"/>
  <c r="C8" i="76"/>
  <c r="C4" i="76"/>
  <c r="C96" i="75"/>
  <c r="C92" i="75"/>
  <c r="C88" i="75"/>
  <c r="C84" i="75"/>
  <c r="C80" i="75"/>
  <c r="C76" i="75"/>
  <c r="C72" i="75"/>
  <c r="C68" i="75"/>
  <c r="C64" i="75"/>
  <c r="C60" i="75"/>
  <c r="C56" i="75"/>
  <c r="C52" i="75"/>
  <c r="C48" i="75"/>
  <c r="C44" i="75"/>
  <c r="C40" i="75"/>
  <c r="C36" i="75"/>
  <c r="C32" i="75"/>
  <c r="C28" i="75"/>
  <c r="C24" i="75"/>
  <c r="C20" i="75"/>
  <c r="C16" i="75"/>
  <c r="C12" i="75"/>
  <c r="C8" i="75"/>
  <c r="C4" i="75"/>
  <c r="C115" i="36"/>
  <c r="C111" i="36"/>
  <c r="C95" i="36"/>
  <c r="C91" i="36"/>
  <c r="C87" i="36"/>
  <c r="C83" i="36"/>
  <c r="C79" i="36"/>
  <c r="C75" i="36"/>
  <c r="C71" i="36"/>
  <c r="C67" i="36"/>
  <c r="C63" i="36"/>
  <c r="C59" i="36"/>
  <c r="C55" i="36"/>
  <c r="C51" i="36"/>
  <c r="C47" i="36"/>
  <c r="C43" i="36"/>
  <c r="C39" i="36"/>
  <c r="C35" i="36"/>
  <c r="C31" i="36"/>
  <c r="C27" i="36"/>
  <c r="C23" i="36"/>
  <c r="C19" i="36"/>
  <c r="C15" i="36"/>
  <c r="C11" i="36"/>
  <c r="C7" i="36"/>
  <c r="C3" i="36"/>
  <c r="C94" i="28"/>
  <c r="C78" i="28"/>
  <c r="C62" i="28"/>
  <c r="C46" i="28"/>
  <c r="C30" i="28"/>
  <c r="C14" i="28"/>
  <c r="C89" i="28"/>
  <c r="C73" i="28"/>
  <c r="C57" i="28"/>
  <c r="C41" i="28"/>
  <c r="C25" i="28"/>
  <c r="C9" i="28"/>
  <c r="C96" i="28"/>
  <c r="C80" i="28"/>
  <c r="C64" i="28"/>
  <c r="C48" i="28"/>
  <c r="C32" i="28"/>
  <c r="C16" i="28"/>
  <c r="V13" i="15" l="1"/>
  <c r="A124" i="76"/>
  <c r="B123" i="76"/>
  <c r="C123" i="76"/>
  <c r="D13" i="73"/>
  <c r="D14" i="73"/>
  <c r="A124" i="38"/>
  <c r="C123" i="38"/>
  <c r="B123" i="38"/>
  <c r="R110" i="65"/>
  <c r="AY96" i="67" s="1"/>
  <c r="S1" i="76"/>
  <c r="R1" i="76"/>
  <c r="X2" i="65"/>
  <c r="S28" i="65"/>
  <c r="T28" i="65"/>
  <c r="U28" i="65"/>
  <c r="R29" i="65"/>
  <c r="AY15" i="67" s="1"/>
  <c r="S29" i="65"/>
  <c r="T29" i="65"/>
  <c r="U29" i="65"/>
  <c r="R30" i="65"/>
  <c r="AY16" i="67" s="1"/>
  <c r="S30" i="65"/>
  <c r="T30" i="65"/>
  <c r="U30" i="65"/>
  <c r="R31" i="65"/>
  <c r="AY17" i="67" s="1"/>
  <c r="S31" i="65"/>
  <c r="T31" i="65"/>
  <c r="U31" i="65"/>
  <c r="R32" i="65"/>
  <c r="AY18" i="67" s="1"/>
  <c r="S32" i="65"/>
  <c r="T32" i="65"/>
  <c r="U32" i="65"/>
  <c r="R33" i="65"/>
  <c r="AY19" i="67" s="1"/>
  <c r="S33" i="65"/>
  <c r="T33" i="65"/>
  <c r="U33" i="65"/>
  <c r="R34" i="65"/>
  <c r="AY20" i="67" s="1"/>
  <c r="S34" i="65"/>
  <c r="T34" i="65"/>
  <c r="U34" i="65"/>
  <c r="R35" i="65"/>
  <c r="AY21" i="67" s="1"/>
  <c r="S35" i="65"/>
  <c r="T35" i="65"/>
  <c r="U35" i="65"/>
  <c r="R36" i="65"/>
  <c r="AY22" i="67" s="1"/>
  <c r="S36" i="65"/>
  <c r="T36" i="65"/>
  <c r="U36" i="65"/>
  <c r="R37" i="65"/>
  <c r="AY23" i="67" s="1"/>
  <c r="S37" i="65"/>
  <c r="T37" i="65"/>
  <c r="U37" i="65"/>
  <c r="R38" i="65"/>
  <c r="AY24" i="67" s="1"/>
  <c r="S38" i="65"/>
  <c r="T38" i="65"/>
  <c r="U38" i="65"/>
  <c r="R39" i="65"/>
  <c r="AY25" i="67" s="1"/>
  <c r="S39" i="65"/>
  <c r="T39" i="65"/>
  <c r="U39" i="65"/>
  <c r="R40" i="65"/>
  <c r="AY26" i="67" s="1"/>
  <c r="S40" i="65"/>
  <c r="T40" i="65"/>
  <c r="U40" i="65"/>
  <c r="R41" i="65"/>
  <c r="AY27" i="67" s="1"/>
  <c r="S41" i="65"/>
  <c r="T41" i="65"/>
  <c r="U41" i="65"/>
  <c r="R42" i="65"/>
  <c r="AY28" i="67" s="1"/>
  <c r="S42" i="65"/>
  <c r="T42" i="65"/>
  <c r="U42" i="65"/>
  <c r="R43" i="65"/>
  <c r="AY29" i="67" s="1"/>
  <c r="S43" i="65"/>
  <c r="T43" i="65"/>
  <c r="U43" i="65"/>
  <c r="R44" i="65"/>
  <c r="AY30" i="67" s="1"/>
  <c r="S44" i="65"/>
  <c r="T44" i="65"/>
  <c r="U44" i="65"/>
  <c r="R45" i="65"/>
  <c r="AY31" i="67" s="1"/>
  <c r="S45" i="65"/>
  <c r="T45" i="65"/>
  <c r="U45" i="65"/>
  <c r="R46" i="65"/>
  <c r="AY32" i="67" s="1"/>
  <c r="S46" i="65"/>
  <c r="T46" i="65"/>
  <c r="U46" i="65"/>
  <c r="R47" i="65"/>
  <c r="AY33" i="67" s="1"/>
  <c r="S47" i="65"/>
  <c r="T47" i="65"/>
  <c r="U47" i="65"/>
  <c r="R48" i="65"/>
  <c r="AY34" i="67" s="1"/>
  <c r="S48" i="65"/>
  <c r="T48" i="65"/>
  <c r="U48" i="65"/>
  <c r="R49" i="65"/>
  <c r="AY35" i="67" s="1"/>
  <c r="S49" i="65"/>
  <c r="T49" i="65"/>
  <c r="U49" i="65"/>
  <c r="R50" i="65"/>
  <c r="AY36" i="67" s="1"/>
  <c r="S50" i="65"/>
  <c r="T50" i="65"/>
  <c r="U50" i="65"/>
  <c r="R51" i="65"/>
  <c r="AY37" i="67" s="1"/>
  <c r="S51" i="65"/>
  <c r="T51" i="65"/>
  <c r="U51" i="65"/>
  <c r="R52" i="65"/>
  <c r="AY38" i="67" s="1"/>
  <c r="S52" i="65"/>
  <c r="T52" i="65"/>
  <c r="U52" i="65"/>
  <c r="R53" i="65"/>
  <c r="AY39" i="67" s="1"/>
  <c r="S53" i="65"/>
  <c r="T53" i="65"/>
  <c r="U53" i="65"/>
  <c r="R54" i="65"/>
  <c r="AY40" i="67" s="1"/>
  <c r="S54" i="65"/>
  <c r="T54" i="65"/>
  <c r="U54" i="65"/>
  <c r="R55" i="65"/>
  <c r="AY41" i="67" s="1"/>
  <c r="S55" i="65"/>
  <c r="T55" i="65"/>
  <c r="U55" i="65"/>
  <c r="R56" i="65"/>
  <c r="AY42" i="67" s="1"/>
  <c r="S56" i="65"/>
  <c r="T56" i="65"/>
  <c r="U56" i="65"/>
  <c r="R57" i="65"/>
  <c r="AY43" i="67" s="1"/>
  <c r="S57" i="65"/>
  <c r="T57" i="65"/>
  <c r="U57" i="65"/>
  <c r="R58" i="65"/>
  <c r="AY44" i="67" s="1"/>
  <c r="S58" i="65"/>
  <c r="T58" i="65"/>
  <c r="U58" i="65"/>
  <c r="R59" i="65"/>
  <c r="AY45" i="67" s="1"/>
  <c r="S59" i="65"/>
  <c r="T59" i="65"/>
  <c r="U59" i="65"/>
  <c r="R60" i="65"/>
  <c r="AY46" i="67" s="1"/>
  <c r="S60" i="65"/>
  <c r="T60" i="65"/>
  <c r="U60" i="65"/>
  <c r="R61" i="65"/>
  <c r="AY47" i="67" s="1"/>
  <c r="S61" i="65"/>
  <c r="T61" i="65"/>
  <c r="U61" i="65"/>
  <c r="R62" i="65"/>
  <c r="AY48" i="67" s="1"/>
  <c r="S62" i="65"/>
  <c r="T62" i="65"/>
  <c r="U62" i="65"/>
  <c r="R63" i="65"/>
  <c r="AY49" i="67" s="1"/>
  <c r="S63" i="65"/>
  <c r="T63" i="65"/>
  <c r="U63" i="65"/>
  <c r="R64" i="65"/>
  <c r="AY50" i="67" s="1"/>
  <c r="S64" i="65"/>
  <c r="T64" i="65"/>
  <c r="U64" i="65"/>
  <c r="R65" i="65"/>
  <c r="AY51" i="67" s="1"/>
  <c r="S65" i="65"/>
  <c r="T65" i="65"/>
  <c r="U65" i="65"/>
  <c r="R66" i="65"/>
  <c r="AY52" i="67" s="1"/>
  <c r="S66" i="65"/>
  <c r="T66" i="65"/>
  <c r="U66" i="65"/>
  <c r="R67" i="65"/>
  <c r="AY53" i="67" s="1"/>
  <c r="S67" i="65"/>
  <c r="T67" i="65"/>
  <c r="U67" i="65"/>
  <c r="R68" i="65"/>
  <c r="AY54" i="67" s="1"/>
  <c r="S68" i="65"/>
  <c r="T68" i="65"/>
  <c r="U68" i="65"/>
  <c r="R69" i="65"/>
  <c r="AY55" i="67" s="1"/>
  <c r="S69" i="65"/>
  <c r="T69" i="65"/>
  <c r="U69" i="65"/>
  <c r="R70" i="65"/>
  <c r="AY56" i="67" s="1"/>
  <c r="S70" i="65"/>
  <c r="T70" i="65"/>
  <c r="U70" i="65"/>
  <c r="R71" i="65"/>
  <c r="AY57" i="67" s="1"/>
  <c r="S71" i="65"/>
  <c r="T71" i="65"/>
  <c r="U71" i="65"/>
  <c r="R72" i="65"/>
  <c r="AY58" i="67" s="1"/>
  <c r="S72" i="65"/>
  <c r="T72" i="65"/>
  <c r="U72" i="65"/>
  <c r="R73" i="65"/>
  <c r="AY59" i="67" s="1"/>
  <c r="S73" i="65"/>
  <c r="T73" i="65"/>
  <c r="U73" i="65"/>
  <c r="R74" i="65"/>
  <c r="AY60" i="67" s="1"/>
  <c r="S74" i="65"/>
  <c r="T74" i="65"/>
  <c r="U74" i="65"/>
  <c r="R75" i="65"/>
  <c r="AY61" i="67" s="1"/>
  <c r="S75" i="65"/>
  <c r="T75" i="65"/>
  <c r="U75" i="65"/>
  <c r="R76" i="65"/>
  <c r="AY62" i="67" s="1"/>
  <c r="S76" i="65"/>
  <c r="T76" i="65"/>
  <c r="U76" i="65"/>
  <c r="R77" i="65"/>
  <c r="AY63" i="67" s="1"/>
  <c r="S77" i="65"/>
  <c r="T77" i="65"/>
  <c r="U77" i="65"/>
  <c r="R78" i="65"/>
  <c r="AY64" i="67" s="1"/>
  <c r="S78" i="65"/>
  <c r="T78" i="65"/>
  <c r="U78" i="65"/>
  <c r="R79" i="65"/>
  <c r="AY65" i="67" s="1"/>
  <c r="S79" i="65"/>
  <c r="T79" i="65"/>
  <c r="U79" i="65"/>
  <c r="R80" i="65"/>
  <c r="AY66" i="67" s="1"/>
  <c r="S80" i="65"/>
  <c r="T80" i="65"/>
  <c r="U80" i="65"/>
  <c r="R81" i="65"/>
  <c r="AY67" i="67" s="1"/>
  <c r="S81" i="65"/>
  <c r="T81" i="65"/>
  <c r="U81" i="65"/>
  <c r="R82" i="65"/>
  <c r="AY68" i="67" s="1"/>
  <c r="S82" i="65"/>
  <c r="T82" i="65"/>
  <c r="U82" i="65"/>
  <c r="R83" i="65"/>
  <c r="AY69" i="67" s="1"/>
  <c r="S83" i="65"/>
  <c r="T83" i="65"/>
  <c r="U83" i="65"/>
  <c r="R84" i="65"/>
  <c r="AY70" i="67" s="1"/>
  <c r="S84" i="65"/>
  <c r="T84" i="65"/>
  <c r="U84" i="65"/>
  <c r="R85" i="65"/>
  <c r="AY71" i="67" s="1"/>
  <c r="S85" i="65"/>
  <c r="T85" i="65"/>
  <c r="U85" i="65"/>
  <c r="R86" i="65"/>
  <c r="AY72" i="67" s="1"/>
  <c r="S86" i="65"/>
  <c r="T86" i="65"/>
  <c r="U86" i="65"/>
  <c r="R87" i="65"/>
  <c r="AY73" i="67" s="1"/>
  <c r="S87" i="65"/>
  <c r="T87" i="65"/>
  <c r="U87" i="65"/>
  <c r="R88" i="65"/>
  <c r="AY74" i="67" s="1"/>
  <c r="S88" i="65"/>
  <c r="T88" i="65"/>
  <c r="U88" i="65"/>
  <c r="R89" i="65"/>
  <c r="AY75" i="67" s="1"/>
  <c r="S89" i="65"/>
  <c r="T89" i="65"/>
  <c r="U89" i="65"/>
  <c r="R90" i="65"/>
  <c r="AY76" i="67" s="1"/>
  <c r="S90" i="65"/>
  <c r="T90" i="65"/>
  <c r="U90" i="65"/>
  <c r="R91" i="65"/>
  <c r="AY77" i="67" s="1"/>
  <c r="S91" i="65"/>
  <c r="T91" i="65"/>
  <c r="U91" i="65"/>
  <c r="R92" i="65"/>
  <c r="AY78" i="67" s="1"/>
  <c r="S92" i="65"/>
  <c r="T92" i="65"/>
  <c r="U92" i="65"/>
  <c r="R93" i="65"/>
  <c r="AY79" i="67" s="1"/>
  <c r="S93" i="65"/>
  <c r="T93" i="65"/>
  <c r="U93" i="65"/>
  <c r="R94" i="65"/>
  <c r="AY80" i="67" s="1"/>
  <c r="S94" i="65"/>
  <c r="T94" i="65"/>
  <c r="U94" i="65"/>
  <c r="R95" i="65"/>
  <c r="AY81" i="67" s="1"/>
  <c r="S95" i="65"/>
  <c r="T95" i="65"/>
  <c r="U95" i="65"/>
  <c r="R96" i="65"/>
  <c r="AY82" i="67" s="1"/>
  <c r="S96" i="65"/>
  <c r="T96" i="65"/>
  <c r="U96" i="65"/>
  <c r="R97" i="65"/>
  <c r="AY83" i="67" s="1"/>
  <c r="S97" i="65"/>
  <c r="T97" i="65"/>
  <c r="U97" i="65"/>
  <c r="R98" i="65"/>
  <c r="AY84" i="67" s="1"/>
  <c r="S98" i="65"/>
  <c r="T98" i="65"/>
  <c r="U98" i="65"/>
  <c r="R99" i="65"/>
  <c r="AY85" i="67" s="1"/>
  <c r="S99" i="65"/>
  <c r="T99" i="65"/>
  <c r="U99" i="65"/>
  <c r="R100" i="65"/>
  <c r="AY86" i="67" s="1"/>
  <c r="S100" i="65"/>
  <c r="T100" i="65"/>
  <c r="U100" i="65"/>
  <c r="R101" i="65"/>
  <c r="AY87" i="67" s="1"/>
  <c r="S101" i="65"/>
  <c r="T101" i="65"/>
  <c r="U101" i="65"/>
  <c r="R102" i="65"/>
  <c r="AY88" i="67" s="1"/>
  <c r="S102" i="65"/>
  <c r="T102" i="65"/>
  <c r="U102" i="65"/>
  <c r="R103" i="65"/>
  <c r="AY89" i="67" s="1"/>
  <c r="S103" i="65"/>
  <c r="T103" i="65"/>
  <c r="U103" i="65"/>
  <c r="R104" i="65"/>
  <c r="AY90" i="67" s="1"/>
  <c r="S104" i="65"/>
  <c r="T104" i="65"/>
  <c r="U104" i="65"/>
  <c r="R105" i="65"/>
  <c r="AY91" i="67" s="1"/>
  <c r="S105" i="65"/>
  <c r="T105" i="65"/>
  <c r="U105" i="65"/>
  <c r="R106" i="65"/>
  <c r="AY92" i="67" s="1"/>
  <c r="S106" i="65"/>
  <c r="T106" i="65"/>
  <c r="U106" i="65"/>
  <c r="R107" i="65"/>
  <c r="AY93" i="67" s="1"/>
  <c r="S107" i="65"/>
  <c r="T107" i="65"/>
  <c r="U107" i="65"/>
  <c r="R108" i="65"/>
  <c r="AY94" i="67" s="1"/>
  <c r="S108" i="65"/>
  <c r="T108" i="65"/>
  <c r="U108" i="65"/>
  <c r="R109" i="65"/>
  <c r="AY95" i="67" s="1"/>
  <c r="S109" i="65"/>
  <c r="T109" i="65"/>
  <c r="U109" i="65"/>
  <c r="S110" i="65"/>
  <c r="T110" i="65"/>
  <c r="U110" i="65"/>
  <c r="S111" i="65"/>
  <c r="T111" i="65"/>
  <c r="U111" i="65"/>
  <c r="B110" i="38"/>
  <c r="C110" i="38"/>
  <c r="N110" i="38"/>
  <c r="B111" i="38"/>
  <c r="C111" i="38"/>
  <c r="N111" i="38"/>
  <c r="B112" i="38"/>
  <c r="C112" i="38"/>
  <c r="N112" i="38"/>
  <c r="B113" i="38"/>
  <c r="C113" i="38"/>
  <c r="N113" i="38"/>
  <c r="B114" i="38"/>
  <c r="C114" i="38"/>
  <c r="N114" i="38"/>
  <c r="B115" i="38"/>
  <c r="C115" i="38"/>
  <c r="N115" i="38"/>
  <c r="L2" i="30"/>
  <c r="L3" i="30"/>
  <c r="L4" i="30"/>
  <c r="L5" i="30"/>
  <c r="L6" i="30"/>
  <c r="L7" i="30"/>
  <c r="L8" i="30"/>
  <c r="L9" i="30"/>
  <c r="L10" i="30"/>
  <c r="L11" i="30"/>
  <c r="L12" i="30"/>
  <c r="L13" i="30"/>
  <c r="L14" i="30"/>
  <c r="L15" i="30"/>
  <c r="L16" i="30"/>
  <c r="L17" i="30"/>
  <c r="L18" i="30"/>
  <c r="L19" i="30"/>
  <c r="L20" i="30"/>
  <c r="L21" i="30"/>
  <c r="L22" i="30"/>
  <c r="L23" i="30"/>
  <c r="L24" i="30"/>
  <c r="L25" i="30"/>
  <c r="L26" i="30"/>
  <c r="L27" i="30"/>
  <c r="L28" i="30"/>
  <c r="L29" i="30"/>
  <c r="L30" i="30"/>
  <c r="L31" i="30"/>
  <c r="L32" i="30"/>
  <c r="L33" i="30"/>
  <c r="L34" i="30"/>
  <c r="L35" i="30"/>
  <c r="L36" i="30"/>
  <c r="L37" i="30"/>
  <c r="L38" i="30"/>
  <c r="L39" i="30"/>
  <c r="L40" i="30"/>
  <c r="L41" i="30"/>
  <c r="L42" i="30"/>
  <c r="L43" i="30"/>
  <c r="L44" i="30"/>
  <c r="L45" i="30"/>
  <c r="L46" i="30"/>
  <c r="L47" i="30"/>
  <c r="L48" i="30"/>
  <c r="L49" i="30"/>
  <c r="L50" i="30"/>
  <c r="L51" i="30"/>
  <c r="L52" i="30"/>
  <c r="L53" i="30"/>
  <c r="L54" i="30"/>
  <c r="L55" i="30"/>
  <c r="L56" i="30"/>
  <c r="L57" i="30"/>
  <c r="L58" i="30"/>
  <c r="L59" i="30"/>
  <c r="L60" i="30"/>
  <c r="L61" i="30"/>
  <c r="L62" i="30"/>
  <c r="L63" i="30"/>
  <c r="L64" i="30"/>
  <c r="L65" i="30"/>
  <c r="L66" i="30"/>
  <c r="L67" i="30"/>
  <c r="L68" i="30"/>
  <c r="L69" i="30"/>
  <c r="L70" i="30"/>
  <c r="L71" i="30"/>
  <c r="L72" i="30"/>
  <c r="L73" i="30"/>
  <c r="L74" i="30"/>
  <c r="L75" i="30"/>
  <c r="L76" i="30"/>
  <c r="L77" i="30"/>
  <c r="L78" i="30"/>
  <c r="L79" i="30"/>
  <c r="L80" i="30"/>
  <c r="L81" i="30"/>
  <c r="L82" i="30"/>
  <c r="L83" i="30"/>
  <c r="L84" i="30"/>
  <c r="L85" i="30"/>
  <c r="L86" i="30"/>
  <c r="L87" i="30"/>
  <c r="L88" i="30"/>
  <c r="L89" i="30"/>
  <c r="L90" i="30"/>
  <c r="L91" i="30"/>
  <c r="L92" i="30"/>
  <c r="L93" i="30"/>
  <c r="L94" i="30"/>
  <c r="L95" i="30"/>
  <c r="L96" i="30"/>
  <c r="L97" i="30"/>
  <c r="A125" i="76" l="1"/>
  <c r="B124" i="76"/>
  <c r="C124" i="76"/>
  <c r="A125" i="38"/>
  <c r="B124" i="38"/>
  <c r="C124" i="38"/>
  <c r="R111" i="65"/>
  <c r="AY97" i="67" s="1"/>
  <c r="A126" i="76" l="1"/>
  <c r="B125" i="76"/>
  <c r="C125" i="76"/>
  <c r="A126" i="38"/>
  <c r="B125" i="38"/>
  <c r="C125" i="38"/>
  <c r="A127" i="76" l="1"/>
  <c r="A128" i="76" s="1"/>
  <c r="A129" i="76" s="1"/>
  <c r="A130" i="76" s="1"/>
  <c r="A131" i="76" s="1"/>
  <c r="A132" i="76" s="1"/>
  <c r="A133" i="76" s="1"/>
  <c r="B126" i="76"/>
  <c r="C126" i="76"/>
  <c r="A127" i="38"/>
  <c r="A128" i="38" s="1"/>
  <c r="A129" i="38" s="1"/>
  <c r="A130" i="38" s="1"/>
  <c r="A131" i="38" s="1"/>
  <c r="A132" i="38" s="1"/>
  <c r="A133" i="38" s="1"/>
  <c r="B126" i="38"/>
  <c r="C126" i="38"/>
  <c r="E6" i="69" l="1"/>
  <c r="K58" i="69" s="1"/>
  <c r="L58" i="69" s="1"/>
  <c r="M58" i="69" s="1"/>
  <c r="E5" i="69"/>
  <c r="CS97" i="67"/>
  <c r="I97" i="38" s="1"/>
  <c r="C97" i="67"/>
  <c r="B97" i="67"/>
  <c r="CS96" i="67"/>
  <c r="I96" i="38" s="1"/>
  <c r="C96" i="67"/>
  <c r="B96" i="67"/>
  <c r="CS95" i="67"/>
  <c r="I95" i="38" s="1"/>
  <c r="C95" i="67"/>
  <c r="B95" i="67"/>
  <c r="CS94" i="67"/>
  <c r="I94" i="38" s="1"/>
  <c r="C94" i="67"/>
  <c r="B94" i="67"/>
  <c r="CS93" i="67"/>
  <c r="I93" i="38" s="1"/>
  <c r="C93" i="67"/>
  <c r="B93" i="67"/>
  <c r="CS92" i="67"/>
  <c r="I92" i="38" s="1"/>
  <c r="C92" i="67"/>
  <c r="B92" i="67"/>
  <c r="CS91" i="67"/>
  <c r="I91" i="38" s="1"/>
  <c r="C91" i="67"/>
  <c r="B91" i="67"/>
  <c r="CS90" i="67"/>
  <c r="I90" i="38" s="1"/>
  <c r="C90" i="67"/>
  <c r="B90" i="67"/>
  <c r="CS89" i="67"/>
  <c r="I89" i="38" s="1"/>
  <c r="C89" i="67"/>
  <c r="B89" i="67"/>
  <c r="CS88" i="67"/>
  <c r="I88" i="38" s="1"/>
  <c r="C88" i="67"/>
  <c r="B88" i="67"/>
  <c r="CS87" i="67"/>
  <c r="C87" i="67"/>
  <c r="B87" i="67"/>
  <c r="CS86" i="67"/>
  <c r="C86" i="67"/>
  <c r="B86" i="67"/>
  <c r="CS85" i="67"/>
  <c r="C85" i="67"/>
  <c r="B85" i="67"/>
  <c r="CS84" i="67"/>
  <c r="C84" i="67"/>
  <c r="B84" i="67"/>
  <c r="CS83" i="67"/>
  <c r="C83" i="67"/>
  <c r="B83" i="67"/>
  <c r="CS82" i="67"/>
  <c r="C82" i="67"/>
  <c r="B82" i="67"/>
  <c r="CS81" i="67"/>
  <c r="C81" i="67"/>
  <c r="B81" i="67"/>
  <c r="CS80" i="67"/>
  <c r="C80" i="67"/>
  <c r="B80" i="67"/>
  <c r="CS79" i="67"/>
  <c r="C79" i="67"/>
  <c r="B79" i="67"/>
  <c r="CS78" i="67"/>
  <c r="C78" i="67"/>
  <c r="B78" i="67"/>
  <c r="CS77" i="67"/>
  <c r="C77" i="67"/>
  <c r="B77" i="67"/>
  <c r="CS76" i="67"/>
  <c r="C76" i="67"/>
  <c r="B76" i="67"/>
  <c r="CS75" i="67"/>
  <c r="C75" i="67"/>
  <c r="B75" i="67"/>
  <c r="CS74" i="67"/>
  <c r="C74" i="67"/>
  <c r="B74" i="67"/>
  <c r="CS73" i="67"/>
  <c r="CC73" i="67"/>
  <c r="CB73" i="67"/>
  <c r="CB85" i="67" s="1"/>
  <c r="CB97" i="67" s="1"/>
  <c r="CB109" i="67" s="1"/>
  <c r="CA73" i="67"/>
  <c r="CA85" i="67" s="1"/>
  <c r="CA97" i="67" s="1"/>
  <c r="CA109" i="67" s="1"/>
  <c r="BZ73" i="67"/>
  <c r="BZ85" i="67" s="1"/>
  <c r="BZ97" i="67" s="1"/>
  <c r="BZ109" i="67" s="1"/>
  <c r="BY73" i="67"/>
  <c r="BX73" i="67"/>
  <c r="BX85" i="67" s="1"/>
  <c r="BX97" i="67" s="1"/>
  <c r="BX109" i="67" s="1"/>
  <c r="BW73" i="67"/>
  <c r="BV73" i="67"/>
  <c r="BV85" i="67" s="1"/>
  <c r="BV97" i="67" s="1"/>
  <c r="BV109" i="67" s="1"/>
  <c r="BU73" i="67"/>
  <c r="BU85" i="67" s="1"/>
  <c r="BU97" i="67" s="1"/>
  <c r="BU109" i="67" s="1"/>
  <c r="BT73" i="67"/>
  <c r="BS73" i="67"/>
  <c r="BS85" i="67" s="1"/>
  <c r="BS97" i="67" s="1"/>
  <c r="BS109" i="67" s="1"/>
  <c r="BR73" i="67"/>
  <c r="BR85" i="67" s="1"/>
  <c r="BR97" i="67" s="1"/>
  <c r="BR109" i="67" s="1"/>
  <c r="C73" i="67"/>
  <c r="B73" i="67"/>
  <c r="CS72" i="67"/>
  <c r="CC72" i="67"/>
  <c r="CB72" i="67"/>
  <c r="CB84" i="67" s="1"/>
  <c r="CB96" i="67" s="1"/>
  <c r="CB108" i="67" s="1"/>
  <c r="CA72" i="67"/>
  <c r="CA84" i="67" s="1"/>
  <c r="CA96" i="67" s="1"/>
  <c r="CA108" i="67" s="1"/>
  <c r="BZ72" i="67"/>
  <c r="BZ84" i="67" s="1"/>
  <c r="BZ96" i="67" s="1"/>
  <c r="BZ108" i="67" s="1"/>
  <c r="BY72" i="67"/>
  <c r="BX72" i="67"/>
  <c r="BX84" i="67" s="1"/>
  <c r="BX96" i="67" s="1"/>
  <c r="BX108" i="67" s="1"/>
  <c r="BW72" i="67"/>
  <c r="BV72" i="67"/>
  <c r="BV84" i="67" s="1"/>
  <c r="BV96" i="67" s="1"/>
  <c r="BV108" i="67" s="1"/>
  <c r="BU72" i="67"/>
  <c r="BU84" i="67" s="1"/>
  <c r="BU96" i="67" s="1"/>
  <c r="BU108" i="67" s="1"/>
  <c r="BT72" i="67"/>
  <c r="BS72" i="67"/>
  <c r="BS84" i="67" s="1"/>
  <c r="BS96" i="67" s="1"/>
  <c r="BS108" i="67" s="1"/>
  <c r="BR72" i="67"/>
  <c r="BR84" i="67" s="1"/>
  <c r="BR96" i="67" s="1"/>
  <c r="BR108" i="67" s="1"/>
  <c r="C72" i="67"/>
  <c r="B72" i="67"/>
  <c r="CS71" i="67"/>
  <c r="CC71" i="67"/>
  <c r="CB71" i="67"/>
  <c r="CB83" i="67" s="1"/>
  <c r="CB95" i="67" s="1"/>
  <c r="CB107" i="67" s="1"/>
  <c r="CA71" i="67"/>
  <c r="CA83" i="67" s="1"/>
  <c r="CA95" i="67" s="1"/>
  <c r="CA107" i="67" s="1"/>
  <c r="BZ71" i="67"/>
  <c r="BZ83" i="67" s="1"/>
  <c r="BZ95" i="67" s="1"/>
  <c r="BZ107" i="67" s="1"/>
  <c r="BY71" i="67"/>
  <c r="BX71" i="67"/>
  <c r="BX83" i="67" s="1"/>
  <c r="BX95" i="67" s="1"/>
  <c r="BX107" i="67" s="1"/>
  <c r="BW71" i="67"/>
  <c r="BV71" i="67"/>
  <c r="BV83" i="67" s="1"/>
  <c r="BV95" i="67" s="1"/>
  <c r="BV107" i="67" s="1"/>
  <c r="BU71" i="67"/>
  <c r="BU83" i="67" s="1"/>
  <c r="BU95" i="67" s="1"/>
  <c r="BU107" i="67" s="1"/>
  <c r="BT71" i="67"/>
  <c r="BS71" i="67"/>
  <c r="BS83" i="67" s="1"/>
  <c r="BS95" i="67" s="1"/>
  <c r="BS107" i="67" s="1"/>
  <c r="BR71" i="67"/>
  <c r="BR83" i="67" s="1"/>
  <c r="BR95" i="67" s="1"/>
  <c r="BR107" i="67" s="1"/>
  <c r="C71" i="67"/>
  <c r="B71" i="67"/>
  <c r="CS70" i="67"/>
  <c r="CC70" i="67"/>
  <c r="CB70" i="67"/>
  <c r="CB82" i="67" s="1"/>
  <c r="CB94" i="67" s="1"/>
  <c r="CB106" i="67" s="1"/>
  <c r="CA70" i="67"/>
  <c r="CA82" i="67" s="1"/>
  <c r="CA94" i="67" s="1"/>
  <c r="CA106" i="67" s="1"/>
  <c r="BZ70" i="67"/>
  <c r="BZ82" i="67" s="1"/>
  <c r="BZ94" i="67" s="1"/>
  <c r="BZ106" i="67" s="1"/>
  <c r="BY70" i="67"/>
  <c r="BX70" i="67"/>
  <c r="BX82" i="67" s="1"/>
  <c r="BX94" i="67" s="1"/>
  <c r="BX106" i="67" s="1"/>
  <c r="BW70" i="67"/>
  <c r="BV70" i="67"/>
  <c r="BV82" i="67" s="1"/>
  <c r="BV94" i="67" s="1"/>
  <c r="BV106" i="67" s="1"/>
  <c r="BU70" i="67"/>
  <c r="BU82" i="67" s="1"/>
  <c r="BU94" i="67" s="1"/>
  <c r="BU106" i="67" s="1"/>
  <c r="BT70" i="67"/>
  <c r="BS70" i="67"/>
  <c r="BS82" i="67" s="1"/>
  <c r="BS94" i="67" s="1"/>
  <c r="BS106" i="67" s="1"/>
  <c r="BR70" i="67"/>
  <c r="BR82" i="67" s="1"/>
  <c r="BR94" i="67" s="1"/>
  <c r="BR106" i="67" s="1"/>
  <c r="C70" i="67"/>
  <c r="B70" i="67"/>
  <c r="CS69" i="67"/>
  <c r="CC69" i="67"/>
  <c r="CB69" i="67"/>
  <c r="CB81" i="67" s="1"/>
  <c r="CB93" i="67" s="1"/>
  <c r="CB105" i="67" s="1"/>
  <c r="CA69" i="67"/>
  <c r="CA81" i="67" s="1"/>
  <c r="CA93" i="67" s="1"/>
  <c r="CA105" i="67" s="1"/>
  <c r="BZ69" i="67"/>
  <c r="BZ81" i="67" s="1"/>
  <c r="BZ93" i="67" s="1"/>
  <c r="BZ105" i="67" s="1"/>
  <c r="BY69" i="67"/>
  <c r="BX69" i="67"/>
  <c r="BX81" i="67" s="1"/>
  <c r="BX93" i="67" s="1"/>
  <c r="BX105" i="67" s="1"/>
  <c r="BW69" i="67"/>
  <c r="BV69" i="67"/>
  <c r="BV81" i="67" s="1"/>
  <c r="BV93" i="67" s="1"/>
  <c r="BV105" i="67" s="1"/>
  <c r="BU69" i="67"/>
  <c r="BU81" i="67" s="1"/>
  <c r="BU93" i="67" s="1"/>
  <c r="BU105" i="67" s="1"/>
  <c r="BT69" i="67"/>
  <c r="BS69" i="67"/>
  <c r="BS81" i="67" s="1"/>
  <c r="BS93" i="67" s="1"/>
  <c r="BS105" i="67" s="1"/>
  <c r="BR69" i="67"/>
  <c r="BR81" i="67" s="1"/>
  <c r="BR93" i="67" s="1"/>
  <c r="BR105" i="67" s="1"/>
  <c r="C69" i="67"/>
  <c r="B69" i="67"/>
  <c r="CS68" i="67"/>
  <c r="CC68" i="67"/>
  <c r="CB68" i="67"/>
  <c r="CB80" i="67" s="1"/>
  <c r="CB92" i="67" s="1"/>
  <c r="CB104" i="67" s="1"/>
  <c r="CA68" i="67"/>
  <c r="CA80" i="67" s="1"/>
  <c r="CA92" i="67" s="1"/>
  <c r="CA104" i="67" s="1"/>
  <c r="BZ68" i="67"/>
  <c r="BZ80" i="67" s="1"/>
  <c r="BZ92" i="67" s="1"/>
  <c r="BZ104" i="67" s="1"/>
  <c r="BY68" i="67"/>
  <c r="BX68" i="67"/>
  <c r="BX80" i="67" s="1"/>
  <c r="BX92" i="67" s="1"/>
  <c r="BX104" i="67" s="1"/>
  <c r="BW68" i="67"/>
  <c r="BV68" i="67"/>
  <c r="BV80" i="67" s="1"/>
  <c r="BV92" i="67" s="1"/>
  <c r="BV104" i="67" s="1"/>
  <c r="BU68" i="67"/>
  <c r="BU80" i="67" s="1"/>
  <c r="BU92" i="67" s="1"/>
  <c r="BU104" i="67" s="1"/>
  <c r="BT68" i="67"/>
  <c r="BS68" i="67"/>
  <c r="BS80" i="67" s="1"/>
  <c r="BS92" i="67" s="1"/>
  <c r="BS104" i="67" s="1"/>
  <c r="BR68" i="67"/>
  <c r="BR80" i="67" s="1"/>
  <c r="BR92" i="67" s="1"/>
  <c r="BR104" i="67" s="1"/>
  <c r="C68" i="67"/>
  <c r="B68" i="67"/>
  <c r="CS67" i="67"/>
  <c r="CC67" i="67"/>
  <c r="CB67" i="67"/>
  <c r="CB79" i="67" s="1"/>
  <c r="CB91" i="67" s="1"/>
  <c r="CB103" i="67" s="1"/>
  <c r="CA67" i="67"/>
  <c r="CA79" i="67" s="1"/>
  <c r="CA91" i="67" s="1"/>
  <c r="CA103" i="67" s="1"/>
  <c r="BZ67" i="67"/>
  <c r="BZ79" i="67" s="1"/>
  <c r="BZ91" i="67" s="1"/>
  <c r="BZ103" i="67" s="1"/>
  <c r="BY67" i="67"/>
  <c r="BX67" i="67"/>
  <c r="BX79" i="67" s="1"/>
  <c r="BX91" i="67" s="1"/>
  <c r="BX103" i="67" s="1"/>
  <c r="BW67" i="67"/>
  <c r="BV67" i="67"/>
  <c r="BV79" i="67" s="1"/>
  <c r="BV91" i="67" s="1"/>
  <c r="BV103" i="67" s="1"/>
  <c r="BU67" i="67"/>
  <c r="BU79" i="67" s="1"/>
  <c r="BU91" i="67" s="1"/>
  <c r="BU103" i="67" s="1"/>
  <c r="BT67" i="67"/>
  <c r="BS67" i="67"/>
  <c r="BS79" i="67" s="1"/>
  <c r="BS91" i="67" s="1"/>
  <c r="BS103" i="67" s="1"/>
  <c r="BR67" i="67"/>
  <c r="BR79" i="67" s="1"/>
  <c r="BR91" i="67" s="1"/>
  <c r="BR103" i="67" s="1"/>
  <c r="C67" i="67"/>
  <c r="B67" i="67"/>
  <c r="CS66" i="67"/>
  <c r="CC66" i="67"/>
  <c r="CB66" i="67"/>
  <c r="CB78" i="67" s="1"/>
  <c r="CB90" i="67" s="1"/>
  <c r="CB102" i="67" s="1"/>
  <c r="CA66" i="67"/>
  <c r="CA78" i="67" s="1"/>
  <c r="CA90" i="67" s="1"/>
  <c r="CA102" i="67" s="1"/>
  <c r="BZ66" i="67"/>
  <c r="BZ78" i="67" s="1"/>
  <c r="BZ90" i="67" s="1"/>
  <c r="BZ102" i="67" s="1"/>
  <c r="BY66" i="67"/>
  <c r="BX66" i="67"/>
  <c r="BX78" i="67" s="1"/>
  <c r="BX90" i="67" s="1"/>
  <c r="BX102" i="67" s="1"/>
  <c r="BW66" i="67"/>
  <c r="BV66" i="67"/>
  <c r="BV78" i="67" s="1"/>
  <c r="BV90" i="67" s="1"/>
  <c r="BV102" i="67" s="1"/>
  <c r="BU66" i="67"/>
  <c r="BU78" i="67" s="1"/>
  <c r="BU90" i="67" s="1"/>
  <c r="BU102" i="67" s="1"/>
  <c r="BT66" i="67"/>
  <c r="BS66" i="67"/>
  <c r="BS78" i="67" s="1"/>
  <c r="BS90" i="67" s="1"/>
  <c r="BS102" i="67" s="1"/>
  <c r="BR66" i="67"/>
  <c r="BR78" i="67" s="1"/>
  <c r="BR90" i="67" s="1"/>
  <c r="BR102" i="67" s="1"/>
  <c r="C66" i="67"/>
  <c r="B66" i="67"/>
  <c r="CS65" i="67"/>
  <c r="CC65" i="67"/>
  <c r="CB65" i="67"/>
  <c r="CB77" i="67" s="1"/>
  <c r="CB89" i="67" s="1"/>
  <c r="CB101" i="67" s="1"/>
  <c r="CA65" i="67"/>
  <c r="CA77" i="67" s="1"/>
  <c r="CA89" i="67" s="1"/>
  <c r="CA101" i="67" s="1"/>
  <c r="BZ65" i="67"/>
  <c r="BZ77" i="67" s="1"/>
  <c r="BZ89" i="67" s="1"/>
  <c r="BZ101" i="67" s="1"/>
  <c r="BY65" i="67"/>
  <c r="BX65" i="67"/>
  <c r="BX77" i="67" s="1"/>
  <c r="BX89" i="67" s="1"/>
  <c r="BX101" i="67" s="1"/>
  <c r="BW65" i="67"/>
  <c r="BV65" i="67"/>
  <c r="BV77" i="67" s="1"/>
  <c r="BV89" i="67" s="1"/>
  <c r="BV101" i="67" s="1"/>
  <c r="BU65" i="67"/>
  <c r="BU77" i="67" s="1"/>
  <c r="BU89" i="67" s="1"/>
  <c r="BU101" i="67" s="1"/>
  <c r="BT65" i="67"/>
  <c r="BS65" i="67"/>
  <c r="BS77" i="67" s="1"/>
  <c r="BS89" i="67" s="1"/>
  <c r="BS101" i="67" s="1"/>
  <c r="BR65" i="67"/>
  <c r="BR77" i="67" s="1"/>
  <c r="BR89" i="67" s="1"/>
  <c r="BR101" i="67" s="1"/>
  <c r="C65" i="67"/>
  <c r="B65" i="67"/>
  <c r="CS64" i="67"/>
  <c r="CC64" i="67"/>
  <c r="CB64" i="67"/>
  <c r="CB76" i="67" s="1"/>
  <c r="CB88" i="67" s="1"/>
  <c r="CB100" i="67" s="1"/>
  <c r="CA64" i="67"/>
  <c r="CA76" i="67" s="1"/>
  <c r="CA88" i="67" s="1"/>
  <c r="CA100" i="67" s="1"/>
  <c r="BZ64" i="67"/>
  <c r="BZ76" i="67" s="1"/>
  <c r="BZ88" i="67" s="1"/>
  <c r="BZ100" i="67" s="1"/>
  <c r="BY64" i="67"/>
  <c r="BX64" i="67"/>
  <c r="BX76" i="67" s="1"/>
  <c r="BX88" i="67" s="1"/>
  <c r="BX100" i="67" s="1"/>
  <c r="BW64" i="67"/>
  <c r="BV64" i="67"/>
  <c r="BV76" i="67" s="1"/>
  <c r="BV88" i="67" s="1"/>
  <c r="BV100" i="67" s="1"/>
  <c r="BU64" i="67"/>
  <c r="BU76" i="67" s="1"/>
  <c r="BU88" i="67" s="1"/>
  <c r="BU100" i="67" s="1"/>
  <c r="BT64" i="67"/>
  <c r="BS64" i="67"/>
  <c r="BS76" i="67" s="1"/>
  <c r="BS88" i="67" s="1"/>
  <c r="BS100" i="67" s="1"/>
  <c r="BR64" i="67"/>
  <c r="BR76" i="67" s="1"/>
  <c r="BR88" i="67" s="1"/>
  <c r="BR100" i="67" s="1"/>
  <c r="C64" i="67"/>
  <c r="B64" i="67"/>
  <c r="CS63" i="67"/>
  <c r="CC63" i="67"/>
  <c r="CB63" i="67"/>
  <c r="CB75" i="67" s="1"/>
  <c r="CB87" i="67" s="1"/>
  <c r="CB99" i="67" s="1"/>
  <c r="CA63" i="67"/>
  <c r="CA75" i="67" s="1"/>
  <c r="CA87" i="67" s="1"/>
  <c r="CA99" i="67" s="1"/>
  <c r="BZ63" i="67"/>
  <c r="BZ75" i="67" s="1"/>
  <c r="BZ87" i="67" s="1"/>
  <c r="BZ99" i="67" s="1"/>
  <c r="BY63" i="67"/>
  <c r="BX63" i="67"/>
  <c r="BX75" i="67" s="1"/>
  <c r="BX87" i="67" s="1"/>
  <c r="BX99" i="67" s="1"/>
  <c r="BW63" i="67"/>
  <c r="BV63" i="67"/>
  <c r="BV75" i="67" s="1"/>
  <c r="BV87" i="67" s="1"/>
  <c r="BV99" i="67" s="1"/>
  <c r="BU63" i="67"/>
  <c r="BU75" i="67" s="1"/>
  <c r="BU87" i="67" s="1"/>
  <c r="BU99" i="67" s="1"/>
  <c r="BT63" i="67"/>
  <c r="BS63" i="67"/>
  <c r="BS75" i="67" s="1"/>
  <c r="BS87" i="67" s="1"/>
  <c r="BS99" i="67" s="1"/>
  <c r="BR63" i="67"/>
  <c r="BR75" i="67" s="1"/>
  <c r="BR87" i="67" s="1"/>
  <c r="BR99" i="67" s="1"/>
  <c r="C63" i="67"/>
  <c r="B63" i="67"/>
  <c r="CS62" i="67"/>
  <c r="CC62" i="67"/>
  <c r="CB62" i="67"/>
  <c r="CB74" i="67" s="1"/>
  <c r="CB86" i="67" s="1"/>
  <c r="CB98" i="67" s="1"/>
  <c r="CA62" i="67"/>
  <c r="CA74" i="67" s="1"/>
  <c r="CA86" i="67" s="1"/>
  <c r="CA98" i="67" s="1"/>
  <c r="BZ62" i="67"/>
  <c r="BZ74" i="67" s="1"/>
  <c r="BZ86" i="67" s="1"/>
  <c r="BZ98" i="67" s="1"/>
  <c r="BY62" i="67"/>
  <c r="BX62" i="67"/>
  <c r="BX74" i="67" s="1"/>
  <c r="BX86" i="67" s="1"/>
  <c r="BX98" i="67" s="1"/>
  <c r="BW62" i="67"/>
  <c r="BV62" i="67"/>
  <c r="BV74" i="67" s="1"/>
  <c r="BV86" i="67" s="1"/>
  <c r="BV98" i="67" s="1"/>
  <c r="BU62" i="67"/>
  <c r="BU74" i="67" s="1"/>
  <c r="BU86" i="67" s="1"/>
  <c r="BU98" i="67" s="1"/>
  <c r="BT62" i="67"/>
  <c r="BS62" i="67"/>
  <c r="BS74" i="67" s="1"/>
  <c r="BS86" i="67" s="1"/>
  <c r="BS98" i="67" s="1"/>
  <c r="BR62" i="67"/>
  <c r="BR74" i="67" s="1"/>
  <c r="BR86" i="67" s="1"/>
  <c r="BR98" i="67" s="1"/>
  <c r="C62" i="67"/>
  <c r="B62" i="67"/>
  <c r="CS61" i="67"/>
  <c r="I61" i="38" s="1"/>
  <c r="CH61" i="67"/>
  <c r="CF61" i="67"/>
  <c r="CD61" i="67"/>
  <c r="CD73" i="67" s="1"/>
  <c r="CD85" i="67" s="1"/>
  <c r="CD97" i="67" s="1"/>
  <c r="CD109" i="67" s="1"/>
  <c r="C61" i="67"/>
  <c r="B61" i="67"/>
  <c r="CS60" i="67"/>
  <c r="I60" i="38" s="1"/>
  <c r="CH60" i="67"/>
  <c r="CF60" i="67"/>
  <c r="CD60" i="67"/>
  <c r="CD72" i="67" s="1"/>
  <c r="CD84" i="67" s="1"/>
  <c r="CD96" i="67" s="1"/>
  <c r="CD108" i="67" s="1"/>
  <c r="C60" i="67"/>
  <c r="B60" i="67"/>
  <c r="CS59" i="67"/>
  <c r="I59" i="38" s="1"/>
  <c r="CH59" i="67"/>
  <c r="CF59" i="67"/>
  <c r="CD59" i="67"/>
  <c r="CD71" i="67" s="1"/>
  <c r="CD83" i="67" s="1"/>
  <c r="CD95" i="67" s="1"/>
  <c r="CD107" i="67" s="1"/>
  <c r="C59" i="67"/>
  <c r="B59" i="67"/>
  <c r="CS58" i="67"/>
  <c r="I58" i="38" s="1"/>
  <c r="CH58" i="67"/>
  <c r="CF58" i="67"/>
  <c r="CD58" i="67"/>
  <c r="CD70" i="67" s="1"/>
  <c r="CD82" i="67" s="1"/>
  <c r="CD94" i="67" s="1"/>
  <c r="CD106" i="67" s="1"/>
  <c r="C58" i="67"/>
  <c r="B58" i="67"/>
  <c r="CS57" i="67"/>
  <c r="I57" i="38" s="1"/>
  <c r="CH57" i="67"/>
  <c r="CF57" i="67"/>
  <c r="CD57" i="67"/>
  <c r="CD69" i="67" s="1"/>
  <c r="CD81" i="67" s="1"/>
  <c r="CD93" i="67" s="1"/>
  <c r="CD105" i="67" s="1"/>
  <c r="C57" i="67"/>
  <c r="B57" i="67"/>
  <c r="CS56" i="67"/>
  <c r="I56" i="38" s="1"/>
  <c r="CH56" i="67"/>
  <c r="CF56" i="67"/>
  <c r="CD56" i="67"/>
  <c r="CD68" i="67" s="1"/>
  <c r="CD80" i="67" s="1"/>
  <c r="CD92" i="67" s="1"/>
  <c r="CD104" i="67" s="1"/>
  <c r="C56" i="67"/>
  <c r="B56" i="67"/>
  <c r="CS55" i="67"/>
  <c r="I55" i="38" s="1"/>
  <c r="CH55" i="67"/>
  <c r="CF55" i="67"/>
  <c r="CD55" i="67"/>
  <c r="CD67" i="67" s="1"/>
  <c r="CD79" i="67" s="1"/>
  <c r="CD91" i="67" s="1"/>
  <c r="CD103" i="67" s="1"/>
  <c r="C55" i="67"/>
  <c r="B55" i="67"/>
  <c r="CS54" i="67"/>
  <c r="I54" i="38" s="1"/>
  <c r="CH54" i="67"/>
  <c r="CF54" i="67"/>
  <c r="CD54" i="67"/>
  <c r="CD66" i="67" s="1"/>
  <c r="CD78" i="67" s="1"/>
  <c r="CD90" i="67" s="1"/>
  <c r="CD102" i="67" s="1"/>
  <c r="C54" i="67"/>
  <c r="B54" i="67"/>
  <c r="CS53" i="67"/>
  <c r="I53" i="38" s="1"/>
  <c r="CH53" i="67"/>
  <c r="CF53" i="67"/>
  <c r="CD53" i="67"/>
  <c r="CD65" i="67" s="1"/>
  <c r="CD77" i="67" s="1"/>
  <c r="CD89" i="67" s="1"/>
  <c r="CD101" i="67" s="1"/>
  <c r="C53" i="67"/>
  <c r="B53" i="67"/>
  <c r="CS52" i="67"/>
  <c r="I52" i="38" s="1"/>
  <c r="CH52" i="67"/>
  <c r="CF52" i="67"/>
  <c r="CD52" i="67"/>
  <c r="CD64" i="67" s="1"/>
  <c r="CD76" i="67" s="1"/>
  <c r="CD88" i="67" s="1"/>
  <c r="CD100" i="67" s="1"/>
  <c r="C52" i="67"/>
  <c r="B52" i="67"/>
  <c r="CS51" i="67"/>
  <c r="I51" i="38" s="1"/>
  <c r="CH51" i="67"/>
  <c r="CF51" i="67"/>
  <c r="CD51" i="67"/>
  <c r="CD63" i="67" s="1"/>
  <c r="CD75" i="67" s="1"/>
  <c r="CD87" i="67" s="1"/>
  <c r="CD99" i="67" s="1"/>
  <c r="C51" i="67"/>
  <c r="B51" i="67"/>
  <c r="CS50" i="67"/>
  <c r="I50" i="38" s="1"/>
  <c r="CH50" i="67"/>
  <c r="CF50" i="67"/>
  <c r="CD50" i="67"/>
  <c r="CD62" i="67" s="1"/>
  <c r="CD74" i="67" s="1"/>
  <c r="CD86" i="67" s="1"/>
  <c r="CD98" i="67" s="1"/>
  <c r="C50" i="67"/>
  <c r="B50" i="67"/>
  <c r="C49" i="67"/>
  <c r="B49" i="67"/>
  <c r="C48" i="67"/>
  <c r="B48" i="67"/>
  <c r="C47" i="67"/>
  <c r="B47" i="67"/>
  <c r="C46" i="67"/>
  <c r="B46" i="67"/>
  <c r="C45" i="67"/>
  <c r="B45" i="67"/>
  <c r="C44" i="67"/>
  <c r="B44" i="67"/>
  <c r="C43" i="67"/>
  <c r="B43" i="67"/>
  <c r="C42" i="67"/>
  <c r="B42" i="67"/>
  <c r="C41" i="67"/>
  <c r="B41" i="67"/>
  <c r="C40" i="67"/>
  <c r="B40" i="67"/>
  <c r="DM39" i="67"/>
  <c r="DL39" i="67"/>
  <c r="DK39" i="67"/>
  <c r="DW39" i="67"/>
  <c r="DH39" i="67"/>
  <c r="DT39" i="67"/>
  <c r="DS39" i="67"/>
  <c r="DR39" i="67"/>
  <c r="DQ39" i="67"/>
  <c r="DA39" i="67"/>
  <c r="DN39" i="67"/>
  <c r="C39" i="67"/>
  <c r="B39" i="67"/>
  <c r="DL38" i="67"/>
  <c r="DK38" i="67"/>
  <c r="DH38" i="67"/>
  <c r="DU38" i="67"/>
  <c r="DT38" i="67"/>
  <c r="DE38" i="67"/>
  <c r="DR38" i="67"/>
  <c r="DC38" i="67"/>
  <c r="DB38" i="67"/>
  <c r="DO38" i="67"/>
  <c r="DN38" i="67"/>
  <c r="C38" i="67"/>
  <c r="B38" i="67"/>
  <c r="EA37" i="67"/>
  <c r="DX37" i="67"/>
  <c r="DI37" i="67"/>
  <c r="DH37" i="67"/>
  <c r="DG37" i="67"/>
  <c r="DF37" i="67"/>
  <c r="DS37" i="67"/>
  <c r="DC37" i="67"/>
  <c r="DB37" i="67"/>
  <c r="DO37" i="67"/>
  <c r="C37" i="67"/>
  <c r="B37" i="67"/>
  <c r="EA36" i="67"/>
  <c r="DZ36" i="67"/>
  <c r="DH36" i="67"/>
  <c r="DF36" i="67"/>
  <c r="DS36" i="67"/>
  <c r="DD36" i="67"/>
  <c r="DQ36" i="67"/>
  <c r="DP36" i="67"/>
  <c r="CZ36" i="67"/>
  <c r="C36" i="67"/>
  <c r="B36" i="67"/>
  <c r="EA35" i="67"/>
  <c r="DZ35" i="67"/>
  <c r="DY35" i="67"/>
  <c r="DW35" i="67"/>
  <c r="DD35" i="67"/>
  <c r="DQ35" i="67"/>
  <c r="DP35" i="67"/>
  <c r="DO35" i="67"/>
  <c r="DN35" i="67"/>
  <c r="C35" i="67"/>
  <c r="B35" i="67"/>
  <c r="DM34" i="67"/>
  <c r="DZ34" i="67"/>
  <c r="DY34" i="67"/>
  <c r="DV34" i="67"/>
  <c r="DE34" i="67"/>
  <c r="DD34" i="67"/>
  <c r="DC34" i="67"/>
  <c r="DB34" i="67"/>
  <c r="DO34" i="67"/>
  <c r="DN34" i="67"/>
  <c r="C34" i="67"/>
  <c r="B34" i="67"/>
  <c r="DM33" i="67"/>
  <c r="DY33" i="67"/>
  <c r="DW33" i="67"/>
  <c r="DH33" i="67"/>
  <c r="DF33" i="67"/>
  <c r="DC33" i="67"/>
  <c r="DB33" i="67"/>
  <c r="DA33" i="67"/>
  <c r="DN33" i="67"/>
  <c r="C33" i="67"/>
  <c r="B33" i="67"/>
  <c r="DM32" i="67"/>
  <c r="DL32" i="67"/>
  <c r="DK32" i="67"/>
  <c r="DJ32" i="67"/>
  <c r="DW32" i="67"/>
  <c r="DH32" i="67"/>
  <c r="DG32" i="67"/>
  <c r="DS32" i="67"/>
  <c r="DR32" i="67"/>
  <c r="DQ32" i="67"/>
  <c r="DO32" i="67"/>
  <c r="C32" i="67"/>
  <c r="B32" i="67"/>
  <c r="EA31" i="67"/>
  <c r="DY31" i="67"/>
  <c r="DI31" i="67"/>
  <c r="DV31" i="67"/>
  <c r="DG31" i="67"/>
  <c r="DE31" i="67"/>
  <c r="DD31" i="67"/>
  <c r="DQ31" i="67"/>
  <c r="DP31" i="67"/>
  <c r="DO31" i="67"/>
  <c r="C31" i="67"/>
  <c r="B31" i="67"/>
  <c r="DM30" i="67"/>
  <c r="DZ30" i="67"/>
  <c r="DY30" i="67"/>
  <c r="DI30" i="67"/>
  <c r="DH30" i="67"/>
  <c r="DT30" i="67"/>
  <c r="DS30" i="67"/>
  <c r="DD30" i="67"/>
  <c r="DC30" i="67"/>
  <c r="DP30" i="67"/>
  <c r="DN30" i="67"/>
  <c r="C30" i="67"/>
  <c r="B30" i="67"/>
  <c r="DK29" i="67"/>
  <c r="DW29" i="67"/>
  <c r="DV29" i="67"/>
  <c r="DS29" i="67"/>
  <c r="DD29" i="67"/>
  <c r="DC29" i="67"/>
  <c r="DB29" i="67"/>
  <c r="DA29" i="67"/>
  <c r="CZ29" i="67"/>
  <c r="C29" i="67"/>
  <c r="B29" i="67"/>
  <c r="EA28" i="67"/>
  <c r="DY28" i="67"/>
  <c r="DW28" i="67"/>
  <c r="DH28" i="67"/>
  <c r="DU28" i="67"/>
  <c r="DT28" i="67"/>
  <c r="DS28" i="67"/>
  <c r="DR28" i="67"/>
  <c r="DQ28" i="67"/>
  <c r="DO28" i="67"/>
  <c r="DN28" i="67"/>
  <c r="C28" i="67"/>
  <c r="B28" i="67"/>
  <c r="DM27" i="67"/>
  <c r="DZ27" i="67"/>
  <c r="DW27" i="67"/>
  <c r="DH27" i="67"/>
  <c r="DG27" i="67"/>
  <c r="DS27" i="67"/>
  <c r="DD27" i="67"/>
  <c r="DQ27" i="67"/>
  <c r="DB27" i="67"/>
  <c r="DA27" i="67"/>
  <c r="CZ27" i="67"/>
  <c r="C27" i="67"/>
  <c r="B27" i="67"/>
  <c r="EA26" i="67"/>
  <c r="DK26" i="67"/>
  <c r="DW26" i="67"/>
  <c r="DV26" i="67"/>
  <c r="DT26" i="67"/>
  <c r="DS26" i="67"/>
  <c r="DD26" i="67"/>
  <c r="DQ26" i="67"/>
  <c r="DP26" i="67"/>
  <c r="DN26" i="67"/>
  <c r="C26" i="67"/>
  <c r="B26" i="67"/>
  <c r="DM25" i="67"/>
  <c r="DZ25" i="67"/>
  <c r="DK25" i="67"/>
  <c r="DW25" i="67"/>
  <c r="DE25" i="67"/>
  <c r="DR25" i="67"/>
  <c r="DO25" i="67"/>
  <c r="CZ25" i="67"/>
  <c r="C25" i="67"/>
  <c r="B25" i="67"/>
  <c r="DM24" i="67"/>
  <c r="DI24" i="67"/>
  <c r="DU24" i="67"/>
  <c r="DS24" i="67"/>
  <c r="DR24" i="67"/>
  <c r="DQ24" i="67"/>
  <c r="DP24" i="67"/>
  <c r="DO24" i="67"/>
  <c r="CZ24" i="67"/>
  <c r="C24" i="67"/>
  <c r="B24" i="67"/>
  <c r="EA23" i="67"/>
  <c r="DL23" i="67"/>
  <c r="DY23" i="67"/>
  <c r="DV23" i="67"/>
  <c r="DU23" i="67"/>
  <c r="DT23" i="67"/>
  <c r="DQ23" i="67"/>
  <c r="DB23" i="67"/>
  <c r="DA23" i="67"/>
  <c r="DN23" i="67"/>
  <c r="C23" i="67"/>
  <c r="B23" i="67"/>
  <c r="DZ22" i="67"/>
  <c r="DK22" i="67"/>
  <c r="DI22" i="67"/>
  <c r="DH22" i="67"/>
  <c r="DG22" i="67"/>
  <c r="DF22" i="67"/>
  <c r="DE22" i="67"/>
  <c r="DR22" i="67"/>
  <c r="DC22" i="67"/>
  <c r="DB22" i="67"/>
  <c r="DA22" i="67"/>
  <c r="CZ22" i="67"/>
  <c r="C22" i="67"/>
  <c r="B22" i="67"/>
  <c r="DM21" i="67"/>
  <c r="DZ21" i="67"/>
  <c r="DY21" i="67"/>
  <c r="DX21" i="67"/>
  <c r="DH21" i="67"/>
  <c r="DS21" i="67"/>
  <c r="DD21" i="67"/>
  <c r="DC21" i="67"/>
  <c r="DB21" i="67"/>
  <c r="DA21" i="67"/>
  <c r="DN21" i="67"/>
  <c r="C21" i="67"/>
  <c r="B21" i="67"/>
  <c r="EA20" i="67"/>
  <c r="DZ20" i="67"/>
  <c r="DY20" i="67"/>
  <c r="DW20" i="67"/>
  <c r="DH20" i="67"/>
  <c r="DU20" i="67"/>
  <c r="DS20" i="67"/>
  <c r="DQ20" i="67"/>
  <c r="DP20" i="67"/>
  <c r="CZ20" i="67"/>
  <c r="C20" i="67"/>
  <c r="B20" i="67"/>
  <c r="EA19" i="67"/>
  <c r="DK19" i="67"/>
  <c r="DX19" i="67"/>
  <c r="DI19" i="67"/>
  <c r="DH19" i="67"/>
  <c r="DG19" i="67"/>
  <c r="DF19" i="67"/>
  <c r="DE19" i="67"/>
  <c r="DR19" i="67"/>
  <c r="DQ19" i="67"/>
  <c r="DA19" i="67"/>
  <c r="CZ19" i="67"/>
  <c r="C19" i="67"/>
  <c r="B19" i="67"/>
  <c r="EA18" i="67"/>
  <c r="DL18" i="67"/>
  <c r="DY18" i="67"/>
  <c r="DW18" i="67"/>
  <c r="DV18" i="67"/>
  <c r="DS18" i="67"/>
  <c r="DD18" i="67"/>
  <c r="DC18" i="67"/>
  <c r="DB18" i="67"/>
  <c r="DO18" i="67"/>
  <c r="DN18" i="67"/>
  <c r="C18" i="67"/>
  <c r="B18" i="67"/>
  <c r="DM17" i="67"/>
  <c r="DL17" i="67"/>
  <c r="DK17" i="67"/>
  <c r="DW17" i="67"/>
  <c r="DV17" i="67"/>
  <c r="DE17" i="67"/>
  <c r="DD17" i="67"/>
  <c r="DQ17" i="67"/>
  <c r="DB17" i="67"/>
  <c r="DA17" i="67"/>
  <c r="CZ17" i="67"/>
  <c r="C17" i="67"/>
  <c r="B17" i="67"/>
  <c r="EA16" i="67"/>
  <c r="DL16" i="67"/>
  <c r="DK16" i="67"/>
  <c r="DI16" i="67"/>
  <c r="DH16" i="67"/>
  <c r="DD16" i="67"/>
  <c r="DC16" i="67"/>
  <c r="DB16" i="67"/>
  <c r="DA16" i="67"/>
  <c r="DN16" i="67"/>
  <c r="C16" i="67"/>
  <c r="B16" i="67"/>
  <c r="DM15" i="67"/>
  <c r="DL15" i="67"/>
  <c r="DY15" i="67"/>
  <c r="DW15" i="67"/>
  <c r="DV15" i="67"/>
  <c r="DE15" i="67"/>
  <c r="DD15" i="67"/>
  <c r="DC15" i="67"/>
  <c r="DB15" i="67"/>
  <c r="DA15" i="67"/>
  <c r="CZ15" i="67"/>
  <c r="C15" i="67"/>
  <c r="B15" i="67"/>
  <c r="DM14" i="67"/>
  <c r="DL14" i="67"/>
  <c r="DK14" i="67"/>
  <c r="DW14" i="67"/>
  <c r="DV14" i="67"/>
  <c r="DS14" i="67"/>
  <c r="DD14" i="67"/>
  <c r="DC14" i="67"/>
  <c r="DP14" i="67"/>
  <c r="DO14" i="67"/>
  <c r="C14" i="67"/>
  <c r="B14" i="67"/>
  <c r="EA13" i="67"/>
  <c r="DL13" i="67"/>
  <c r="DY13" i="67"/>
  <c r="DJ13" i="67"/>
  <c r="DW13" i="67"/>
  <c r="DF13" i="67"/>
  <c r="DE13" i="67"/>
  <c r="DD13" i="67"/>
  <c r="DQ13" i="67"/>
  <c r="DB13" i="67"/>
  <c r="DN13" i="67"/>
  <c r="C13" i="67"/>
  <c r="B13" i="67"/>
  <c r="DM12" i="67"/>
  <c r="DZ12" i="67"/>
  <c r="DY12" i="67"/>
  <c r="DH12" i="67"/>
  <c r="DU12" i="67"/>
  <c r="DT12" i="67"/>
  <c r="DE12" i="67"/>
  <c r="DD12" i="67"/>
  <c r="DQ12" i="67"/>
  <c r="DO12" i="67"/>
  <c r="CZ12" i="67"/>
  <c r="C12" i="67"/>
  <c r="B12" i="67"/>
  <c r="EA11" i="67"/>
  <c r="DZ11" i="67"/>
  <c r="DY11" i="67"/>
  <c r="DI11" i="67"/>
  <c r="DV11" i="67"/>
  <c r="DS11" i="67"/>
  <c r="DR11" i="67"/>
  <c r="DP11" i="67"/>
  <c r="DA11" i="67"/>
  <c r="CZ11" i="67"/>
  <c r="C11" i="67"/>
  <c r="B11" i="67"/>
  <c r="EA10" i="67"/>
  <c r="DZ10" i="67"/>
  <c r="DW10" i="67"/>
  <c r="DH10" i="67"/>
  <c r="DF10" i="67"/>
  <c r="DS10" i="67"/>
  <c r="DQ10" i="67"/>
  <c r="DB10" i="67"/>
  <c r="DA10" i="67"/>
  <c r="DN10" i="67"/>
  <c r="C10" i="67"/>
  <c r="B10" i="67"/>
  <c r="EA9" i="67"/>
  <c r="DK9" i="67"/>
  <c r="DI9" i="67"/>
  <c r="DH9" i="67"/>
  <c r="DU9" i="67"/>
  <c r="DR9" i="67"/>
  <c r="DC9" i="67"/>
  <c r="DB9" i="67"/>
  <c r="DA9" i="67"/>
  <c r="CZ9" i="67"/>
  <c r="C9" i="67"/>
  <c r="B9" i="67"/>
  <c r="DL8" i="67"/>
  <c r="DK8" i="67"/>
  <c r="DI8" i="67"/>
  <c r="DV8" i="67"/>
  <c r="DS8" i="67"/>
  <c r="DD8" i="67"/>
  <c r="DC8" i="67"/>
  <c r="DB8" i="67"/>
  <c r="DO8" i="67"/>
  <c r="DN8" i="67"/>
  <c r="C8" i="67"/>
  <c r="B8" i="67"/>
  <c r="DM7" i="67"/>
  <c r="DZ7" i="67"/>
  <c r="DK7" i="67"/>
  <c r="DX7" i="67"/>
  <c r="DI7" i="67"/>
  <c r="DV7" i="67"/>
  <c r="DE7" i="67"/>
  <c r="DD7" i="67"/>
  <c r="DQ7" i="67"/>
  <c r="DP7" i="67"/>
  <c r="DO7" i="67"/>
  <c r="DN7" i="67"/>
  <c r="C7" i="67"/>
  <c r="B7" i="67"/>
  <c r="EA6" i="67"/>
  <c r="DL6" i="67"/>
  <c r="DK6" i="67"/>
  <c r="DX6" i="67"/>
  <c r="DW6" i="67"/>
  <c r="DG6" i="67"/>
  <c r="DE6" i="67"/>
  <c r="DR6" i="67"/>
  <c r="DQ6" i="67"/>
  <c r="DB6" i="67"/>
  <c r="DO6" i="67"/>
  <c r="DN6" i="67"/>
  <c r="C6" i="67"/>
  <c r="B6" i="67"/>
  <c r="DM5" i="67"/>
  <c r="DL5" i="67"/>
  <c r="DY5" i="67"/>
  <c r="DX5" i="67"/>
  <c r="DV5" i="67"/>
  <c r="DT5" i="67"/>
  <c r="DS5" i="67"/>
  <c r="DD5" i="67"/>
  <c r="DQ5" i="67"/>
  <c r="DP5" i="67"/>
  <c r="DO5" i="67"/>
  <c r="C5" i="67"/>
  <c r="B5" i="67"/>
  <c r="DM4" i="67"/>
  <c r="DZ4" i="67"/>
  <c r="DY4" i="67"/>
  <c r="DW4" i="67"/>
  <c r="DH4" i="67"/>
  <c r="DT4" i="67"/>
  <c r="DS4" i="67"/>
  <c r="DR4" i="67"/>
  <c r="DQ4" i="67"/>
  <c r="DP4" i="67"/>
  <c r="CZ4" i="67"/>
  <c r="C4" i="67"/>
  <c r="B4" i="67"/>
  <c r="DM3" i="67"/>
  <c r="DL3" i="67"/>
  <c r="DI3" i="67"/>
  <c r="DH3" i="67"/>
  <c r="DS3" i="67"/>
  <c r="DR3" i="67"/>
  <c r="DQ3" i="67"/>
  <c r="DA3" i="67"/>
  <c r="CZ3" i="67"/>
  <c r="C3" i="67"/>
  <c r="B3" i="67"/>
  <c r="DM2" i="67"/>
  <c r="DY2" i="67"/>
  <c r="DI2" i="67"/>
  <c r="DV2" i="67"/>
  <c r="DS2" i="67"/>
  <c r="DR2" i="67"/>
  <c r="DB2" i="67"/>
  <c r="DA2" i="67"/>
  <c r="C2" i="67"/>
  <c r="B2" i="67"/>
  <c r="V302" i="4"/>
  <c r="V303" i="4"/>
  <c r="V304" i="4"/>
  <c r="V305" i="4"/>
  <c r="V306" i="4"/>
  <c r="V307" i="4"/>
  <c r="K62" i="75" l="1"/>
  <c r="K110" i="75" s="1"/>
  <c r="U110" i="75" s="1"/>
  <c r="I62" i="38"/>
  <c r="K82" i="75"/>
  <c r="I82" i="38"/>
  <c r="K77" i="75"/>
  <c r="I77" i="38"/>
  <c r="K83" i="75"/>
  <c r="I83" i="38"/>
  <c r="H73" i="38"/>
  <c r="J73" i="75"/>
  <c r="H73" i="28"/>
  <c r="K78" i="75"/>
  <c r="K126" i="75" s="1"/>
  <c r="U126" i="75" s="1"/>
  <c r="I78" i="38"/>
  <c r="H72" i="38"/>
  <c r="H72" i="28"/>
  <c r="J72" i="75"/>
  <c r="K73" i="75"/>
  <c r="I73" i="38"/>
  <c r="H71" i="38"/>
  <c r="H71" i="28"/>
  <c r="J71" i="75"/>
  <c r="K72" i="75"/>
  <c r="I72" i="38"/>
  <c r="K84" i="75"/>
  <c r="I84" i="38"/>
  <c r="H70" i="38"/>
  <c r="H70" i="28"/>
  <c r="J70" i="75"/>
  <c r="K71" i="75"/>
  <c r="I71" i="38"/>
  <c r="I119" i="38" s="1"/>
  <c r="S119" i="38" s="1"/>
  <c r="K79" i="75"/>
  <c r="I79" i="38"/>
  <c r="H69" i="38"/>
  <c r="J69" i="75"/>
  <c r="H69" i="28"/>
  <c r="K70" i="75"/>
  <c r="I70" i="38"/>
  <c r="K74" i="75"/>
  <c r="I74" i="38"/>
  <c r="H68" i="38"/>
  <c r="J68" i="75"/>
  <c r="H68" i="28"/>
  <c r="K69" i="75"/>
  <c r="I69" i="38"/>
  <c r="K85" i="75"/>
  <c r="I85" i="38"/>
  <c r="H67" i="38"/>
  <c r="J67" i="75"/>
  <c r="H67" i="28"/>
  <c r="K68" i="75"/>
  <c r="I68" i="38"/>
  <c r="K80" i="75"/>
  <c r="I80" i="38"/>
  <c r="H66" i="38"/>
  <c r="J66" i="75"/>
  <c r="H66" i="28"/>
  <c r="K67" i="75"/>
  <c r="I67" i="38"/>
  <c r="K75" i="75"/>
  <c r="I75" i="38"/>
  <c r="H65" i="38"/>
  <c r="H65" i="28"/>
  <c r="J65" i="75"/>
  <c r="K66" i="75"/>
  <c r="I66" i="38"/>
  <c r="K86" i="75"/>
  <c r="I86" i="38"/>
  <c r="H64" i="38"/>
  <c r="J64" i="75"/>
  <c r="H64" i="28"/>
  <c r="K65" i="75"/>
  <c r="I65" i="38"/>
  <c r="K81" i="75"/>
  <c r="I81" i="38"/>
  <c r="H63" i="38"/>
  <c r="H63" i="28"/>
  <c r="J63" i="75"/>
  <c r="K64" i="75"/>
  <c r="K112" i="75" s="1"/>
  <c r="U112" i="75" s="1"/>
  <c r="I64" i="38"/>
  <c r="K76" i="75"/>
  <c r="I76" i="38"/>
  <c r="H62" i="38"/>
  <c r="H62" i="28"/>
  <c r="J62" i="75"/>
  <c r="K63" i="75"/>
  <c r="I63" i="38"/>
  <c r="K87" i="75"/>
  <c r="I87" i="38"/>
  <c r="K53" i="75"/>
  <c r="CS101" i="67"/>
  <c r="I101" i="38" s="1"/>
  <c r="K61" i="75"/>
  <c r="CS109" i="67"/>
  <c r="I109" i="38" s="1"/>
  <c r="K93" i="75"/>
  <c r="J93" i="76"/>
  <c r="K88" i="75"/>
  <c r="J88" i="76"/>
  <c r="K56" i="75"/>
  <c r="CS104" i="67"/>
  <c r="I104" i="38" s="1"/>
  <c r="K94" i="75"/>
  <c r="J94" i="76"/>
  <c r="K13" i="24"/>
  <c r="K28" i="25" s="1"/>
  <c r="AO28" i="25" s="1"/>
  <c r="N14" i="17"/>
  <c r="K4" i="25" s="1"/>
  <c r="AO4" i="25" s="1"/>
  <c r="AA13" i="23"/>
  <c r="AE13" i="23"/>
  <c r="AJ14" i="17"/>
  <c r="K6" i="25" s="1"/>
  <c r="AO6" i="25" s="1"/>
  <c r="C13" i="23"/>
  <c r="Z13" i="24"/>
  <c r="K30" i="25" s="1"/>
  <c r="AO30" i="25" s="1"/>
  <c r="BF14" i="17"/>
  <c r="K8" i="25" s="1"/>
  <c r="AO8" i="25" s="1"/>
  <c r="C55" i="17"/>
  <c r="G13" i="23"/>
  <c r="Z13" i="156"/>
  <c r="AG13" i="24"/>
  <c r="K31" i="25" s="1"/>
  <c r="AO31" i="25" s="1"/>
  <c r="K13" i="23"/>
  <c r="BR14" i="17"/>
  <c r="K10" i="25" s="1"/>
  <c r="AO10" i="25" s="1"/>
  <c r="Y55" i="17"/>
  <c r="AL13" i="24"/>
  <c r="K32" i="25" s="1"/>
  <c r="AO32" i="25" s="1"/>
  <c r="D13" i="24"/>
  <c r="K27" i="25" s="1"/>
  <c r="W13" i="23"/>
  <c r="R13" i="24"/>
  <c r="K29" i="25" s="1"/>
  <c r="AO29" i="25" s="1"/>
  <c r="AJ55" i="17"/>
  <c r="Y14" i="17"/>
  <c r="K5" i="25" s="1"/>
  <c r="AO5" i="25" s="1"/>
  <c r="N55" i="17"/>
  <c r="Y56" i="17"/>
  <c r="C56" i="17"/>
  <c r="AU55" i="17"/>
  <c r="C14" i="17"/>
  <c r="K3" i="25" s="1"/>
  <c r="AO3" i="25" s="1"/>
  <c r="AJ56" i="17"/>
  <c r="AU56" i="17"/>
  <c r="S13" i="23"/>
  <c r="BL14" i="17"/>
  <c r="K9" i="25" s="1"/>
  <c r="AO9" i="25" s="1"/>
  <c r="N56" i="17"/>
  <c r="R13" i="156"/>
  <c r="AU14" i="17"/>
  <c r="K7" i="25" s="1"/>
  <c r="AL13" i="156"/>
  <c r="O13" i="23"/>
  <c r="D13" i="156"/>
  <c r="K13" i="156"/>
  <c r="AG13" i="156"/>
  <c r="K5" i="24"/>
  <c r="C28" i="25" s="1"/>
  <c r="AG28" i="25" s="1"/>
  <c r="C30" i="158" s="1"/>
  <c r="AL5" i="156"/>
  <c r="AL18" i="156" s="1"/>
  <c r="C32" i="74" s="1"/>
  <c r="AL5" i="24"/>
  <c r="C32" i="25" s="1"/>
  <c r="AG32" i="25" s="1"/>
  <c r="C34" i="158" s="1"/>
  <c r="AG5" i="24"/>
  <c r="C31" i="25" s="1"/>
  <c r="AG31" i="25" s="1"/>
  <c r="C33" i="158" s="1"/>
  <c r="AL6" i="156"/>
  <c r="AL19" i="156" s="1"/>
  <c r="D32" i="74" s="1"/>
  <c r="AL8" i="156"/>
  <c r="AL21" i="156" s="1"/>
  <c r="F32" i="74" s="1"/>
  <c r="AL7" i="156"/>
  <c r="AL20" i="156" s="1"/>
  <c r="E32" i="74" s="1"/>
  <c r="AL9" i="156"/>
  <c r="AL22" i="156" s="1"/>
  <c r="G32" i="74" s="1"/>
  <c r="AL10" i="156"/>
  <c r="AL23" i="156" s="1"/>
  <c r="H32" i="74" s="1"/>
  <c r="AL11" i="156"/>
  <c r="AL24" i="156" s="1"/>
  <c r="I32" i="74" s="1"/>
  <c r="AL12" i="156"/>
  <c r="K51" i="75"/>
  <c r="CS99" i="67"/>
  <c r="I99" i="38" s="1"/>
  <c r="K59" i="75"/>
  <c r="CS107" i="67"/>
  <c r="I107" i="38" s="1"/>
  <c r="K89" i="75"/>
  <c r="J89" i="76"/>
  <c r="K54" i="75"/>
  <c r="CS102" i="67"/>
  <c r="I102" i="38" s="1"/>
  <c r="K95" i="75"/>
  <c r="J95" i="76"/>
  <c r="K90" i="75"/>
  <c r="J90" i="76"/>
  <c r="K57" i="75"/>
  <c r="CS105" i="67"/>
  <c r="I105" i="38" s="1"/>
  <c r="K96" i="75"/>
  <c r="J96" i="76"/>
  <c r="K52" i="75"/>
  <c r="CS100" i="67"/>
  <c r="I100" i="38" s="1"/>
  <c r="K60" i="75"/>
  <c r="CS108" i="67"/>
  <c r="I108" i="38" s="1"/>
  <c r="K91" i="75"/>
  <c r="J91" i="76"/>
  <c r="K55" i="75"/>
  <c r="CS103" i="67"/>
  <c r="I103" i="38" s="1"/>
  <c r="J97" i="76"/>
  <c r="K97" i="75"/>
  <c r="K92" i="75"/>
  <c r="J92" i="76"/>
  <c r="K50" i="75"/>
  <c r="CS98" i="67"/>
  <c r="I98" i="38" s="1"/>
  <c r="K58" i="75"/>
  <c r="CS106" i="67"/>
  <c r="I106" i="38" s="1"/>
  <c r="BT74" i="67"/>
  <c r="J62" i="30"/>
  <c r="R62" i="30" s="1"/>
  <c r="J62" i="34"/>
  <c r="L62" i="76"/>
  <c r="BY79" i="67"/>
  <c r="M67" i="77"/>
  <c r="K67" i="36"/>
  <c r="K67" i="150"/>
  <c r="T67" i="150" s="1"/>
  <c r="J57" i="150"/>
  <c r="S57" i="150" s="1"/>
  <c r="CJ57" i="67"/>
  <c r="BY78" i="67"/>
  <c r="M66" i="77"/>
  <c r="K66" i="36"/>
  <c r="K66" i="150"/>
  <c r="T66" i="150" s="1"/>
  <c r="BY77" i="67"/>
  <c r="M65" i="77"/>
  <c r="K65" i="150"/>
  <c r="T65" i="150" s="1"/>
  <c r="K65" i="36"/>
  <c r="J52" i="150"/>
  <c r="S52" i="150" s="1"/>
  <c r="CJ52" i="67"/>
  <c r="J60" i="150"/>
  <c r="S60" i="150" s="1"/>
  <c r="CJ60" i="67"/>
  <c r="BY76" i="67"/>
  <c r="M64" i="77"/>
  <c r="K64" i="36"/>
  <c r="K64" i="150"/>
  <c r="T64" i="150" s="1"/>
  <c r="BY75" i="67"/>
  <c r="M63" i="77"/>
  <c r="K63" i="36"/>
  <c r="K63" i="150"/>
  <c r="T63" i="150" s="1"/>
  <c r="J55" i="150"/>
  <c r="S55" i="150" s="1"/>
  <c r="CJ55" i="67"/>
  <c r="BY74" i="67"/>
  <c r="M62" i="77"/>
  <c r="K62" i="150"/>
  <c r="T62" i="150" s="1"/>
  <c r="K62" i="36"/>
  <c r="BT85" i="67"/>
  <c r="J73" i="34"/>
  <c r="J73" i="30"/>
  <c r="R73" i="30" s="1"/>
  <c r="L73" i="76"/>
  <c r="BT84" i="67"/>
  <c r="J72" i="34"/>
  <c r="L72" i="76"/>
  <c r="J72" i="30"/>
  <c r="R72" i="30" s="1"/>
  <c r="J50" i="150"/>
  <c r="S50" i="150" s="1"/>
  <c r="CJ50" i="67"/>
  <c r="J58" i="150"/>
  <c r="S58" i="150" s="1"/>
  <c r="CJ58" i="67"/>
  <c r="BT83" i="67"/>
  <c r="J71" i="34"/>
  <c r="L71" i="76"/>
  <c r="J71" i="30"/>
  <c r="R71" i="30" s="1"/>
  <c r="BT82" i="67"/>
  <c r="J70" i="34"/>
  <c r="L70" i="76"/>
  <c r="J70" i="30"/>
  <c r="R70" i="30" s="1"/>
  <c r="J53" i="150"/>
  <c r="S53" i="150" s="1"/>
  <c r="CJ53" i="67"/>
  <c r="J61" i="150"/>
  <c r="S61" i="150" s="1"/>
  <c r="CJ61" i="67"/>
  <c r="BT81" i="67"/>
  <c r="J69" i="34"/>
  <c r="L69" i="76"/>
  <c r="J69" i="30"/>
  <c r="R69" i="30" s="1"/>
  <c r="BT80" i="67"/>
  <c r="L68" i="76"/>
  <c r="J68" i="34"/>
  <c r="J68" i="30"/>
  <c r="R68" i="30" s="1"/>
  <c r="BY85" i="67"/>
  <c r="K73" i="36"/>
  <c r="M73" i="77"/>
  <c r="K73" i="150"/>
  <c r="T73" i="150" s="1"/>
  <c r="J56" i="150"/>
  <c r="S56" i="150" s="1"/>
  <c r="CJ56" i="67"/>
  <c r="BT79" i="67"/>
  <c r="J67" i="34"/>
  <c r="L67" i="76"/>
  <c r="J67" i="30"/>
  <c r="R67" i="30" s="1"/>
  <c r="BY84" i="67"/>
  <c r="M72" i="77"/>
  <c r="K72" i="36"/>
  <c r="K72" i="150"/>
  <c r="T72" i="150" s="1"/>
  <c r="BT78" i="67"/>
  <c r="L66" i="76"/>
  <c r="J66" i="30"/>
  <c r="R66" i="30" s="1"/>
  <c r="J66" i="34"/>
  <c r="BY83" i="67"/>
  <c r="M71" i="77"/>
  <c r="K71" i="36"/>
  <c r="K71" i="150"/>
  <c r="T71" i="150" s="1"/>
  <c r="J51" i="150"/>
  <c r="S51" i="150" s="1"/>
  <c r="CJ51" i="67"/>
  <c r="J59" i="150"/>
  <c r="S59" i="150" s="1"/>
  <c r="CJ59" i="67"/>
  <c r="BT77" i="67"/>
  <c r="L65" i="76"/>
  <c r="J65" i="34"/>
  <c r="J65" i="30"/>
  <c r="R65" i="30" s="1"/>
  <c r="BY82" i="67"/>
  <c r="M70" i="77"/>
  <c r="K70" i="36"/>
  <c r="K70" i="150"/>
  <c r="T70" i="150" s="1"/>
  <c r="BT76" i="67"/>
  <c r="J64" i="30"/>
  <c r="R64" i="30" s="1"/>
  <c r="J64" i="34"/>
  <c r="L64" i="76"/>
  <c r="BY81" i="67"/>
  <c r="M69" i="77"/>
  <c r="K69" i="36"/>
  <c r="K69" i="150"/>
  <c r="T69" i="150" s="1"/>
  <c r="J54" i="150"/>
  <c r="S54" i="150" s="1"/>
  <c r="CJ54" i="67"/>
  <c r="BT75" i="67"/>
  <c r="J63" i="30"/>
  <c r="R63" i="30" s="1"/>
  <c r="J63" i="34"/>
  <c r="L63" i="76"/>
  <c r="BY80" i="67"/>
  <c r="M68" i="77"/>
  <c r="K68" i="36"/>
  <c r="K68" i="150"/>
  <c r="T68" i="150" s="1"/>
  <c r="Z5" i="24"/>
  <c r="C30" i="25" s="1"/>
  <c r="AG30" i="25" s="1"/>
  <c r="N19" i="75"/>
  <c r="L19" i="28"/>
  <c r="V19" i="28" s="1"/>
  <c r="J64" i="154"/>
  <c r="J64" i="153"/>
  <c r="T64" i="153" s="1"/>
  <c r="L64" i="155"/>
  <c r="L112" i="155" s="1"/>
  <c r="V112" i="155" s="1"/>
  <c r="H64" i="150"/>
  <c r="Q64" i="150" s="1"/>
  <c r="J64" i="77"/>
  <c r="J112" i="77" s="1"/>
  <c r="S112" i="77" s="1"/>
  <c r="H64" i="34"/>
  <c r="H112" i="34" s="1"/>
  <c r="P112" i="34" s="1"/>
  <c r="H64" i="36"/>
  <c r="J64" i="76"/>
  <c r="J112" i="76" s="1"/>
  <c r="R112" i="76" s="1"/>
  <c r="H64" i="30"/>
  <c r="BW85" i="67"/>
  <c r="T73" i="28"/>
  <c r="T73" i="38"/>
  <c r="J76" i="154"/>
  <c r="L76" i="155"/>
  <c r="L124" i="155" s="1"/>
  <c r="V124" i="155" s="1"/>
  <c r="J76" i="153"/>
  <c r="T76" i="153" s="1"/>
  <c r="H76" i="150"/>
  <c r="Q76" i="150" s="1"/>
  <c r="J76" i="76"/>
  <c r="J124" i="76" s="1"/>
  <c r="R124" i="76" s="1"/>
  <c r="J76" i="77"/>
  <c r="J124" i="77" s="1"/>
  <c r="S124" i="77" s="1"/>
  <c r="H76" i="34"/>
  <c r="H76" i="30"/>
  <c r="H76" i="36"/>
  <c r="K124" i="75"/>
  <c r="U124" i="75" s="1"/>
  <c r="J92" i="154"/>
  <c r="T92" i="154" s="1"/>
  <c r="L92" i="155"/>
  <c r="J92" i="153"/>
  <c r="T92" i="153" s="1"/>
  <c r="H92" i="150"/>
  <c r="Q92" i="150" s="1"/>
  <c r="H92" i="34"/>
  <c r="P92" i="34" s="1"/>
  <c r="J92" i="77"/>
  <c r="H92" i="30"/>
  <c r="H92" i="36"/>
  <c r="Q92" i="36" s="1"/>
  <c r="L97" i="155"/>
  <c r="J97" i="154"/>
  <c r="T97" i="154" s="1"/>
  <c r="J97" i="153"/>
  <c r="T97" i="153" s="1"/>
  <c r="H97" i="150"/>
  <c r="Q97" i="150" s="1"/>
  <c r="H97" i="36"/>
  <c r="Q97" i="36" s="1"/>
  <c r="H97" i="34"/>
  <c r="P97" i="34" s="1"/>
  <c r="J97" i="77"/>
  <c r="H97" i="30"/>
  <c r="W7" i="67"/>
  <c r="X7" i="67" s="1"/>
  <c r="R7" i="67"/>
  <c r="S7" i="67" s="1"/>
  <c r="D7" i="157" s="1"/>
  <c r="N7" i="157" s="1"/>
  <c r="M23" i="75"/>
  <c r="K23" i="28"/>
  <c r="U23" i="28" s="1"/>
  <c r="J50" i="154"/>
  <c r="L50" i="155"/>
  <c r="J50" i="153"/>
  <c r="T50" i="153" s="1"/>
  <c r="H50" i="150"/>
  <c r="Q50" i="150" s="1"/>
  <c r="J50" i="76"/>
  <c r="H50" i="30"/>
  <c r="H50" i="36"/>
  <c r="H50" i="34"/>
  <c r="J50" i="77"/>
  <c r="CF65" i="67"/>
  <c r="H53" i="154"/>
  <c r="R53" i="154" s="1"/>
  <c r="J53" i="155"/>
  <c r="H53" i="153"/>
  <c r="R53" i="153" s="1"/>
  <c r="L58" i="155"/>
  <c r="J58" i="153"/>
  <c r="T58" i="153" s="1"/>
  <c r="J58" i="154"/>
  <c r="H58" i="150"/>
  <c r="Q58" i="150" s="1"/>
  <c r="J58" i="76"/>
  <c r="H58" i="30"/>
  <c r="H58" i="36"/>
  <c r="J58" i="77"/>
  <c r="H58" i="34"/>
  <c r="CF73" i="67"/>
  <c r="H61" i="154"/>
  <c r="R61" i="154" s="1"/>
  <c r="J61" i="155"/>
  <c r="H61" i="153"/>
  <c r="R61" i="153" s="1"/>
  <c r="L63" i="155"/>
  <c r="L111" i="155" s="1"/>
  <c r="V111" i="155" s="1"/>
  <c r="J63" i="154"/>
  <c r="J63" i="153"/>
  <c r="T63" i="153" s="1"/>
  <c r="H63" i="150"/>
  <c r="Q63" i="150" s="1"/>
  <c r="H63" i="34"/>
  <c r="H111" i="34" s="1"/>
  <c r="P111" i="34" s="1"/>
  <c r="J63" i="77"/>
  <c r="J111" i="77" s="1"/>
  <c r="S111" i="77" s="1"/>
  <c r="J63" i="76"/>
  <c r="J111" i="76" s="1"/>
  <c r="R111" i="76" s="1"/>
  <c r="H63" i="36"/>
  <c r="H63" i="30"/>
  <c r="K111" i="75"/>
  <c r="U111" i="75" s="1"/>
  <c r="BW84" i="67"/>
  <c r="T72" i="38"/>
  <c r="T72" i="28"/>
  <c r="L87" i="155"/>
  <c r="J87" i="154"/>
  <c r="T87" i="154" s="1"/>
  <c r="J87" i="153"/>
  <c r="T87" i="153" s="1"/>
  <c r="H87" i="150"/>
  <c r="Q87" i="150" s="1"/>
  <c r="H87" i="36"/>
  <c r="Q87" i="36" s="1"/>
  <c r="H87" i="34"/>
  <c r="P87" i="34" s="1"/>
  <c r="J87" i="76"/>
  <c r="J87" i="77"/>
  <c r="H87" i="30"/>
  <c r="M13" i="75"/>
  <c r="K13" i="28"/>
  <c r="U13" i="28" s="1"/>
  <c r="L55" i="155"/>
  <c r="J55" i="154"/>
  <c r="J55" i="153"/>
  <c r="T55" i="153" s="1"/>
  <c r="H55" i="150"/>
  <c r="Q55" i="150" s="1"/>
  <c r="J55" i="77"/>
  <c r="H55" i="36"/>
  <c r="H55" i="34"/>
  <c r="J55" i="76"/>
  <c r="H55" i="30"/>
  <c r="M17" i="75"/>
  <c r="K17" i="28"/>
  <c r="U17" i="28" s="1"/>
  <c r="N27" i="75"/>
  <c r="L27" i="28"/>
  <c r="V27" i="28" s="1"/>
  <c r="M38" i="75"/>
  <c r="K38" i="28"/>
  <c r="U38" i="28" s="1"/>
  <c r="L62" i="155"/>
  <c r="L110" i="155" s="1"/>
  <c r="V110" i="155" s="1"/>
  <c r="J62" i="154"/>
  <c r="J62" i="153"/>
  <c r="T62" i="153" s="1"/>
  <c r="J62" i="77"/>
  <c r="J110" i="77" s="1"/>
  <c r="S110" i="77" s="1"/>
  <c r="J62" i="76"/>
  <c r="J110" i="76" s="1"/>
  <c r="R110" i="76" s="1"/>
  <c r="H62" i="30"/>
  <c r="H62" i="34"/>
  <c r="H110" i="34" s="1"/>
  <c r="P110" i="34" s="1"/>
  <c r="H62" i="150"/>
  <c r="Q62" i="150" s="1"/>
  <c r="H62" i="36"/>
  <c r="BW83" i="67"/>
  <c r="T71" i="38"/>
  <c r="T71" i="28"/>
  <c r="J82" i="154"/>
  <c r="L82" i="155"/>
  <c r="L130" i="155" s="1"/>
  <c r="V130" i="155" s="1"/>
  <c r="J82" i="153"/>
  <c r="T82" i="153" s="1"/>
  <c r="J82" i="77"/>
  <c r="J130" i="77" s="1"/>
  <c r="S130" i="77" s="1"/>
  <c r="J82" i="76"/>
  <c r="J130" i="76" s="1"/>
  <c r="H82" i="150"/>
  <c r="Q82" i="150" s="1"/>
  <c r="H82" i="30"/>
  <c r="H82" i="36"/>
  <c r="H82" i="34"/>
  <c r="K130" i="75"/>
  <c r="U130" i="75" s="1"/>
  <c r="CF70" i="67"/>
  <c r="J58" i="155"/>
  <c r="H58" i="154"/>
  <c r="R58" i="154" s="1"/>
  <c r="H58" i="153"/>
  <c r="R58" i="153" s="1"/>
  <c r="L81" i="155"/>
  <c r="L129" i="155" s="1"/>
  <c r="V129" i="155" s="1"/>
  <c r="J81" i="153"/>
  <c r="T81" i="153" s="1"/>
  <c r="J81" i="154"/>
  <c r="H81" i="150"/>
  <c r="Q81" i="150" s="1"/>
  <c r="J81" i="76"/>
  <c r="J129" i="76" s="1"/>
  <c r="H81" i="34"/>
  <c r="H81" i="36"/>
  <c r="J81" i="77"/>
  <c r="J129" i="77" s="1"/>
  <c r="S129" i="77" s="1"/>
  <c r="H81" i="30"/>
  <c r="K129" i="75"/>
  <c r="U129" i="75" s="1"/>
  <c r="R6" i="67"/>
  <c r="S6" i="67" s="1"/>
  <c r="D6" i="157" s="1"/>
  <c r="N6" i="157" s="1"/>
  <c r="W6" i="67"/>
  <c r="X6" i="67" s="1"/>
  <c r="M8" i="75"/>
  <c r="K8" i="28"/>
  <c r="U8" i="28" s="1"/>
  <c r="R11" i="67"/>
  <c r="S11" i="67" s="1"/>
  <c r="D11" i="157" s="1"/>
  <c r="N11" i="157" s="1"/>
  <c r="W11" i="67"/>
  <c r="X11" i="67" s="1"/>
  <c r="M22" i="75"/>
  <c r="K22" i="28"/>
  <c r="U22" i="28" s="1"/>
  <c r="N31" i="75"/>
  <c r="L31" i="28"/>
  <c r="V31" i="28" s="1"/>
  <c r="J53" i="154"/>
  <c r="J53" i="153"/>
  <c r="T53" i="153" s="1"/>
  <c r="L53" i="155"/>
  <c r="H53" i="150"/>
  <c r="Q53" i="150" s="1"/>
  <c r="J53" i="77"/>
  <c r="J53" i="76"/>
  <c r="H53" i="36"/>
  <c r="H53" i="30"/>
  <c r="H53" i="34"/>
  <c r="CF68" i="67"/>
  <c r="J56" i="155"/>
  <c r="H56" i="153"/>
  <c r="R56" i="153" s="1"/>
  <c r="H56" i="154"/>
  <c r="R56" i="154" s="1"/>
  <c r="L61" i="155"/>
  <c r="J61" i="154"/>
  <c r="J61" i="153"/>
  <c r="T61" i="153" s="1"/>
  <c r="J61" i="76"/>
  <c r="H61" i="150"/>
  <c r="Q61" i="150" s="1"/>
  <c r="J61" i="77"/>
  <c r="H61" i="30"/>
  <c r="H61" i="34"/>
  <c r="H61" i="36"/>
  <c r="BW82" i="67"/>
  <c r="T70" i="38"/>
  <c r="T70" i="28"/>
  <c r="L77" i="155"/>
  <c r="L125" i="155" s="1"/>
  <c r="V125" i="155" s="1"/>
  <c r="J77" i="154"/>
  <c r="J77" i="153"/>
  <c r="T77" i="153" s="1"/>
  <c r="H77" i="150"/>
  <c r="Q77" i="150" s="1"/>
  <c r="J77" i="76"/>
  <c r="J125" i="76" s="1"/>
  <c r="R125" i="76" s="1"/>
  <c r="H77" i="36"/>
  <c r="H77" i="30"/>
  <c r="J77" i="77"/>
  <c r="J125" i="77" s="1"/>
  <c r="S125" i="77" s="1"/>
  <c r="H77" i="34"/>
  <c r="K125" i="75"/>
  <c r="U125" i="75" s="1"/>
  <c r="L93" i="155"/>
  <c r="J93" i="153"/>
  <c r="T93" i="153" s="1"/>
  <c r="J93" i="154"/>
  <c r="T93" i="154" s="1"/>
  <c r="H93" i="150"/>
  <c r="Q93" i="150" s="1"/>
  <c r="H93" i="36"/>
  <c r="Q93" i="36" s="1"/>
  <c r="H93" i="30"/>
  <c r="J93" i="77"/>
  <c r="H93" i="34"/>
  <c r="P93" i="34" s="1"/>
  <c r="AU52" i="17"/>
  <c r="AJ6" i="17"/>
  <c r="R5" i="24"/>
  <c r="C29" i="25" s="1"/>
  <c r="AG29" i="25" s="1"/>
  <c r="C31" i="158" s="1"/>
  <c r="AU49" i="17"/>
  <c r="AG5" i="156"/>
  <c r="Z5" i="156"/>
  <c r="R5" i="156"/>
  <c r="AJ49" i="17"/>
  <c r="AJ50" i="17"/>
  <c r="K5" i="156"/>
  <c r="D5" i="156"/>
  <c r="AU54" i="17"/>
  <c r="K6" i="156"/>
  <c r="AU53" i="17"/>
  <c r="AJ48" i="17"/>
  <c r="AU51" i="17"/>
  <c r="AJ52" i="17"/>
  <c r="AJ53" i="17"/>
  <c r="AJ54" i="17"/>
  <c r="D5" i="24"/>
  <c r="C27" i="25" s="1"/>
  <c r="AU50" i="17"/>
  <c r="AU48" i="17"/>
  <c r="AJ51" i="17"/>
  <c r="AJ7" i="17"/>
  <c r="AJ8" i="17"/>
  <c r="AJ9" i="17"/>
  <c r="AJ10" i="17"/>
  <c r="AJ11" i="17"/>
  <c r="AJ12" i="17"/>
  <c r="AJ13" i="17"/>
  <c r="K7" i="156"/>
  <c r="AG7" i="156"/>
  <c r="R6" i="156"/>
  <c r="D6" i="156"/>
  <c r="AG6" i="156"/>
  <c r="Z6" i="156"/>
  <c r="D7" i="156"/>
  <c r="Z7" i="156"/>
  <c r="R7" i="156"/>
  <c r="K8" i="156"/>
  <c r="D8" i="156"/>
  <c r="AG8" i="156"/>
  <c r="R8" i="156"/>
  <c r="Z8" i="156"/>
  <c r="D9" i="156"/>
  <c r="R9" i="156"/>
  <c r="AG9" i="156"/>
  <c r="Z9" i="156"/>
  <c r="K9" i="156"/>
  <c r="K10" i="156"/>
  <c r="D10" i="156"/>
  <c r="Z10" i="156"/>
  <c r="AG10" i="156"/>
  <c r="R10" i="156"/>
  <c r="R11" i="156"/>
  <c r="K11" i="156"/>
  <c r="AG11" i="156"/>
  <c r="Z11" i="156"/>
  <c r="D11" i="156"/>
  <c r="K12" i="156"/>
  <c r="AG12" i="156"/>
  <c r="Z12" i="156"/>
  <c r="R12" i="156"/>
  <c r="D12" i="156"/>
  <c r="R2" i="67"/>
  <c r="S2" i="67" s="1"/>
  <c r="D2" i="157" s="1"/>
  <c r="N2" i="157" s="1"/>
  <c r="W2" i="67"/>
  <c r="X2" i="67" s="1"/>
  <c r="S6" i="23"/>
  <c r="O7" i="23"/>
  <c r="AU8" i="17"/>
  <c r="S7" i="23"/>
  <c r="BF6" i="17"/>
  <c r="BL6" i="17"/>
  <c r="O6" i="23"/>
  <c r="AA7" i="23"/>
  <c r="AU13" i="17"/>
  <c r="J7" i="25" s="1"/>
  <c r="AU12" i="17"/>
  <c r="O5" i="23"/>
  <c r="AU10" i="17"/>
  <c r="AU6" i="17"/>
  <c r="AU9" i="17"/>
  <c r="AA5" i="23"/>
  <c r="AU11" i="17"/>
  <c r="AA6" i="23"/>
  <c r="AA12" i="23"/>
  <c r="AA11" i="23"/>
  <c r="O12" i="23"/>
  <c r="AA10" i="23"/>
  <c r="S12" i="23"/>
  <c r="S5" i="23"/>
  <c r="O9" i="23"/>
  <c r="S8" i="23"/>
  <c r="AA9" i="23"/>
  <c r="S11" i="23"/>
  <c r="O11" i="23"/>
  <c r="S10" i="23"/>
  <c r="AA8" i="23"/>
  <c r="O10" i="23"/>
  <c r="S9" i="23"/>
  <c r="AU7" i="17"/>
  <c r="O8" i="23"/>
  <c r="M34" i="75"/>
  <c r="K34" i="28"/>
  <c r="U34" i="28" s="1"/>
  <c r="BW81" i="67"/>
  <c r="T69" i="38"/>
  <c r="T69" i="28"/>
  <c r="J88" i="154"/>
  <c r="T88" i="154" s="1"/>
  <c r="L88" i="155"/>
  <c r="J88" i="153"/>
  <c r="T88" i="153" s="1"/>
  <c r="H88" i="150"/>
  <c r="Q88" i="150" s="1"/>
  <c r="J88" i="77"/>
  <c r="H88" i="34"/>
  <c r="P88" i="34" s="1"/>
  <c r="H88" i="30"/>
  <c r="H88" i="36"/>
  <c r="Q88" i="36" s="1"/>
  <c r="W8" i="67"/>
  <c r="X8" i="67" s="1"/>
  <c r="R8" i="67"/>
  <c r="S8" i="67" s="1"/>
  <c r="D8" i="157" s="1"/>
  <c r="N8" i="157" s="1"/>
  <c r="M37" i="75"/>
  <c r="K37" i="28"/>
  <c r="U37" i="28" s="1"/>
  <c r="CF63" i="67"/>
  <c r="H51" i="154"/>
  <c r="R51" i="154" s="1"/>
  <c r="J51" i="155"/>
  <c r="H51" i="153"/>
  <c r="R51" i="153" s="1"/>
  <c r="J56" i="154"/>
  <c r="L56" i="155"/>
  <c r="J56" i="153"/>
  <c r="T56" i="153" s="1"/>
  <c r="H56" i="150"/>
  <c r="Q56" i="150" s="1"/>
  <c r="J56" i="76"/>
  <c r="H56" i="34"/>
  <c r="H56" i="36"/>
  <c r="J56" i="77"/>
  <c r="H56" i="30"/>
  <c r="CF71" i="67"/>
  <c r="J59" i="155"/>
  <c r="H59" i="153"/>
  <c r="R59" i="153" s="1"/>
  <c r="H59" i="154"/>
  <c r="R59" i="154" s="1"/>
  <c r="BW80" i="67"/>
  <c r="T68" i="38"/>
  <c r="T68" i="28"/>
  <c r="L83" i="155"/>
  <c r="L131" i="155" s="1"/>
  <c r="V131" i="155" s="1"/>
  <c r="J83" i="153"/>
  <c r="T83" i="153" s="1"/>
  <c r="J83" i="154"/>
  <c r="H83" i="150"/>
  <c r="Q83" i="150" s="1"/>
  <c r="J83" i="76"/>
  <c r="J131" i="76" s="1"/>
  <c r="H83" i="30"/>
  <c r="H83" i="34"/>
  <c r="H83" i="36"/>
  <c r="J83" i="77"/>
  <c r="J131" i="77" s="1"/>
  <c r="S131" i="77" s="1"/>
  <c r="K131" i="75"/>
  <c r="U131" i="75" s="1"/>
  <c r="M16" i="75"/>
  <c r="K16" i="28"/>
  <c r="U16" i="28" s="1"/>
  <c r="M21" i="75"/>
  <c r="K21" i="28"/>
  <c r="U21" i="28" s="1"/>
  <c r="BW79" i="67"/>
  <c r="T67" i="38"/>
  <c r="T67" i="28"/>
  <c r="L78" i="155"/>
  <c r="L126" i="155" s="1"/>
  <c r="V126" i="155" s="1"/>
  <c r="J78" i="153"/>
  <c r="T78" i="153" s="1"/>
  <c r="J78" i="154"/>
  <c r="H78" i="150"/>
  <c r="Q78" i="150" s="1"/>
  <c r="J78" i="77"/>
  <c r="J126" i="77" s="1"/>
  <c r="S126" i="77" s="1"/>
  <c r="J78" i="76"/>
  <c r="J126" i="76" s="1"/>
  <c r="R126" i="76" s="1"/>
  <c r="H78" i="30"/>
  <c r="H78" i="34"/>
  <c r="H78" i="36"/>
  <c r="L94" i="155"/>
  <c r="J94" i="153"/>
  <c r="T94" i="153" s="1"/>
  <c r="J94" i="154"/>
  <c r="T94" i="154" s="1"/>
  <c r="H94" i="150"/>
  <c r="Q94" i="150" s="1"/>
  <c r="H94" i="30"/>
  <c r="J94" i="77"/>
  <c r="H94" i="34"/>
  <c r="P94" i="34" s="1"/>
  <c r="H94" i="36"/>
  <c r="Q94" i="36" s="1"/>
  <c r="J65" i="154"/>
  <c r="J65" i="153"/>
  <c r="T65" i="153" s="1"/>
  <c r="L65" i="155"/>
  <c r="L113" i="155" s="1"/>
  <c r="V113" i="155" s="1"/>
  <c r="H65" i="150"/>
  <c r="Q65" i="150" s="1"/>
  <c r="H65" i="34"/>
  <c r="H113" i="34" s="1"/>
  <c r="P113" i="34" s="1"/>
  <c r="J65" i="77"/>
  <c r="J113" i="77" s="1"/>
  <c r="S113" i="77" s="1"/>
  <c r="H65" i="36"/>
  <c r="J65" i="76"/>
  <c r="J113" i="76" s="1"/>
  <c r="R113" i="76" s="1"/>
  <c r="H65" i="30"/>
  <c r="K113" i="75"/>
  <c r="U113" i="75" s="1"/>
  <c r="M2" i="75"/>
  <c r="K2" i="28"/>
  <c r="U2" i="28" s="1"/>
  <c r="M6" i="75"/>
  <c r="K6" i="28"/>
  <c r="U6" i="28" s="1"/>
  <c r="R10" i="67"/>
  <c r="S10" i="67" s="1"/>
  <c r="D10" i="157" s="1"/>
  <c r="N10" i="157" s="1"/>
  <c r="W10" i="67"/>
  <c r="X10" i="67" s="1"/>
  <c r="L51" i="155"/>
  <c r="J51" i="153"/>
  <c r="T51" i="153" s="1"/>
  <c r="J51" i="154"/>
  <c r="J51" i="76"/>
  <c r="H51" i="30"/>
  <c r="H51" i="36"/>
  <c r="H51" i="34"/>
  <c r="H51" i="150"/>
  <c r="Q51" i="150" s="1"/>
  <c r="J51" i="77"/>
  <c r="CF66" i="67"/>
  <c r="H54" i="154"/>
  <c r="R54" i="154" s="1"/>
  <c r="J54" i="155"/>
  <c r="H54" i="153"/>
  <c r="R54" i="153" s="1"/>
  <c r="J59" i="153"/>
  <c r="T59" i="153" s="1"/>
  <c r="J59" i="154"/>
  <c r="L59" i="155"/>
  <c r="H59" i="150"/>
  <c r="Q59" i="150" s="1"/>
  <c r="J59" i="77"/>
  <c r="H59" i="30"/>
  <c r="J59" i="76"/>
  <c r="H59" i="36"/>
  <c r="H59" i="34"/>
  <c r="BW78" i="67"/>
  <c r="T66" i="38"/>
  <c r="T66" i="28"/>
  <c r="J73" i="154"/>
  <c r="J73" i="153"/>
  <c r="T73" i="153" s="1"/>
  <c r="L73" i="155"/>
  <c r="L121" i="155" s="1"/>
  <c r="V121" i="155" s="1"/>
  <c r="J73" i="77"/>
  <c r="J121" i="77" s="1"/>
  <c r="S121" i="77" s="1"/>
  <c r="H73" i="150"/>
  <c r="Q73" i="150" s="1"/>
  <c r="H73" i="30"/>
  <c r="J73" i="76"/>
  <c r="J121" i="76" s="1"/>
  <c r="R121" i="76" s="1"/>
  <c r="H73" i="36"/>
  <c r="H73" i="34"/>
  <c r="H121" i="34" s="1"/>
  <c r="P121" i="34" s="1"/>
  <c r="K121" i="75"/>
  <c r="U121" i="75" s="1"/>
  <c r="J89" i="154"/>
  <c r="T89" i="154" s="1"/>
  <c r="L89" i="155"/>
  <c r="J89" i="153"/>
  <c r="T89" i="153" s="1"/>
  <c r="H89" i="150"/>
  <c r="Q89" i="150" s="1"/>
  <c r="H89" i="30"/>
  <c r="H89" i="36"/>
  <c r="Q89" i="36" s="1"/>
  <c r="H89" i="34"/>
  <c r="P89" i="34" s="1"/>
  <c r="J89" i="77"/>
  <c r="N22" i="75"/>
  <c r="L22" i="28"/>
  <c r="V22" i="28" s="1"/>
  <c r="M29" i="75"/>
  <c r="K29" i="28"/>
  <c r="U29" i="28" s="1"/>
  <c r="BW77" i="67"/>
  <c r="T65" i="38"/>
  <c r="T65" i="28"/>
  <c r="J72" i="154"/>
  <c r="L72" i="155"/>
  <c r="L120" i="155" s="1"/>
  <c r="V120" i="155" s="1"/>
  <c r="J72" i="153"/>
  <c r="T72" i="153" s="1"/>
  <c r="H72" i="150"/>
  <c r="Q72" i="150" s="1"/>
  <c r="J72" i="76"/>
  <c r="J120" i="76" s="1"/>
  <c r="R120" i="76" s="1"/>
  <c r="H72" i="34"/>
  <c r="H120" i="34" s="1"/>
  <c r="P120" i="34" s="1"/>
  <c r="H72" i="30"/>
  <c r="J72" i="77"/>
  <c r="J120" i="77" s="1"/>
  <c r="S120" i="77" s="1"/>
  <c r="H72" i="36"/>
  <c r="K120" i="75"/>
  <c r="U120" i="75" s="1"/>
  <c r="J84" i="154"/>
  <c r="L84" i="155"/>
  <c r="L132" i="155" s="1"/>
  <c r="V132" i="155" s="1"/>
  <c r="J84" i="153"/>
  <c r="T84" i="153" s="1"/>
  <c r="J84" i="77"/>
  <c r="J132" i="77" s="1"/>
  <c r="S132" i="77" s="1"/>
  <c r="H84" i="34"/>
  <c r="J84" i="76"/>
  <c r="J132" i="76" s="1"/>
  <c r="H84" i="36"/>
  <c r="H84" i="150"/>
  <c r="Q84" i="150" s="1"/>
  <c r="H84" i="30"/>
  <c r="K132" i="75"/>
  <c r="U132" i="75" s="1"/>
  <c r="R4" i="67"/>
  <c r="S4" i="67" s="1"/>
  <c r="D4" i="157" s="1"/>
  <c r="N4" i="157" s="1"/>
  <c r="W4" i="67"/>
  <c r="X4" i="67" s="1"/>
  <c r="M15" i="75"/>
  <c r="K15" i="28"/>
  <c r="U15" i="28" s="1"/>
  <c r="M33" i="75"/>
  <c r="K33" i="28"/>
  <c r="U33" i="28" s="1"/>
  <c r="N37" i="75"/>
  <c r="L37" i="28"/>
  <c r="V37" i="28" s="1"/>
  <c r="L54" i="155"/>
  <c r="J54" i="153"/>
  <c r="T54" i="153" s="1"/>
  <c r="J54" i="154"/>
  <c r="J54" i="77"/>
  <c r="H54" i="150"/>
  <c r="Q54" i="150" s="1"/>
  <c r="H54" i="30"/>
  <c r="H54" i="36"/>
  <c r="J54" i="76"/>
  <c r="H54" i="34"/>
  <c r="CF69" i="67"/>
  <c r="J57" i="155"/>
  <c r="H57" i="154"/>
  <c r="R57" i="154" s="1"/>
  <c r="H57" i="153"/>
  <c r="R57" i="153" s="1"/>
  <c r="BW76" i="67"/>
  <c r="T64" i="38"/>
  <c r="T64" i="28"/>
  <c r="L71" i="155"/>
  <c r="L119" i="155" s="1"/>
  <c r="V119" i="155" s="1"/>
  <c r="J71" i="154"/>
  <c r="J71" i="153"/>
  <c r="T71" i="153" s="1"/>
  <c r="H71" i="150"/>
  <c r="Q71" i="150" s="1"/>
  <c r="J71" i="77"/>
  <c r="J119" i="77" s="1"/>
  <c r="S119" i="77" s="1"/>
  <c r="H71" i="36"/>
  <c r="H71" i="34"/>
  <c r="H119" i="34" s="1"/>
  <c r="P119" i="34" s="1"/>
  <c r="H71" i="30"/>
  <c r="J71" i="76"/>
  <c r="J119" i="76" s="1"/>
  <c r="R119" i="76" s="1"/>
  <c r="K119" i="75"/>
  <c r="U119" i="75" s="1"/>
  <c r="L79" i="155"/>
  <c r="L127" i="155" s="1"/>
  <c r="V127" i="155" s="1"/>
  <c r="J79" i="153"/>
  <c r="T79" i="153" s="1"/>
  <c r="J79" i="154"/>
  <c r="H79" i="150"/>
  <c r="Q79" i="150" s="1"/>
  <c r="J79" i="77"/>
  <c r="J127" i="77" s="1"/>
  <c r="S127" i="77" s="1"/>
  <c r="J79" i="76"/>
  <c r="J127" i="76" s="1"/>
  <c r="H79" i="34"/>
  <c r="H79" i="36"/>
  <c r="H79" i="30"/>
  <c r="K127" i="75"/>
  <c r="U127" i="75" s="1"/>
  <c r="L95" i="155"/>
  <c r="J95" i="153"/>
  <c r="T95" i="153" s="1"/>
  <c r="J95" i="154"/>
  <c r="T95" i="154" s="1"/>
  <c r="H95" i="150"/>
  <c r="Q95" i="150" s="1"/>
  <c r="J95" i="77"/>
  <c r="H95" i="36"/>
  <c r="Q95" i="36" s="1"/>
  <c r="H95" i="34"/>
  <c r="P95" i="34" s="1"/>
  <c r="H95" i="30"/>
  <c r="M9" i="75"/>
  <c r="K9" i="28"/>
  <c r="U9" i="28" s="1"/>
  <c r="BW75" i="67"/>
  <c r="T63" i="38"/>
  <c r="T63" i="28"/>
  <c r="L70" i="155"/>
  <c r="L118" i="155" s="1"/>
  <c r="V118" i="155" s="1"/>
  <c r="J70" i="153"/>
  <c r="T70" i="153" s="1"/>
  <c r="J70" i="154"/>
  <c r="J70" i="77"/>
  <c r="J118" i="77" s="1"/>
  <c r="S118" i="77" s="1"/>
  <c r="J70" i="76"/>
  <c r="J118" i="76" s="1"/>
  <c r="R118" i="76" s="1"/>
  <c r="H70" i="30"/>
  <c r="H70" i="36"/>
  <c r="H70" i="150"/>
  <c r="Q70" i="150" s="1"/>
  <c r="H70" i="34"/>
  <c r="H118" i="34" s="1"/>
  <c r="P118" i="34" s="1"/>
  <c r="K118" i="75"/>
  <c r="U118" i="75" s="1"/>
  <c r="J74" i="154"/>
  <c r="L74" i="155"/>
  <c r="L122" i="155" s="1"/>
  <c r="V122" i="155" s="1"/>
  <c r="J74" i="153"/>
  <c r="T74" i="153" s="1"/>
  <c r="H74" i="150"/>
  <c r="Q74" i="150" s="1"/>
  <c r="J74" i="76"/>
  <c r="J122" i="76" s="1"/>
  <c r="R122" i="76" s="1"/>
  <c r="J74" i="77"/>
  <c r="J122" i="77" s="1"/>
  <c r="S122" i="77" s="1"/>
  <c r="H74" i="30"/>
  <c r="H74" i="36"/>
  <c r="H74" i="34"/>
  <c r="K122" i="75"/>
  <c r="U122" i="75" s="1"/>
  <c r="L90" i="155"/>
  <c r="J90" i="153"/>
  <c r="T90" i="153" s="1"/>
  <c r="J90" i="154"/>
  <c r="T90" i="154" s="1"/>
  <c r="H90" i="150"/>
  <c r="Q90" i="150" s="1"/>
  <c r="H90" i="30"/>
  <c r="H90" i="36"/>
  <c r="Q90" i="36" s="1"/>
  <c r="H90" i="34"/>
  <c r="P90" i="34" s="1"/>
  <c r="J90" i="77"/>
  <c r="W5" i="67"/>
  <c r="X5" i="67" s="1"/>
  <c r="R5" i="67"/>
  <c r="S5" i="67" s="1"/>
  <c r="D5" i="157" s="1"/>
  <c r="N5" i="157" s="1"/>
  <c r="N6" i="75"/>
  <c r="L6" i="28"/>
  <c r="V6" i="28" s="1"/>
  <c r="W9" i="67"/>
  <c r="X9" i="67" s="1"/>
  <c r="R9" i="67"/>
  <c r="S9" i="67" s="1"/>
  <c r="D9" i="157" s="1"/>
  <c r="N9" i="157" s="1"/>
  <c r="M10" i="75"/>
  <c r="K10" i="28"/>
  <c r="U10" i="28" s="1"/>
  <c r="CF64" i="67"/>
  <c r="J52" i="155"/>
  <c r="H52" i="154"/>
  <c r="R52" i="154" s="1"/>
  <c r="H52" i="153"/>
  <c r="R52" i="153" s="1"/>
  <c r="J57" i="154"/>
  <c r="J57" i="153"/>
  <c r="T57" i="153" s="1"/>
  <c r="L57" i="155"/>
  <c r="H57" i="150"/>
  <c r="Q57" i="150" s="1"/>
  <c r="H57" i="30"/>
  <c r="H57" i="34"/>
  <c r="J57" i="76"/>
  <c r="H57" i="36"/>
  <c r="J57" i="77"/>
  <c r="CF72" i="67"/>
  <c r="H60" i="154"/>
  <c r="R60" i="154" s="1"/>
  <c r="J60" i="155"/>
  <c r="H60" i="153"/>
  <c r="R60" i="153" s="1"/>
  <c r="BW74" i="67"/>
  <c r="T62" i="28"/>
  <c r="T62" i="38"/>
  <c r="L69" i="155"/>
  <c r="L117" i="155" s="1"/>
  <c r="V117" i="155" s="1"/>
  <c r="J69" i="153"/>
  <c r="T69" i="153" s="1"/>
  <c r="J69" i="154"/>
  <c r="J69" i="77"/>
  <c r="J117" i="77" s="1"/>
  <c r="S117" i="77" s="1"/>
  <c r="J69" i="76"/>
  <c r="J117" i="76" s="1"/>
  <c r="R117" i="76" s="1"/>
  <c r="H69" i="150"/>
  <c r="Q69" i="150" s="1"/>
  <c r="H69" i="36"/>
  <c r="H69" i="34"/>
  <c r="H117" i="34" s="1"/>
  <c r="P117" i="34" s="1"/>
  <c r="H69" i="30"/>
  <c r="K117" i="75"/>
  <c r="U117" i="75" s="1"/>
  <c r="L85" i="155"/>
  <c r="L133" i="155" s="1"/>
  <c r="V133" i="155" s="1"/>
  <c r="J85" i="154"/>
  <c r="J85" i="153"/>
  <c r="T85" i="153" s="1"/>
  <c r="J85" i="76"/>
  <c r="J133" i="76" s="1"/>
  <c r="H85" i="150"/>
  <c r="Q85" i="150" s="1"/>
  <c r="H85" i="36"/>
  <c r="J85" i="77"/>
  <c r="J133" i="77" s="1"/>
  <c r="S133" i="77" s="1"/>
  <c r="H85" i="30"/>
  <c r="H85" i="34"/>
  <c r="K133" i="75"/>
  <c r="U133" i="75" s="1"/>
  <c r="M18" i="75"/>
  <c r="K18" i="28"/>
  <c r="U18" i="28" s="1"/>
  <c r="R13" i="67"/>
  <c r="S13" i="67" s="1"/>
  <c r="D13" i="157" s="1"/>
  <c r="N13" i="157" s="1"/>
  <c r="W13" i="67"/>
  <c r="X13" i="67" s="1"/>
  <c r="J68" i="154"/>
  <c r="L68" i="155"/>
  <c r="L116" i="155" s="1"/>
  <c r="V116" i="155" s="1"/>
  <c r="J68" i="153"/>
  <c r="T68" i="153" s="1"/>
  <c r="H68" i="150"/>
  <c r="Q68" i="150" s="1"/>
  <c r="H68" i="34"/>
  <c r="H116" i="34" s="1"/>
  <c r="P116" i="34" s="1"/>
  <c r="J68" i="77"/>
  <c r="J116" i="77" s="1"/>
  <c r="S116" i="77" s="1"/>
  <c r="H68" i="36"/>
  <c r="J68" i="76"/>
  <c r="J116" i="76" s="1"/>
  <c r="R116" i="76" s="1"/>
  <c r="H68" i="30"/>
  <c r="K116" i="75"/>
  <c r="U116" i="75" s="1"/>
  <c r="J80" i="154"/>
  <c r="L80" i="155"/>
  <c r="L128" i="155" s="1"/>
  <c r="V128" i="155" s="1"/>
  <c r="J80" i="153"/>
  <c r="T80" i="153" s="1"/>
  <c r="H80" i="150"/>
  <c r="Q80" i="150" s="1"/>
  <c r="J80" i="76"/>
  <c r="J128" i="76" s="1"/>
  <c r="H80" i="34"/>
  <c r="H80" i="30"/>
  <c r="J80" i="77"/>
  <c r="J128" i="77" s="1"/>
  <c r="S128" i="77" s="1"/>
  <c r="H80" i="36"/>
  <c r="K128" i="75"/>
  <c r="U128" i="75" s="1"/>
  <c r="J96" i="154"/>
  <c r="T96" i="154" s="1"/>
  <c r="L96" i="155"/>
  <c r="J96" i="153"/>
  <c r="T96" i="153" s="1"/>
  <c r="H96" i="150"/>
  <c r="Q96" i="150" s="1"/>
  <c r="J96" i="77"/>
  <c r="H96" i="34"/>
  <c r="P96" i="34" s="1"/>
  <c r="H96" i="30"/>
  <c r="H96" i="36"/>
  <c r="Q96" i="36" s="1"/>
  <c r="W12" i="67"/>
  <c r="X12" i="67" s="1"/>
  <c r="R12" i="67"/>
  <c r="S12" i="67" s="1"/>
  <c r="D12" i="157" s="1"/>
  <c r="N12" i="157" s="1"/>
  <c r="CF62" i="67"/>
  <c r="J50" i="155"/>
  <c r="H50" i="154"/>
  <c r="R50" i="154" s="1"/>
  <c r="H50" i="153"/>
  <c r="R50" i="153" s="1"/>
  <c r="J52" i="154"/>
  <c r="L52" i="155"/>
  <c r="J52" i="153"/>
  <c r="T52" i="153" s="1"/>
  <c r="J52" i="77"/>
  <c r="H52" i="150"/>
  <c r="Q52" i="150" s="1"/>
  <c r="H52" i="34"/>
  <c r="J52" i="76"/>
  <c r="H52" i="36"/>
  <c r="H52" i="30"/>
  <c r="CF67" i="67"/>
  <c r="J55" i="155"/>
  <c r="H55" i="153"/>
  <c r="R55" i="153" s="1"/>
  <c r="H55" i="154"/>
  <c r="R55" i="154" s="1"/>
  <c r="J60" i="154"/>
  <c r="L60" i="155"/>
  <c r="J60" i="153"/>
  <c r="T60" i="153" s="1"/>
  <c r="J60" i="77"/>
  <c r="H60" i="150"/>
  <c r="Q60" i="150" s="1"/>
  <c r="J60" i="76"/>
  <c r="H60" i="34"/>
  <c r="H60" i="30"/>
  <c r="H60" i="36"/>
  <c r="J67" i="154"/>
  <c r="L67" i="155"/>
  <c r="L115" i="155" s="1"/>
  <c r="V115" i="155" s="1"/>
  <c r="J67" i="153"/>
  <c r="T67" i="153" s="1"/>
  <c r="J67" i="77"/>
  <c r="J115" i="77" s="1"/>
  <c r="S115" i="77" s="1"/>
  <c r="J67" i="76"/>
  <c r="J115" i="76" s="1"/>
  <c r="R115" i="76" s="1"/>
  <c r="H67" i="30"/>
  <c r="H67" i="36"/>
  <c r="H67" i="34"/>
  <c r="H115" i="34" s="1"/>
  <c r="P115" i="34" s="1"/>
  <c r="H67" i="150"/>
  <c r="Q67" i="150" s="1"/>
  <c r="K115" i="75"/>
  <c r="U115" i="75" s="1"/>
  <c r="L75" i="155"/>
  <c r="L123" i="155" s="1"/>
  <c r="V123" i="155" s="1"/>
  <c r="J75" i="153"/>
  <c r="T75" i="153" s="1"/>
  <c r="J75" i="154"/>
  <c r="H75" i="150"/>
  <c r="Q75" i="150" s="1"/>
  <c r="H75" i="30"/>
  <c r="H75" i="36"/>
  <c r="H75" i="34"/>
  <c r="J75" i="76"/>
  <c r="J123" i="76" s="1"/>
  <c r="R123" i="76" s="1"/>
  <c r="J75" i="77"/>
  <c r="J123" i="77" s="1"/>
  <c r="S123" i="77" s="1"/>
  <c r="K123" i="75"/>
  <c r="U123" i="75" s="1"/>
  <c r="L91" i="155"/>
  <c r="J91" i="154"/>
  <c r="T91" i="154" s="1"/>
  <c r="J91" i="153"/>
  <c r="T91" i="153" s="1"/>
  <c r="H91" i="150"/>
  <c r="Q91" i="150" s="1"/>
  <c r="J91" i="77"/>
  <c r="H91" i="30"/>
  <c r="H91" i="36"/>
  <c r="Q91" i="36" s="1"/>
  <c r="H91" i="34"/>
  <c r="P91" i="34" s="1"/>
  <c r="W3" i="67"/>
  <c r="X3" i="67" s="1"/>
  <c r="R3" i="67"/>
  <c r="S3" i="67" s="1"/>
  <c r="D3" i="157" s="1"/>
  <c r="N3" i="157" s="1"/>
  <c r="M27" i="75"/>
  <c r="K27" i="28"/>
  <c r="U27" i="28" s="1"/>
  <c r="N32" i="75"/>
  <c r="L32" i="28"/>
  <c r="V32" i="28" s="1"/>
  <c r="J66" i="154"/>
  <c r="L66" i="155"/>
  <c r="L114" i="155" s="1"/>
  <c r="V114" i="155" s="1"/>
  <c r="J66" i="153"/>
  <c r="T66" i="153" s="1"/>
  <c r="J66" i="76"/>
  <c r="J114" i="76" s="1"/>
  <c r="R114" i="76" s="1"/>
  <c r="H66" i="150"/>
  <c r="Q66" i="150" s="1"/>
  <c r="J66" i="77"/>
  <c r="J114" i="77" s="1"/>
  <c r="S114" i="77" s="1"/>
  <c r="H66" i="30"/>
  <c r="H66" i="36"/>
  <c r="H66" i="34"/>
  <c r="H114" i="34" s="1"/>
  <c r="P114" i="34" s="1"/>
  <c r="K114" i="75"/>
  <c r="U114" i="75" s="1"/>
  <c r="J86" i="154"/>
  <c r="T86" i="154" s="1"/>
  <c r="L86" i="155"/>
  <c r="J86" i="153"/>
  <c r="T86" i="153" s="1"/>
  <c r="J86" i="77"/>
  <c r="H86" i="30"/>
  <c r="J86" i="76"/>
  <c r="H86" i="150"/>
  <c r="Q86" i="150" s="1"/>
  <c r="H86" i="34"/>
  <c r="P86" i="34" s="1"/>
  <c r="H86" i="36"/>
  <c r="Q86" i="36" s="1"/>
  <c r="N58" i="69"/>
  <c r="N59" i="69" s="1"/>
  <c r="DB31" i="67"/>
  <c r="F53" i="69"/>
  <c r="G53" i="69" s="1"/>
  <c r="H53" i="69" s="1"/>
  <c r="I53" i="69" s="1"/>
  <c r="J53" i="69" s="1"/>
  <c r="K53" i="69" s="1"/>
  <c r="L53" i="69" s="1"/>
  <c r="M53" i="69" s="1"/>
  <c r="K21" i="69"/>
  <c r="DE11" i="67"/>
  <c r="DC28" i="67"/>
  <c r="DR5" i="67"/>
  <c r="DS6" i="67"/>
  <c r="DE24" i="67"/>
  <c r="S119" i="65"/>
  <c r="S123" i="65"/>
  <c r="R118" i="65"/>
  <c r="S116" i="65"/>
  <c r="T119" i="65"/>
  <c r="T123" i="65"/>
  <c r="S113" i="65"/>
  <c r="T116" i="65"/>
  <c r="U119" i="65"/>
  <c r="R113" i="65"/>
  <c r="T113" i="65"/>
  <c r="U116" i="65"/>
  <c r="R114" i="65"/>
  <c r="U120" i="65"/>
  <c r="U113" i="65"/>
  <c r="R115" i="65"/>
  <c r="T117" i="65"/>
  <c r="S120" i="65"/>
  <c r="R116" i="65"/>
  <c r="S114" i="65"/>
  <c r="U121" i="65"/>
  <c r="S117" i="65"/>
  <c r="T120" i="65"/>
  <c r="R117" i="65"/>
  <c r="S122" i="65"/>
  <c r="T114" i="65"/>
  <c r="U117" i="65"/>
  <c r="R119" i="65"/>
  <c r="T122" i="65"/>
  <c r="U114" i="65"/>
  <c r="R120" i="65"/>
  <c r="U123" i="65"/>
  <c r="S121" i="65"/>
  <c r="R121" i="65"/>
  <c r="S118" i="65"/>
  <c r="T121" i="65"/>
  <c r="R122" i="65"/>
  <c r="S115" i="65"/>
  <c r="T118" i="65"/>
  <c r="R123" i="65"/>
  <c r="S112" i="65"/>
  <c r="T115" i="65"/>
  <c r="U118" i="65"/>
  <c r="U122" i="65"/>
  <c r="R112" i="65"/>
  <c r="T112" i="65"/>
  <c r="U115" i="65"/>
  <c r="U112" i="65"/>
  <c r="E127" i="65"/>
  <c r="DI13" i="67"/>
  <c r="DC19" i="67"/>
  <c r="DD28" i="67"/>
  <c r="DE10" i="67"/>
  <c r="DE30" i="67"/>
  <c r="CZ23" i="67"/>
  <c r="DL34" i="67"/>
  <c r="DC35" i="67"/>
  <c r="EA4" i="67"/>
  <c r="DF23" i="67"/>
  <c r="DD24" i="67"/>
  <c r="DV39" i="67"/>
  <c r="DW8" i="67"/>
  <c r="DY16" i="67"/>
  <c r="DH17" i="67"/>
  <c r="DA18" i="67"/>
  <c r="DN2" i="67"/>
  <c r="DR18" i="67"/>
  <c r="CZ33" i="67"/>
  <c r="DC26" i="67"/>
  <c r="DE37" i="67"/>
  <c r="DV20" i="67"/>
  <c r="DE20" i="67"/>
  <c r="DK4" i="67"/>
  <c r="DN9" i="67"/>
  <c r="DO15" i="67"/>
  <c r="DD32" i="67"/>
  <c r="DP9" i="67"/>
  <c r="DP15" i="67"/>
  <c r="DQ21" i="67"/>
  <c r="DC39" i="67"/>
  <c r="DP10" i="67"/>
  <c r="DI6" i="67"/>
  <c r="DI35" i="67"/>
  <c r="DL30" i="67"/>
  <c r="DR35" i="67"/>
  <c r="DC13" i="67"/>
  <c r="DC7" i="67"/>
  <c r="DL4" i="67"/>
  <c r="DT10" i="67"/>
  <c r="DB14" i="67"/>
  <c r="DC32" i="67"/>
  <c r="DD39" i="67"/>
  <c r="DY25" i="67"/>
  <c r="DB7" i="67"/>
  <c r="DY14" i="67"/>
  <c r="DM18" i="67"/>
  <c r="DO21" i="67"/>
  <c r="DZ14" i="67"/>
  <c r="DP21" i="67"/>
  <c r="DV28" i="67"/>
  <c r="DN29" i="67"/>
  <c r="DQ8" i="67"/>
  <c r="DD11" i="67"/>
  <c r="EA14" i="67"/>
  <c r="DI32" i="67"/>
  <c r="DY8" i="67"/>
  <c r="DD19" i="67"/>
  <c r="DU22" i="67"/>
  <c r="DE26" i="67"/>
  <c r="DA12" i="67"/>
  <c r="DN15" i="67"/>
  <c r="DV22" i="67"/>
  <c r="DR26" i="67"/>
  <c r="DK30" i="67"/>
  <c r="DK33" i="67"/>
  <c r="DA34" i="67"/>
  <c r="DW37" i="67"/>
  <c r="DR15" i="67"/>
  <c r="DH23" i="67"/>
  <c r="DP27" i="67"/>
  <c r="DA38" i="67"/>
  <c r="DO2" i="67"/>
  <c r="DK13" i="67"/>
  <c r="DO16" i="67"/>
  <c r="DA24" i="67"/>
  <c r="DA31" i="67"/>
  <c r="DY6" i="67"/>
  <c r="DI10" i="67"/>
  <c r="DZ16" i="67"/>
  <c r="E53" i="32"/>
  <c r="J53" i="32" s="1"/>
  <c r="F53" i="30"/>
  <c r="F53" i="28"/>
  <c r="I59" i="28"/>
  <c r="E71" i="32"/>
  <c r="J71" i="32" s="1"/>
  <c r="F71" i="30"/>
  <c r="F71" i="28"/>
  <c r="E72" i="32"/>
  <c r="J72" i="32" s="1"/>
  <c r="F72" i="30"/>
  <c r="F72" i="28"/>
  <c r="E75" i="32"/>
  <c r="J75" i="32" s="1"/>
  <c r="F75" i="30"/>
  <c r="F75" i="28"/>
  <c r="E87" i="32"/>
  <c r="J87" i="32" s="1"/>
  <c r="F87" i="28"/>
  <c r="F87" i="30"/>
  <c r="DJ2" i="67"/>
  <c r="DU8" i="67"/>
  <c r="E8" i="32"/>
  <c r="J8" i="32" s="1"/>
  <c r="F8" i="30"/>
  <c r="F8" i="28"/>
  <c r="DU16" i="67"/>
  <c r="E16" i="32"/>
  <c r="J16" i="32" s="1"/>
  <c r="F16" i="30"/>
  <c r="F16" i="28"/>
  <c r="DN17" i="67"/>
  <c r="DG20" i="67"/>
  <c r="E20" i="32"/>
  <c r="J20" i="32" s="1"/>
  <c r="F20" i="28"/>
  <c r="F20" i="30"/>
  <c r="DT25" i="67"/>
  <c r="DE5" i="67"/>
  <c r="DR13" i="67"/>
  <c r="DI29" i="67"/>
  <c r="E32" i="32"/>
  <c r="J32" i="32" s="1"/>
  <c r="F32" i="30"/>
  <c r="F32" i="28"/>
  <c r="DJ34" i="67"/>
  <c r="DZ39" i="67"/>
  <c r="CC76" i="67"/>
  <c r="CC80" i="67"/>
  <c r="E73" i="32"/>
  <c r="J73" i="32" s="1"/>
  <c r="F73" i="28"/>
  <c r="F73" i="30"/>
  <c r="E78" i="32"/>
  <c r="J78" i="32" s="1"/>
  <c r="F78" i="30"/>
  <c r="F78" i="28"/>
  <c r="I91" i="28"/>
  <c r="I95" i="28"/>
  <c r="E96" i="32"/>
  <c r="J96" i="32" s="1"/>
  <c r="F96" i="30"/>
  <c r="F96" i="28"/>
  <c r="I97" i="28"/>
  <c r="DX12" i="67"/>
  <c r="I116" i="38"/>
  <c r="S116" i="38" s="1"/>
  <c r="I68" i="28"/>
  <c r="DX14" i="67"/>
  <c r="E46" i="32"/>
  <c r="J46" i="32" s="1"/>
  <c r="F46" i="30"/>
  <c r="F46" i="28"/>
  <c r="DF6" i="67"/>
  <c r="DO17" i="67"/>
  <c r="DU6" i="67"/>
  <c r="E6" i="32"/>
  <c r="J6" i="32" s="1"/>
  <c r="F6" i="30"/>
  <c r="F6" i="28"/>
  <c r="DG10" i="67"/>
  <c r="F10" i="30"/>
  <c r="E10" i="32"/>
  <c r="J10" i="32" s="1"/>
  <c r="F10" i="28"/>
  <c r="DF30" i="67"/>
  <c r="CH63" i="67"/>
  <c r="CH67" i="67"/>
  <c r="I112" i="38"/>
  <c r="I64" i="28"/>
  <c r="CC83" i="67"/>
  <c r="CC84" i="67"/>
  <c r="I124" i="38"/>
  <c r="I76" i="28"/>
  <c r="I127" i="38"/>
  <c r="I79" i="28"/>
  <c r="DN3" i="67"/>
  <c r="DK5" i="67"/>
  <c r="DR7" i="67"/>
  <c r="DJ8" i="67"/>
  <c r="DO9" i="67"/>
  <c r="DO11" i="67"/>
  <c r="DG13" i="67"/>
  <c r="E13" i="32"/>
  <c r="J13" i="32" s="1"/>
  <c r="F13" i="30"/>
  <c r="F13" i="28"/>
  <c r="DQ15" i="67"/>
  <c r="DX16" i="67"/>
  <c r="DY17" i="67"/>
  <c r="DW19" i="67"/>
  <c r="DJ20" i="67"/>
  <c r="DG24" i="67"/>
  <c r="DP29" i="67"/>
  <c r="DG30" i="67"/>
  <c r="E30" i="32"/>
  <c r="J30" i="32" s="1"/>
  <c r="F30" i="28"/>
  <c r="F30" i="30"/>
  <c r="DD38" i="67"/>
  <c r="DF39" i="67"/>
  <c r="E49" i="32"/>
  <c r="J49" i="32" s="1"/>
  <c r="F49" i="30"/>
  <c r="F49" i="28"/>
  <c r="I51" i="28"/>
  <c r="I55" i="28"/>
  <c r="CH70" i="67"/>
  <c r="I71" i="28"/>
  <c r="I120" i="38"/>
  <c r="S120" i="38" s="1"/>
  <c r="I72" i="28"/>
  <c r="CC85" i="67"/>
  <c r="F90" i="30"/>
  <c r="E90" i="32"/>
  <c r="J90" i="32" s="1"/>
  <c r="F90" i="28"/>
  <c r="F93" i="30"/>
  <c r="E93" i="32"/>
  <c r="J93" i="32" s="1"/>
  <c r="F93" i="28"/>
  <c r="E94" i="32"/>
  <c r="J94" i="32" s="1"/>
  <c r="F94" i="30"/>
  <c r="F94" i="28"/>
  <c r="DF32" i="67"/>
  <c r="DG4" i="67"/>
  <c r="E4" i="32"/>
  <c r="J4" i="32" s="1"/>
  <c r="F4" i="30"/>
  <c r="F4" i="28"/>
  <c r="DG9" i="67"/>
  <c r="DV3" i="67"/>
  <c r="DW7" i="67"/>
  <c r="DG23" i="67"/>
  <c r="E23" i="32"/>
  <c r="J23" i="32" s="1"/>
  <c r="F23" i="30"/>
  <c r="F23" i="28"/>
  <c r="DJ25" i="67"/>
  <c r="DF26" i="67"/>
  <c r="DE27" i="67"/>
  <c r="DF28" i="67"/>
  <c r="DQ29" i="67"/>
  <c r="DH31" i="67"/>
  <c r="DX32" i="67"/>
  <c r="DT37" i="67"/>
  <c r="DG38" i="67"/>
  <c r="DG39" i="67"/>
  <c r="E39" i="32"/>
  <c r="J39" i="32" s="1"/>
  <c r="F39" i="30"/>
  <c r="F39" i="28"/>
  <c r="E47" i="32"/>
  <c r="J47" i="32" s="1"/>
  <c r="F47" i="30"/>
  <c r="F47" i="28"/>
  <c r="F52" i="30"/>
  <c r="E52" i="32"/>
  <c r="J52" i="32" s="1"/>
  <c r="F52" i="28"/>
  <c r="I58" i="28"/>
  <c r="E62" i="32"/>
  <c r="J62" i="32" s="1"/>
  <c r="F62" i="30"/>
  <c r="F62" i="28"/>
  <c r="E80" i="32"/>
  <c r="J80" i="32" s="1"/>
  <c r="F80" i="30"/>
  <c r="F80" i="28"/>
  <c r="I129" i="38"/>
  <c r="I81" i="28"/>
  <c r="E84" i="32"/>
  <c r="J84" i="32" s="1"/>
  <c r="F84" i="30"/>
  <c r="F84" i="28"/>
  <c r="DT3" i="67"/>
  <c r="DX27" i="67"/>
  <c r="E25" i="32"/>
  <c r="J25" i="32" s="1"/>
  <c r="F25" i="30"/>
  <c r="F25" i="28"/>
  <c r="DY26" i="67"/>
  <c r="DJ5" i="67"/>
  <c r="DN11" i="67"/>
  <c r="DT13" i="67"/>
  <c r="DP17" i="67"/>
  <c r="DV21" i="67"/>
  <c r="EA3" i="67"/>
  <c r="DJ6" i="67"/>
  <c r="DJ10" i="67"/>
  <c r="DE14" i="67"/>
  <c r="DT19" i="67"/>
  <c r="EA24" i="67"/>
  <c r="DU26" i="67"/>
  <c r="E26" i="32"/>
  <c r="J26" i="32" s="1"/>
  <c r="F26" i="30"/>
  <c r="F26" i="28"/>
  <c r="DG28" i="67"/>
  <c r="E28" i="32"/>
  <c r="J28" i="32" s="1"/>
  <c r="F28" i="30"/>
  <c r="F28" i="28"/>
  <c r="DR29" i="67"/>
  <c r="DM31" i="67"/>
  <c r="CZ34" i="67"/>
  <c r="DB36" i="67"/>
  <c r="DU37" i="67"/>
  <c r="E37" i="32"/>
  <c r="J37" i="32" s="1"/>
  <c r="F37" i="28"/>
  <c r="F37" i="30"/>
  <c r="CH66" i="67"/>
  <c r="E56" i="32"/>
  <c r="J56" i="32" s="1"/>
  <c r="F56" i="30"/>
  <c r="F56" i="28"/>
  <c r="I61" i="28"/>
  <c r="E65" i="32"/>
  <c r="J65" i="32" s="1"/>
  <c r="F65" i="30"/>
  <c r="F65" i="28"/>
  <c r="CH73" i="67"/>
  <c r="F74" i="30"/>
  <c r="E74" i="32"/>
  <c r="J74" i="32" s="1"/>
  <c r="F74" i="28"/>
  <c r="I92" i="28"/>
  <c r="DY7" i="67"/>
  <c r="DW9" i="67"/>
  <c r="DC12" i="67"/>
  <c r="DX13" i="67"/>
  <c r="DJ14" i="67"/>
  <c r="DF17" i="67"/>
  <c r="DE18" i="67"/>
  <c r="DU19" i="67"/>
  <c r="E19" i="32"/>
  <c r="J19" i="32" s="1"/>
  <c r="F19" i="30"/>
  <c r="F19" i="28"/>
  <c r="DI27" i="67"/>
  <c r="DJ30" i="67"/>
  <c r="DF35" i="67"/>
  <c r="DC36" i="67"/>
  <c r="E44" i="32"/>
  <c r="J44" i="32" s="1"/>
  <c r="F44" i="30"/>
  <c r="F44" i="28"/>
  <c r="I54" i="28"/>
  <c r="CH69" i="67"/>
  <c r="E59" i="32"/>
  <c r="J59" i="32" s="1"/>
  <c r="F59" i="30"/>
  <c r="F59" i="28"/>
  <c r="CC74" i="67"/>
  <c r="I121" i="38"/>
  <c r="S121" i="38" s="1"/>
  <c r="I73" i="28"/>
  <c r="I131" i="38"/>
  <c r="I83" i="28"/>
  <c r="I133" i="38"/>
  <c r="I85" i="28"/>
  <c r="I89" i="28"/>
  <c r="DT2" i="67"/>
  <c r="CZ8" i="67"/>
  <c r="DQ14" i="67"/>
  <c r="CZ16" i="67"/>
  <c r="E17" i="32"/>
  <c r="J17" i="32" s="1"/>
  <c r="F17" i="30"/>
  <c r="F17" i="28"/>
  <c r="DI18" i="67"/>
  <c r="DB20" i="67"/>
  <c r="DN22" i="67"/>
  <c r="DJ27" i="67"/>
  <c r="DY29" i="67"/>
  <c r="DK34" i="67"/>
  <c r="E35" i="32"/>
  <c r="J35" i="32" s="1"/>
  <c r="F35" i="30"/>
  <c r="F35" i="28"/>
  <c r="DE36" i="67"/>
  <c r="DY38" i="67"/>
  <c r="E42" i="32"/>
  <c r="J42" i="32" s="1"/>
  <c r="F42" i="30"/>
  <c r="F42" i="28"/>
  <c r="I57" i="28"/>
  <c r="I110" i="38"/>
  <c r="I62" i="28"/>
  <c r="CC77" i="67"/>
  <c r="F69" i="30"/>
  <c r="E69" i="32"/>
  <c r="J69" i="32" s="1"/>
  <c r="F69" i="28"/>
  <c r="I123" i="38"/>
  <c r="I75" i="28"/>
  <c r="E77" i="32"/>
  <c r="J77" i="32" s="1"/>
  <c r="F77" i="30"/>
  <c r="F77" i="28"/>
  <c r="E82" i="32"/>
  <c r="J82" i="32" s="1"/>
  <c r="F82" i="30"/>
  <c r="F82" i="28"/>
  <c r="E86" i="32"/>
  <c r="J86" i="32" s="1"/>
  <c r="F86" i="30"/>
  <c r="F86" i="28"/>
  <c r="I87" i="28"/>
  <c r="F88" i="30"/>
  <c r="E88" i="32"/>
  <c r="J88" i="32" s="1"/>
  <c r="F88" i="28"/>
  <c r="DU2" i="67"/>
  <c r="E2" i="32"/>
  <c r="J2" i="32" s="1"/>
  <c r="M2" i="32" s="1"/>
  <c r="F2" i="30"/>
  <c r="F2" i="28"/>
  <c r="DF4" i="67"/>
  <c r="DT7" i="67"/>
  <c r="DA8" i="67"/>
  <c r="DF11" i="67"/>
  <c r="DR12" i="67"/>
  <c r="DR14" i="67"/>
  <c r="DU15" i="67"/>
  <c r="E15" i="32"/>
  <c r="J15" i="32" s="1"/>
  <c r="F15" i="30"/>
  <c r="F15" i="28"/>
  <c r="DK18" i="67"/>
  <c r="DC20" i="67"/>
  <c r="DG21" i="67"/>
  <c r="E21" i="32"/>
  <c r="J21" i="32" s="1"/>
  <c r="F21" i="30"/>
  <c r="F21" i="28"/>
  <c r="DO22" i="67"/>
  <c r="DF24" i="67"/>
  <c r="DX25" i="67"/>
  <c r="DJ26" i="67"/>
  <c r="DN27" i="67"/>
  <c r="DJ28" i="67"/>
  <c r="DA32" i="67"/>
  <c r="DJ37" i="67"/>
  <c r="DZ38" i="67"/>
  <c r="CH62" i="67"/>
  <c r="CH72" i="67"/>
  <c r="I113" i="38"/>
  <c r="I65" i="28"/>
  <c r="I126" i="38"/>
  <c r="I78" i="28"/>
  <c r="I96" i="28"/>
  <c r="DF5" i="67"/>
  <c r="CZ6" i="67"/>
  <c r="E7" i="32"/>
  <c r="J7" i="32" s="1"/>
  <c r="F7" i="28"/>
  <c r="F7" i="30"/>
  <c r="DT9" i="67"/>
  <c r="DG11" i="67"/>
  <c r="E11" i="32"/>
  <c r="J11" i="32" s="1"/>
  <c r="F11" i="30"/>
  <c r="F11" i="28"/>
  <c r="DJ19" i="67"/>
  <c r="F24" i="30"/>
  <c r="E24" i="32"/>
  <c r="J24" i="32" s="1"/>
  <c r="F24" i="28"/>
  <c r="DT29" i="67"/>
  <c r="DT31" i="67"/>
  <c r="I50" i="28"/>
  <c r="F51" i="30"/>
  <c r="F51" i="28"/>
  <c r="E51" i="32"/>
  <c r="J51" i="32" s="1"/>
  <c r="CH65" i="67"/>
  <c r="E55" i="32"/>
  <c r="J55" i="32" s="1"/>
  <c r="F55" i="30"/>
  <c r="F55" i="28"/>
  <c r="I60" i="28"/>
  <c r="CC81" i="67"/>
  <c r="E76" i="32"/>
  <c r="J76" i="32" s="1"/>
  <c r="F76" i="30"/>
  <c r="F76" i="28"/>
  <c r="F79" i="30"/>
  <c r="E79" i="32"/>
  <c r="J79" i="32" s="1"/>
  <c r="F79" i="28"/>
  <c r="E97" i="32"/>
  <c r="J97" i="32" s="1"/>
  <c r="F97" i="30"/>
  <c r="F97" i="28"/>
  <c r="DG5" i="67"/>
  <c r="E5" i="32"/>
  <c r="J5" i="32" s="1"/>
  <c r="F5" i="30"/>
  <c r="F5" i="28"/>
  <c r="E9" i="32"/>
  <c r="J9" i="32" s="1"/>
  <c r="F9" i="28"/>
  <c r="F9" i="30"/>
  <c r="DP16" i="67"/>
  <c r="DX17" i="67"/>
  <c r="DQ18" i="67"/>
  <c r="DU29" i="67"/>
  <c r="E29" i="32"/>
  <c r="J29" i="32" s="1"/>
  <c r="F29" i="30"/>
  <c r="F29" i="28"/>
  <c r="DU31" i="67"/>
  <c r="E31" i="32"/>
  <c r="J31" i="32" s="1"/>
  <c r="F31" i="30"/>
  <c r="F31" i="28"/>
  <c r="DT33" i="67"/>
  <c r="DP34" i="67"/>
  <c r="DX35" i="67"/>
  <c r="DF38" i="67"/>
  <c r="I53" i="28"/>
  <c r="E58" i="32"/>
  <c r="J58" i="32" s="1"/>
  <c r="F58" i="30"/>
  <c r="F58" i="28"/>
  <c r="E66" i="32"/>
  <c r="J66" i="32" s="1"/>
  <c r="F66" i="28"/>
  <c r="F66" i="30"/>
  <c r="I117" i="38"/>
  <c r="S117" i="38" s="1"/>
  <c r="I69" i="28"/>
  <c r="I90" i="28"/>
  <c r="F91" i="30"/>
  <c r="E91" i="32"/>
  <c r="J91" i="32" s="1"/>
  <c r="F91" i="28"/>
  <c r="I93" i="28"/>
  <c r="E95" i="32"/>
  <c r="J95" i="32" s="1"/>
  <c r="F95" i="30"/>
  <c r="F95" i="28"/>
  <c r="DP8" i="67"/>
  <c r="DX15" i="67"/>
  <c r="DQ16" i="67"/>
  <c r="DJ21" i="67"/>
  <c r="F33" i="30"/>
  <c r="E33" i="32"/>
  <c r="J33" i="32" s="1"/>
  <c r="F33" i="28"/>
  <c r="DS34" i="67"/>
  <c r="E38" i="32"/>
  <c r="J38" i="32" s="1"/>
  <c r="F38" i="30"/>
  <c r="F38" i="28"/>
  <c r="E48" i="32"/>
  <c r="J48" i="32" s="1"/>
  <c r="F48" i="28"/>
  <c r="F48" i="30"/>
  <c r="E61" i="32"/>
  <c r="J61" i="32" s="1"/>
  <c r="F61" i="30"/>
  <c r="F61" i="28"/>
  <c r="E63" i="32"/>
  <c r="J63" i="32" s="1"/>
  <c r="F63" i="30"/>
  <c r="F63" i="28"/>
  <c r="E67" i="32"/>
  <c r="J67" i="32" s="1"/>
  <c r="F67" i="30"/>
  <c r="F67" i="28"/>
  <c r="F70" i="30"/>
  <c r="E70" i="32"/>
  <c r="J70" i="32" s="1"/>
  <c r="F70" i="28"/>
  <c r="I132" i="38"/>
  <c r="I84" i="28"/>
  <c r="I94" i="28"/>
  <c r="DF18" i="67"/>
  <c r="DX24" i="67"/>
  <c r="DF27" i="67"/>
  <c r="E40" i="32"/>
  <c r="J40" i="32" s="1"/>
  <c r="F40" i="30"/>
  <c r="F40" i="28"/>
  <c r="F54" i="30"/>
  <c r="E54" i="32"/>
  <c r="J54" i="32" s="1"/>
  <c r="F54" i="28"/>
  <c r="CC78" i="67"/>
  <c r="E81" i="32"/>
  <c r="J81" i="32" s="1"/>
  <c r="F81" i="30"/>
  <c r="F81" i="28"/>
  <c r="DJ9" i="67"/>
  <c r="CH64" i="67"/>
  <c r="E57" i="32"/>
  <c r="J57" i="32" s="1"/>
  <c r="F57" i="30"/>
  <c r="F57" i="28"/>
  <c r="CC75" i="67"/>
  <c r="I114" i="38"/>
  <c r="I66" i="28"/>
  <c r="CC79" i="67"/>
  <c r="CC82" i="67"/>
  <c r="I128" i="38"/>
  <c r="I80" i="28"/>
  <c r="E83" i="32"/>
  <c r="J83" i="32" s="1"/>
  <c r="F83" i="30"/>
  <c r="F83" i="28"/>
  <c r="E85" i="32"/>
  <c r="J85" i="32" s="1"/>
  <c r="F85" i="30"/>
  <c r="F85" i="28"/>
  <c r="DU3" i="67"/>
  <c r="E3" i="32"/>
  <c r="J3" i="32" s="1"/>
  <c r="F3" i="30"/>
  <c r="F3" i="28"/>
  <c r="DF12" i="67"/>
  <c r="DT22" i="67"/>
  <c r="DU27" i="67"/>
  <c r="E27" i="32"/>
  <c r="J27" i="32" s="1"/>
  <c r="F27" i="30"/>
  <c r="F27" i="28"/>
  <c r="DJ31" i="67"/>
  <c r="DT36" i="67"/>
  <c r="DG12" i="67"/>
  <c r="E12" i="32"/>
  <c r="J12" i="32" s="1"/>
  <c r="F12" i="28"/>
  <c r="F12" i="30"/>
  <c r="E22" i="32"/>
  <c r="J22" i="32" s="1"/>
  <c r="F22" i="30"/>
  <c r="F22" i="28"/>
  <c r="DM26" i="67"/>
  <c r="DT32" i="67"/>
  <c r="DX33" i="67"/>
  <c r="E34" i="32"/>
  <c r="J34" i="32" s="1"/>
  <c r="F34" i="30"/>
  <c r="F34" i="28"/>
  <c r="DG36" i="67"/>
  <c r="F36" i="30"/>
  <c r="E36" i="32"/>
  <c r="J36" i="32" s="1"/>
  <c r="F36" i="28"/>
  <c r="E45" i="32"/>
  <c r="J45" i="32" s="1"/>
  <c r="F45" i="30"/>
  <c r="F45" i="28"/>
  <c r="I52" i="28"/>
  <c r="CH68" i="67"/>
  <c r="I111" i="38"/>
  <c r="I63" i="28"/>
  <c r="I115" i="38"/>
  <c r="I67" i="28"/>
  <c r="I118" i="38"/>
  <c r="S118" i="38" s="1"/>
  <c r="I70" i="28"/>
  <c r="I122" i="38"/>
  <c r="I74" i="28"/>
  <c r="I125" i="38"/>
  <c r="I77" i="28"/>
  <c r="I88" i="28"/>
  <c r="F92" i="30"/>
  <c r="E92" i="32"/>
  <c r="J92" i="32" s="1"/>
  <c r="F92" i="28"/>
  <c r="DJ7" i="67"/>
  <c r="DF14" i="67"/>
  <c r="E14" i="32"/>
  <c r="J14" i="32" s="1"/>
  <c r="F14" i="30"/>
  <c r="F14" i="28"/>
  <c r="E18" i="32"/>
  <c r="J18" i="32" s="1"/>
  <c r="F18" i="30"/>
  <c r="F18" i="28"/>
  <c r="DJ29" i="67"/>
  <c r="DK2" i="67"/>
  <c r="DX3" i="67"/>
  <c r="DM13" i="67"/>
  <c r="DT16" i="67"/>
  <c r="DJ17" i="67"/>
  <c r="DT20" i="67"/>
  <c r="DU32" i="67"/>
  <c r="DU39" i="67"/>
  <c r="E41" i="32"/>
  <c r="J41" i="32" s="1"/>
  <c r="F41" i="30"/>
  <c r="F41" i="28"/>
  <c r="E43" i="32"/>
  <c r="J43" i="32" s="1"/>
  <c r="F43" i="28"/>
  <c r="F43" i="30"/>
  <c r="E50" i="32"/>
  <c r="J50" i="32" s="1"/>
  <c r="F50" i="28"/>
  <c r="F50" i="30"/>
  <c r="I56" i="28"/>
  <c r="CH71" i="67"/>
  <c r="E60" i="32"/>
  <c r="J60" i="32" s="1"/>
  <c r="F60" i="28"/>
  <c r="F60" i="30"/>
  <c r="E64" i="32"/>
  <c r="J64" i="32" s="1"/>
  <c r="F64" i="28"/>
  <c r="F64" i="30"/>
  <c r="E68" i="32"/>
  <c r="J68" i="32" s="1"/>
  <c r="F68" i="30"/>
  <c r="F68" i="28"/>
  <c r="I130" i="38"/>
  <c r="I82" i="28"/>
  <c r="I86" i="28"/>
  <c r="E89" i="32"/>
  <c r="J89" i="32" s="1"/>
  <c r="F89" i="28"/>
  <c r="F89" i="30"/>
  <c r="EA2" i="67"/>
  <c r="DC6" i="67"/>
  <c r="DA14" i="67"/>
  <c r="DT17" i="67"/>
  <c r="DQ22" i="67"/>
  <c r="DM23" i="67"/>
  <c r="DC24" i="67"/>
  <c r="EA25" i="67"/>
  <c r="CZ28" i="67"/>
  <c r="DQ30" i="67"/>
  <c r="DB35" i="67"/>
  <c r="DM36" i="67"/>
  <c r="DZ3" i="67"/>
  <c r="DD6" i="67"/>
  <c r="DX8" i="67"/>
  <c r="DV9" i="67"/>
  <c r="DH11" i="67"/>
  <c r="DP13" i="67"/>
  <c r="DP18" i="67"/>
  <c r="DS22" i="67"/>
  <c r="DL27" i="67"/>
  <c r="DA28" i="67"/>
  <c r="DX29" i="67"/>
  <c r="DR30" i="67"/>
  <c r="DK31" i="67"/>
  <c r="DJ33" i="67"/>
  <c r="DH34" i="67"/>
  <c r="DN36" i="67"/>
  <c r="DU10" i="67"/>
  <c r="DR31" i="67"/>
  <c r="DF7" i="67"/>
  <c r="DV10" i="67"/>
  <c r="DS13" i="67"/>
  <c r="EA17" i="67"/>
  <c r="DF20" i="67"/>
  <c r="CZ21" i="67"/>
  <c r="DY22" i="67"/>
  <c r="DD25" i="67"/>
  <c r="DV30" i="67"/>
  <c r="DS31" i="67"/>
  <c r="DO33" i="67"/>
  <c r="DM35" i="67"/>
  <c r="DX9" i="67"/>
  <c r="DD2" i="67"/>
  <c r="DC3" i="67"/>
  <c r="DZ5" i="67"/>
  <c r="DM6" i="67"/>
  <c r="DH7" i="67"/>
  <c r="DF16" i="67"/>
  <c r="DI20" i="67"/>
  <c r="DZ23" i="67"/>
  <c r="DN24" i="67"/>
  <c r="DF25" i="67"/>
  <c r="DT27" i="67"/>
  <c r="DI28" i="67"/>
  <c r="DW30" i="67"/>
  <c r="DY32" i="67"/>
  <c r="DS33" i="67"/>
  <c r="DE33" i="67"/>
  <c r="DP33" i="67"/>
  <c r="EA39" i="67"/>
  <c r="DZ17" i="67"/>
  <c r="DE2" i="67"/>
  <c r="DD3" i="67"/>
  <c r="EA5" i="67"/>
  <c r="DP6" i="67"/>
  <c r="DE8" i="67"/>
  <c r="DT11" i="67"/>
  <c r="DK12" i="67"/>
  <c r="DG15" i="67"/>
  <c r="DG16" i="67"/>
  <c r="DC17" i="67"/>
  <c r="DZ18" i="67"/>
  <c r="DN19" i="67"/>
  <c r="DK20" i="67"/>
  <c r="DK28" i="67"/>
  <c r="DE29" i="67"/>
  <c r="DZ32" i="67"/>
  <c r="DQ34" i="67"/>
  <c r="DE35" i="67"/>
  <c r="DS35" i="67"/>
  <c r="DF2" i="67"/>
  <c r="DE3" i="67"/>
  <c r="DB4" i="67"/>
  <c r="DL7" i="67"/>
  <c r="DG8" i="67"/>
  <c r="DD9" i="67"/>
  <c r="DU11" i="67"/>
  <c r="DL12" i="67"/>
  <c r="DH15" i="67"/>
  <c r="DJ16" i="67"/>
  <c r="DO19" i="67"/>
  <c r="DL20" i="67"/>
  <c r="DV27" i="67"/>
  <c r="DF29" i="67"/>
  <c r="EA30" i="67"/>
  <c r="EA32" i="67"/>
  <c r="DH2" i="67"/>
  <c r="DF3" i="67"/>
  <c r="DB5" i="67"/>
  <c r="DH8" i="67"/>
  <c r="DF9" i="67"/>
  <c r="DK15" i="67"/>
  <c r="DM16" i="67"/>
  <c r="DM20" i="67"/>
  <c r="DK21" i="67"/>
  <c r="DT24" i="67"/>
  <c r="DL25" i="67"/>
  <c r="DH29" i="67"/>
  <c r="CZ30" i="67"/>
  <c r="DU34" i="67"/>
  <c r="DG34" i="67"/>
  <c r="DX34" i="67"/>
  <c r="DV38" i="67"/>
  <c r="DG3" i="67"/>
  <c r="DI4" i="67"/>
  <c r="DC5" i="67"/>
  <c r="CZ10" i="67"/>
  <c r="CZ13" i="67"/>
  <c r="DI17" i="67"/>
  <c r="DL21" i="67"/>
  <c r="DD22" i="67"/>
  <c r="CZ26" i="67"/>
  <c r="EA27" i="67"/>
  <c r="DB30" i="67"/>
  <c r="EA33" i="67"/>
  <c r="DY36" i="67"/>
  <c r="DK36" i="67"/>
  <c r="DA37" i="67"/>
  <c r="DJ3" i="67"/>
  <c r="DS7" i="67"/>
  <c r="DC10" i="67"/>
  <c r="DS12" i="67"/>
  <c r="CZ18" i="67"/>
  <c r="DV19" i="67"/>
  <c r="DW24" i="67"/>
  <c r="DB26" i="67"/>
  <c r="DZ31" i="67"/>
  <c r="DL31" i="67"/>
  <c r="DW34" i="67"/>
  <c r="DI34" i="67"/>
  <c r="DS25" i="67"/>
  <c r="CZ37" i="67"/>
  <c r="DN37" i="67"/>
  <c r="DH5" i="67"/>
  <c r="DU4" i="67"/>
  <c r="DZ6" i="67"/>
  <c r="CZ32" i="67"/>
  <c r="DN32" i="67"/>
  <c r="DV37" i="67"/>
  <c r="DA6" i="67"/>
  <c r="DQ9" i="67"/>
  <c r="DB11" i="67"/>
  <c r="DX20" i="67"/>
  <c r="DX28" i="67"/>
  <c r="DW38" i="67"/>
  <c r="DI38" i="67"/>
  <c r="DW2" i="67"/>
  <c r="DO10" i="67"/>
  <c r="DZ15" i="67"/>
  <c r="EA21" i="67"/>
  <c r="DP22" i="67"/>
  <c r="DB24" i="67"/>
  <c r="CZ35" i="67"/>
  <c r="DA36" i="67"/>
  <c r="DO36" i="67"/>
  <c r="DX38" i="67"/>
  <c r="DJ38" i="67"/>
  <c r="DU36" i="67"/>
  <c r="DP37" i="67"/>
  <c r="DP38" i="67"/>
  <c r="DV33" i="67"/>
  <c r="DV36" i="67"/>
  <c r="DQ38" i="67"/>
  <c r="DO39" i="67"/>
  <c r="DM8" i="67"/>
  <c r="EA8" i="67"/>
  <c r="DR10" i="67"/>
  <c r="DD10" i="67"/>
  <c r="DL10" i="67"/>
  <c r="DM11" i="67"/>
  <c r="DA20" i="67"/>
  <c r="DO20" i="67"/>
  <c r="DD37" i="67"/>
  <c r="DR37" i="67"/>
  <c r="CZ5" i="67"/>
  <c r="DN5" i="67"/>
  <c r="DM10" i="67"/>
  <c r="DI12" i="67"/>
  <c r="DW12" i="67"/>
  <c r="DI15" i="67"/>
  <c r="DG2" i="67"/>
  <c r="DV6" i="67"/>
  <c r="DH6" i="67"/>
  <c r="DZ13" i="67"/>
  <c r="DN14" i="67"/>
  <c r="CZ14" i="67"/>
  <c r="DJ15" i="67"/>
  <c r="DD20" i="67"/>
  <c r="DR20" i="67"/>
  <c r="DC2" i="67"/>
  <c r="DQ2" i="67"/>
  <c r="DC4" i="67"/>
  <c r="DS9" i="67"/>
  <c r="DE9" i="67"/>
  <c r="DM9" i="67"/>
  <c r="DL33" i="67"/>
  <c r="DZ33" i="67"/>
  <c r="DY3" i="67"/>
  <c r="DK3" i="67"/>
  <c r="DD4" i="67"/>
  <c r="DJ11" i="67"/>
  <c r="DX11" i="67"/>
  <c r="EA12" i="67"/>
  <c r="DH14" i="67"/>
  <c r="DF15" i="67"/>
  <c r="DT15" i="67"/>
  <c r="DV16" i="67"/>
  <c r="DL19" i="67"/>
  <c r="DZ19" i="67"/>
  <c r="DK24" i="67"/>
  <c r="DY24" i="67"/>
  <c r="DB25" i="67"/>
  <c r="DP25" i="67"/>
  <c r="DW3" i="67"/>
  <c r="DA4" i="67"/>
  <c r="DO4" i="67"/>
  <c r="DE4" i="67"/>
  <c r="DT6" i="67"/>
  <c r="CZ7" i="67"/>
  <c r="DI14" i="67"/>
  <c r="DW16" i="67"/>
  <c r="DL24" i="67"/>
  <c r="DZ24" i="67"/>
  <c r="DC25" i="67"/>
  <c r="DQ25" i="67"/>
  <c r="DL26" i="67"/>
  <c r="DZ26" i="67"/>
  <c r="DB28" i="67"/>
  <c r="DP28" i="67"/>
  <c r="EA29" i="67"/>
  <c r="DM29" i="67"/>
  <c r="DA7" i="67"/>
  <c r="DK10" i="67"/>
  <c r="DY10" i="67"/>
  <c r="DO13" i="67"/>
  <c r="DA13" i="67"/>
  <c r="DG18" i="67"/>
  <c r="DU18" i="67"/>
  <c r="DT8" i="67"/>
  <c r="DF8" i="67"/>
  <c r="DM22" i="67"/>
  <c r="EA22" i="67"/>
  <c r="DD23" i="67"/>
  <c r="DR23" i="67"/>
  <c r="DW5" i="67"/>
  <c r="DI5" i="67"/>
  <c r="DP12" i="67"/>
  <c r="DB12" i="67"/>
  <c r="DJ12" i="67"/>
  <c r="DG14" i="67"/>
  <c r="DU14" i="67"/>
  <c r="DJ18" i="67"/>
  <c r="DX18" i="67"/>
  <c r="DE23" i="67"/>
  <c r="DS23" i="67"/>
  <c r="DY27" i="67"/>
  <c r="DK27" i="67"/>
  <c r="DM38" i="67"/>
  <c r="EA38" i="67"/>
  <c r="DX39" i="67"/>
  <c r="DJ39" i="67"/>
  <c r="DU5" i="67"/>
  <c r="DL9" i="67"/>
  <c r="DZ9" i="67"/>
  <c r="DB19" i="67"/>
  <c r="DP19" i="67"/>
  <c r="DF21" i="67"/>
  <c r="DT21" i="67"/>
  <c r="DV25" i="67"/>
  <c r="DH25" i="67"/>
  <c r="DO26" i="67"/>
  <c r="DA26" i="67"/>
  <c r="DB3" i="67"/>
  <c r="DP3" i="67"/>
  <c r="DG17" i="67"/>
  <c r="DU17" i="67"/>
  <c r="DX31" i="67"/>
  <c r="DZ2" i="67"/>
  <c r="DL2" i="67"/>
  <c r="DX2" i="67"/>
  <c r="DR8" i="67"/>
  <c r="DU7" i="67"/>
  <c r="DG7" i="67"/>
  <c r="DQ11" i="67"/>
  <c r="DC11" i="67"/>
  <c r="DK11" i="67"/>
  <c r="DN12" i="67"/>
  <c r="DH13" i="67"/>
  <c r="DV13" i="67"/>
  <c r="EA15" i="67"/>
  <c r="DI21" i="67"/>
  <c r="DW21" i="67"/>
  <c r="DX4" i="67"/>
  <c r="DJ4" i="67"/>
  <c r="DV4" i="67"/>
  <c r="DA5" i="67"/>
  <c r="DL11" i="67"/>
  <c r="DE16" i="67"/>
  <c r="DS16" i="67"/>
  <c r="DJ23" i="67"/>
  <c r="DX23" i="67"/>
  <c r="DO30" i="67"/>
  <c r="DA30" i="67"/>
  <c r="DW22" i="67"/>
  <c r="DI23" i="67"/>
  <c r="DW23" i="67"/>
  <c r="DG25" i="67"/>
  <c r="DU25" i="67"/>
  <c r="DX26" i="67"/>
  <c r="DO27" i="67"/>
  <c r="DW31" i="67"/>
  <c r="DL36" i="67"/>
  <c r="DY19" i="67"/>
  <c r="DR21" i="67"/>
  <c r="DO23" i="67"/>
  <c r="DR27" i="67"/>
  <c r="DM28" i="67"/>
  <c r="CZ31" i="67"/>
  <c r="DN31" i="67"/>
  <c r="DC31" i="67"/>
  <c r="DJ35" i="67"/>
  <c r="DQ37" i="67"/>
  <c r="DR17" i="67"/>
  <c r="DT18" i="67"/>
  <c r="DN20" i="67"/>
  <c r="DP23" i="67"/>
  <c r="DN25" i="67"/>
  <c r="DG29" i="67"/>
  <c r="DE32" i="67"/>
  <c r="DF34" i="67"/>
  <c r="DT34" i="67"/>
  <c r="DK35" i="67"/>
  <c r="DK37" i="67"/>
  <c r="DY37" i="67"/>
  <c r="CZ38" i="67"/>
  <c r="DE39" i="67"/>
  <c r="DP2" i="67"/>
  <c r="DO3" i="67"/>
  <c r="DN4" i="67"/>
  <c r="EA7" i="67"/>
  <c r="DZ8" i="67"/>
  <c r="DY9" i="67"/>
  <c r="DX10" i="67"/>
  <c r="DW11" i="67"/>
  <c r="DV12" i="67"/>
  <c r="DU13" i="67"/>
  <c r="DT14" i="67"/>
  <c r="DS15" i="67"/>
  <c r="DR16" i="67"/>
  <c r="DS17" i="67"/>
  <c r="DU21" i="67"/>
  <c r="DG26" i="67"/>
  <c r="DB32" i="67"/>
  <c r="DP32" i="67"/>
  <c r="DD33" i="67"/>
  <c r="DR33" i="67"/>
  <c r="DI33" i="67"/>
  <c r="DL35" i="67"/>
  <c r="DL37" i="67"/>
  <c r="DZ37" i="67"/>
  <c r="DB39" i="67"/>
  <c r="DP39" i="67"/>
  <c r="DH26" i="67"/>
  <c r="DF31" i="67"/>
  <c r="DU35" i="67"/>
  <c r="DG35" i="67"/>
  <c r="DI36" i="67"/>
  <c r="DW36" i="67"/>
  <c r="DI39" i="67"/>
  <c r="DE21" i="67"/>
  <c r="DL22" i="67"/>
  <c r="DJ24" i="67"/>
  <c r="DI26" i="67"/>
  <c r="DL28" i="67"/>
  <c r="DZ28" i="67"/>
  <c r="DH35" i="67"/>
  <c r="DV35" i="67"/>
  <c r="DJ36" i="67"/>
  <c r="DX36" i="67"/>
  <c r="DM19" i="67"/>
  <c r="DC27" i="67"/>
  <c r="DG33" i="67"/>
  <c r="DU33" i="67"/>
  <c r="DH18" i="67"/>
  <c r="DJ22" i="67"/>
  <c r="DX22" i="67"/>
  <c r="DC23" i="67"/>
  <c r="DH24" i="67"/>
  <c r="DV24" i="67"/>
  <c r="DA25" i="67"/>
  <c r="DO29" i="67"/>
  <c r="DL29" i="67"/>
  <c r="DZ29" i="67"/>
  <c r="DS19" i="67"/>
  <c r="DE28" i="67"/>
  <c r="DV32" i="67"/>
  <c r="EA34" i="67"/>
  <c r="DA35" i="67"/>
  <c r="DY39" i="67"/>
  <c r="DK23" i="67"/>
  <c r="DI25" i="67"/>
  <c r="DU30" i="67"/>
  <c r="DM37" i="67"/>
  <c r="DS38" i="67"/>
  <c r="DQ33" i="67"/>
  <c r="DR34" i="67"/>
  <c r="DT35" i="67"/>
  <c r="DX30" i="67"/>
  <c r="DR36" i="67"/>
  <c r="H76" i="38" l="1"/>
  <c r="J76" i="75"/>
  <c r="H76" i="28"/>
  <c r="H78" i="38"/>
  <c r="H78" i="28"/>
  <c r="J78" i="75"/>
  <c r="H85" i="38"/>
  <c r="J85" i="75"/>
  <c r="H85" i="28"/>
  <c r="H79" i="38"/>
  <c r="H79" i="28"/>
  <c r="J79" i="75"/>
  <c r="H82" i="38"/>
  <c r="J82" i="75"/>
  <c r="H82" i="28"/>
  <c r="H75" i="38"/>
  <c r="J75" i="75"/>
  <c r="H75" i="28"/>
  <c r="H81" i="38"/>
  <c r="H81" i="28"/>
  <c r="J81" i="75"/>
  <c r="H77" i="38"/>
  <c r="J77" i="75"/>
  <c r="H77" i="28"/>
  <c r="H74" i="38"/>
  <c r="J74" i="75"/>
  <c r="H74" i="28"/>
  <c r="H84" i="38"/>
  <c r="J84" i="75"/>
  <c r="H84" i="28"/>
  <c r="H83" i="38"/>
  <c r="J83" i="75"/>
  <c r="H83" i="28"/>
  <c r="H80" i="38"/>
  <c r="J80" i="75"/>
  <c r="H80" i="28"/>
  <c r="D31" i="156"/>
  <c r="D32" i="156"/>
  <c r="AO27" i="25"/>
  <c r="AO33" i="25" s="1"/>
  <c r="K33" i="25"/>
  <c r="R32" i="156"/>
  <c r="R31" i="156"/>
  <c r="Z31" i="156"/>
  <c r="Z32" i="156"/>
  <c r="AG32" i="156"/>
  <c r="AG31" i="156"/>
  <c r="K32" i="156"/>
  <c r="K31" i="156"/>
  <c r="L108" i="155"/>
  <c r="J108" i="77"/>
  <c r="H108" i="36"/>
  <c r="Q108" i="36" s="1"/>
  <c r="J108" i="76"/>
  <c r="H108" i="34"/>
  <c r="P108" i="34" s="1"/>
  <c r="K108" i="75"/>
  <c r="J108" i="153"/>
  <c r="T108" i="153" s="1"/>
  <c r="S108" i="38"/>
  <c r="I108" i="28"/>
  <c r="S108" i="28" s="1"/>
  <c r="J108" i="154"/>
  <c r="T108" i="154" s="1"/>
  <c r="H108" i="150"/>
  <c r="Q108" i="150" s="1"/>
  <c r="H108" i="30"/>
  <c r="P108" i="30" s="1"/>
  <c r="K107" i="75"/>
  <c r="J107" i="154"/>
  <c r="T107" i="154" s="1"/>
  <c r="J107" i="76"/>
  <c r="L107" i="155"/>
  <c r="H107" i="36"/>
  <c r="Q107" i="36" s="1"/>
  <c r="J107" i="77"/>
  <c r="S107" i="38"/>
  <c r="H107" i="34"/>
  <c r="P107" i="34" s="1"/>
  <c r="I107" i="28"/>
  <c r="S107" i="28" s="1"/>
  <c r="J107" i="153"/>
  <c r="T107" i="153" s="1"/>
  <c r="H107" i="150"/>
  <c r="Q107" i="150" s="1"/>
  <c r="H107" i="30"/>
  <c r="P107" i="30" s="1"/>
  <c r="BG14" i="17"/>
  <c r="BH14" i="17" s="1"/>
  <c r="BI14" i="17" s="1"/>
  <c r="BS14" i="17"/>
  <c r="BT14" i="17" s="1"/>
  <c r="BU14" i="17" s="1"/>
  <c r="D24" i="24"/>
  <c r="BM14" i="17"/>
  <c r="BN14" i="17" s="1"/>
  <c r="AB13" i="23"/>
  <c r="J100" i="154"/>
  <c r="T100" i="154" s="1"/>
  <c r="L100" i="155"/>
  <c r="H100" i="36"/>
  <c r="Q100" i="36" s="1"/>
  <c r="J100" i="77"/>
  <c r="J100" i="76"/>
  <c r="I100" i="28"/>
  <c r="S100" i="28" s="1"/>
  <c r="H100" i="34"/>
  <c r="P100" i="34" s="1"/>
  <c r="J100" i="153"/>
  <c r="T100" i="153" s="1"/>
  <c r="S100" i="38"/>
  <c r="H100" i="150"/>
  <c r="Q100" i="150" s="1"/>
  <c r="K100" i="75"/>
  <c r="H100" i="30"/>
  <c r="P100" i="30" s="1"/>
  <c r="J99" i="77"/>
  <c r="J99" i="153"/>
  <c r="T99" i="153" s="1"/>
  <c r="H99" i="30"/>
  <c r="P99" i="30" s="1"/>
  <c r="K99" i="75"/>
  <c r="L99" i="155"/>
  <c r="S99" i="38"/>
  <c r="H99" i="36"/>
  <c r="Q99" i="36" s="1"/>
  <c r="J99" i="76"/>
  <c r="H99" i="34"/>
  <c r="P99" i="34" s="1"/>
  <c r="J99" i="154"/>
  <c r="T99" i="154" s="1"/>
  <c r="H99" i="150"/>
  <c r="Q99" i="150" s="1"/>
  <c r="I99" i="28"/>
  <c r="S99" i="28" s="1"/>
  <c r="AB83" i="69"/>
  <c r="P13" i="23"/>
  <c r="O14" i="23"/>
  <c r="O48" i="23" s="1"/>
  <c r="K24" i="24"/>
  <c r="J106" i="77"/>
  <c r="J106" i="76"/>
  <c r="S106" i="38"/>
  <c r="H106" i="34"/>
  <c r="P106" i="34" s="1"/>
  <c r="K106" i="75"/>
  <c r="L106" i="155"/>
  <c r="H106" i="36"/>
  <c r="Q106" i="36" s="1"/>
  <c r="H106" i="150"/>
  <c r="Q106" i="150" s="1"/>
  <c r="H106" i="30"/>
  <c r="P106" i="30" s="1"/>
  <c r="J106" i="154"/>
  <c r="T106" i="154" s="1"/>
  <c r="J106" i="153"/>
  <c r="T106" i="153" s="1"/>
  <c r="I106" i="28"/>
  <c r="S106" i="28" s="1"/>
  <c r="AL26" i="156"/>
  <c r="AL25" i="156"/>
  <c r="J32" i="74" s="1"/>
  <c r="K98" i="75"/>
  <c r="L98" i="155"/>
  <c r="S98" i="38"/>
  <c r="J98" i="154"/>
  <c r="T98" i="154" s="1"/>
  <c r="J98" i="153"/>
  <c r="T98" i="153" s="1"/>
  <c r="J98" i="77"/>
  <c r="H98" i="34"/>
  <c r="P98" i="34" s="1"/>
  <c r="J98" i="76"/>
  <c r="H98" i="36"/>
  <c r="Q98" i="36" s="1"/>
  <c r="I98" i="28"/>
  <c r="S98" i="28" s="1"/>
  <c r="H98" i="30"/>
  <c r="P98" i="30" s="1"/>
  <c r="H98" i="150"/>
  <c r="Q98" i="150" s="1"/>
  <c r="L105" i="155"/>
  <c r="J105" i="77"/>
  <c r="J105" i="154"/>
  <c r="T105" i="154" s="1"/>
  <c r="H105" i="36"/>
  <c r="Q105" i="36" s="1"/>
  <c r="K105" i="75"/>
  <c r="J105" i="76"/>
  <c r="S105" i="38"/>
  <c r="H105" i="34"/>
  <c r="P105" i="34" s="1"/>
  <c r="J105" i="153"/>
  <c r="T105" i="153" s="1"/>
  <c r="I105" i="28"/>
  <c r="S105" i="28" s="1"/>
  <c r="H105" i="150"/>
  <c r="Q105" i="150" s="1"/>
  <c r="H105" i="30"/>
  <c r="P105" i="30" s="1"/>
  <c r="Q13" i="24"/>
  <c r="S13" i="24" s="1"/>
  <c r="Q13" i="156"/>
  <c r="AB82" i="69"/>
  <c r="J104" i="77"/>
  <c r="K104" i="75"/>
  <c r="H104" i="34"/>
  <c r="P104" i="34" s="1"/>
  <c r="L104" i="155"/>
  <c r="J104" i="76"/>
  <c r="J104" i="154"/>
  <c r="T104" i="154" s="1"/>
  <c r="H104" i="150"/>
  <c r="Q104" i="150" s="1"/>
  <c r="H104" i="36"/>
  <c r="Q104" i="36" s="1"/>
  <c r="S104" i="38"/>
  <c r="J104" i="153"/>
  <c r="T104" i="153" s="1"/>
  <c r="I104" i="28"/>
  <c r="S104" i="28" s="1"/>
  <c r="H104" i="30"/>
  <c r="P104" i="30" s="1"/>
  <c r="AG24" i="24"/>
  <c r="AB81" i="69"/>
  <c r="C13" i="156"/>
  <c r="C13" i="24"/>
  <c r="E13" i="24" s="1"/>
  <c r="J103" i="154"/>
  <c r="T103" i="154" s="1"/>
  <c r="J103" i="77"/>
  <c r="K103" i="75"/>
  <c r="H103" i="36"/>
  <c r="Q103" i="36" s="1"/>
  <c r="J103" i="76"/>
  <c r="S103" i="38"/>
  <c r="H103" i="30"/>
  <c r="P103" i="30" s="1"/>
  <c r="J103" i="153"/>
  <c r="T103" i="153" s="1"/>
  <c r="H103" i="34"/>
  <c r="P103" i="34" s="1"/>
  <c r="L103" i="155"/>
  <c r="H103" i="150"/>
  <c r="Q103" i="150" s="1"/>
  <c r="I103" i="28"/>
  <c r="S103" i="28" s="1"/>
  <c r="J102" i="154"/>
  <c r="T102" i="154" s="1"/>
  <c r="J102" i="76"/>
  <c r="L102" i="155"/>
  <c r="J102" i="153"/>
  <c r="T102" i="153" s="1"/>
  <c r="K102" i="75"/>
  <c r="J102" i="77"/>
  <c r="H102" i="34"/>
  <c r="P102" i="34" s="1"/>
  <c r="H102" i="30"/>
  <c r="P102" i="30" s="1"/>
  <c r="S102" i="38"/>
  <c r="H102" i="36"/>
  <c r="Q102" i="36" s="1"/>
  <c r="H102" i="150"/>
  <c r="Q102" i="150" s="1"/>
  <c r="I102" i="28"/>
  <c r="S102" i="28" s="1"/>
  <c r="Y13" i="24"/>
  <c r="AA13" i="24" s="1"/>
  <c r="Y13" i="156"/>
  <c r="AA13" i="156" s="1"/>
  <c r="S109" i="38"/>
  <c r="K109" i="75"/>
  <c r="J109" i="77"/>
  <c r="J109" i="76"/>
  <c r="L109" i="155"/>
  <c r="H109" i="36"/>
  <c r="Q109" i="36" s="1"/>
  <c r="J109" i="153"/>
  <c r="T109" i="153" s="1"/>
  <c r="J109" i="154"/>
  <c r="T109" i="154" s="1"/>
  <c r="H109" i="30"/>
  <c r="P109" i="30" s="1"/>
  <c r="H109" i="34"/>
  <c r="P109" i="34" s="1"/>
  <c r="I109" i="28"/>
  <c r="S109" i="28" s="1"/>
  <c r="H109" i="150"/>
  <c r="Q109" i="150" s="1"/>
  <c r="AF13" i="24"/>
  <c r="AF13" i="156"/>
  <c r="Z24" i="24"/>
  <c r="AB84" i="69"/>
  <c r="S14" i="23"/>
  <c r="S48" i="23" s="1"/>
  <c r="T13" i="23"/>
  <c r="R24" i="24"/>
  <c r="AB80" i="69"/>
  <c r="L101" i="155"/>
  <c r="K101" i="75"/>
  <c r="J101" i="77"/>
  <c r="J101" i="154"/>
  <c r="T101" i="154" s="1"/>
  <c r="J101" i="153"/>
  <c r="T101" i="153" s="1"/>
  <c r="S101" i="38"/>
  <c r="J101" i="76"/>
  <c r="H101" i="36"/>
  <c r="Q101" i="36" s="1"/>
  <c r="H101" i="34"/>
  <c r="P101" i="34" s="1"/>
  <c r="H101" i="150"/>
  <c r="Q101" i="150" s="1"/>
  <c r="H101" i="30"/>
  <c r="P101" i="30" s="1"/>
  <c r="I101" i="28"/>
  <c r="S101" i="28" s="1"/>
  <c r="J13" i="156"/>
  <c r="J13" i="24"/>
  <c r="L13" i="24" s="1"/>
  <c r="AG27" i="25"/>
  <c r="C33" i="25"/>
  <c r="J62" i="150"/>
  <c r="S62" i="150" s="1"/>
  <c r="CJ62" i="67"/>
  <c r="J71" i="150"/>
  <c r="S71" i="150" s="1"/>
  <c r="CJ71" i="67"/>
  <c r="BT89" i="67"/>
  <c r="J77" i="34"/>
  <c r="L77" i="76"/>
  <c r="J77" i="30"/>
  <c r="R77" i="30" s="1"/>
  <c r="BY96" i="67"/>
  <c r="BY108" i="67" s="1"/>
  <c r="K84" i="36"/>
  <c r="K84" i="150"/>
  <c r="T84" i="150" s="1"/>
  <c r="M84" i="77"/>
  <c r="BY89" i="67"/>
  <c r="BY101" i="67" s="1"/>
  <c r="K77" i="36"/>
  <c r="M77" i="77"/>
  <c r="K77" i="150"/>
  <c r="T77" i="150" s="1"/>
  <c r="J117" i="34"/>
  <c r="R117" i="34" s="1"/>
  <c r="R69" i="34"/>
  <c r="J67" i="150"/>
  <c r="S67" i="150" s="1"/>
  <c r="CJ67" i="67"/>
  <c r="BT93" i="67"/>
  <c r="L81" i="76"/>
  <c r="J81" i="34"/>
  <c r="J81" i="30"/>
  <c r="R81" i="30" s="1"/>
  <c r="J115" i="34"/>
  <c r="R115" i="34" s="1"/>
  <c r="R67" i="34"/>
  <c r="BY93" i="67"/>
  <c r="BY105" i="67" s="1"/>
  <c r="M81" i="77"/>
  <c r="K81" i="150"/>
  <c r="T81" i="150" s="1"/>
  <c r="K81" i="36"/>
  <c r="BT91" i="67"/>
  <c r="J79" i="30"/>
  <c r="R79" i="30" s="1"/>
  <c r="J79" i="34"/>
  <c r="L79" i="76"/>
  <c r="BY87" i="67"/>
  <c r="BY99" i="67" s="1"/>
  <c r="K75" i="36"/>
  <c r="M75" i="77"/>
  <c r="K75" i="150"/>
  <c r="T75" i="150" s="1"/>
  <c r="BY90" i="67"/>
  <c r="BY102" i="67" s="1"/>
  <c r="M78" i="77"/>
  <c r="K78" i="150"/>
  <c r="T78" i="150" s="1"/>
  <c r="K78" i="36"/>
  <c r="R72" i="34"/>
  <c r="J120" i="34"/>
  <c r="R120" i="34" s="1"/>
  <c r="J112" i="34"/>
  <c r="R112" i="34" s="1"/>
  <c r="R64" i="34"/>
  <c r="BT96" i="67"/>
  <c r="L84" i="76"/>
  <c r="J84" i="30"/>
  <c r="R84" i="30" s="1"/>
  <c r="J84" i="34"/>
  <c r="BT88" i="67"/>
  <c r="J76" i="30"/>
  <c r="R76" i="30" s="1"/>
  <c r="L76" i="76"/>
  <c r="J76" i="34"/>
  <c r="BY95" i="67"/>
  <c r="BY107" i="67" s="1"/>
  <c r="M83" i="77"/>
  <c r="K83" i="36"/>
  <c r="K83" i="150"/>
  <c r="T83" i="150" s="1"/>
  <c r="BY88" i="67"/>
  <c r="BY100" i="67" s="1"/>
  <c r="M76" i="77"/>
  <c r="K76" i="36"/>
  <c r="K76" i="150"/>
  <c r="T76" i="150" s="1"/>
  <c r="J68" i="150"/>
  <c r="S68" i="150" s="1"/>
  <c r="CJ68" i="67"/>
  <c r="J114" i="34"/>
  <c r="R114" i="34" s="1"/>
  <c r="R66" i="34"/>
  <c r="J118" i="34"/>
  <c r="R118" i="34" s="1"/>
  <c r="R70" i="34"/>
  <c r="R73" i="34"/>
  <c r="J121" i="34"/>
  <c r="R121" i="34" s="1"/>
  <c r="J69" i="150"/>
  <c r="S69" i="150" s="1"/>
  <c r="CJ69" i="67"/>
  <c r="BY92" i="67"/>
  <c r="BY104" i="67" s="1"/>
  <c r="M80" i="77"/>
  <c r="K80" i="36"/>
  <c r="K80" i="150"/>
  <c r="T80" i="150" s="1"/>
  <c r="BY97" i="67"/>
  <c r="BY109" i="67" s="1"/>
  <c r="M85" i="77"/>
  <c r="K85" i="36"/>
  <c r="K85" i="150"/>
  <c r="T85" i="150" s="1"/>
  <c r="BT94" i="67"/>
  <c r="L82" i="76"/>
  <c r="J82" i="30"/>
  <c r="R82" i="30" s="1"/>
  <c r="J82" i="34"/>
  <c r="BT97" i="67"/>
  <c r="J85" i="34"/>
  <c r="L85" i="76"/>
  <c r="J85" i="30"/>
  <c r="R85" i="30" s="1"/>
  <c r="BY91" i="67"/>
  <c r="BY103" i="67" s="1"/>
  <c r="M79" i="77"/>
  <c r="K79" i="36"/>
  <c r="K79" i="150"/>
  <c r="T79" i="150" s="1"/>
  <c r="J66" i="150"/>
  <c r="S66" i="150" s="1"/>
  <c r="CJ66" i="67"/>
  <c r="J70" i="150"/>
  <c r="S70" i="150" s="1"/>
  <c r="CJ70" i="67"/>
  <c r="J64" i="150"/>
  <c r="S64" i="150" s="1"/>
  <c r="CJ64" i="67"/>
  <c r="J65" i="150"/>
  <c r="S65" i="150" s="1"/>
  <c r="CJ65" i="67"/>
  <c r="J111" i="34"/>
  <c r="R111" i="34" s="1"/>
  <c r="R63" i="34"/>
  <c r="BY94" i="67"/>
  <c r="BY106" i="67" s="1"/>
  <c r="M82" i="77"/>
  <c r="K82" i="36"/>
  <c r="K82" i="150"/>
  <c r="T82" i="150" s="1"/>
  <c r="BT90" i="67"/>
  <c r="J78" i="30"/>
  <c r="R78" i="30" s="1"/>
  <c r="J78" i="34"/>
  <c r="L78" i="76"/>
  <c r="J116" i="34"/>
  <c r="R116" i="34" s="1"/>
  <c r="R68" i="34"/>
  <c r="J110" i="34"/>
  <c r="R110" i="34" s="1"/>
  <c r="R62" i="34"/>
  <c r="R71" i="34"/>
  <c r="J119" i="34"/>
  <c r="R119" i="34" s="1"/>
  <c r="J72" i="150"/>
  <c r="S72" i="150" s="1"/>
  <c r="CJ72" i="67"/>
  <c r="J63" i="150"/>
  <c r="S63" i="150" s="1"/>
  <c r="CJ63" i="67"/>
  <c r="J73" i="150"/>
  <c r="S73" i="150" s="1"/>
  <c r="CJ73" i="67"/>
  <c r="BT87" i="67"/>
  <c r="BT99" i="67" s="1"/>
  <c r="L75" i="76"/>
  <c r="J75" i="34"/>
  <c r="J75" i="30"/>
  <c r="R75" i="30" s="1"/>
  <c r="J113" i="34"/>
  <c r="R113" i="34" s="1"/>
  <c r="R65" i="34"/>
  <c r="BT92" i="67"/>
  <c r="J80" i="30"/>
  <c r="R80" i="30" s="1"/>
  <c r="J80" i="34"/>
  <c r="L80" i="76"/>
  <c r="BT95" i="67"/>
  <c r="J83" i="34"/>
  <c r="L83" i="76"/>
  <c r="J83" i="30"/>
  <c r="R83" i="30" s="1"/>
  <c r="BY86" i="67"/>
  <c r="BY98" i="67" s="1"/>
  <c r="M74" i="77"/>
  <c r="K74" i="36"/>
  <c r="K74" i="150"/>
  <c r="T74" i="150" s="1"/>
  <c r="BT86" i="67"/>
  <c r="BT98" i="67" s="1"/>
  <c r="J74" i="34"/>
  <c r="L74" i="76"/>
  <c r="J74" i="30"/>
  <c r="R74" i="30" s="1"/>
  <c r="C32" i="158"/>
  <c r="O10" i="157"/>
  <c r="O11" i="157"/>
  <c r="O7" i="157"/>
  <c r="O4" i="157"/>
  <c r="O6" i="157"/>
  <c r="O9" i="157"/>
  <c r="O12" i="157"/>
  <c r="O13" i="157"/>
  <c r="O8" i="157"/>
  <c r="O5" i="157"/>
  <c r="O2" i="157"/>
  <c r="O3" i="157"/>
  <c r="M30" i="75"/>
  <c r="K30" i="28"/>
  <c r="U30" i="28" s="1"/>
  <c r="CF74" i="67"/>
  <c r="H62" i="154"/>
  <c r="R62" i="154" s="1"/>
  <c r="J62" i="155"/>
  <c r="H62" i="153"/>
  <c r="R62" i="153" s="1"/>
  <c r="J116" i="154"/>
  <c r="T116" i="154" s="1"/>
  <c r="T68" i="154"/>
  <c r="CF84" i="67"/>
  <c r="J72" i="155"/>
  <c r="H72" i="154"/>
  <c r="R72" i="154" s="1"/>
  <c r="H72" i="153"/>
  <c r="R72" i="153" s="1"/>
  <c r="CF81" i="67"/>
  <c r="H69" i="154"/>
  <c r="R69" i="154" s="1"/>
  <c r="J69" i="155"/>
  <c r="H69" i="153"/>
  <c r="R69" i="153" s="1"/>
  <c r="D10" i="32"/>
  <c r="D10" i="152"/>
  <c r="D10" i="151"/>
  <c r="J126" i="154"/>
  <c r="T126" i="154" s="1"/>
  <c r="T78" i="154"/>
  <c r="Q56" i="36"/>
  <c r="Q6" i="24"/>
  <c r="D7" i="25"/>
  <c r="Q6" i="156"/>
  <c r="S6" i="156" s="1"/>
  <c r="BM7" i="17"/>
  <c r="D53" i="74"/>
  <c r="D53" i="25"/>
  <c r="D45" i="158" s="1"/>
  <c r="AB6" i="23"/>
  <c r="D51" i="25"/>
  <c r="D43" i="158" s="1"/>
  <c r="D51" i="74"/>
  <c r="T6" i="23"/>
  <c r="D6" i="155"/>
  <c r="D6" i="154"/>
  <c r="D6" i="153"/>
  <c r="J111" i="154"/>
  <c r="T111" i="154" s="1"/>
  <c r="T63" i="154"/>
  <c r="D7" i="152"/>
  <c r="D7" i="151"/>
  <c r="D7" i="32"/>
  <c r="M32" i="75"/>
  <c r="K32" i="28"/>
  <c r="U32" i="28" s="1"/>
  <c r="T66" i="154"/>
  <c r="J114" i="154"/>
  <c r="T114" i="154" s="1"/>
  <c r="N26" i="75"/>
  <c r="L26" i="28"/>
  <c r="V26" i="28" s="1"/>
  <c r="M35" i="75"/>
  <c r="K35" i="28"/>
  <c r="U35" i="28" s="1"/>
  <c r="D12" i="32"/>
  <c r="D12" i="151"/>
  <c r="D12" i="152"/>
  <c r="H128" i="34"/>
  <c r="P80" i="34"/>
  <c r="D9" i="32"/>
  <c r="D9" i="152"/>
  <c r="D9" i="151"/>
  <c r="G51" i="74"/>
  <c r="G51" i="25"/>
  <c r="G43" i="158" s="1"/>
  <c r="T9" i="23"/>
  <c r="Q10" i="156"/>
  <c r="S10" i="156" s="1"/>
  <c r="Q10" i="24"/>
  <c r="H7" i="25"/>
  <c r="AV48" i="17"/>
  <c r="AZ48" i="17" s="1"/>
  <c r="Q61" i="36"/>
  <c r="Q53" i="36"/>
  <c r="D6" i="152"/>
  <c r="D6" i="151"/>
  <c r="D6" i="32"/>
  <c r="H130" i="34"/>
  <c r="P82" i="34"/>
  <c r="D7" i="155"/>
  <c r="D7" i="154"/>
  <c r="D7" i="153"/>
  <c r="M28" i="75"/>
  <c r="K28" i="28"/>
  <c r="U28" i="28" s="1"/>
  <c r="Q69" i="36"/>
  <c r="H117" i="36"/>
  <c r="Q117" i="36" s="1"/>
  <c r="H122" i="34"/>
  <c r="P122" i="34" s="1"/>
  <c r="P74" i="34"/>
  <c r="D4" i="152"/>
  <c r="D4" i="151"/>
  <c r="D4" i="32"/>
  <c r="J121" i="154"/>
  <c r="T121" i="154" s="1"/>
  <c r="T73" i="154"/>
  <c r="T83" i="154"/>
  <c r="J131" i="154"/>
  <c r="T131" i="154" s="1"/>
  <c r="H50" i="25"/>
  <c r="H42" i="158" s="1"/>
  <c r="H50" i="74"/>
  <c r="P10" i="23"/>
  <c r="C53" i="74"/>
  <c r="C53" i="25"/>
  <c r="C45" i="158" s="1"/>
  <c r="BM6" i="17"/>
  <c r="BN6" i="17" s="1"/>
  <c r="BO6" i="17" s="1"/>
  <c r="AK6" i="17"/>
  <c r="AO6" i="17" s="1"/>
  <c r="Q82" i="36"/>
  <c r="H130" i="36"/>
  <c r="Q130" i="36" s="1"/>
  <c r="Q55" i="36"/>
  <c r="N17" i="75"/>
  <c r="L17" i="28"/>
  <c r="V17" i="28" s="1"/>
  <c r="N13" i="75"/>
  <c r="L13" i="28"/>
  <c r="V13" i="28" s="1"/>
  <c r="D13" i="154"/>
  <c r="D13" i="153"/>
  <c r="D13" i="155"/>
  <c r="D4" i="155"/>
  <c r="D4" i="154"/>
  <c r="D4" i="153"/>
  <c r="CF79" i="67"/>
  <c r="H67" i="154"/>
  <c r="R67" i="154" s="1"/>
  <c r="J67" i="155"/>
  <c r="H67" i="153"/>
  <c r="R67" i="153" s="1"/>
  <c r="D12" i="154"/>
  <c r="D12" i="153"/>
  <c r="D12" i="155"/>
  <c r="D13" i="151"/>
  <c r="D13" i="32"/>
  <c r="D13" i="152"/>
  <c r="D9" i="154"/>
  <c r="D9" i="153"/>
  <c r="D9" i="155"/>
  <c r="J118" i="154"/>
  <c r="T118" i="154" s="1"/>
  <c r="T70" i="154"/>
  <c r="N33" i="75"/>
  <c r="L33" i="28"/>
  <c r="V33" i="28" s="1"/>
  <c r="N35" i="75"/>
  <c r="L35" i="28"/>
  <c r="V35" i="28" s="1"/>
  <c r="M11" i="75"/>
  <c r="K11" i="28"/>
  <c r="U11" i="28" s="1"/>
  <c r="M26" i="75"/>
  <c r="K26" i="28"/>
  <c r="U26" i="28" s="1"/>
  <c r="N12" i="75"/>
  <c r="L12" i="28"/>
  <c r="V12" i="28" s="1"/>
  <c r="N39" i="75"/>
  <c r="L39" i="28"/>
  <c r="V39" i="28" s="1"/>
  <c r="N9" i="75"/>
  <c r="L9" i="28"/>
  <c r="V9" i="28" s="1"/>
  <c r="Q57" i="36"/>
  <c r="Q74" i="36"/>
  <c r="H122" i="36"/>
  <c r="Q122" i="36" s="1"/>
  <c r="Q71" i="36"/>
  <c r="H119" i="36"/>
  <c r="Q119" i="36" s="1"/>
  <c r="F53" i="74"/>
  <c r="F53" i="25"/>
  <c r="F45" i="158" s="1"/>
  <c r="BM9" i="17"/>
  <c r="AB8" i="23"/>
  <c r="Q8" i="24"/>
  <c r="F7" i="25"/>
  <c r="Q8" i="156"/>
  <c r="S8" i="156" s="1"/>
  <c r="AV6" i="17"/>
  <c r="AZ6" i="17" s="1"/>
  <c r="H125" i="34"/>
  <c r="P125" i="34" s="1"/>
  <c r="P77" i="34"/>
  <c r="CF77" i="67"/>
  <c r="J65" i="155"/>
  <c r="H65" i="154"/>
  <c r="R65" i="154" s="1"/>
  <c r="H65" i="153"/>
  <c r="R65" i="153" s="1"/>
  <c r="BW97" i="67"/>
  <c r="BW109" i="67" s="1"/>
  <c r="T85" i="38"/>
  <c r="T85" i="28"/>
  <c r="M25" i="75"/>
  <c r="K25" i="28"/>
  <c r="U25" i="28" s="1"/>
  <c r="N38" i="75"/>
  <c r="L38" i="28"/>
  <c r="V38" i="28" s="1"/>
  <c r="M7" i="75"/>
  <c r="K7" i="28"/>
  <c r="U7" i="28" s="1"/>
  <c r="H123" i="34"/>
  <c r="P123" i="34" s="1"/>
  <c r="P75" i="34"/>
  <c r="J115" i="154"/>
  <c r="T115" i="154" s="1"/>
  <c r="T67" i="154"/>
  <c r="Q54" i="36"/>
  <c r="CF78" i="67"/>
  <c r="H66" i="153"/>
  <c r="R66" i="153" s="1"/>
  <c r="J66" i="155"/>
  <c r="H66" i="154"/>
  <c r="R66" i="154" s="1"/>
  <c r="T10" i="23"/>
  <c r="H51" i="74"/>
  <c r="H51" i="25"/>
  <c r="H43" i="158" s="1"/>
  <c r="C7" i="25"/>
  <c r="Q5" i="156"/>
  <c r="S5" i="156" s="1"/>
  <c r="Q5" i="24"/>
  <c r="AK48" i="17"/>
  <c r="AO48" i="17" s="1"/>
  <c r="J5" i="156"/>
  <c r="L5" i="156" s="1"/>
  <c r="C6" i="25"/>
  <c r="J5" i="24"/>
  <c r="L5" i="24" s="1"/>
  <c r="N16" i="75"/>
  <c r="L16" i="28"/>
  <c r="V16" i="28" s="1"/>
  <c r="N28" i="75"/>
  <c r="L28" i="28"/>
  <c r="V28" i="28" s="1"/>
  <c r="N20" i="75"/>
  <c r="L20" i="28"/>
  <c r="V20" i="28" s="1"/>
  <c r="D3" i="152"/>
  <c r="D3" i="151"/>
  <c r="D3" i="32"/>
  <c r="Q75" i="36"/>
  <c r="H123" i="36"/>
  <c r="Q123" i="36" s="1"/>
  <c r="Q52" i="36"/>
  <c r="D5" i="32"/>
  <c r="D5" i="152"/>
  <c r="D5" i="151"/>
  <c r="I50" i="25"/>
  <c r="I42" i="158" s="1"/>
  <c r="I50" i="74"/>
  <c r="P11" i="23"/>
  <c r="Q9" i="24"/>
  <c r="G7" i="25"/>
  <c r="Q9" i="156"/>
  <c r="S9" i="156" s="1"/>
  <c r="D2" i="155"/>
  <c r="D2" i="154"/>
  <c r="D2" i="153"/>
  <c r="Q81" i="36"/>
  <c r="H129" i="36"/>
  <c r="Q129" i="36" s="1"/>
  <c r="CF85" i="67"/>
  <c r="J73" i="155"/>
  <c r="H73" i="154"/>
  <c r="R73" i="154" s="1"/>
  <c r="H73" i="153"/>
  <c r="R73" i="153" s="1"/>
  <c r="M36" i="75"/>
  <c r="K36" i="28"/>
  <c r="U36" i="28" s="1"/>
  <c r="N8" i="75"/>
  <c r="L8" i="28"/>
  <c r="V8" i="28" s="1"/>
  <c r="N15" i="75"/>
  <c r="L15" i="28"/>
  <c r="V15" i="28" s="1"/>
  <c r="T80" i="154"/>
  <c r="J128" i="154"/>
  <c r="T128" i="154" s="1"/>
  <c r="H133" i="34"/>
  <c r="P85" i="34"/>
  <c r="D5" i="155"/>
  <c r="D5" i="154"/>
  <c r="D5" i="153"/>
  <c r="Q84" i="36"/>
  <c r="H132" i="36"/>
  <c r="Q132" i="36" s="1"/>
  <c r="J120" i="154"/>
  <c r="T120" i="154" s="1"/>
  <c r="T72" i="154"/>
  <c r="BW90" i="67"/>
  <c r="BW102" i="67" s="1"/>
  <c r="T78" i="28"/>
  <c r="T78" i="38"/>
  <c r="BW91" i="67"/>
  <c r="BW103" i="67" s="1"/>
  <c r="T79" i="38"/>
  <c r="T79" i="28"/>
  <c r="T56" i="154"/>
  <c r="I51" i="74"/>
  <c r="I51" i="25"/>
  <c r="I43" i="158" s="1"/>
  <c r="T11" i="23"/>
  <c r="C50" i="74"/>
  <c r="C50" i="25"/>
  <c r="C42" i="158" s="1"/>
  <c r="D2" i="152"/>
  <c r="D2" i="151"/>
  <c r="D2" i="32"/>
  <c r="Q77" i="36"/>
  <c r="H125" i="36"/>
  <c r="Q125" i="36" s="1"/>
  <c r="H129" i="34"/>
  <c r="P81" i="34"/>
  <c r="J110" i="154"/>
  <c r="T110" i="154" s="1"/>
  <c r="T62" i="154"/>
  <c r="T55" i="154"/>
  <c r="N36" i="75"/>
  <c r="L36" i="28"/>
  <c r="V36" i="28" s="1"/>
  <c r="N30" i="75"/>
  <c r="L30" i="28"/>
  <c r="V30" i="28" s="1"/>
  <c r="D3" i="155"/>
  <c r="D3" i="154"/>
  <c r="D3" i="153"/>
  <c r="Q60" i="36"/>
  <c r="J117" i="154"/>
  <c r="T117" i="154" s="1"/>
  <c r="T69" i="154"/>
  <c r="N14" i="75"/>
  <c r="L14" i="28"/>
  <c r="V14" i="28" s="1"/>
  <c r="N4" i="75"/>
  <c r="L4" i="28"/>
  <c r="V4" i="28" s="1"/>
  <c r="Q79" i="36"/>
  <c r="H127" i="36"/>
  <c r="Q127" i="36" s="1"/>
  <c r="J119" i="154"/>
  <c r="T119" i="154" s="1"/>
  <c r="T71" i="154"/>
  <c r="G53" i="74"/>
  <c r="G53" i="25"/>
  <c r="G45" i="158" s="1"/>
  <c r="BM10" i="17"/>
  <c r="AB9" i="23"/>
  <c r="Q11" i="24"/>
  <c r="I7" i="25"/>
  <c r="Q11" i="156"/>
  <c r="S11" i="156" s="1"/>
  <c r="T53" i="154"/>
  <c r="BW96" i="67"/>
  <c r="BW108" i="67" s="1"/>
  <c r="T84" i="38"/>
  <c r="T84" i="28"/>
  <c r="Q50" i="36"/>
  <c r="Q76" i="36"/>
  <c r="H124" i="36"/>
  <c r="Q124" i="36" s="1"/>
  <c r="Q64" i="36"/>
  <c r="H112" i="36"/>
  <c r="Q112" i="36" s="1"/>
  <c r="N18" i="75"/>
  <c r="L18" i="28"/>
  <c r="V18" i="28" s="1"/>
  <c r="N7" i="75"/>
  <c r="L7" i="28"/>
  <c r="V7" i="28" s="1"/>
  <c r="M39" i="75"/>
  <c r="K39" i="28"/>
  <c r="U39" i="28" s="1"/>
  <c r="M19" i="75"/>
  <c r="K19" i="28"/>
  <c r="U19" i="28" s="1"/>
  <c r="M5" i="75"/>
  <c r="K5" i="28"/>
  <c r="U5" i="28" s="1"/>
  <c r="M4" i="75"/>
  <c r="K4" i="28"/>
  <c r="U4" i="28" s="1"/>
  <c r="N21" i="75"/>
  <c r="L21" i="28"/>
  <c r="V21" i="28" s="1"/>
  <c r="M14" i="75"/>
  <c r="K14" i="28"/>
  <c r="U14" i="28" s="1"/>
  <c r="T75" i="154"/>
  <c r="J123" i="154"/>
  <c r="T123" i="154" s="1"/>
  <c r="BW87" i="67"/>
  <c r="BW99" i="67" s="1"/>
  <c r="T75" i="28"/>
  <c r="T75" i="38"/>
  <c r="H127" i="34"/>
  <c r="P79" i="34"/>
  <c r="T54" i="154"/>
  <c r="H132" i="34"/>
  <c r="P84" i="34"/>
  <c r="Q65" i="36"/>
  <c r="H113" i="36"/>
  <c r="Q113" i="36" s="1"/>
  <c r="BW92" i="67"/>
  <c r="BW104" i="67" s="1"/>
  <c r="T80" i="38"/>
  <c r="T80" i="28"/>
  <c r="T8" i="23"/>
  <c r="F51" i="74"/>
  <c r="F51" i="25"/>
  <c r="F43" i="158" s="1"/>
  <c r="Q12" i="156"/>
  <c r="Q12" i="24"/>
  <c r="T61" i="154"/>
  <c r="N25" i="75"/>
  <c r="L25" i="28"/>
  <c r="V25" i="28" s="1"/>
  <c r="Q66" i="36"/>
  <c r="H114" i="36"/>
  <c r="Q114" i="36" s="1"/>
  <c r="Q85" i="36"/>
  <c r="H133" i="36"/>
  <c r="Q133" i="36" s="1"/>
  <c r="Q59" i="36"/>
  <c r="Q51" i="36"/>
  <c r="G50" i="25"/>
  <c r="G42" i="158" s="1"/>
  <c r="G50" i="74"/>
  <c r="P9" i="23"/>
  <c r="E53" i="74"/>
  <c r="E53" i="25"/>
  <c r="E45" i="158" s="1"/>
  <c r="AB7" i="23"/>
  <c r="BM8" i="17"/>
  <c r="J6" i="25"/>
  <c r="J12" i="156"/>
  <c r="L12" i="156" s="1"/>
  <c r="J12" i="24"/>
  <c r="J129" i="154"/>
  <c r="T129" i="154" s="1"/>
  <c r="T81" i="154"/>
  <c r="J130" i="154"/>
  <c r="T130" i="154" s="1"/>
  <c r="T82" i="154"/>
  <c r="Q58" i="36"/>
  <c r="H124" i="34"/>
  <c r="P124" i="34" s="1"/>
  <c r="P76" i="34"/>
  <c r="M3" i="75"/>
  <c r="K3" i="28"/>
  <c r="U3" i="28" s="1"/>
  <c r="N5" i="75"/>
  <c r="L5" i="28"/>
  <c r="V5" i="28" s="1"/>
  <c r="N29" i="75"/>
  <c r="L29" i="28"/>
  <c r="V29" i="28" s="1"/>
  <c r="N10" i="75"/>
  <c r="L10" i="28"/>
  <c r="V10" i="28" s="1"/>
  <c r="Q68" i="36"/>
  <c r="H116" i="36"/>
  <c r="Q116" i="36" s="1"/>
  <c r="T57" i="154"/>
  <c r="J122" i="154"/>
  <c r="T122" i="154" s="1"/>
  <c r="T74" i="154"/>
  <c r="BW89" i="67"/>
  <c r="BW101" i="67" s="1"/>
  <c r="T77" i="28"/>
  <c r="T77" i="38"/>
  <c r="Q78" i="36"/>
  <c r="H126" i="36"/>
  <c r="Q126" i="36" s="1"/>
  <c r="CF75" i="67"/>
  <c r="J63" i="155"/>
  <c r="H63" i="154"/>
  <c r="R63" i="154" s="1"/>
  <c r="H63" i="153"/>
  <c r="R63" i="153" s="1"/>
  <c r="C51" i="25"/>
  <c r="C43" i="158" s="1"/>
  <c r="C51" i="74"/>
  <c r="D50" i="74"/>
  <c r="D50" i="25"/>
  <c r="D42" i="158" s="1"/>
  <c r="P6" i="23"/>
  <c r="J11" i="156"/>
  <c r="L11" i="156" s="1"/>
  <c r="I6" i="25"/>
  <c r="J11" i="24"/>
  <c r="J125" i="154"/>
  <c r="T125" i="154" s="1"/>
  <c r="T77" i="154"/>
  <c r="Q63" i="36"/>
  <c r="H111" i="36"/>
  <c r="Q111" i="36" s="1"/>
  <c r="N23" i="75"/>
  <c r="L23" i="28"/>
  <c r="V23" i="28" s="1"/>
  <c r="N24" i="75"/>
  <c r="L24" i="28"/>
  <c r="V24" i="28" s="1"/>
  <c r="M12" i="75"/>
  <c r="K12" i="28"/>
  <c r="U12" i="28" s="1"/>
  <c r="M24" i="75"/>
  <c r="K24" i="28"/>
  <c r="U24" i="28" s="1"/>
  <c r="N3" i="75"/>
  <c r="L3" i="28"/>
  <c r="V3" i="28" s="1"/>
  <c r="N11" i="75"/>
  <c r="L11" i="28"/>
  <c r="V11" i="28" s="1"/>
  <c r="Q73" i="36"/>
  <c r="H121" i="36"/>
  <c r="Q121" i="36" s="1"/>
  <c r="H126" i="34"/>
  <c r="P126" i="34" s="1"/>
  <c r="P78" i="34"/>
  <c r="J51" i="74"/>
  <c r="J51" i="25"/>
  <c r="J43" i="158" s="1"/>
  <c r="T12" i="23"/>
  <c r="C9" i="25"/>
  <c r="AF5" i="156"/>
  <c r="AH5" i="156" s="1"/>
  <c r="AF5" i="24"/>
  <c r="H6" i="25"/>
  <c r="J10" i="156"/>
  <c r="L10" i="156" s="1"/>
  <c r="J10" i="24"/>
  <c r="N2" i="75"/>
  <c r="L2" i="28"/>
  <c r="V2" i="28" s="1"/>
  <c r="N34" i="75"/>
  <c r="L34" i="28"/>
  <c r="V34" i="28" s="1"/>
  <c r="T52" i="154"/>
  <c r="BW86" i="67"/>
  <c r="BW98" i="67" s="1"/>
  <c r="T74" i="28"/>
  <c r="T74" i="38"/>
  <c r="J127" i="154"/>
  <c r="T127" i="154" s="1"/>
  <c r="T79" i="154"/>
  <c r="BW88" i="67"/>
  <c r="BW100" i="67" s="1"/>
  <c r="T76" i="28"/>
  <c r="T76" i="38"/>
  <c r="J132" i="154"/>
  <c r="T132" i="154" s="1"/>
  <c r="T84" i="154"/>
  <c r="T51" i="154"/>
  <c r="CF83" i="67"/>
  <c r="J71" i="155"/>
  <c r="H71" i="153"/>
  <c r="R71" i="153" s="1"/>
  <c r="H71" i="154"/>
  <c r="R71" i="154" s="1"/>
  <c r="BW93" i="67"/>
  <c r="BW105" i="67" s="1"/>
  <c r="T81" i="38"/>
  <c r="T81" i="28"/>
  <c r="H53" i="25"/>
  <c r="H45" i="158" s="1"/>
  <c r="H53" i="74"/>
  <c r="BM11" i="17"/>
  <c r="AB10" i="23"/>
  <c r="Y5" i="156"/>
  <c r="AA5" i="156" s="1"/>
  <c r="C8" i="25"/>
  <c r="G6" i="25"/>
  <c r="J9" i="156"/>
  <c r="L9" i="156" s="1"/>
  <c r="J9" i="24"/>
  <c r="D11" i="154"/>
  <c r="D11" i="153"/>
  <c r="D11" i="155"/>
  <c r="M20" i="75"/>
  <c r="K20" i="28"/>
  <c r="U20" i="28" s="1"/>
  <c r="J133" i="154"/>
  <c r="T133" i="154" s="1"/>
  <c r="T85" i="154"/>
  <c r="Q83" i="36"/>
  <c r="H131" i="36"/>
  <c r="Q131" i="36" s="1"/>
  <c r="D8" i="32"/>
  <c r="D8" i="151"/>
  <c r="D8" i="152"/>
  <c r="J50" i="25"/>
  <c r="J42" i="158" s="1"/>
  <c r="J50" i="74"/>
  <c r="P12" i="23"/>
  <c r="T7" i="23"/>
  <c r="E51" i="25"/>
  <c r="E43" i="158" s="1"/>
  <c r="E51" i="74"/>
  <c r="F6" i="25"/>
  <c r="J8" i="156"/>
  <c r="J8" i="24"/>
  <c r="CF80" i="67"/>
  <c r="H68" i="154"/>
  <c r="R68" i="154" s="1"/>
  <c r="J68" i="155"/>
  <c r="H68" i="153"/>
  <c r="R68" i="153" s="1"/>
  <c r="D11" i="32"/>
  <c r="D11" i="152"/>
  <c r="D11" i="151"/>
  <c r="BW95" i="67"/>
  <c r="BW107" i="67" s="1"/>
  <c r="T83" i="38"/>
  <c r="T83" i="28"/>
  <c r="T58" i="154"/>
  <c r="T50" i="154"/>
  <c r="T64" i="154"/>
  <c r="J112" i="154"/>
  <c r="T112" i="154" s="1"/>
  <c r="Q67" i="36"/>
  <c r="H115" i="36"/>
  <c r="Q115" i="36" s="1"/>
  <c r="T60" i="154"/>
  <c r="Q80" i="36"/>
  <c r="H128" i="36"/>
  <c r="Q128" i="36" s="1"/>
  <c r="CF76" i="67"/>
  <c r="H64" i="154"/>
  <c r="R64" i="154" s="1"/>
  <c r="H64" i="153"/>
  <c r="R64" i="153" s="1"/>
  <c r="J64" i="155"/>
  <c r="Q70" i="36"/>
  <c r="H118" i="36"/>
  <c r="Q118" i="36" s="1"/>
  <c r="Q72" i="36"/>
  <c r="H120" i="36"/>
  <c r="Q120" i="36" s="1"/>
  <c r="J113" i="154"/>
  <c r="T113" i="154" s="1"/>
  <c r="T65" i="154"/>
  <c r="H131" i="34"/>
  <c r="P83" i="34"/>
  <c r="D8" i="153"/>
  <c r="D8" i="155"/>
  <c r="D8" i="154"/>
  <c r="I53" i="25"/>
  <c r="I45" i="158" s="1"/>
  <c r="I53" i="74"/>
  <c r="BM12" i="17"/>
  <c r="AB11" i="23"/>
  <c r="Q7" i="156"/>
  <c r="S7" i="156" s="1"/>
  <c r="Q7" i="24"/>
  <c r="E7" i="25"/>
  <c r="E6" i="25"/>
  <c r="J7" i="156"/>
  <c r="L7" i="156" s="1"/>
  <c r="J7" i="24"/>
  <c r="M31" i="75"/>
  <c r="K31" i="28"/>
  <c r="U31" i="28" s="1"/>
  <c r="T59" i="154"/>
  <c r="D10" i="153"/>
  <c r="D10" i="155"/>
  <c r="D10" i="154"/>
  <c r="P8" i="23"/>
  <c r="F50" i="74"/>
  <c r="F50" i="25"/>
  <c r="F42" i="158" s="1"/>
  <c r="J53" i="25"/>
  <c r="J45" i="158" s="1"/>
  <c r="J53" i="74"/>
  <c r="BM13" i="17"/>
  <c r="AB12" i="23"/>
  <c r="E50" i="74"/>
  <c r="E50" i="25"/>
  <c r="E42" i="158" s="1"/>
  <c r="P7" i="23"/>
  <c r="J6" i="156"/>
  <c r="L6" i="156" s="1"/>
  <c r="D6" i="25"/>
  <c r="J6" i="24"/>
  <c r="BW94" i="67"/>
  <c r="BW106" i="67" s="1"/>
  <c r="T82" i="38"/>
  <c r="T82" i="28"/>
  <c r="CF82" i="67"/>
  <c r="H70" i="154"/>
  <c r="R70" i="154" s="1"/>
  <c r="J70" i="155"/>
  <c r="H70" i="153"/>
  <c r="R70" i="153" s="1"/>
  <c r="Q62" i="36"/>
  <c r="H110" i="36"/>
  <c r="Q110" i="36" s="1"/>
  <c r="J124" i="154"/>
  <c r="T124" i="154" s="1"/>
  <c r="T76" i="154"/>
  <c r="N53" i="69"/>
  <c r="N54" i="69" s="1"/>
  <c r="O58" i="69"/>
  <c r="P58" i="69" s="1"/>
  <c r="Q58" i="69" s="1"/>
  <c r="R58" i="69" s="1"/>
  <c r="S58" i="69" s="1"/>
  <c r="T58" i="69" s="1"/>
  <c r="U58" i="69" s="1"/>
  <c r="V58" i="69" s="1"/>
  <c r="W58" i="69" s="1"/>
  <c r="X58" i="69" s="1"/>
  <c r="S127" i="65"/>
  <c r="E139" i="65"/>
  <c r="S139" i="65" s="1"/>
  <c r="E130" i="65"/>
  <c r="E131" i="65"/>
  <c r="E135" i="65"/>
  <c r="S124" i="38"/>
  <c r="S126" i="38"/>
  <c r="S123" i="38"/>
  <c r="S125" i="38"/>
  <c r="S122" i="38"/>
  <c r="D133" i="65"/>
  <c r="G134" i="65"/>
  <c r="G132" i="65"/>
  <c r="R124" i="65"/>
  <c r="G125" i="65"/>
  <c r="D129" i="65"/>
  <c r="D126" i="65"/>
  <c r="E133" i="65"/>
  <c r="D125" i="65"/>
  <c r="E132" i="65"/>
  <c r="F135" i="65"/>
  <c r="E134" i="65"/>
  <c r="F124" i="65"/>
  <c r="F125" i="65"/>
  <c r="F129" i="65"/>
  <c r="G127" i="65"/>
  <c r="G124" i="65"/>
  <c r="D134" i="65"/>
  <c r="D132" i="65"/>
  <c r="F126" i="65"/>
  <c r="G133" i="65"/>
  <c r="G126" i="65"/>
  <c r="F134" i="65"/>
  <c r="F133" i="65"/>
  <c r="G128" i="65"/>
  <c r="E128" i="65"/>
  <c r="G129" i="65"/>
  <c r="D130" i="65"/>
  <c r="E129" i="65"/>
  <c r="E124" i="65"/>
  <c r="G135" i="65"/>
  <c r="F132" i="65"/>
  <c r="F127" i="65"/>
  <c r="D135" i="65"/>
  <c r="E125" i="65"/>
  <c r="D131" i="65"/>
  <c r="E126" i="65"/>
  <c r="F130" i="65"/>
  <c r="G130" i="65"/>
  <c r="F128" i="65"/>
  <c r="G131" i="65"/>
  <c r="F131" i="65"/>
  <c r="D127" i="65"/>
  <c r="D128" i="65"/>
  <c r="CH80" i="67"/>
  <c r="CC94" i="67"/>
  <c r="CH75" i="67"/>
  <c r="CC95" i="67"/>
  <c r="CH85" i="67"/>
  <c r="CC91" i="67"/>
  <c r="CH84" i="67"/>
  <c r="CC87" i="67"/>
  <c r="CC90" i="67"/>
  <c r="S110" i="38"/>
  <c r="CH78" i="67"/>
  <c r="CH81" i="67"/>
  <c r="CH76" i="67"/>
  <c r="CH79" i="67"/>
  <c r="CC92" i="67"/>
  <c r="S115" i="38"/>
  <c r="S113" i="38"/>
  <c r="CH74" i="67"/>
  <c r="CC86" i="67"/>
  <c r="CC97" i="67"/>
  <c r="CH83" i="67"/>
  <c r="CC89" i="67"/>
  <c r="S111" i="38"/>
  <c r="CH77" i="67"/>
  <c r="CC88" i="67"/>
  <c r="CH82" i="67"/>
  <c r="S114" i="38"/>
  <c r="CC93" i="67"/>
  <c r="CC96" i="67"/>
  <c r="S112" i="38"/>
  <c r="L38" i="148"/>
  <c r="L39" i="148"/>
  <c r="L40" i="148"/>
  <c r="L41" i="148"/>
  <c r="L42" i="148"/>
  <c r="L43" i="148"/>
  <c r="L44" i="148"/>
  <c r="L45" i="148"/>
  <c r="L46" i="148"/>
  <c r="K37" i="148"/>
  <c r="K34" i="148"/>
  <c r="K33" i="148"/>
  <c r="K32" i="148"/>
  <c r="K31" i="148"/>
  <c r="K30" i="148"/>
  <c r="K29" i="148"/>
  <c r="K28" i="148"/>
  <c r="K27" i="148"/>
  <c r="K25" i="148"/>
  <c r="K24" i="148"/>
  <c r="K23" i="148"/>
  <c r="K22" i="148"/>
  <c r="K21" i="148"/>
  <c r="K20" i="148"/>
  <c r="K19" i="148"/>
  <c r="K18" i="148"/>
  <c r="K17" i="148"/>
  <c r="K16" i="148"/>
  <c r="K14" i="148"/>
  <c r="K13" i="148"/>
  <c r="K12" i="148"/>
  <c r="K11" i="148"/>
  <c r="K10" i="148"/>
  <c r="K9" i="148"/>
  <c r="K8" i="148"/>
  <c r="K7" i="148"/>
  <c r="K6" i="148"/>
  <c r="K5" i="148"/>
  <c r="K4" i="148"/>
  <c r="O26" i="148"/>
  <c r="N26" i="148"/>
  <c r="M26" i="148"/>
  <c r="O10" i="148"/>
  <c r="N10" i="148"/>
  <c r="O9" i="148"/>
  <c r="N9" i="148"/>
  <c r="O8" i="148"/>
  <c r="N8" i="148"/>
  <c r="O7" i="148"/>
  <c r="N7" i="148"/>
  <c r="X25" i="23"/>
  <c r="X26" i="23"/>
  <c r="X28" i="23"/>
  <c r="AF28" i="23"/>
  <c r="D26" i="23"/>
  <c r="C29" i="158" l="1"/>
  <c r="AG33" i="25"/>
  <c r="CC101" i="67"/>
  <c r="H89" i="38"/>
  <c r="H89" i="28"/>
  <c r="J89" i="75"/>
  <c r="CC103" i="67"/>
  <c r="H91" i="38"/>
  <c r="J91" i="75"/>
  <c r="H91" i="28"/>
  <c r="CC109" i="67"/>
  <c r="H97" i="38"/>
  <c r="H97" i="28"/>
  <c r="J97" i="75"/>
  <c r="CC107" i="67"/>
  <c r="H95" i="38"/>
  <c r="H95" i="28"/>
  <c r="J95" i="75"/>
  <c r="CC98" i="67"/>
  <c r="H86" i="38"/>
  <c r="H86" i="28"/>
  <c r="J86" i="75"/>
  <c r="CC108" i="67"/>
  <c r="H96" i="38"/>
  <c r="J96" i="75"/>
  <c r="H96" i="28"/>
  <c r="CC105" i="67"/>
  <c r="H93" i="38"/>
  <c r="J93" i="75"/>
  <c r="H93" i="28"/>
  <c r="CC106" i="67"/>
  <c r="H94" i="38"/>
  <c r="H94" i="28"/>
  <c r="J94" i="75"/>
  <c r="CC104" i="67"/>
  <c r="H92" i="38"/>
  <c r="H92" i="28"/>
  <c r="J92" i="75"/>
  <c r="CC100" i="67"/>
  <c r="H88" i="38"/>
  <c r="H88" i="28"/>
  <c r="J88" i="75"/>
  <c r="CC102" i="67"/>
  <c r="H90" i="38"/>
  <c r="J90" i="75"/>
  <c r="H90" i="28"/>
  <c r="CC99" i="67"/>
  <c r="H87" i="38"/>
  <c r="H87" i="28"/>
  <c r="J87" i="75"/>
  <c r="AB14" i="23"/>
  <c r="BO14" i="17"/>
  <c r="E13" i="156"/>
  <c r="L13" i="156"/>
  <c r="M13" i="156" s="1"/>
  <c r="J32" i="156"/>
  <c r="L32" i="156" s="1"/>
  <c r="J31" i="156"/>
  <c r="L31" i="156" s="1"/>
  <c r="S13" i="156"/>
  <c r="Q32" i="156"/>
  <c r="S32" i="156" s="1"/>
  <c r="Q31" i="156"/>
  <c r="S31" i="156" s="1"/>
  <c r="K8" i="74"/>
  <c r="L8" i="25"/>
  <c r="AF18" i="156"/>
  <c r="C9" i="74"/>
  <c r="Y32" i="156"/>
  <c r="AA32" i="156" s="1"/>
  <c r="K10" i="74"/>
  <c r="L10" i="25"/>
  <c r="AH13" i="156"/>
  <c r="AF32" i="156"/>
  <c r="AH32" i="156" s="1"/>
  <c r="AB15" i="23"/>
  <c r="L97" i="76"/>
  <c r="BT109" i="67"/>
  <c r="K101" i="36"/>
  <c r="M101" i="77"/>
  <c r="K101" i="150"/>
  <c r="T101" i="150" s="1"/>
  <c r="AL27" i="156"/>
  <c r="K32" i="74"/>
  <c r="AA14" i="23"/>
  <c r="AA48" i="23" s="1"/>
  <c r="L92" i="76"/>
  <c r="BT104" i="67"/>
  <c r="M107" i="77"/>
  <c r="K107" i="150"/>
  <c r="T107" i="150" s="1"/>
  <c r="K107" i="36"/>
  <c r="L91" i="76"/>
  <c r="BT103" i="67"/>
  <c r="L93" i="76"/>
  <c r="BT105" i="67"/>
  <c r="L94" i="76"/>
  <c r="BT106" i="67"/>
  <c r="M108" i="77"/>
  <c r="K108" i="36"/>
  <c r="K108" i="150"/>
  <c r="T108" i="150" s="1"/>
  <c r="J98" i="34"/>
  <c r="R98" i="34" s="1"/>
  <c r="L98" i="76"/>
  <c r="J98" i="30"/>
  <c r="R98" i="30" s="1"/>
  <c r="S98" i="30" s="1"/>
  <c r="L88" i="76"/>
  <c r="BT100" i="67"/>
  <c r="M105" i="77"/>
  <c r="K105" i="36"/>
  <c r="K105" i="150"/>
  <c r="T105" i="150" s="1"/>
  <c r="J99" i="30"/>
  <c r="R99" i="30" s="1"/>
  <c r="S99" i="30" s="1"/>
  <c r="J99" i="34"/>
  <c r="R99" i="34" s="1"/>
  <c r="L99" i="76"/>
  <c r="L90" i="76"/>
  <c r="BT102" i="67"/>
  <c r="M109" i="77"/>
  <c r="K109" i="36"/>
  <c r="K109" i="150"/>
  <c r="T109" i="150" s="1"/>
  <c r="L89" i="76"/>
  <c r="BT101" i="67"/>
  <c r="M98" i="77"/>
  <c r="K98" i="36"/>
  <c r="K98" i="150"/>
  <c r="T98" i="150" s="1"/>
  <c r="L96" i="76"/>
  <c r="BT108" i="67"/>
  <c r="J23" i="24"/>
  <c r="J24" i="24"/>
  <c r="L24" i="24" s="1"/>
  <c r="Q24" i="24"/>
  <c r="S24" i="24" s="1"/>
  <c r="Q23" i="24"/>
  <c r="M102" i="77"/>
  <c r="K102" i="36"/>
  <c r="K102" i="150"/>
  <c r="T102" i="150" s="1"/>
  <c r="M106" i="77"/>
  <c r="K106" i="36"/>
  <c r="K106" i="150"/>
  <c r="T106" i="150" s="1"/>
  <c r="AH13" i="24"/>
  <c r="AF24" i="24"/>
  <c r="AH24" i="24" s="1"/>
  <c r="M103" i="77"/>
  <c r="K103" i="36"/>
  <c r="K103" i="150"/>
  <c r="T103" i="150" s="1"/>
  <c r="M104" i="77"/>
  <c r="K104" i="150"/>
  <c r="T104" i="150" s="1"/>
  <c r="K104" i="36"/>
  <c r="L95" i="76"/>
  <c r="BT107" i="67"/>
  <c r="K100" i="36"/>
  <c r="M100" i="77"/>
  <c r="K100" i="150"/>
  <c r="T100" i="150" s="1"/>
  <c r="M99" i="77"/>
  <c r="K99" i="150"/>
  <c r="T99" i="150" s="1"/>
  <c r="K99" i="36"/>
  <c r="AB85" i="69"/>
  <c r="C35" i="158"/>
  <c r="J80" i="150"/>
  <c r="S80" i="150" s="1"/>
  <c r="CJ80" i="67"/>
  <c r="M94" i="77"/>
  <c r="K94" i="36"/>
  <c r="K94" i="150"/>
  <c r="T94" i="150" s="1"/>
  <c r="J84" i="150"/>
  <c r="S84" i="150" s="1"/>
  <c r="CJ84" i="67"/>
  <c r="M90" i="77"/>
  <c r="K90" i="150"/>
  <c r="T90" i="150" s="1"/>
  <c r="K90" i="36"/>
  <c r="K89" i="36"/>
  <c r="M89" i="77"/>
  <c r="K89" i="150"/>
  <c r="T89" i="150" s="1"/>
  <c r="J122" i="34"/>
  <c r="R122" i="34" s="1"/>
  <c r="R74" i="34"/>
  <c r="J94" i="30"/>
  <c r="R94" i="30" s="1"/>
  <c r="J94" i="34"/>
  <c r="R94" i="34" s="1"/>
  <c r="J86" i="34"/>
  <c r="R86" i="34" s="1"/>
  <c r="L86" i="76"/>
  <c r="J86" i="30"/>
  <c r="R86" i="30" s="1"/>
  <c r="J123" i="34"/>
  <c r="R123" i="34" s="1"/>
  <c r="R75" i="34"/>
  <c r="M88" i="77"/>
  <c r="K88" i="36"/>
  <c r="K88" i="150"/>
  <c r="T88" i="150" s="1"/>
  <c r="J87" i="34"/>
  <c r="R87" i="34" s="1"/>
  <c r="L87" i="76"/>
  <c r="J87" i="30"/>
  <c r="R87" i="30" s="1"/>
  <c r="M87" i="77"/>
  <c r="K87" i="36"/>
  <c r="K87" i="150"/>
  <c r="T87" i="150" s="1"/>
  <c r="M96" i="77"/>
  <c r="K96" i="36"/>
  <c r="K96" i="150"/>
  <c r="T96" i="150" s="1"/>
  <c r="M97" i="77"/>
  <c r="K97" i="36"/>
  <c r="K97" i="150"/>
  <c r="T97" i="150" s="1"/>
  <c r="J132" i="34"/>
  <c r="R132" i="34" s="1"/>
  <c r="R84" i="34"/>
  <c r="J74" i="150"/>
  <c r="S74" i="150" s="1"/>
  <c r="CJ74" i="67"/>
  <c r="M86" i="77"/>
  <c r="K86" i="36"/>
  <c r="K86" i="150"/>
  <c r="T86" i="150" s="1"/>
  <c r="M95" i="77"/>
  <c r="K95" i="36"/>
  <c r="K95" i="150"/>
  <c r="T95" i="150" s="1"/>
  <c r="J127" i="34"/>
  <c r="R127" i="34" s="1"/>
  <c r="R79" i="34"/>
  <c r="R76" i="34"/>
  <c r="J124" i="34"/>
  <c r="R124" i="34" s="1"/>
  <c r="J125" i="34"/>
  <c r="R125" i="34" s="1"/>
  <c r="R77" i="34"/>
  <c r="J96" i="30"/>
  <c r="R96" i="30" s="1"/>
  <c r="J96" i="34"/>
  <c r="R96" i="34" s="1"/>
  <c r="J91" i="34"/>
  <c r="R91" i="34" s="1"/>
  <c r="J91" i="30"/>
  <c r="R91" i="30" s="1"/>
  <c r="J89" i="34"/>
  <c r="R89" i="34" s="1"/>
  <c r="J89" i="30"/>
  <c r="R89" i="30" s="1"/>
  <c r="J82" i="150"/>
  <c r="S82" i="150" s="1"/>
  <c r="CJ82" i="67"/>
  <c r="J76" i="150"/>
  <c r="S76" i="150" s="1"/>
  <c r="CJ76" i="67"/>
  <c r="J78" i="150"/>
  <c r="S78" i="150" s="1"/>
  <c r="CJ78" i="67"/>
  <c r="J79" i="150"/>
  <c r="S79" i="150" s="1"/>
  <c r="CJ79" i="67"/>
  <c r="R83" i="34"/>
  <c r="J131" i="34"/>
  <c r="R131" i="34" s="1"/>
  <c r="J126" i="34"/>
  <c r="R126" i="34" s="1"/>
  <c r="R78" i="34"/>
  <c r="K91" i="36"/>
  <c r="M91" i="77"/>
  <c r="K91" i="150"/>
  <c r="T91" i="150" s="1"/>
  <c r="M92" i="77"/>
  <c r="K92" i="36"/>
  <c r="K92" i="150"/>
  <c r="T92" i="150" s="1"/>
  <c r="J95" i="30"/>
  <c r="R95" i="30" s="1"/>
  <c r="J95" i="34"/>
  <c r="R95" i="34" s="1"/>
  <c r="J88" i="34"/>
  <c r="R88" i="34" s="1"/>
  <c r="J88" i="30"/>
  <c r="R88" i="30" s="1"/>
  <c r="J83" i="150"/>
  <c r="S83" i="150" s="1"/>
  <c r="CJ83" i="67"/>
  <c r="J90" i="34"/>
  <c r="R90" i="34" s="1"/>
  <c r="J90" i="30"/>
  <c r="R90" i="30" s="1"/>
  <c r="J129" i="34"/>
  <c r="R129" i="34" s="1"/>
  <c r="R81" i="34"/>
  <c r="J77" i="150"/>
  <c r="S77" i="150" s="1"/>
  <c r="CJ77" i="67"/>
  <c r="J81" i="150"/>
  <c r="S81" i="150" s="1"/>
  <c r="CJ81" i="67"/>
  <c r="R80" i="34"/>
  <c r="J128" i="34"/>
  <c r="R128" i="34" s="1"/>
  <c r="J133" i="34"/>
  <c r="R133" i="34" s="1"/>
  <c r="R85" i="34"/>
  <c r="K93" i="36"/>
  <c r="M93" i="77"/>
  <c r="K93" i="150"/>
  <c r="T93" i="150" s="1"/>
  <c r="J85" i="150"/>
  <c r="S85" i="150" s="1"/>
  <c r="CJ85" i="67"/>
  <c r="J97" i="30"/>
  <c r="R97" i="30" s="1"/>
  <c r="J97" i="34"/>
  <c r="R97" i="34" s="1"/>
  <c r="J93" i="34"/>
  <c r="R93" i="34" s="1"/>
  <c r="J93" i="30"/>
  <c r="R93" i="30" s="1"/>
  <c r="J75" i="150"/>
  <c r="S75" i="150" s="1"/>
  <c r="CJ75" i="67"/>
  <c r="J92" i="30"/>
  <c r="R92" i="30" s="1"/>
  <c r="J92" i="34"/>
  <c r="R92" i="34" s="1"/>
  <c r="J130" i="34"/>
  <c r="R130" i="34" s="1"/>
  <c r="R82" i="34"/>
  <c r="AL7" i="25"/>
  <c r="H21" i="158" s="1"/>
  <c r="AK6" i="25"/>
  <c r="G20" i="158" s="1"/>
  <c r="AN6" i="25"/>
  <c r="J20" i="158" s="1"/>
  <c r="AG6" i="25"/>
  <c r="C20" i="158" s="1"/>
  <c r="AG8" i="25"/>
  <c r="C22" i="158" s="1"/>
  <c r="AH6" i="25"/>
  <c r="D20" i="158" s="1"/>
  <c r="AL6" i="25"/>
  <c r="H20" i="158" s="1"/>
  <c r="AH7" i="25"/>
  <c r="D21" i="158" s="1"/>
  <c r="AJ7" i="25"/>
  <c r="F21" i="158" s="1"/>
  <c r="AM6" i="25"/>
  <c r="I20" i="158" s="1"/>
  <c r="AG7" i="25"/>
  <c r="C21" i="158" s="1"/>
  <c r="AJ6" i="25"/>
  <c r="F20" i="158" s="1"/>
  <c r="AG9" i="25"/>
  <c r="C23" i="158" s="1"/>
  <c r="AI6" i="25"/>
  <c r="E20" i="158" s="1"/>
  <c r="AI7" i="25"/>
  <c r="E21" i="158" s="1"/>
  <c r="AM7" i="25"/>
  <c r="I21" i="158" s="1"/>
  <c r="AK7" i="25"/>
  <c r="G21" i="158" s="1"/>
  <c r="T9" i="156"/>
  <c r="M12" i="156"/>
  <c r="M11" i="156"/>
  <c r="AL6" i="17"/>
  <c r="AW6" i="17"/>
  <c r="T7" i="156"/>
  <c r="CF95" i="67"/>
  <c r="CF107" i="67" s="1"/>
  <c r="H83" i="154"/>
  <c r="R83" i="154" s="1"/>
  <c r="J83" i="155"/>
  <c r="H83" i="153"/>
  <c r="R83" i="153" s="1"/>
  <c r="T96" i="28"/>
  <c r="T10" i="156"/>
  <c r="K51" i="74"/>
  <c r="K51" i="25"/>
  <c r="K43" i="158" s="1"/>
  <c r="T91" i="28"/>
  <c r="T8" i="156"/>
  <c r="CF93" i="67"/>
  <c r="CF105" i="67" s="1"/>
  <c r="J81" i="155"/>
  <c r="H81" i="154"/>
  <c r="R81" i="154" s="1"/>
  <c r="H81" i="153"/>
  <c r="R81" i="153" s="1"/>
  <c r="M7" i="156"/>
  <c r="T89" i="28"/>
  <c r="T87" i="28"/>
  <c r="T88" i="28"/>
  <c r="U5" i="15"/>
  <c r="AA5" i="15"/>
  <c r="X2" i="153"/>
  <c r="AW48" i="17"/>
  <c r="T90" i="28"/>
  <c r="T94" i="28"/>
  <c r="CF90" i="67"/>
  <c r="CF102" i="67" s="1"/>
  <c r="H78" i="154"/>
  <c r="R78" i="154" s="1"/>
  <c r="J78" i="155"/>
  <c r="H78" i="153"/>
  <c r="R78" i="153" s="1"/>
  <c r="T97" i="28"/>
  <c r="CF96" i="67"/>
  <c r="CF108" i="67" s="1"/>
  <c r="H84" i="154"/>
  <c r="R84" i="154" s="1"/>
  <c r="J84" i="155"/>
  <c r="H84" i="153"/>
  <c r="R84" i="153" s="1"/>
  <c r="L8" i="156"/>
  <c r="T92" i="28"/>
  <c r="CF88" i="67"/>
  <c r="CF100" i="67" s="1"/>
  <c r="H76" i="154"/>
  <c r="R76" i="154" s="1"/>
  <c r="J76" i="155"/>
  <c r="H76" i="153"/>
  <c r="R76" i="153" s="1"/>
  <c r="T95" i="28"/>
  <c r="T93" i="28"/>
  <c r="K50" i="74"/>
  <c r="K50" i="25"/>
  <c r="K42" i="158" s="1"/>
  <c r="CF89" i="67"/>
  <c r="CF101" i="67" s="1"/>
  <c r="H77" i="154"/>
  <c r="R77" i="154" s="1"/>
  <c r="J77" i="155"/>
  <c r="H77" i="153"/>
  <c r="R77" i="153" s="1"/>
  <c r="T86" i="28"/>
  <c r="CF97" i="67"/>
  <c r="CF109" i="67" s="1"/>
  <c r="H85" i="154"/>
  <c r="R85" i="154" s="1"/>
  <c r="J85" i="155"/>
  <c r="H85" i="153"/>
  <c r="R85" i="153" s="1"/>
  <c r="CF87" i="67"/>
  <c r="CF99" i="67" s="1"/>
  <c r="J75" i="155"/>
  <c r="H75" i="153"/>
  <c r="R75" i="153" s="1"/>
  <c r="H75" i="154"/>
  <c r="R75" i="154" s="1"/>
  <c r="S12" i="156"/>
  <c r="S27" i="156" s="1"/>
  <c r="CF91" i="67"/>
  <c r="CF103" i="67" s="1"/>
  <c r="H79" i="153"/>
  <c r="R79" i="153" s="1"/>
  <c r="H79" i="154"/>
  <c r="R79" i="154" s="1"/>
  <c r="J79" i="155"/>
  <c r="CF86" i="67"/>
  <c r="CF98" i="67" s="1"/>
  <c r="H74" i="153"/>
  <c r="R74" i="153" s="1"/>
  <c r="H74" i="154"/>
  <c r="R74" i="154" s="1"/>
  <c r="J74" i="155"/>
  <c r="CF94" i="67"/>
  <c r="CF106" i="67" s="1"/>
  <c r="J82" i="155"/>
  <c r="H82" i="153"/>
  <c r="R82" i="153" s="1"/>
  <c r="H82" i="154"/>
  <c r="R82" i="154" s="1"/>
  <c r="AL48" i="17"/>
  <c r="CF92" i="67"/>
  <c r="CF104" i="67" s="1"/>
  <c r="H80" i="153"/>
  <c r="R80" i="153" s="1"/>
  <c r="H80" i="154"/>
  <c r="R80" i="154" s="1"/>
  <c r="J80" i="155"/>
  <c r="T11" i="156"/>
  <c r="O53" i="69"/>
  <c r="P53" i="69" s="1"/>
  <c r="Q53" i="69" s="1"/>
  <c r="R53" i="69" s="1"/>
  <c r="S53" i="69" s="1"/>
  <c r="T53" i="69" s="1"/>
  <c r="U53" i="69" s="1"/>
  <c r="V53" i="69" s="1"/>
  <c r="W53" i="69" s="1"/>
  <c r="X53" i="69" s="1"/>
  <c r="W41" i="67"/>
  <c r="X41" i="67" s="1"/>
  <c r="R33" i="67"/>
  <c r="S33" i="67" s="1"/>
  <c r="D33" i="157" s="1"/>
  <c r="N33" i="157" s="1"/>
  <c r="O33" i="157" s="1"/>
  <c r="R61" i="67"/>
  <c r="S61" i="67" s="1"/>
  <c r="D61" i="157" s="1"/>
  <c r="N61" i="157" s="1"/>
  <c r="O61" i="157" s="1"/>
  <c r="E17" i="67"/>
  <c r="W16" i="67"/>
  <c r="X16" i="67" s="1"/>
  <c r="W45" i="67"/>
  <c r="X45" i="67" s="1"/>
  <c r="R54" i="67"/>
  <c r="S54" i="67" s="1"/>
  <c r="D54" i="157" s="1"/>
  <c r="N54" i="157" s="1"/>
  <c r="O54" i="157" s="1"/>
  <c r="W15" i="67"/>
  <c r="X15" i="67" s="1"/>
  <c r="W36" i="67"/>
  <c r="X36" i="67" s="1"/>
  <c r="R42" i="67"/>
  <c r="S42" i="67" s="1"/>
  <c r="D42" i="157" s="1"/>
  <c r="N42" i="157" s="1"/>
  <c r="O42" i="157" s="1"/>
  <c r="R53" i="67"/>
  <c r="S53" i="67" s="1"/>
  <c r="D53" i="157" s="1"/>
  <c r="N53" i="157" s="1"/>
  <c r="O53" i="157" s="1"/>
  <c r="R20" i="67"/>
  <c r="S20" i="67" s="1"/>
  <c r="D20" i="157" s="1"/>
  <c r="N20" i="157" s="1"/>
  <c r="W28" i="67"/>
  <c r="X28" i="67" s="1"/>
  <c r="E19" i="67"/>
  <c r="W27" i="67"/>
  <c r="X27" i="67" s="1"/>
  <c r="E18" i="67"/>
  <c r="W34" i="67"/>
  <c r="X34" i="67" s="1"/>
  <c r="R24" i="67"/>
  <c r="S24" i="67" s="1"/>
  <c r="D24" i="157" s="1"/>
  <c r="N24" i="157" s="1"/>
  <c r="R48" i="67"/>
  <c r="S48" i="67" s="1"/>
  <c r="D48" i="157" s="1"/>
  <c r="N48" i="157" s="1"/>
  <c r="O48" i="157" s="1"/>
  <c r="R35" i="67"/>
  <c r="S35" i="67" s="1"/>
  <c r="D35" i="157" s="1"/>
  <c r="N35" i="157" s="1"/>
  <c r="O35" i="157" s="1"/>
  <c r="E22" i="67"/>
  <c r="W24" i="67"/>
  <c r="X24" i="67" s="1"/>
  <c r="R28" i="67"/>
  <c r="S28" i="67" s="1"/>
  <c r="D28" i="157" s="1"/>
  <c r="N28" i="157" s="1"/>
  <c r="O28" i="157" s="1"/>
  <c r="R32" i="67"/>
  <c r="S32" i="67" s="1"/>
  <c r="D32" i="157" s="1"/>
  <c r="N32" i="157" s="1"/>
  <c r="O32" i="157" s="1"/>
  <c r="W42" i="67"/>
  <c r="X42" i="67" s="1"/>
  <c r="W48" i="67"/>
  <c r="X48" i="67" s="1"/>
  <c r="R59" i="67"/>
  <c r="S59" i="67" s="1"/>
  <c r="D59" i="157" s="1"/>
  <c r="N59" i="157" s="1"/>
  <c r="O59" i="157" s="1"/>
  <c r="R22" i="67"/>
  <c r="S22" i="67" s="1"/>
  <c r="D22" i="157" s="1"/>
  <c r="N22" i="157" s="1"/>
  <c r="R46" i="67"/>
  <c r="S46" i="67" s="1"/>
  <c r="D46" i="157" s="1"/>
  <c r="N46" i="157" s="1"/>
  <c r="O46" i="157" s="1"/>
  <c r="R51" i="67"/>
  <c r="S51" i="67" s="1"/>
  <c r="D51" i="157" s="1"/>
  <c r="N51" i="157" s="1"/>
  <c r="O51" i="157" s="1"/>
  <c r="E21" i="67"/>
  <c r="R31" i="67"/>
  <c r="S31" i="67" s="1"/>
  <c r="D31" i="157" s="1"/>
  <c r="N31" i="157" s="1"/>
  <c r="O31" i="157" s="1"/>
  <c r="R47" i="67"/>
  <c r="S47" i="67" s="1"/>
  <c r="D47" i="157" s="1"/>
  <c r="N47" i="157" s="1"/>
  <c r="O47" i="157" s="1"/>
  <c r="W19" i="67"/>
  <c r="X19" i="67" s="1"/>
  <c r="R50" i="67"/>
  <c r="W23" i="67"/>
  <c r="X23" i="67" s="1"/>
  <c r="E14" i="67"/>
  <c r="W21" i="67"/>
  <c r="X21" i="67" s="1"/>
  <c r="W31" i="67"/>
  <c r="X31" i="67" s="1"/>
  <c r="W30" i="67"/>
  <c r="X30" i="67" s="1"/>
  <c r="R26" i="67"/>
  <c r="W29" i="67"/>
  <c r="X29" i="67" s="1"/>
  <c r="R38" i="67"/>
  <c r="W49" i="67"/>
  <c r="X49" i="67" s="1"/>
  <c r="W26" i="67"/>
  <c r="W20" i="67"/>
  <c r="X20" i="67" s="1"/>
  <c r="R30" i="67"/>
  <c r="S30" i="67" s="1"/>
  <c r="D30" i="157" s="1"/>
  <c r="N30" i="157" s="1"/>
  <c r="O30" i="157" s="1"/>
  <c r="R41" i="67"/>
  <c r="S41" i="67" s="1"/>
  <c r="D41" i="157" s="1"/>
  <c r="N41" i="157" s="1"/>
  <c r="O41" i="157" s="1"/>
  <c r="R55" i="67"/>
  <c r="S55" i="67" s="1"/>
  <c r="D55" i="157" s="1"/>
  <c r="N55" i="157" s="1"/>
  <c r="O55" i="157" s="1"/>
  <c r="R43" i="67"/>
  <c r="S43" i="67" s="1"/>
  <c r="D43" i="157" s="1"/>
  <c r="N43" i="157" s="1"/>
  <c r="O43" i="157" s="1"/>
  <c r="E20" i="67"/>
  <c r="W44" i="67"/>
  <c r="X44" i="67" s="1"/>
  <c r="W22" i="67"/>
  <c r="X22" i="67" s="1"/>
  <c r="E24" i="67"/>
  <c r="R45" i="67"/>
  <c r="S45" i="67" s="1"/>
  <c r="D45" i="157" s="1"/>
  <c r="N45" i="157" s="1"/>
  <c r="O45" i="157" s="1"/>
  <c r="W35" i="67"/>
  <c r="X35" i="67" s="1"/>
  <c r="E15" i="67"/>
  <c r="R39" i="67"/>
  <c r="S39" i="67" s="1"/>
  <c r="D39" i="157" s="1"/>
  <c r="N39" i="157" s="1"/>
  <c r="O39" i="157" s="1"/>
  <c r="R36" i="67"/>
  <c r="S36" i="67" s="1"/>
  <c r="D36" i="157" s="1"/>
  <c r="N36" i="157" s="1"/>
  <c r="O36" i="157" s="1"/>
  <c r="R52" i="67"/>
  <c r="S52" i="67" s="1"/>
  <c r="D52" i="157" s="1"/>
  <c r="N52" i="157" s="1"/>
  <c r="O52" i="157" s="1"/>
  <c r="W38" i="67"/>
  <c r="W33" i="67"/>
  <c r="X33" i="67" s="1"/>
  <c r="R58" i="67"/>
  <c r="S58" i="67" s="1"/>
  <c r="D58" i="157" s="1"/>
  <c r="N58" i="157" s="1"/>
  <c r="O58" i="157" s="1"/>
  <c r="R29" i="67"/>
  <c r="S29" i="67" s="1"/>
  <c r="D29" i="157" s="1"/>
  <c r="N29" i="157" s="1"/>
  <c r="O29" i="157" s="1"/>
  <c r="R56" i="67"/>
  <c r="S56" i="67" s="1"/>
  <c r="D56" i="157" s="1"/>
  <c r="N56" i="157" s="1"/>
  <c r="O56" i="157" s="1"/>
  <c r="W18" i="67"/>
  <c r="X18" i="67" s="1"/>
  <c r="E16" i="67"/>
  <c r="W40" i="67"/>
  <c r="X40" i="67" s="1"/>
  <c r="W43" i="67"/>
  <c r="X43" i="67" s="1"/>
  <c r="R23" i="67"/>
  <c r="S23" i="67" s="1"/>
  <c r="D23" i="157" s="1"/>
  <c r="N23" i="157" s="1"/>
  <c r="R34" i="67"/>
  <c r="S34" i="67" s="1"/>
  <c r="D34" i="157" s="1"/>
  <c r="N34" i="157" s="1"/>
  <c r="O34" i="157" s="1"/>
  <c r="R60" i="67"/>
  <c r="S60" i="67" s="1"/>
  <c r="D60" i="157" s="1"/>
  <c r="N60" i="157" s="1"/>
  <c r="O60" i="157" s="1"/>
  <c r="R14" i="67"/>
  <c r="W25" i="67"/>
  <c r="X25" i="67" s="1"/>
  <c r="W37" i="67"/>
  <c r="X37" i="67" s="1"/>
  <c r="W39" i="67"/>
  <c r="X39" i="67" s="1"/>
  <c r="E25" i="67"/>
  <c r="R40" i="67"/>
  <c r="S40" i="67" s="1"/>
  <c r="D40" i="157" s="1"/>
  <c r="N40" i="157" s="1"/>
  <c r="O40" i="157" s="1"/>
  <c r="R27" i="67"/>
  <c r="S27" i="67" s="1"/>
  <c r="D27" i="157" s="1"/>
  <c r="N27" i="157" s="1"/>
  <c r="O27" i="157" s="1"/>
  <c r="W32" i="67"/>
  <c r="X32" i="67" s="1"/>
  <c r="W14" i="67"/>
  <c r="W17" i="67"/>
  <c r="X17" i="67" s="1"/>
  <c r="R17" i="67"/>
  <c r="S17" i="67" s="1"/>
  <c r="D17" i="157" s="1"/>
  <c r="N17" i="157" s="1"/>
  <c r="R21" i="67"/>
  <c r="S21" i="67" s="1"/>
  <c r="D21" i="157" s="1"/>
  <c r="N21" i="157" s="1"/>
  <c r="W46" i="67"/>
  <c r="X46" i="67" s="1"/>
  <c r="R16" i="67"/>
  <c r="S16" i="67" s="1"/>
  <c r="D16" i="157" s="1"/>
  <c r="N16" i="157" s="1"/>
  <c r="R19" i="67"/>
  <c r="S19" i="67" s="1"/>
  <c r="D19" i="157" s="1"/>
  <c r="N19" i="157" s="1"/>
  <c r="W47" i="67"/>
  <c r="X47" i="67" s="1"/>
  <c r="R15" i="67"/>
  <c r="S15" i="67" s="1"/>
  <c r="D15" i="157" s="1"/>
  <c r="N15" i="157" s="1"/>
  <c r="R18" i="67"/>
  <c r="S18" i="67" s="1"/>
  <c r="D18" i="157" s="1"/>
  <c r="N18" i="157" s="1"/>
  <c r="R37" i="67"/>
  <c r="S37" i="67" s="1"/>
  <c r="D37" i="157" s="1"/>
  <c r="N37" i="157" s="1"/>
  <c r="O37" i="157" s="1"/>
  <c r="R49" i="67"/>
  <c r="S49" i="67" s="1"/>
  <c r="D49" i="157" s="1"/>
  <c r="N49" i="157" s="1"/>
  <c r="O49" i="157" s="1"/>
  <c r="R25" i="67"/>
  <c r="S25" i="67" s="1"/>
  <c r="D25" i="157" s="1"/>
  <c r="N25" i="157" s="1"/>
  <c r="R57" i="67"/>
  <c r="S57" i="67" s="1"/>
  <c r="D57" i="157" s="1"/>
  <c r="N57" i="157" s="1"/>
  <c r="O57" i="157" s="1"/>
  <c r="R44" i="67"/>
  <c r="S44" i="67" s="1"/>
  <c r="D44" i="157" s="1"/>
  <c r="N44" i="157" s="1"/>
  <c r="O44" i="157" s="1"/>
  <c r="E23" i="67"/>
  <c r="T124" i="65"/>
  <c r="F136" i="65"/>
  <c r="T136" i="65" s="1"/>
  <c r="R133" i="65"/>
  <c r="D145" i="65"/>
  <c r="R145" i="65" s="1"/>
  <c r="R135" i="65"/>
  <c r="D147" i="65"/>
  <c r="R147" i="65" s="1"/>
  <c r="R130" i="65"/>
  <c r="D142" i="65"/>
  <c r="R142" i="65" s="1"/>
  <c r="S134" i="65"/>
  <c r="E146" i="65"/>
  <c r="S146" i="65" s="1"/>
  <c r="U129" i="65"/>
  <c r="G141" i="65"/>
  <c r="U141" i="65" s="1"/>
  <c r="T135" i="65"/>
  <c r="F147" i="65"/>
  <c r="T147" i="65" s="1"/>
  <c r="R128" i="65"/>
  <c r="D140" i="65"/>
  <c r="R140" i="65" s="1"/>
  <c r="S128" i="65"/>
  <c r="E140" i="65"/>
  <c r="S140" i="65" s="1"/>
  <c r="R127" i="65"/>
  <c r="D139" i="65"/>
  <c r="R139" i="65" s="1"/>
  <c r="U128" i="65"/>
  <c r="G140" i="65"/>
  <c r="U140" i="65" s="1"/>
  <c r="T131" i="65"/>
  <c r="F143" i="65"/>
  <c r="T143" i="65" s="1"/>
  <c r="T133" i="65"/>
  <c r="F145" i="65"/>
  <c r="T145" i="65" s="1"/>
  <c r="U131" i="65"/>
  <c r="G143" i="65"/>
  <c r="U143" i="65" s="1"/>
  <c r="T134" i="65"/>
  <c r="F146" i="65"/>
  <c r="T146" i="65" s="1"/>
  <c r="T128" i="65"/>
  <c r="F140" i="65"/>
  <c r="T140" i="65" s="1"/>
  <c r="U126" i="65"/>
  <c r="G138" i="65"/>
  <c r="U138" i="65" s="1"/>
  <c r="S132" i="65"/>
  <c r="E144" i="65"/>
  <c r="S144" i="65" s="1"/>
  <c r="U130" i="65"/>
  <c r="G142" i="65"/>
  <c r="U142" i="65" s="1"/>
  <c r="T127" i="65"/>
  <c r="F139" i="65"/>
  <c r="T139" i="65" s="1"/>
  <c r="U133" i="65"/>
  <c r="G145" i="65"/>
  <c r="U145" i="65" s="1"/>
  <c r="R125" i="65"/>
  <c r="D137" i="65"/>
  <c r="R137" i="65" s="1"/>
  <c r="T130" i="65"/>
  <c r="F142" i="65"/>
  <c r="T142" i="65" s="1"/>
  <c r="S133" i="65"/>
  <c r="E145" i="65"/>
  <c r="S145" i="65" s="1"/>
  <c r="S126" i="65"/>
  <c r="E138" i="65"/>
  <c r="S138" i="65" s="1"/>
  <c r="R132" i="65"/>
  <c r="D144" i="65"/>
  <c r="R144" i="65" s="1"/>
  <c r="R126" i="65"/>
  <c r="D138" i="65"/>
  <c r="R138" i="65" s="1"/>
  <c r="T126" i="65"/>
  <c r="F138" i="65"/>
  <c r="T138" i="65" s="1"/>
  <c r="T132" i="65"/>
  <c r="F144" i="65"/>
  <c r="T144" i="65" s="1"/>
  <c r="R134" i="65"/>
  <c r="D146" i="65"/>
  <c r="R146" i="65" s="1"/>
  <c r="R129" i="65"/>
  <c r="D141" i="65"/>
  <c r="R141" i="65" s="1"/>
  <c r="S135" i="65"/>
  <c r="E147" i="65"/>
  <c r="S147" i="65" s="1"/>
  <c r="U135" i="65"/>
  <c r="G147" i="65"/>
  <c r="U147" i="65" s="1"/>
  <c r="U124" i="65"/>
  <c r="G136" i="65"/>
  <c r="U136" i="65" s="1"/>
  <c r="U125" i="65"/>
  <c r="G137" i="65"/>
  <c r="U137" i="65" s="1"/>
  <c r="S131" i="65"/>
  <c r="E143" i="65"/>
  <c r="S143" i="65" s="1"/>
  <c r="R131" i="65"/>
  <c r="D143" i="65"/>
  <c r="R143" i="65" s="1"/>
  <c r="S124" i="65"/>
  <c r="E136" i="65"/>
  <c r="S136" i="65" s="1"/>
  <c r="U127" i="65"/>
  <c r="G139" i="65"/>
  <c r="U139" i="65" s="1"/>
  <c r="S130" i="65"/>
  <c r="E142" i="65"/>
  <c r="S142" i="65" s="1"/>
  <c r="S125" i="65"/>
  <c r="E137" i="65"/>
  <c r="S137" i="65" s="1"/>
  <c r="S129" i="65"/>
  <c r="E141" i="65"/>
  <c r="S141" i="65" s="1"/>
  <c r="T129" i="65"/>
  <c r="F141" i="65"/>
  <c r="T141" i="65" s="1"/>
  <c r="U132" i="65"/>
  <c r="G144" i="65"/>
  <c r="U144" i="65" s="1"/>
  <c r="T125" i="65"/>
  <c r="F137" i="65"/>
  <c r="T137" i="65" s="1"/>
  <c r="U134" i="65"/>
  <c r="G146" i="65"/>
  <c r="U146" i="65" s="1"/>
  <c r="N37" i="148"/>
  <c r="O37" i="148"/>
  <c r="M37" i="148"/>
  <c r="CH96" i="67"/>
  <c r="CH108" i="67" s="1"/>
  <c r="CH94" i="67"/>
  <c r="CH106" i="67" s="1"/>
  <c r="CH89" i="67"/>
  <c r="CH101" i="67" s="1"/>
  <c r="CH93" i="67"/>
  <c r="CH105" i="67" s="1"/>
  <c r="CH95" i="67"/>
  <c r="CH107" i="67" s="1"/>
  <c r="CH88" i="67"/>
  <c r="CH100" i="67" s="1"/>
  <c r="CH90" i="67"/>
  <c r="CH102" i="67" s="1"/>
  <c r="CH97" i="67"/>
  <c r="CH109" i="67" s="1"/>
  <c r="CH92" i="67"/>
  <c r="CH104" i="67" s="1"/>
  <c r="CH91" i="67"/>
  <c r="CH103" i="67" s="1"/>
  <c r="CH87" i="67"/>
  <c r="CH99" i="67" s="1"/>
  <c r="CH86" i="67"/>
  <c r="CH98" i="67" s="1"/>
  <c r="D25" i="23"/>
  <c r="D29" i="23"/>
  <c r="D28" i="23"/>
  <c r="H29" i="23"/>
  <c r="AF25" i="23"/>
  <c r="X27" i="23"/>
  <c r="L27" i="23"/>
  <c r="L26" i="23"/>
  <c r="AF29" i="23"/>
  <c r="L25" i="23"/>
  <c r="D27" i="23"/>
  <c r="AF27" i="23"/>
  <c r="AF26" i="23"/>
  <c r="L29" i="23"/>
  <c r="L28" i="23"/>
  <c r="X29" i="23"/>
  <c r="N40" i="148"/>
  <c r="I38" i="67" s="1"/>
  <c r="M39" i="148"/>
  <c r="U9" i="148"/>
  <c r="O40" i="148"/>
  <c r="M38" i="67" s="1"/>
  <c r="N39" i="148"/>
  <c r="I28" i="67" s="1"/>
  <c r="U10" i="148"/>
  <c r="M40" i="148"/>
  <c r="U7" i="148"/>
  <c r="N38" i="148"/>
  <c r="I19" i="67" s="1"/>
  <c r="O39" i="148"/>
  <c r="M37" i="67" s="1"/>
  <c r="U8" i="148"/>
  <c r="K38" i="148"/>
  <c r="O38" i="148"/>
  <c r="M18" i="67" s="1"/>
  <c r="H99" i="38" l="1"/>
  <c r="J99" i="75"/>
  <c r="H99" i="28"/>
  <c r="H106" i="38"/>
  <c r="J106" i="75"/>
  <c r="H106" i="28"/>
  <c r="H107" i="38"/>
  <c r="J107" i="75"/>
  <c r="H107" i="28"/>
  <c r="H102" i="38"/>
  <c r="H102" i="28"/>
  <c r="J102" i="75"/>
  <c r="H105" i="38"/>
  <c r="H105" i="28"/>
  <c r="J105" i="75"/>
  <c r="H109" i="38"/>
  <c r="J109" i="75"/>
  <c r="H109" i="28"/>
  <c r="H100" i="38"/>
  <c r="J100" i="75"/>
  <c r="H100" i="28"/>
  <c r="H108" i="38"/>
  <c r="H108" i="28"/>
  <c r="J108" i="75"/>
  <c r="H103" i="38"/>
  <c r="H103" i="28"/>
  <c r="J103" i="75"/>
  <c r="H104" i="38"/>
  <c r="H104" i="28"/>
  <c r="J104" i="75"/>
  <c r="H98" i="38"/>
  <c r="J98" i="75"/>
  <c r="H98" i="28"/>
  <c r="H101" i="38"/>
  <c r="J101" i="75"/>
  <c r="H101" i="28"/>
  <c r="L27" i="156"/>
  <c r="L26" i="156" s="1"/>
  <c r="L25" i="156" s="1"/>
  <c r="L24" i="156" s="1"/>
  <c r="L23" i="156" s="1"/>
  <c r="L22" i="156" s="1"/>
  <c r="L21" i="156" s="1"/>
  <c r="L20" i="156" s="1"/>
  <c r="L19" i="156" s="1"/>
  <c r="L18" i="156" s="1"/>
  <c r="S28" i="156"/>
  <c r="S26" i="156"/>
  <c r="S25" i="156" s="1"/>
  <c r="S24" i="156" s="1"/>
  <c r="S23" i="156" s="1"/>
  <c r="S22" i="156" s="1"/>
  <c r="S21" i="156" s="1"/>
  <c r="S20" i="156" s="1"/>
  <c r="S19" i="156" s="1"/>
  <c r="S18" i="156" s="1"/>
  <c r="K9" i="74"/>
  <c r="L9" i="25"/>
  <c r="J107" i="155"/>
  <c r="H107" i="153"/>
  <c r="R107" i="153" s="1"/>
  <c r="H107" i="154"/>
  <c r="R107" i="154" s="1"/>
  <c r="J107" i="150"/>
  <c r="S107" i="150" s="1"/>
  <c r="CJ107" i="67"/>
  <c r="J98" i="155"/>
  <c r="H98" i="154"/>
  <c r="R98" i="154" s="1"/>
  <c r="H98" i="153"/>
  <c r="R98" i="153" s="1"/>
  <c r="J98" i="150"/>
  <c r="S98" i="150" s="1"/>
  <c r="U98" i="150" s="1"/>
  <c r="CJ98" i="67"/>
  <c r="H108" i="154"/>
  <c r="R108" i="154" s="1"/>
  <c r="J108" i="155"/>
  <c r="H108" i="153"/>
  <c r="R108" i="153" s="1"/>
  <c r="J108" i="150"/>
  <c r="S108" i="150" s="1"/>
  <c r="CJ108" i="67"/>
  <c r="L101" i="76"/>
  <c r="L113" i="76" s="1"/>
  <c r="J101" i="34"/>
  <c r="R101" i="34" s="1"/>
  <c r="J101" i="30"/>
  <c r="R101" i="30" s="1"/>
  <c r="S101" i="30" s="1"/>
  <c r="L109" i="76"/>
  <c r="L121" i="76" s="1"/>
  <c r="J109" i="34"/>
  <c r="R109" i="34" s="1"/>
  <c r="J109" i="30"/>
  <c r="R109" i="30" s="1"/>
  <c r="H101" i="154"/>
  <c r="R101" i="154" s="1"/>
  <c r="H101" i="153"/>
  <c r="R101" i="153" s="1"/>
  <c r="J101" i="155"/>
  <c r="J101" i="150"/>
  <c r="S101" i="150" s="1"/>
  <c r="U101" i="150" s="1"/>
  <c r="CJ101" i="67"/>
  <c r="J105" i="150"/>
  <c r="S105" i="150" s="1"/>
  <c r="U105" i="150" s="1"/>
  <c r="H105" i="154"/>
  <c r="R105" i="154" s="1"/>
  <c r="J105" i="155"/>
  <c r="H105" i="153"/>
  <c r="R105" i="153" s="1"/>
  <c r="CJ105" i="67"/>
  <c r="L100" i="76"/>
  <c r="L112" i="76" s="1"/>
  <c r="J100" i="34"/>
  <c r="R100" i="34" s="1"/>
  <c r="J100" i="30"/>
  <c r="R100" i="30" s="1"/>
  <c r="S100" i="30" s="1"/>
  <c r="L104" i="76"/>
  <c r="L116" i="76" s="1"/>
  <c r="J104" i="30"/>
  <c r="R104" i="30" s="1"/>
  <c r="S104" i="30" s="1"/>
  <c r="J104" i="34"/>
  <c r="R104" i="34" s="1"/>
  <c r="J103" i="155"/>
  <c r="H103" i="153"/>
  <c r="R103" i="153" s="1"/>
  <c r="H103" i="154"/>
  <c r="R103" i="154" s="1"/>
  <c r="J103" i="150"/>
  <c r="S103" i="150" s="1"/>
  <c r="U103" i="150" s="1"/>
  <c r="CJ103" i="67"/>
  <c r="T12" i="156"/>
  <c r="H102" i="154"/>
  <c r="R102" i="154" s="1"/>
  <c r="J102" i="155"/>
  <c r="H102" i="153"/>
  <c r="R102" i="153" s="1"/>
  <c r="J102" i="150"/>
  <c r="S102" i="150" s="1"/>
  <c r="U102" i="150" s="1"/>
  <c r="CJ102" i="67"/>
  <c r="L102" i="76"/>
  <c r="L114" i="76" s="1"/>
  <c r="J102" i="34"/>
  <c r="R102" i="34" s="1"/>
  <c r="J102" i="30"/>
  <c r="R102" i="30" s="1"/>
  <c r="S102" i="30" s="1"/>
  <c r="L108" i="76"/>
  <c r="L120" i="76" s="1"/>
  <c r="J108" i="34"/>
  <c r="R108" i="34" s="1"/>
  <c r="J108" i="30"/>
  <c r="R108" i="30" s="1"/>
  <c r="AL28" i="156"/>
  <c r="M32" i="74" s="1"/>
  <c r="C42" i="74" s="1"/>
  <c r="E42" i="74" s="1"/>
  <c r="D67" i="74" s="1"/>
  <c r="L32" i="74"/>
  <c r="J104" i="155"/>
  <c r="H104" i="154"/>
  <c r="R104" i="154" s="1"/>
  <c r="J104" i="150"/>
  <c r="S104" i="150" s="1"/>
  <c r="U104" i="150" s="1"/>
  <c r="H104" i="153"/>
  <c r="R104" i="153" s="1"/>
  <c r="CJ104" i="67"/>
  <c r="H99" i="154"/>
  <c r="R99" i="154" s="1"/>
  <c r="J99" i="155"/>
  <c r="J99" i="150"/>
  <c r="S99" i="150" s="1"/>
  <c r="U99" i="150" s="1"/>
  <c r="H99" i="153"/>
  <c r="R99" i="153" s="1"/>
  <c r="CJ99" i="67"/>
  <c r="J100" i="155"/>
  <c r="H100" i="154"/>
  <c r="R100" i="154" s="1"/>
  <c r="J100" i="150"/>
  <c r="S100" i="150" s="1"/>
  <c r="U100" i="150" s="1"/>
  <c r="H100" i="153"/>
  <c r="R100" i="153" s="1"/>
  <c r="CJ100" i="67"/>
  <c r="L105" i="76"/>
  <c r="L117" i="76" s="1"/>
  <c r="J105" i="30"/>
  <c r="R105" i="30" s="1"/>
  <c r="S105" i="30" s="1"/>
  <c r="J105" i="34"/>
  <c r="R105" i="34" s="1"/>
  <c r="T13" i="156"/>
  <c r="J106" i="155"/>
  <c r="H106" i="153"/>
  <c r="R106" i="153" s="1"/>
  <c r="H106" i="154"/>
  <c r="R106" i="154" s="1"/>
  <c r="J106" i="150"/>
  <c r="S106" i="150" s="1"/>
  <c r="U106" i="150" s="1"/>
  <c r="CJ106" i="67"/>
  <c r="M28" i="156"/>
  <c r="L103" i="76"/>
  <c r="L115" i="76" s="1"/>
  <c r="J103" i="34"/>
  <c r="R103" i="34" s="1"/>
  <c r="J103" i="30"/>
  <c r="R103" i="30" s="1"/>
  <c r="S103" i="30" s="1"/>
  <c r="H109" i="153"/>
  <c r="R109" i="153" s="1"/>
  <c r="H109" i="154"/>
  <c r="R109" i="154" s="1"/>
  <c r="J109" i="155"/>
  <c r="J109" i="150"/>
  <c r="S109" i="150" s="1"/>
  <c r="CJ109" i="67"/>
  <c r="J107" i="34"/>
  <c r="R107" i="34" s="1"/>
  <c r="L107" i="76"/>
  <c r="L119" i="76" s="1"/>
  <c r="J107" i="30"/>
  <c r="R107" i="30" s="1"/>
  <c r="L106" i="76"/>
  <c r="J106" i="34"/>
  <c r="R106" i="34" s="1"/>
  <c r="J106" i="30"/>
  <c r="R106" i="30" s="1"/>
  <c r="S106" i="30" s="1"/>
  <c r="J92" i="150"/>
  <c r="S92" i="150" s="1"/>
  <c r="CJ92" i="67"/>
  <c r="M117" i="77"/>
  <c r="M110" i="77"/>
  <c r="J96" i="150"/>
  <c r="S96" i="150" s="1"/>
  <c r="CJ96" i="67"/>
  <c r="M120" i="77"/>
  <c r="J87" i="150"/>
  <c r="S87" i="150" s="1"/>
  <c r="CJ87" i="67"/>
  <c r="M116" i="77"/>
  <c r="M111" i="77"/>
  <c r="M113" i="77"/>
  <c r="J94" i="150"/>
  <c r="S94" i="150" s="1"/>
  <c r="CJ94" i="67"/>
  <c r="M115" i="77"/>
  <c r="L110" i="76"/>
  <c r="J90" i="150"/>
  <c r="S90" i="150" s="1"/>
  <c r="CJ90" i="67"/>
  <c r="L111" i="76"/>
  <c r="J97" i="150"/>
  <c r="S97" i="150" s="1"/>
  <c r="CJ97" i="67"/>
  <c r="M121" i="77"/>
  <c r="M114" i="77"/>
  <c r="J86" i="150"/>
  <c r="S86" i="150" s="1"/>
  <c r="CJ86" i="67"/>
  <c r="J88" i="150"/>
  <c r="S88" i="150" s="1"/>
  <c r="CJ88" i="67"/>
  <c r="J93" i="150"/>
  <c r="S93" i="150" s="1"/>
  <c r="CJ93" i="67"/>
  <c r="J95" i="150"/>
  <c r="S95" i="150" s="1"/>
  <c r="CJ95" i="67"/>
  <c r="M119" i="77"/>
  <c r="J91" i="150"/>
  <c r="S91" i="150" s="1"/>
  <c r="CJ91" i="67"/>
  <c r="L118" i="76"/>
  <c r="J89" i="150"/>
  <c r="S89" i="150" s="1"/>
  <c r="CJ89" i="67"/>
  <c r="M112" i="77"/>
  <c r="M118" i="77"/>
  <c r="O19" i="157"/>
  <c r="O24" i="157"/>
  <c r="O18" i="157"/>
  <c r="O25" i="157"/>
  <c r="O22" i="157"/>
  <c r="O20" i="157"/>
  <c r="O15" i="157"/>
  <c r="O16" i="157"/>
  <c r="O23" i="157"/>
  <c r="O21" i="157"/>
  <c r="O17" i="157"/>
  <c r="M19" i="156"/>
  <c r="M18" i="156"/>
  <c r="M21" i="156"/>
  <c r="J97" i="155"/>
  <c r="H97" i="154"/>
  <c r="H97" i="153"/>
  <c r="R97" i="153" s="1"/>
  <c r="M27" i="156"/>
  <c r="AK52" i="17"/>
  <c r="H92" i="154"/>
  <c r="J92" i="155"/>
  <c r="H92" i="153"/>
  <c r="R92" i="153" s="1"/>
  <c r="H86" i="154"/>
  <c r="J86" i="155"/>
  <c r="H86" i="153"/>
  <c r="R86" i="153" s="1"/>
  <c r="T92" i="38"/>
  <c r="T97" i="38"/>
  <c r="T87" i="38"/>
  <c r="T28" i="156"/>
  <c r="L121" i="75"/>
  <c r="T90" i="38"/>
  <c r="L111" i="75"/>
  <c r="T18" i="156"/>
  <c r="T86" i="38"/>
  <c r="T93" i="38"/>
  <c r="L116" i="75"/>
  <c r="T89" i="38"/>
  <c r="T91" i="38"/>
  <c r="T23" i="156"/>
  <c r="H94" i="154"/>
  <c r="J94" i="155"/>
  <c r="H94" i="153"/>
  <c r="R94" i="153" s="1"/>
  <c r="L110" i="75"/>
  <c r="M10" i="156"/>
  <c r="L114" i="75"/>
  <c r="T25" i="156"/>
  <c r="H91" i="154"/>
  <c r="H91" i="153"/>
  <c r="R91" i="153" s="1"/>
  <c r="J91" i="155"/>
  <c r="L117" i="75"/>
  <c r="L113" i="75"/>
  <c r="L115" i="75"/>
  <c r="T20" i="156"/>
  <c r="J90" i="155"/>
  <c r="H90" i="153"/>
  <c r="R90" i="153" s="1"/>
  <c r="H90" i="154"/>
  <c r="M9" i="156"/>
  <c r="T22" i="156"/>
  <c r="T95" i="38"/>
  <c r="T96" i="38"/>
  <c r="T27" i="156"/>
  <c r="J89" i="155"/>
  <c r="H89" i="154"/>
  <c r="H89" i="153"/>
  <c r="R89" i="153" s="1"/>
  <c r="L119" i="75"/>
  <c r="L120" i="75"/>
  <c r="T26" i="156"/>
  <c r="Y2" i="153"/>
  <c r="M25" i="156"/>
  <c r="S15" i="23"/>
  <c r="L51" i="25"/>
  <c r="L43" i="158" s="1"/>
  <c r="L51" i="74"/>
  <c r="J87" i="155"/>
  <c r="H87" i="154"/>
  <c r="H87" i="153"/>
  <c r="R87" i="153" s="1"/>
  <c r="M20" i="156"/>
  <c r="T24" i="156"/>
  <c r="M22" i="156"/>
  <c r="J93" i="155"/>
  <c r="H93" i="154"/>
  <c r="H93" i="153"/>
  <c r="R93" i="153" s="1"/>
  <c r="T21" i="156"/>
  <c r="T94" i="38"/>
  <c r="T19" i="156"/>
  <c r="J88" i="155"/>
  <c r="H88" i="154"/>
  <c r="H88" i="153"/>
  <c r="R88" i="153" s="1"/>
  <c r="AV49" i="17"/>
  <c r="AZ49" i="17" s="1"/>
  <c r="T88" i="38"/>
  <c r="M24" i="156"/>
  <c r="K53" i="25"/>
  <c r="K45" i="158" s="1"/>
  <c r="K53" i="74"/>
  <c r="L118" i="75"/>
  <c r="L112" i="75"/>
  <c r="M26" i="156"/>
  <c r="H95" i="153"/>
  <c r="R95" i="153" s="1"/>
  <c r="J95" i="155"/>
  <c r="H95" i="154"/>
  <c r="O15" i="23"/>
  <c r="L50" i="25"/>
  <c r="L42" i="158" s="1"/>
  <c r="L50" i="74"/>
  <c r="H96" i="154"/>
  <c r="H96" i="153"/>
  <c r="R96" i="153" s="1"/>
  <c r="J96" i="155"/>
  <c r="M23" i="156"/>
  <c r="M8" i="156"/>
  <c r="AV50" i="17"/>
  <c r="AW50" i="17" s="1"/>
  <c r="AV51" i="17"/>
  <c r="AZ51" i="17" s="1"/>
  <c r="D61" i="151"/>
  <c r="D61" i="32"/>
  <c r="D61" i="152"/>
  <c r="D17" i="155"/>
  <c r="D17" i="154"/>
  <c r="D17" i="153"/>
  <c r="D18" i="155"/>
  <c r="D18" i="154"/>
  <c r="D18" i="153"/>
  <c r="D43" i="32"/>
  <c r="D43" i="152"/>
  <c r="D43" i="151"/>
  <c r="D19" i="155"/>
  <c r="D19" i="154"/>
  <c r="D19" i="153"/>
  <c r="D24" i="152"/>
  <c r="D24" i="151"/>
  <c r="D24" i="32"/>
  <c r="D33" i="152"/>
  <c r="D33" i="151"/>
  <c r="D33" i="32"/>
  <c r="D56" i="152"/>
  <c r="D56" i="151"/>
  <c r="D56" i="32"/>
  <c r="D55" i="152"/>
  <c r="D55" i="151"/>
  <c r="D55" i="32"/>
  <c r="D47" i="152"/>
  <c r="D47" i="151"/>
  <c r="D47" i="32"/>
  <c r="D34" i="155"/>
  <c r="D34" i="154"/>
  <c r="D34" i="153"/>
  <c r="D41" i="154"/>
  <c r="D41" i="153"/>
  <c r="D41" i="155"/>
  <c r="D32" i="155"/>
  <c r="D32" i="154"/>
  <c r="D32" i="153"/>
  <c r="D29" i="151"/>
  <c r="D29" i="32"/>
  <c r="D29" i="152"/>
  <c r="D41" i="32"/>
  <c r="D41" i="152"/>
  <c r="D41" i="151"/>
  <c r="D31" i="152"/>
  <c r="D31" i="151"/>
  <c r="D31" i="32"/>
  <c r="D27" i="32"/>
  <c r="D27" i="152"/>
  <c r="D27" i="151"/>
  <c r="D58" i="32"/>
  <c r="D58" i="152"/>
  <c r="D58" i="151"/>
  <c r="D30" i="152"/>
  <c r="D30" i="151"/>
  <c r="D30" i="32"/>
  <c r="D27" i="154"/>
  <c r="D27" i="153"/>
  <c r="D27" i="155"/>
  <c r="D48" i="152"/>
  <c r="D48" i="151"/>
  <c r="D48" i="32"/>
  <c r="D44" i="32"/>
  <c r="D44" i="152"/>
  <c r="D44" i="151"/>
  <c r="D57" i="32"/>
  <c r="D57" i="152"/>
  <c r="D57" i="151"/>
  <c r="D40" i="152"/>
  <c r="D40" i="151"/>
  <c r="D40" i="32"/>
  <c r="D33" i="155"/>
  <c r="D33" i="154"/>
  <c r="D33" i="153"/>
  <c r="D20" i="155"/>
  <c r="D20" i="154"/>
  <c r="D20" i="153"/>
  <c r="D51" i="152"/>
  <c r="D51" i="151"/>
  <c r="D51" i="32"/>
  <c r="D46" i="152"/>
  <c r="D46" i="151"/>
  <c r="D46" i="32"/>
  <c r="D28" i="154"/>
  <c r="D28" i="153"/>
  <c r="D28" i="155"/>
  <c r="D49" i="152"/>
  <c r="D49" i="151"/>
  <c r="D49" i="32"/>
  <c r="D39" i="155"/>
  <c r="D39" i="154"/>
  <c r="D39" i="153"/>
  <c r="D52" i="152"/>
  <c r="D52" i="151"/>
  <c r="D52" i="32"/>
  <c r="D49" i="155"/>
  <c r="D49" i="154"/>
  <c r="D49" i="153"/>
  <c r="D22" i="152"/>
  <c r="D22" i="151"/>
  <c r="D22" i="32"/>
  <c r="D20" i="152"/>
  <c r="D20" i="151"/>
  <c r="D20" i="32"/>
  <c r="AK51" i="17"/>
  <c r="AL51" i="17" s="1"/>
  <c r="D59" i="32"/>
  <c r="D59" i="152"/>
  <c r="D59" i="151"/>
  <c r="D53" i="152"/>
  <c r="D53" i="151"/>
  <c r="D53" i="32"/>
  <c r="D18" i="152"/>
  <c r="D18" i="151"/>
  <c r="D18" i="32"/>
  <c r="D25" i="154"/>
  <c r="D25" i="153"/>
  <c r="D25" i="155"/>
  <c r="D39" i="152"/>
  <c r="D39" i="151"/>
  <c r="D39" i="32"/>
  <c r="D29" i="154"/>
  <c r="D29" i="153"/>
  <c r="D29" i="155"/>
  <c r="D48" i="155"/>
  <c r="D48" i="154"/>
  <c r="D48" i="153"/>
  <c r="D42" i="32"/>
  <c r="D42" i="152"/>
  <c r="D42" i="151"/>
  <c r="AK50" i="17"/>
  <c r="D42" i="154"/>
  <c r="D42" i="153"/>
  <c r="D42" i="155"/>
  <c r="D36" i="155"/>
  <c r="D36" i="154"/>
  <c r="D36" i="153"/>
  <c r="D17" i="152"/>
  <c r="D17" i="151"/>
  <c r="D17" i="32"/>
  <c r="D47" i="155"/>
  <c r="D47" i="154"/>
  <c r="D47" i="153"/>
  <c r="D60" i="32"/>
  <c r="D60" i="152"/>
  <c r="D60" i="151"/>
  <c r="D35" i="155"/>
  <c r="D35" i="154"/>
  <c r="D35" i="153"/>
  <c r="D30" i="155"/>
  <c r="D30" i="154"/>
  <c r="D30" i="153"/>
  <c r="D32" i="152"/>
  <c r="D32" i="151"/>
  <c r="D32" i="32"/>
  <c r="D15" i="155"/>
  <c r="D15" i="154"/>
  <c r="D15" i="153"/>
  <c r="D37" i="152"/>
  <c r="D37" i="151"/>
  <c r="D37" i="32"/>
  <c r="D15" i="152"/>
  <c r="D15" i="151"/>
  <c r="D15" i="32"/>
  <c r="D34" i="152"/>
  <c r="D34" i="151"/>
  <c r="D34" i="32"/>
  <c r="D45" i="151"/>
  <c r="D45" i="32"/>
  <c r="D45" i="152"/>
  <c r="D31" i="155"/>
  <c r="D31" i="154"/>
  <c r="D31" i="153"/>
  <c r="D28" i="32"/>
  <c r="D28" i="152"/>
  <c r="D28" i="151"/>
  <c r="D54" i="152"/>
  <c r="D54" i="151"/>
  <c r="D54" i="32"/>
  <c r="D25" i="32"/>
  <c r="D25" i="152"/>
  <c r="D25" i="151"/>
  <c r="D36" i="152"/>
  <c r="D36" i="151"/>
  <c r="D36" i="32"/>
  <c r="D16" i="152"/>
  <c r="D16" i="151"/>
  <c r="D16" i="32"/>
  <c r="D21" i="155"/>
  <c r="D21" i="154"/>
  <c r="D21" i="153"/>
  <c r="D24" i="153"/>
  <c r="D24" i="155"/>
  <c r="D24" i="154"/>
  <c r="D45" i="154"/>
  <c r="D45" i="153"/>
  <c r="D45" i="155"/>
  <c r="D37" i="155"/>
  <c r="D37" i="154"/>
  <c r="D37" i="153"/>
  <c r="D19" i="152"/>
  <c r="D19" i="151"/>
  <c r="D19" i="32"/>
  <c r="D23" i="152"/>
  <c r="D23" i="151"/>
  <c r="D23" i="32"/>
  <c r="D46" i="155"/>
  <c r="D46" i="154"/>
  <c r="D46" i="153"/>
  <c r="D43" i="154"/>
  <c r="D43" i="153"/>
  <c r="D43" i="155"/>
  <c r="D22" i="155"/>
  <c r="D22" i="154"/>
  <c r="D22" i="153"/>
  <c r="D16" i="155"/>
  <c r="D16" i="154"/>
  <c r="D16" i="153"/>
  <c r="AK49" i="17"/>
  <c r="D21" i="152"/>
  <c r="D21" i="151"/>
  <c r="D21" i="32"/>
  <c r="D40" i="153"/>
  <c r="D40" i="155"/>
  <c r="D40" i="154"/>
  <c r="D44" i="154"/>
  <c r="D44" i="153"/>
  <c r="D44" i="155"/>
  <c r="D23" i="155"/>
  <c r="D23" i="154"/>
  <c r="D23" i="153"/>
  <c r="D35" i="152"/>
  <c r="D35" i="151"/>
  <c r="D35" i="32"/>
  <c r="S38" i="67"/>
  <c r="D38" i="157" s="1"/>
  <c r="N38" i="157" s="1"/>
  <c r="AK9" i="17"/>
  <c r="S26" i="67"/>
  <c r="D26" i="157" s="1"/>
  <c r="N26" i="157" s="1"/>
  <c r="AK8" i="17"/>
  <c r="S14" i="67"/>
  <c r="D14" i="157" s="1"/>
  <c r="N14" i="157" s="1"/>
  <c r="AK7" i="17"/>
  <c r="S50" i="67"/>
  <c r="D50" i="157" s="1"/>
  <c r="N50" i="157" s="1"/>
  <c r="AK10" i="17"/>
  <c r="X14" i="67"/>
  <c r="AV7" i="17"/>
  <c r="X38" i="67"/>
  <c r="AV9" i="17"/>
  <c r="X26" i="67"/>
  <c r="AV8" i="17"/>
  <c r="I49" i="67"/>
  <c r="J49" i="67" s="1"/>
  <c r="EE49" i="67" s="1"/>
  <c r="EF49" i="67" s="1"/>
  <c r="I48" i="67"/>
  <c r="J48" i="67" s="1"/>
  <c r="EE48" i="67" s="1"/>
  <c r="EF48" i="67" s="1"/>
  <c r="I41" i="67"/>
  <c r="J41" i="67" s="1"/>
  <c r="I47" i="67"/>
  <c r="J47" i="67" s="1"/>
  <c r="I46" i="67"/>
  <c r="J46" i="67" s="1"/>
  <c r="EG46" i="67" s="1"/>
  <c r="I45" i="67"/>
  <c r="J45" i="67" s="1"/>
  <c r="EE45" i="67" s="1"/>
  <c r="EF45" i="67" s="1"/>
  <c r="I42" i="67"/>
  <c r="J42" i="67" s="1"/>
  <c r="EE42" i="67" s="1"/>
  <c r="EF42" i="67" s="1"/>
  <c r="I40" i="67"/>
  <c r="I39" i="67"/>
  <c r="J39" i="67" s="1"/>
  <c r="M28" i="67"/>
  <c r="N28" i="67" s="1"/>
  <c r="D28" i="150" s="1"/>
  <c r="M27" i="67"/>
  <c r="N27" i="67" s="1"/>
  <c r="D27" i="150" s="1"/>
  <c r="I37" i="67"/>
  <c r="J37" i="67" s="1"/>
  <c r="I36" i="67"/>
  <c r="J36" i="67" s="1"/>
  <c r="I17" i="67"/>
  <c r="J17" i="67" s="1"/>
  <c r="I16" i="67"/>
  <c r="J16" i="67" s="1"/>
  <c r="E3" i="67"/>
  <c r="F3" i="67" s="1"/>
  <c r="E4" i="67"/>
  <c r="F4" i="67" s="1"/>
  <c r="E5" i="67"/>
  <c r="F5" i="67" s="1"/>
  <c r="E6" i="67"/>
  <c r="F6" i="67" s="1"/>
  <c r="E7" i="67"/>
  <c r="F7" i="67" s="1"/>
  <c r="E8" i="67"/>
  <c r="F8" i="67" s="1"/>
  <c r="E9" i="67"/>
  <c r="F9" i="67" s="1"/>
  <c r="EB9" i="67" s="1"/>
  <c r="EC9" i="67" s="1"/>
  <c r="E10" i="67"/>
  <c r="F10" i="67" s="1"/>
  <c r="D10" i="28" s="1"/>
  <c r="E11" i="67"/>
  <c r="F11" i="67" s="1"/>
  <c r="E12" i="67"/>
  <c r="F12" i="67" s="1"/>
  <c r="E13" i="67"/>
  <c r="F13" i="67" s="1"/>
  <c r="E2" i="67"/>
  <c r="M29" i="67"/>
  <c r="N29" i="67" s="1"/>
  <c r="D29" i="150" s="1"/>
  <c r="I26" i="67"/>
  <c r="J26" i="67" s="1"/>
  <c r="I18" i="67"/>
  <c r="J18" i="67" s="1"/>
  <c r="I3" i="67"/>
  <c r="J3" i="67" s="1"/>
  <c r="I4" i="67"/>
  <c r="J4" i="67" s="1"/>
  <c r="I5" i="67"/>
  <c r="J5" i="67" s="1"/>
  <c r="I6" i="67"/>
  <c r="J6" i="67" s="1"/>
  <c r="EE6" i="67" s="1"/>
  <c r="EF6" i="67" s="1"/>
  <c r="I7" i="67"/>
  <c r="J7" i="67" s="1"/>
  <c r="I10" i="67"/>
  <c r="J10" i="67" s="1"/>
  <c r="I11" i="67"/>
  <c r="J11" i="67" s="1"/>
  <c r="I8" i="67"/>
  <c r="J8" i="67" s="1"/>
  <c r="I9" i="67"/>
  <c r="J9" i="67" s="1"/>
  <c r="I12" i="67"/>
  <c r="J12" i="67" s="1"/>
  <c r="I13" i="67"/>
  <c r="J13" i="67" s="1"/>
  <c r="I2" i="67"/>
  <c r="M26" i="67"/>
  <c r="N26" i="67" s="1"/>
  <c r="I35" i="67"/>
  <c r="J35" i="67" s="1"/>
  <c r="I15" i="67"/>
  <c r="J15" i="67" s="1"/>
  <c r="M17" i="67"/>
  <c r="N17" i="67" s="1"/>
  <c r="D17" i="150" s="1"/>
  <c r="I14" i="67"/>
  <c r="J14" i="67" s="1"/>
  <c r="M49" i="67"/>
  <c r="N49" i="67" s="1"/>
  <c r="D49" i="150" s="1"/>
  <c r="I44" i="67"/>
  <c r="J44" i="67" s="1"/>
  <c r="EG44" i="67" s="1"/>
  <c r="M36" i="67"/>
  <c r="M16" i="67"/>
  <c r="N16" i="67" s="1"/>
  <c r="D16" i="150" s="1"/>
  <c r="I25" i="67"/>
  <c r="J25" i="67" s="1"/>
  <c r="M48" i="67"/>
  <c r="N48" i="67" s="1"/>
  <c r="D48" i="150" s="1"/>
  <c r="I43" i="67"/>
  <c r="J43" i="67" s="1"/>
  <c r="M35" i="67"/>
  <c r="N35" i="67" s="1"/>
  <c r="D35" i="150" s="1"/>
  <c r="M15" i="67"/>
  <c r="N15" i="67" s="1"/>
  <c r="D15" i="150" s="1"/>
  <c r="I24" i="67"/>
  <c r="J24" i="67" s="1"/>
  <c r="M47" i="67"/>
  <c r="N47" i="67" s="1"/>
  <c r="D47" i="150" s="1"/>
  <c r="M34" i="67"/>
  <c r="N34" i="67" s="1"/>
  <c r="D34" i="150" s="1"/>
  <c r="M14" i="67"/>
  <c r="N14" i="67" s="1"/>
  <c r="D14" i="150" s="1"/>
  <c r="I23" i="67"/>
  <c r="J23" i="67" s="1"/>
  <c r="M46" i="67"/>
  <c r="N46" i="67" s="1"/>
  <c r="D46" i="150" s="1"/>
  <c r="I34" i="67"/>
  <c r="J34" i="67" s="1"/>
  <c r="M24" i="67"/>
  <c r="N24" i="67" s="1"/>
  <c r="D24" i="150" s="1"/>
  <c r="I22" i="67"/>
  <c r="J22" i="67" s="1"/>
  <c r="M45" i="67"/>
  <c r="I33" i="67"/>
  <c r="J33" i="67" s="1"/>
  <c r="M25" i="67"/>
  <c r="N25" i="67" s="1"/>
  <c r="D25" i="150" s="1"/>
  <c r="I21" i="67"/>
  <c r="J21" i="67" s="1"/>
  <c r="M44" i="67"/>
  <c r="N44" i="67" s="1"/>
  <c r="D44" i="150" s="1"/>
  <c r="I32" i="67"/>
  <c r="J32" i="67" s="1"/>
  <c r="M23" i="67"/>
  <c r="N23" i="67" s="1"/>
  <c r="D23" i="150" s="1"/>
  <c r="I20" i="67"/>
  <c r="J20" i="67" s="1"/>
  <c r="M43" i="67"/>
  <c r="N43" i="67" s="1"/>
  <c r="D43" i="150" s="1"/>
  <c r="I31" i="67"/>
  <c r="J31" i="67" s="1"/>
  <c r="M22" i="67"/>
  <c r="N22" i="67" s="1"/>
  <c r="D22" i="150" s="1"/>
  <c r="M40" i="67"/>
  <c r="N40" i="67" s="1"/>
  <c r="D40" i="150" s="1"/>
  <c r="M2" i="67"/>
  <c r="M3" i="67"/>
  <c r="N3" i="67" s="1"/>
  <c r="D3" i="150" s="1"/>
  <c r="M4" i="67"/>
  <c r="N4" i="67" s="1"/>
  <c r="D4" i="150" s="1"/>
  <c r="M5" i="67"/>
  <c r="N5" i="67" s="1"/>
  <c r="D5" i="150" s="1"/>
  <c r="M6" i="67"/>
  <c r="N6" i="67" s="1"/>
  <c r="D6" i="150" s="1"/>
  <c r="M9" i="67"/>
  <c r="N9" i="67" s="1"/>
  <c r="D9" i="150" s="1"/>
  <c r="M7" i="67"/>
  <c r="N7" i="67" s="1"/>
  <c r="D7" i="150" s="1"/>
  <c r="M8" i="67"/>
  <c r="N8" i="67" s="1"/>
  <c r="D8" i="150" s="1"/>
  <c r="M10" i="67"/>
  <c r="N10" i="67" s="1"/>
  <c r="D10" i="150" s="1"/>
  <c r="M11" i="67"/>
  <c r="N11" i="67" s="1"/>
  <c r="D11" i="150" s="1"/>
  <c r="M12" i="67"/>
  <c r="N12" i="67" s="1"/>
  <c r="D12" i="150" s="1"/>
  <c r="M13" i="67"/>
  <c r="N13" i="67" s="1"/>
  <c r="D13" i="150" s="1"/>
  <c r="M33" i="67"/>
  <c r="N33" i="67" s="1"/>
  <c r="I30" i="67"/>
  <c r="J30" i="67" s="1"/>
  <c r="M21" i="67"/>
  <c r="N21" i="67" s="1"/>
  <c r="D21" i="150" s="1"/>
  <c r="M39" i="67"/>
  <c r="N39" i="67" s="1"/>
  <c r="D39" i="150" s="1"/>
  <c r="E38" i="67"/>
  <c r="F38" i="67" s="1"/>
  <c r="E39" i="67"/>
  <c r="F39" i="67" s="1"/>
  <c r="E40" i="67"/>
  <c r="F40" i="67" s="1"/>
  <c r="E42" i="67"/>
  <c r="F42" i="67" s="1"/>
  <c r="E41" i="67"/>
  <c r="F41" i="67" s="1"/>
  <c r="E43" i="67"/>
  <c r="F43" i="67" s="1"/>
  <c r="E44" i="67"/>
  <c r="E45" i="67"/>
  <c r="F45" i="67" s="1"/>
  <c r="E46" i="67"/>
  <c r="F46" i="67" s="1"/>
  <c r="E47" i="67"/>
  <c r="F47" i="67" s="1"/>
  <c r="E48" i="67"/>
  <c r="F48" i="67" s="1"/>
  <c r="E49" i="67"/>
  <c r="F49" i="67" s="1"/>
  <c r="DO241" i="4" s="1"/>
  <c r="M32" i="67"/>
  <c r="N32" i="67" s="1"/>
  <c r="D32" i="150" s="1"/>
  <c r="I29" i="67"/>
  <c r="J29" i="67" s="1"/>
  <c r="M20" i="67"/>
  <c r="N20" i="67" s="1"/>
  <c r="D20" i="150" s="1"/>
  <c r="M42" i="67"/>
  <c r="N42" i="67" s="1"/>
  <c r="E32" i="67"/>
  <c r="F32" i="67" s="1"/>
  <c r="E33" i="67"/>
  <c r="F33" i="67" s="1"/>
  <c r="E34" i="67"/>
  <c r="F34" i="67" s="1"/>
  <c r="E35" i="67"/>
  <c r="E36" i="67"/>
  <c r="F36" i="67" s="1"/>
  <c r="E37" i="67"/>
  <c r="F37" i="67" s="1"/>
  <c r="E26" i="67"/>
  <c r="F26" i="67" s="1"/>
  <c r="E31" i="67"/>
  <c r="F31" i="67" s="1"/>
  <c r="E27" i="67"/>
  <c r="F27" i="67" s="1"/>
  <c r="E28" i="67"/>
  <c r="F28" i="67" s="1"/>
  <c r="E29" i="67"/>
  <c r="F29" i="67" s="1"/>
  <c r="E30" i="67"/>
  <c r="F30" i="67" s="1"/>
  <c r="M31" i="67"/>
  <c r="N31" i="67" s="1"/>
  <c r="D31" i="150" s="1"/>
  <c r="M19" i="67"/>
  <c r="N19" i="67" s="1"/>
  <c r="D19" i="150" s="1"/>
  <c r="M41" i="67"/>
  <c r="N41" i="67" s="1"/>
  <c r="M30" i="67"/>
  <c r="N30" i="67" s="1"/>
  <c r="D30" i="150" s="1"/>
  <c r="I27" i="67"/>
  <c r="J27" i="67" s="1"/>
  <c r="O67" i="72"/>
  <c r="R67" i="72"/>
  <c r="S67" i="72"/>
  <c r="Q67" i="72"/>
  <c r="P67" i="72"/>
  <c r="V47" i="72" s="1"/>
  <c r="F24" i="67"/>
  <c r="ED24" i="67" s="1"/>
  <c r="N37" i="67"/>
  <c r="D37" i="150" s="1"/>
  <c r="N18" i="67"/>
  <c r="D18" i="150" s="1"/>
  <c r="F16" i="67"/>
  <c r="EB16" i="67" s="1"/>
  <c r="EC16" i="67" s="1"/>
  <c r="F23" i="67"/>
  <c r="EB23" i="67" s="1"/>
  <c r="EC23" i="67" s="1"/>
  <c r="F19" i="67"/>
  <c r="F22" i="67"/>
  <c r="ED22" i="67" s="1"/>
  <c r="F14" i="67"/>
  <c r="F18" i="67"/>
  <c r="F15" i="67"/>
  <c r="N38" i="67"/>
  <c r="D38" i="150" s="1"/>
  <c r="J38" i="67"/>
  <c r="F25" i="67"/>
  <c r="DO217" i="4" s="1"/>
  <c r="J19" i="67"/>
  <c r="F21" i="67"/>
  <c r="EB21" i="67" s="1"/>
  <c r="EC21" i="67" s="1"/>
  <c r="F17" i="67"/>
  <c r="EB17" i="67" s="1"/>
  <c r="EC17" i="67" s="1"/>
  <c r="F20" i="67"/>
  <c r="ED20" i="67" s="1"/>
  <c r="H27" i="23"/>
  <c r="H28" i="23"/>
  <c r="H26" i="23"/>
  <c r="H25" i="23"/>
  <c r="K39" i="148"/>
  <c r="L28" i="156" l="1"/>
  <c r="R108" i="38"/>
  <c r="R108" i="28"/>
  <c r="W108" i="28" s="1"/>
  <c r="R103" i="38"/>
  <c r="R103" i="28"/>
  <c r="W103" i="28" s="1"/>
  <c r="R101" i="38"/>
  <c r="R101" i="28"/>
  <c r="W101" i="28" s="1"/>
  <c r="R100" i="38"/>
  <c r="R100" i="28"/>
  <c r="W100" i="28" s="1"/>
  <c r="R98" i="28"/>
  <c r="W98" i="28" s="1"/>
  <c r="R98" i="38"/>
  <c r="R106" i="28"/>
  <c r="W106" i="28" s="1"/>
  <c r="R106" i="38"/>
  <c r="R99" i="38"/>
  <c r="R99" i="28"/>
  <c r="W99" i="28" s="1"/>
  <c r="R107" i="38"/>
  <c r="R107" i="28"/>
  <c r="W107" i="28" s="1"/>
  <c r="R102" i="38"/>
  <c r="R102" i="28"/>
  <c r="W102" i="28" s="1"/>
  <c r="R104" i="38"/>
  <c r="R104" i="28"/>
  <c r="W104" i="28" s="1"/>
  <c r="R105" i="38"/>
  <c r="R105" i="28"/>
  <c r="W105" i="28" s="1"/>
  <c r="R109" i="38"/>
  <c r="R109" i="28"/>
  <c r="W109" i="28" s="1"/>
  <c r="M130" i="77"/>
  <c r="T118" i="76"/>
  <c r="L130" i="76"/>
  <c r="T130" i="76" s="1"/>
  <c r="L133" i="76"/>
  <c r="T133" i="76" s="1"/>
  <c r="T121" i="76"/>
  <c r="L122" i="76"/>
  <c r="T122" i="76" s="1"/>
  <c r="T110" i="76"/>
  <c r="J120" i="75"/>
  <c r="H120" i="38"/>
  <c r="H132" i="38" s="1"/>
  <c r="L123" i="76"/>
  <c r="T123" i="76" s="1"/>
  <c r="T111" i="76"/>
  <c r="M132" i="77"/>
  <c r="K112" i="36"/>
  <c r="L125" i="76"/>
  <c r="T125" i="76" s="1"/>
  <c r="T113" i="76"/>
  <c r="M127" i="77"/>
  <c r="L131" i="76"/>
  <c r="T131" i="76" s="1"/>
  <c r="T119" i="76"/>
  <c r="K111" i="36"/>
  <c r="K110" i="36"/>
  <c r="J117" i="75"/>
  <c r="K119" i="36"/>
  <c r="H121" i="38"/>
  <c r="H133" i="38" s="1"/>
  <c r="K115" i="36"/>
  <c r="M128" i="77"/>
  <c r="K117" i="36"/>
  <c r="J115" i="75"/>
  <c r="H115" i="38"/>
  <c r="H127" i="38" s="1"/>
  <c r="H112" i="38"/>
  <c r="H124" i="38" s="1"/>
  <c r="H118" i="38"/>
  <c r="H130" i="38" s="1"/>
  <c r="M122" i="77"/>
  <c r="L128" i="76"/>
  <c r="T128" i="76" s="1"/>
  <c r="T116" i="76"/>
  <c r="T117" i="76"/>
  <c r="L129" i="76"/>
  <c r="T129" i="76" s="1"/>
  <c r="K120" i="36"/>
  <c r="M124" i="77"/>
  <c r="T115" i="76"/>
  <c r="L127" i="76"/>
  <c r="T127" i="76" s="1"/>
  <c r="J113" i="75"/>
  <c r="H110" i="38"/>
  <c r="H122" i="38" s="1"/>
  <c r="J110" i="75"/>
  <c r="K121" i="36"/>
  <c r="H114" i="38"/>
  <c r="H126" i="38" s="1"/>
  <c r="M125" i="77"/>
  <c r="L124" i="76"/>
  <c r="T124" i="76" s="1"/>
  <c r="T112" i="76"/>
  <c r="M123" i="77"/>
  <c r="M131" i="77"/>
  <c r="H119" i="38"/>
  <c r="H131" i="38" s="1"/>
  <c r="J119" i="75"/>
  <c r="M126" i="77"/>
  <c r="K116" i="36"/>
  <c r="M129" i="77"/>
  <c r="T114" i="76"/>
  <c r="L126" i="76"/>
  <c r="T126" i="76" s="1"/>
  <c r="K118" i="36"/>
  <c r="L132" i="76"/>
  <c r="T132" i="76" s="1"/>
  <c r="T120" i="76"/>
  <c r="M133" i="77"/>
  <c r="H116" i="38"/>
  <c r="H128" i="38" s="1"/>
  <c r="J116" i="75"/>
  <c r="K114" i="36"/>
  <c r="K113" i="36"/>
  <c r="H111" i="38"/>
  <c r="H123" i="38" s="1"/>
  <c r="O50" i="157"/>
  <c r="O14" i="157"/>
  <c r="O26" i="157"/>
  <c r="O38" i="157"/>
  <c r="AW51" i="17"/>
  <c r="AZ50" i="17"/>
  <c r="AW49" i="17"/>
  <c r="M50" i="74"/>
  <c r="E62" i="74" s="1"/>
  <c r="M50" i="25"/>
  <c r="L53" i="25"/>
  <c r="L45" i="158" s="1"/>
  <c r="L53" i="74"/>
  <c r="BM15" i="17"/>
  <c r="AA15" i="23"/>
  <c r="L132" i="75"/>
  <c r="V132" i="75" s="1"/>
  <c r="V120" i="75"/>
  <c r="J110" i="155"/>
  <c r="J115" i="38"/>
  <c r="J114" i="38"/>
  <c r="R86" i="154"/>
  <c r="J118" i="38"/>
  <c r="R90" i="154"/>
  <c r="L133" i="75"/>
  <c r="V133" i="75" s="1"/>
  <c r="V121" i="75"/>
  <c r="L131" i="75"/>
  <c r="V131" i="75" s="1"/>
  <c r="V119" i="75"/>
  <c r="L126" i="75"/>
  <c r="V126" i="75" s="1"/>
  <c r="V114" i="75"/>
  <c r="J113" i="38"/>
  <c r="J116" i="155"/>
  <c r="J114" i="155"/>
  <c r="R92" i="154"/>
  <c r="R87" i="154"/>
  <c r="R89" i="154"/>
  <c r="J111" i="155"/>
  <c r="J113" i="155"/>
  <c r="L128" i="75"/>
  <c r="V128" i="75" s="1"/>
  <c r="V116" i="75"/>
  <c r="R95" i="154"/>
  <c r="J112" i="38"/>
  <c r="V115" i="75"/>
  <c r="L127" i="75"/>
  <c r="V127" i="75" s="1"/>
  <c r="V110" i="75"/>
  <c r="L122" i="75"/>
  <c r="V122" i="75" s="1"/>
  <c r="J119" i="155"/>
  <c r="R93" i="154"/>
  <c r="V113" i="75"/>
  <c r="L125" i="75"/>
  <c r="V125" i="75" s="1"/>
  <c r="J117" i="38"/>
  <c r="R97" i="154"/>
  <c r="J117" i="155"/>
  <c r="J110" i="38"/>
  <c r="J121" i="155"/>
  <c r="M51" i="25"/>
  <c r="M51" i="74"/>
  <c r="E63" i="74" s="1"/>
  <c r="L129" i="75"/>
  <c r="V129" i="75" s="1"/>
  <c r="V117" i="75"/>
  <c r="J111" i="38"/>
  <c r="J120" i="155"/>
  <c r="L124" i="75"/>
  <c r="V124" i="75" s="1"/>
  <c r="V112" i="75"/>
  <c r="J120" i="38"/>
  <c r="J121" i="38"/>
  <c r="R96" i="154"/>
  <c r="J119" i="38"/>
  <c r="J115" i="155"/>
  <c r="J118" i="155"/>
  <c r="L130" i="75"/>
  <c r="V130" i="75" s="1"/>
  <c r="V118" i="75"/>
  <c r="R88" i="154"/>
  <c r="R94" i="154"/>
  <c r="V111" i="75"/>
  <c r="L123" i="75"/>
  <c r="V123" i="75" s="1"/>
  <c r="J116" i="38"/>
  <c r="J112" i="155"/>
  <c r="R91" i="154"/>
  <c r="D50" i="152"/>
  <c r="D50" i="151"/>
  <c r="D50" i="32"/>
  <c r="U9" i="15" s="1"/>
  <c r="D26" i="32"/>
  <c r="U7" i="15" s="1"/>
  <c r="D26" i="152"/>
  <c r="D26" i="151"/>
  <c r="D38" i="152"/>
  <c r="D38" i="151"/>
  <c r="D38" i="32"/>
  <c r="U8" i="15" s="1"/>
  <c r="D14" i="152"/>
  <c r="D14" i="151"/>
  <c r="D14" i="32"/>
  <c r="U6" i="15" s="1"/>
  <c r="D42" i="36"/>
  <c r="D42" i="150"/>
  <c r="AO50" i="17"/>
  <c r="D26" i="154"/>
  <c r="D26" i="153"/>
  <c r="D26" i="155"/>
  <c r="EL26" i="67"/>
  <c r="D26" i="150"/>
  <c r="EL41" i="67"/>
  <c r="D41" i="150"/>
  <c r="O6" i="15"/>
  <c r="EK33" i="67"/>
  <c r="D33" i="150"/>
  <c r="AO49" i="17"/>
  <c r="D14" i="155"/>
  <c r="D14" i="154"/>
  <c r="D14" i="153"/>
  <c r="AO51" i="17"/>
  <c r="D38" i="155"/>
  <c r="D38" i="154"/>
  <c r="D38" i="153"/>
  <c r="AL49" i="17"/>
  <c r="AZ8" i="17"/>
  <c r="AW8" i="17"/>
  <c r="AZ9" i="17"/>
  <c r="AW9" i="17"/>
  <c r="AW7" i="17"/>
  <c r="AZ7" i="17"/>
  <c r="AO10" i="17"/>
  <c r="AL10" i="17"/>
  <c r="AO7" i="17"/>
  <c r="AL7" i="17"/>
  <c r="AO8" i="17"/>
  <c r="AL8" i="17"/>
  <c r="AO9" i="17"/>
  <c r="AL9" i="17"/>
  <c r="AL50" i="17"/>
  <c r="EK11" i="67"/>
  <c r="EL11" i="67"/>
  <c r="EK10" i="67"/>
  <c r="EL10" i="67"/>
  <c r="EL12" i="67"/>
  <c r="EK12" i="67"/>
  <c r="EK3" i="67"/>
  <c r="EL3" i="67"/>
  <c r="EK25" i="67"/>
  <c r="EL25" i="67"/>
  <c r="EL7" i="67"/>
  <c r="EK7" i="67"/>
  <c r="EH23" i="67"/>
  <c r="EJ23" i="67" s="1"/>
  <c r="EL23" i="67"/>
  <c r="EK23" i="67"/>
  <c r="EK9" i="67"/>
  <c r="EL9" i="67"/>
  <c r="EK20" i="67"/>
  <c r="EL20" i="67"/>
  <c r="EK6" i="67"/>
  <c r="EL6" i="67"/>
  <c r="EK24" i="67"/>
  <c r="EL24" i="67"/>
  <c r="EK15" i="67"/>
  <c r="EL15" i="67"/>
  <c r="EK4" i="67"/>
  <c r="EL4" i="67"/>
  <c r="EK5" i="67"/>
  <c r="EL5" i="67"/>
  <c r="EK17" i="67"/>
  <c r="EL17" i="67"/>
  <c r="EH14" i="67"/>
  <c r="EJ14" i="67" s="1"/>
  <c r="EK14" i="67"/>
  <c r="EL14" i="67"/>
  <c r="EK16" i="67"/>
  <c r="EL16" i="67"/>
  <c r="EK13" i="67"/>
  <c r="EL13" i="67"/>
  <c r="EK19" i="67"/>
  <c r="EL19" i="67"/>
  <c r="EK21" i="67"/>
  <c r="EL21" i="67"/>
  <c r="EK22" i="67"/>
  <c r="EL22" i="67"/>
  <c r="EK8" i="67"/>
  <c r="EL8" i="67"/>
  <c r="EK18" i="67"/>
  <c r="EL18" i="67"/>
  <c r="N2" i="67"/>
  <c r="D2" i="150" s="1"/>
  <c r="EK42" i="67"/>
  <c r="D39" i="34"/>
  <c r="D39" i="30"/>
  <c r="EG39" i="67"/>
  <c r="EE39" i="67"/>
  <c r="EF39" i="67" s="1"/>
  <c r="S231" i="4"/>
  <c r="DP231" i="4"/>
  <c r="D39" i="76"/>
  <c r="D16" i="34"/>
  <c r="D16" i="76"/>
  <c r="DP208" i="4"/>
  <c r="DO202" i="4"/>
  <c r="R202" i="4"/>
  <c r="D10" i="38"/>
  <c r="ED10" i="67"/>
  <c r="ED49" i="67"/>
  <c r="EB10" i="67"/>
  <c r="EC10" i="67" s="1"/>
  <c r="EB49" i="67"/>
  <c r="EC49" i="67" s="1"/>
  <c r="D42" i="77"/>
  <c r="D49" i="28"/>
  <c r="D49" i="38"/>
  <c r="D10" i="75"/>
  <c r="D49" i="75"/>
  <c r="S208" i="4"/>
  <c r="D6" i="30"/>
  <c r="EE16" i="67"/>
  <c r="EF16" i="67" s="1"/>
  <c r="D6" i="34"/>
  <c r="EG16" i="67"/>
  <c r="D6" i="76"/>
  <c r="DP198" i="4"/>
  <c r="S198" i="4"/>
  <c r="EG6" i="67"/>
  <c r="D25" i="28"/>
  <c r="EB25" i="67"/>
  <c r="EC25" i="67" s="1"/>
  <c r="D25" i="75"/>
  <c r="R217" i="4"/>
  <c r="D25" i="38"/>
  <c r="ED25" i="67"/>
  <c r="T234" i="4"/>
  <c r="D16" i="30"/>
  <c r="DQ234" i="4"/>
  <c r="DO229" i="4"/>
  <c r="R229" i="4"/>
  <c r="D37" i="75"/>
  <c r="D37" i="38"/>
  <c r="D37" i="28"/>
  <c r="EB37" i="67"/>
  <c r="EC37" i="67" s="1"/>
  <c r="ED37" i="67"/>
  <c r="EL34" i="67"/>
  <c r="T226" i="4"/>
  <c r="EH34" i="67"/>
  <c r="EJ34" i="67" s="1"/>
  <c r="DQ226" i="4"/>
  <c r="EK34" i="67"/>
  <c r="D34" i="77"/>
  <c r="D34" i="36"/>
  <c r="R241" i="4"/>
  <c r="EL42" i="67"/>
  <c r="EH42" i="67"/>
  <c r="EJ42" i="67" s="1"/>
  <c r="R120" i="38"/>
  <c r="EB22" i="67"/>
  <c r="EC22" i="67" s="1"/>
  <c r="EG45" i="67"/>
  <c r="EE44" i="67"/>
  <c r="EF44" i="67" s="1"/>
  <c r="EB20" i="67"/>
  <c r="EC20" i="67" s="1"/>
  <c r="ED17" i="67"/>
  <c r="ED16" i="67"/>
  <c r="EH41" i="67"/>
  <c r="EI41" i="67" s="1"/>
  <c r="ED21" i="67"/>
  <c r="EK41" i="67"/>
  <c r="EH33" i="67"/>
  <c r="EI33" i="67" s="1"/>
  <c r="EG49" i="67"/>
  <c r="T229" i="4"/>
  <c r="DQ229" i="4"/>
  <c r="D37" i="77"/>
  <c r="D37" i="36"/>
  <c r="T197" i="4"/>
  <c r="D5" i="77"/>
  <c r="DQ197" i="4"/>
  <c r="D5" i="36"/>
  <c r="DO233" i="4"/>
  <c r="R233" i="4"/>
  <c r="D41" i="75"/>
  <c r="D41" i="38"/>
  <c r="D41" i="28"/>
  <c r="R237" i="4"/>
  <c r="DO237" i="4"/>
  <c r="D45" i="75"/>
  <c r="D45" i="38"/>
  <c r="D45" i="28"/>
  <c r="S213" i="4"/>
  <c r="DP213" i="4"/>
  <c r="D21" i="76"/>
  <c r="D21" i="34"/>
  <c r="D21" i="30"/>
  <c r="DQ241" i="4"/>
  <c r="T241" i="4"/>
  <c r="D49" i="77"/>
  <c r="D49" i="36"/>
  <c r="EE26" i="67"/>
  <c r="EF26" i="67" s="1"/>
  <c r="DQ217" i="4"/>
  <c r="T217" i="4"/>
  <c r="D25" i="77"/>
  <c r="D25" i="36"/>
  <c r="R214" i="4"/>
  <c r="DO214" i="4"/>
  <c r="D22" i="75"/>
  <c r="D22" i="38"/>
  <c r="D22" i="28"/>
  <c r="EG48" i="67"/>
  <c r="D27" i="77"/>
  <c r="DQ219" i="4"/>
  <c r="T219" i="4"/>
  <c r="D27" i="36"/>
  <c r="T213" i="4"/>
  <c r="DQ213" i="4"/>
  <c r="D21" i="77"/>
  <c r="D21" i="36"/>
  <c r="DP219" i="4"/>
  <c r="S219" i="4"/>
  <c r="D27" i="76"/>
  <c r="D27" i="34"/>
  <c r="D27" i="30"/>
  <c r="S221" i="4"/>
  <c r="DP221" i="4"/>
  <c r="D29" i="76"/>
  <c r="D29" i="34"/>
  <c r="D29" i="30"/>
  <c r="DO223" i="4"/>
  <c r="R223" i="4"/>
  <c r="D31" i="75"/>
  <c r="D31" i="38"/>
  <c r="D31" i="28"/>
  <c r="F2" i="67"/>
  <c r="S216" i="4"/>
  <c r="DP216" i="4"/>
  <c r="D24" i="76"/>
  <c r="D24" i="34"/>
  <c r="D24" i="30"/>
  <c r="R200" i="4"/>
  <c r="DO200" i="4"/>
  <c r="D8" i="75"/>
  <c r="D8" i="38"/>
  <c r="D8" i="28"/>
  <c r="DP238" i="4"/>
  <c r="S238" i="4"/>
  <c r="D46" i="76"/>
  <c r="D46" i="34"/>
  <c r="D46" i="30"/>
  <c r="R203" i="4"/>
  <c r="DO203" i="4"/>
  <c r="D11" i="75"/>
  <c r="D11" i="38"/>
  <c r="D11" i="28"/>
  <c r="R219" i="4"/>
  <c r="DO219" i="4"/>
  <c r="D27" i="75"/>
  <c r="D27" i="38"/>
  <c r="D27" i="28"/>
  <c r="DO234" i="4"/>
  <c r="R234" i="4"/>
  <c r="D42" i="75"/>
  <c r="D42" i="38"/>
  <c r="D42" i="28"/>
  <c r="DP210" i="4"/>
  <c r="S210" i="4"/>
  <c r="D18" i="76"/>
  <c r="D18" i="34"/>
  <c r="D18" i="30"/>
  <c r="DQ238" i="4"/>
  <c r="T238" i="4"/>
  <c r="D46" i="77"/>
  <c r="D46" i="36"/>
  <c r="DP225" i="4"/>
  <c r="S225" i="4"/>
  <c r="D33" i="76"/>
  <c r="D33" i="34"/>
  <c r="D33" i="30"/>
  <c r="D13" i="77"/>
  <c r="T205" i="4"/>
  <c r="DQ205" i="4"/>
  <c r="D13" i="36"/>
  <c r="D30" i="77"/>
  <c r="DQ222" i="4"/>
  <c r="T222" i="4"/>
  <c r="D30" i="36"/>
  <c r="EE46" i="67"/>
  <c r="EF46" i="67" s="1"/>
  <c r="DO201" i="4"/>
  <c r="R201" i="4"/>
  <c r="D9" i="75"/>
  <c r="D9" i="38"/>
  <c r="D9" i="28"/>
  <c r="DP202" i="4"/>
  <c r="S202" i="4"/>
  <c r="D10" i="76"/>
  <c r="D10" i="34"/>
  <c r="D10" i="30"/>
  <c r="S214" i="4"/>
  <c r="DP214" i="4"/>
  <c r="D22" i="76"/>
  <c r="D22" i="34"/>
  <c r="D22" i="30"/>
  <c r="T198" i="4"/>
  <c r="D6" i="77"/>
  <c r="DQ198" i="4"/>
  <c r="D6" i="36"/>
  <c r="R195" i="4"/>
  <c r="DO195" i="4"/>
  <c r="D3" i="75"/>
  <c r="D3" i="38"/>
  <c r="D3" i="28"/>
  <c r="DO226" i="4"/>
  <c r="R226" i="4"/>
  <c r="D34" i="75"/>
  <c r="D34" i="38"/>
  <c r="D34" i="28"/>
  <c r="DP241" i="4"/>
  <c r="S241" i="4"/>
  <c r="D49" i="76"/>
  <c r="D49" i="34"/>
  <c r="D49" i="30"/>
  <c r="R238" i="4"/>
  <c r="DO238" i="4"/>
  <c r="D46" i="75"/>
  <c r="D46" i="38"/>
  <c r="D46" i="28"/>
  <c r="ED36" i="67"/>
  <c r="DO228" i="4"/>
  <c r="R228" i="4"/>
  <c r="D36" i="75"/>
  <c r="D36" i="38"/>
  <c r="D36" i="28"/>
  <c r="T220" i="4"/>
  <c r="D28" i="77"/>
  <c r="DQ220" i="4"/>
  <c r="D28" i="36"/>
  <c r="S196" i="4"/>
  <c r="DP196" i="4"/>
  <c r="D4" i="76"/>
  <c r="D4" i="34"/>
  <c r="D4" i="30"/>
  <c r="DQ195" i="4"/>
  <c r="T195" i="4"/>
  <c r="D3" i="77"/>
  <c r="D3" i="36"/>
  <c r="DP226" i="4"/>
  <c r="S226" i="4"/>
  <c r="D34" i="76"/>
  <c r="D34" i="34"/>
  <c r="D34" i="30"/>
  <c r="T232" i="4"/>
  <c r="D40" i="77"/>
  <c r="DQ232" i="4"/>
  <c r="D40" i="36"/>
  <c r="DP222" i="4"/>
  <c r="S222" i="4"/>
  <c r="D30" i="76"/>
  <c r="D30" i="34"/>
  <c r="D30" i="30"/>
  <c r="ED9" i="67"/>
  <c r="DQ207" i="4"/>
  <c r="D15" i="77"/>
  <c r="T207" i="4"/>
  <c r="D15" i="36"/>
  <c r="DO224" i="4"/>
  <c r="R224" i="4"/>
  <c r="D32" i="75"/>
  <c r="D32" i="38"/>
  <c r="D32" i="28"/>
  <c r="EH19" i="67"/>
  <c r="EJ19" i="67" s="1"/>
  <c r="DO239" i="4"/>
  <c r="R239" i="4"/>
  <c r="D47" i="75"/>
  <c r="D47" i="38"/>
  <c r="D47" i="28"/>
  <c r="DP217" i="4"/>
  <c r="S217" i="4"/>
  <c r="D25" i="76"/>
  <c r="D25" i="34"/>
  <c r="D25" i="30"/>
  <c r="T216" i="4"/>
  <c r="DQ216" i="4"/>
  <c r="D24" i="77"/>
  <c r="D24" i="36"/>
  <c r="DO209" i="4"/>
  <c r="R209" i="4"/>
  <c r="D17" i="75"/>
  <c r="D17" i="38"/>
  <c r="D17" i="28"/>
  <c r="R215" i="4"/>
  <c r="DO215" i="4"/>
  <c r="D23" i="75"/>
  <c r="D23" i="38"/>
  <c r="D23" i="28"/>
  <c r="D18" i="77"/>
  <c r="DQ210" i="4"/>
  <c r="T210" i="4"/>
  <c r="D18" i="36"/>
  <c r="D43" i="77"/>
  <c r="DQ235" i="4"/>
  <c r="T235" i="4"/>
  <c r="D43" i="36"/>
  <c r="DQ202" i="4"/>
  <c r="D10" i="77"/>
  <c r="T202" i="4"/>
  <c r="D10" i="36"/>
  <c r="R198" i="4"/>
  <c r="DO198" i="4"/>
  <c r="D6" i="75"/>
  <c r="D6" i="38"/>
  <c r="D6" i="28"/>
  <c r="DP203" i="4"/>
  <c r="S203" i="4"/>
  <c r="D11" i="76"/>
  <c r="D11" i="34"/>
  <c r="D11" i="30"/>
  <c r="R235" i="4"/>
  <c r="DO235" i="4"/>
  <c r="D43" i="75"/>
  <c r="D43" i="38"/>
  <c r="D43" i="28"/>
  <c r="D47" i="77"/>
  <c r="DQ239" i="4"/>
  <c r="T239" i="4"/>
  <c r="D47" i="36"/>
  <c r="S228" i="4"/>
  <c r="DP228" i="4"/>
  <c r="D36" i="76"/>
  <c r="D36" i="34"/>
  <c r="D36" i="30"/>
  <c r="DP240" i="4"/>
  <c r="S240" i="4"/>
  <c r="D48" i="76"/>
  <c r="D48" i="34"/>
  <c r="D48" i="30"/>
  <c r="R231" i="4"/>
  <c r="DO231" i="4"/>
  <c r="D39" i="75"/>
  <c r="D39" i="38"/>
  <c r="D39" i="28"/>
  <c r="DP211" i="4"/>
  <c r="S211" i="4"/>
  <c r="D19" i="76"/>
  <c r="D19" i="34"/>
  <c r="D19" i="30"/>
  <c r="DO196" i="4"/>
  <c r="R196" i="4"/>
  <c r="D4" i="75"/>
  <c r="D4" i="38"/>
  <c r="D4" i="28"/>
  <c r="J2" i="67"/>
  <c r="EG2" i="67" s="1"/>
  <c r="EG15" i="67"/>
  <c r="DP207" i="4"/>
  <c r="S207" i="4"/>
  <c r="D15" i="76"/>
  <c r="D15" i="34"/>
  <c r="D15" i="30"/>
  <c r="EE41" i="67"/>
  <c r="EF41" i="67" s="1"/>
  <c r="DP233" i="4"/>
  <c r="S233" i="4"/>
  <c r="D41" i="76"/>
  <c r="D41" i="34"/>
  <c r="D41" i="30"/>
  <c r="EE27" i="67"/>
  <c r="EF27" i="67" s="1"/>
  <c r="R204" i="4"/>
  <c r="DO204" i="4"/>
  <c r="D12" i="75"/>
  <c r="D12" i="38"/>
  <c r="D12" i="28"/>
  <c r="S204" i="4"/>
  <c r="DP204" i="4"/>
  <c r="D12" i="76"/>
  <c r="D12" i="34"/>
  <c r="D12" i="30"/>
  <c r="EH25" i="67"/>
  <c r="EJ25" i="67" s="1"/>
  <c r="EH38" i="67"/>
  <c r="S229" i="4"/>
  <c r="DP229" i="4"/>
  <c r="D37" i="76"/>
  <c r="D37" i="34"/>
  <c r="D37" i="30"/>
  <c r="ED23" i="67"/>
  <c r="EL33" i="67"/>
  <c r="DQ225" i="4"/>
  <c r="D33" i="77"/>
  <c r="T225" i="4"/>
  <c r="D33" i="36"/>
  <c r="EB18" i="67"/>
  <c r="EC18" i="67" s="1"/>
  <c r="DO210" i="4"/>
  <c r="R210" i="4"/>
  <c r="D18" i="75"/>
  <c r="D18" i="38"/>
  <c r="D18" i="28"/>
  <c r="ED14" i="67"/>
  <c r="R220" i="4"/>
  <c r="DO220" i="4"/>
  <c r="D28" i="75"/>
  <c r="D28" i="38"/>
  <c r="D28" i="28"/>
  <c r="T199" i="4"/>
  <c r="DQ199" i="4"/>
  <c r="D7" i="77"/>
  <c r="D7" i="36"/>
  <c r="DQ223" i="4"/>
  <c r="T223" i="4"/>
  <c r="D31" i="77"/>
  <c r="D31" i="36"/>
  <c r="EG27" i="67"/>
  <c r="S200" i="4"/>
  <c r="DP200" i="4"/>
  <c r="D8" i="76"/>
  <c r="D8" i="34"/>
  <c r="D8" i="30"/>
  <c r="DQ208" i="4"/>
  <c r="D16" i="77"/>
  <c r="T208" i="4"/>
  <c r="D16" i="36"/>
  <c r="T221" i="4"/>
  <c r="D29" i="77"/>
  <c r="DQ221" i="4"/>
  <c r="D29" i="36"/>
  <c r="DQ203" i="4"/>
  <c r="T203" i="4"/>
  <c r="D11" i="77"/>
  <c r="D11" i="36"/>
  <c r="D48" i="77"/>
  <c r="DQ240" i="4"/>
  <c r="T240" i="4"/>
  <c r="D48" i="36"/>
  <c r="S215" i="4"/>
  <c r="DP215" i="4"/>
  <c r="D23" i="76"/>
  <c r="D23" i="34"/>
  <c r="D23" i="30"/>
  <c r="D22" i="77"/>
  <c r="T214" i="4"/>
  <c r="DQ214" i="4"/>
  <c r="D22" i="36"/>
  <c r="R199" i="4"/>
  <c r="DO199" i="4"/>
  <c r="D7" i="75"/>
  <c r="D7" i="38"/>
  <c r="D7" i="28"/>
  <c r="DQ211" i="4"/>
  <c r="T211" i="4"/>
  <c r="D19" i="77"/>
  <c r="D19" i="36"/>
  <c r="EG42" i="67"/>
  <c r="DP234" i="4"/>
  <c r="S234" i="4"/>
  <c r="D42" i="76"/>
  <c r="D42" i="34"/>
  <c r="D42" i="30"/>
  <c r="DQ206" i="4"/>
  <c r="D14" i="77"/>
  <c r="T206" i="4"/>
  <c r="D14" i="36"/>
  <c r="EG47" i="67"/>
  <c r="DP239" i="4"/>
  <c r="S239" i="4"/>
  <c r="D47" i="76"/>
  <c r="D47" i="34"/>
  <c r="D47" i="30"/>
  <c r="R211" i="4"/>
  <c r="DO211" i="4"/>
  <c r="D19" i="75"/>
  <c r="D19" i="38"/>
  <c r="D19" i="28"/>
  <c r="T200" i="4"/>
  <c r="D8" i="77"/>
  <c r="DQ200" i="4"/>
  <c r="D8" i="36"/>
  <c r="DP223" i="4"/>
  <c r="S223" i="4"/>
  <c r="D31" i="76"/>
  <c r="D31" i="34"/>
  <c r="D31" i="30"/>
  <c r="DP227" i="4"/>
  <c r="S227" i="4"/>
  <c r="D35" i="76"/>
  <c r="D35" i="34"/>
  <c r="D35" i="30"/>
  <c r="EB19" i="67"/>
  <c r="EC19" i="67" s="1"/>
  <c r="DP195" i="4"/>
  <c r="S195" i="4"/>
  <c r="D3" i="76"/>
  <c r="D3" i="34"/>
  <c r="D3" i="30"/>
  <c r="EE5" i="67"/>
  <c r="EF5" i="67" s="1"/>
  <c r="S197" i="4"/>
  <c r="DP197" i="4"/>
  <c r="D5" i="76"/>
  <c r="D5" i="34"/>
  <c r="D5" i="30"/>
  <c r="S199" i="4"/>
  <c r="DP199" i="4"/>
  <c r="D7" i="76"/>
  <c r="D7" i="34"/>
  <c r="D7" i="30"/>
  <c r="T212" i="4"/>
  <c r="DQ212" i="4"/>
  <c r="D20" i="77"/>
  <c r="D20" i="36"/>
  <c r="DP235" i="4"/>
  <c r="S235" i="4"/>
  <c r="D43" i="76"/>
  <c r="D43" i="34"/>
  <c r="D43" i="30"/>
  <c r="EB26" i="67"/>
  <c r="EC26" i="67" s="1"/>
  <c r="DO240" i="4"/>
  <c r="R240" i="4"/>
  <c r="D48" i="75"/>
  <c r="D48" i="38"/>
  <c r="D48" i="28"/>
  <c r="R205" i="4"/>
  <c r="DO205" i="4"/>
  <c r="D13" i="75"/>
  <c r="D13" i="38"/>
  <c r="D13" i="28"/>
  <c r="R221" i="4"/>
  <c r="DO221" i="4"/>
  <c r="D29" i="75"/>
  <c r="D29" i="38"/>
  <c r="D29" i="28"/>
  <c r="S205" i="4"/>
  <c r="DP205" i="4"/>
  <c r="D13" i="76"/>
  <c r="D13" i="34"/>
  <c r="D13" i="30"/>
  <c r="S212" i="4"/>
  <c r="DP212" i="4"/>
  <c r="D20" i="76"/>
  <c r="D20" i="34"/>
  <c r="D20" i="30"/>
  <c r="ED19" i="67"/>
  <c r="DO197" i="4"/>
  <c r="R197" i="4"/>
  <c r="D5" i="75"/>
  <c r="D5" i="38"/>
  <c r="D5" i="28"/>
  <c r="D39" i="77"/>
  <c r="T231" i="4"/>
  <c r="DQ231" i="4"/>
  <c r="D39" i="36"/>
  <c r="DQ233" i="4"/>
  <c r="T233" i="4"/>
  <c r="D41" i="77"/>
  <c r="D41" i="36"/>
  <c r="S236" i="4"/>
  <c r="DP236" i="4"/>
  <c r="D44" i="76"/>
  <c r="D44" i="34"/>
  <c r="D44" i="30"/>
  <c r="D44" i="77"/>
  <c r="T236" i="4"/>
  <c r="DQ236" i="4"/>
  <c r="D44" i="36"/>
  <c r="T196" i="4"/>
  <c r="DQ196" i="4"/>
  <c r="D4" i="77"/>
  <c r="D4" i="36"/>
  <c r="DO208" i="4"/>
  <c r="R208" i="4"/>
  <c r="D16" i="75"/>
  <c r="D16" i="38"/>
  <c r="D16" i="28"/>
  <c r="R232" i="4"/>
  <c r="DO232" i="4"/>
  <c r="D40" i="75"/>
  <c r="D40" i="38"/>
  <c r="D40" i="28"/>
  <c r="DO212" i="4"/>
  <c r="R212" i="4"/>
  <c r="D20" i="75"/>
  <c r="D20" i="38"/>
  <c r="D20" i="28"/>
  <c r="DO207" i="4"/>
  <c r="R207" i="4"/>
  <c r="D15" i="75"/>
  <c r="D15" i="38"/>
  <c r="D15" i="28"/>
  <c r="DP201" i="4"/>
  <c r="S201" i="4"/>
  <c r="D9" i="76"/>
  <c r="D9" i="34"/>
  <c r="D9" i="30"/>
  <c r="R222" i="4"/>
  <c r="DO222" i="4"/>
  <c r="D30" i="75"/>
  <c r="D30" i="38"/>
  <c r="D30" i="28"/>
  <c r="D17" i="77"/>
  <c r="DQ209" i="4"/>
  <c r="T209" i="4"/>
  <c r="D17" i="36"/>
  <c r="EE43" i="67"/>
  <c r="EF43" i="67" s="1"/>
  <c r="EG14" i="67"/>
  <c r="T215" i="4"/>
  <c r="D23" i="77"/>
  <c r="DQ215" i="4"/>
  <c r="D23" i="36"/>
  <c r="DO213" i="4"/>
  <c r="R213" i="4"/>
  <c r="D21" i="75"/>
  <c r="D21" i="38"/>
  <c r="D21" i="28"/>
  <c r="T204" i="4"/>
  <c r="DQ204" i="4"/>
  <c r="D12" i="77"/>
  <c r="D12" i="36"/>
  <c r="R216" i="4"/>
  <c r="DO216" i="4"/>
  <c r="D24" i="75"/>
  <c r="D24" i="38"/>
  <c r="D24" i="28"/>
  <c r="DQ227" i="4"/>
  <c r="T227" i="4"/>
  <c r="D35" i="77"/>
  <c r="D35" i="36"/>
  <c r="DP209" i="4"/>
  <c r="S209" i="4"/>
  <c r="D17" i="76"/>
  <c r="D17" i="34"/>
  <c r="D17" i="30"/>
  <c r="DQ201" i="4"/>
  <c r="D9" i="77"/>
  <c r="T201" i="4"/>
  <c r="D9" i="36"/>
  <c r="DP224" i="4"/>
  <c r="S224" i="4"/>
  <c r="D32" i="76"/>
  <c r="D32" i="34"/>
  <c r="D32" i="30"/>
  <c r="EB24" i="67"/>
  <c r="EC24" i="67" s="1"/>
  <c r="EG43" i="67"/>
  <c r="DO225" i="4"/>
  <c r="R225" i="4"/>
  <c r="D33" i="75"/>
  <c r="D33" i="38"/>
  <c r="D33" i="28"/>
  <c r="DQ224" i="4"/>
  <c r="D32" i="77"/>
  <c r="T224" i="4"/>
  <c r="D32" i="36"/>
  <c r="S237" i="4"/>
  <c r="DP237" i="4"/>
  <c r="D45" i="76"/>
  <c r="D45" i="34"/>
  <c r="D45" i="30"/>
  <c r="EG41" i="67"/>
  <c r="EE15" i="67"/>
  <c r="EF15" i="67" s="1"/>
  <c r="ED18" i="67"/>
  <c r="EG5" i="67"/>
  <c r="EB36" i="67"/>
  <c r="EC36" i="67" s="1"/>
  <c r="EE47" i="67"/>
  <c r="EF47" i="67" s="1"/>
  <c r="EH5" i="67"/>
  <c r="EJ5" i="67" s="1"/>
  <c r="EB41" i="67"/>
  <c r="EC41" i="67" s="1"/>
  <c r="ED41" i="67"/>
  <c r="EG17" i="67"/>
  <c r="EE17" i="67"/>
  <c r="EF17" i="67" s="1"/>
  <c r="ED34" i="67"/>
  <c r="EB34" i="67"/>
  <c r="EC34" i="67" s="1"/>
  <c r="EE7" i="67"/>
  <c r="EF7" i="67" s="1"/>
  <c r="EG7" i="67"/>
  <c r="EG4" i="67"/>
  <c r="EE4" i="67"/>
  <c r="EF4" i="67" s="1"/>
  <c r="ED30" i="67"/>
  <c r="EB30" i="67"/>
  <c r="EC30" i="67" s="1"/>
  <c r="EH27" i="67"/>
  <c r="EL27" i="67"/>
  <c r="EK27" i="67"/>
  <c r="ED31" i="67"/>
  <c r="EB31" i="67"/>
  <c r="EC31" i="67" s="1"/>
  <c r="EE21" i="67"/>
  <c r="EF21" i="67" s="1"/>
  <c r="EG21" i="67"/>
  <c r="EH48" i="67"/>
  <c r="EL48" i="67"/>
  <c r="EK48" i="67"/>
  <c r="EG23" i="67"/>
  <c r="EE23" i="67"/>
  <c r="EF23" i="67" s="1"/>
  <c r="EH22" i="67"/>
  <c r="EJ22" i="67" s="1"/>
  <c r="EL40" i="67"/>
  <c r="EH40" i="67"/>
  <c r="EK40" i="67"/>
  <c r="EH3" i="67"/>
  <c r="EJ3" i="67" s="1"/>
  <c r="EG10" i="67"/>
  <c r="EE10" i="67"/>
  <c r="EF10" i="67" s="1"/>
  <c r="ED42" i="67"/>
  <c r="EB42" i="67"/>
  <c r="EC42" i="67" s="1"/>
  <c r="EG18" i="67"/>
  <c r="EE18" i="67"/>
  <c r="EF18" i="67" s="1"/>
  <c r="EL46" i="67"/>
  <c r="EK46" i="67"/>
  <c r="EH46" i="67"/>
  <c r="EH20" i="67"/>
  <c r="EJ20" i="67" s="1"/>
  <c r="EE25" i="67"/>
  <c r="EF25" i="67" s="1"/>
  <c r="EG25" i="67"/>
  <c r="EH24" i="67"/>
  <c r="EJ24" i="67" s="1"/>
  <c r="EE30" i="67"/>
  <c r="EF30" i="67" s="1"/>
  <c r="EG30" i="67"/>
  <c r="EH6" i="67"/>
  <c r="EJ6" i="67" s="1"/>
  <c r="EH18" i="67"/>
  <c r="EJ18" i="67" s="1"/>
  <c r="EG33" i="67"/>
  <c r="EE33" i="67"/>
  <c r="EF33" i="67" s="1"/>
  <c r="EH12" i="67"/>
  <c r="EJ12" i="67" s="1"/>
  <c r="EG35" i="67"/>
  <c r="EE35" i="67"/>
  <c r="EF35" i="67" s="1"/>
  <c r="EH31" i="67"/>
  <c r="EL31" i="67"/>
  <c r="EK31" i="67"/>
  <c r="EL28" i="67"/>
  <c r="EK28" i="67"/>
  <c r="EH28" i="67"/>
  <c r="EB32" i="67"/>
  <c r="EC32" i="67" s="1"/>
  <c r="ED32" i="67"/>
  <c r="EH10" i="67"/>
  <c r="EJ10" i="67" s="1"/>
  <c r="ED46" i="67"/>
  <c r="EB46" i="67"/>
  <c r="EC46" i="67" s="1"/>
  <c r="ED48" i="67"/>
  <c r="EB48" i="67"/>
  <c r="EC48" i="67" s="1"/>
  <c r="EG37" i="67"/>
  <c r="EE37" i="67"/>
  <c r="EF37" i="67" s="1"/>
  <c r="ED27" i="67"/>
  <c r="EB27" i="67"/>
  <c r="EC27" i="67" s="1"/>
  <c r="EE11" i="67"/>
  <c r="EF11" i="67" s="1"/>
  <c r="EG11" i="67"/>
  <c r="ED43" i="67"/>
  <c r="EB43" i="67"/>
  <c r="EC43" i="67" s="1"/>
  <c r="EE19" i="67"/>
  <c r="EF19" i="67" s="1"/>
  <c r="EG19" i="67"/>
  <c r="ED3" i="67"/>
  <c r="EB3" i="67"/>
  <c r="EC3" i="67" s="1"/>
  <c r="ED5" i="67"/>
  <c r="EB5" i="67"/>
  <c r="EC5" i="67" s="1"/>
  <c r="ED7" i="67"/>
  <c r="EB7" i="67"/>
  <c r="EC7" i="67" s="1"/>
  <c r="EG8" i="67"/>
  <c r="EE8" i="67"/>
  <c r="EF8" i="67" s="1"/>
  <c r="EB28" i="67"/>
  <c r="EC28" i="67" s="1"/>
  <c r="ED28" i="67"/>
  <c r="EH15" i="67"/>
  <c r="EJ15" i="67" s="1"/>
  <c r="ED45" i="67"/>
  <c r="EB45" i="67"/>
  <c r="EC45" i="67" s="1"/>
  <c r="EH44" i="67"/>
  <c r="EK44" i="67"/>
  <c r="EL44" i="67"/>
  <c r="EH7" i="67"/>
  <c r="EJ7" i="67" s="1"/>
  <c r="EL29" i="67"/>
  <c r="EK29" i="67"/>
  <c r="EH29" i="67"/>
  <c r="ED33" i="67"/>
  <c r="EB33" i="67"/>
  <c r="EC33" i="67" s="1"/>
  <c r="EE12" i="67"/>
  <c r="EF12" i="67" s="1"/>
  <c r="EG12" i="67"/>
  <c r="EK47" i="67"/>
  <c r="EH47" i="67"/>
  <c r="EL47" i="67"/>
  <c r="EL49" i="67"/>
  <c r="EK49" i="67"/>
  <c r="EH49" i="67"/>
  <c r="EG3" i="67"/>
  <c r="EE3" i="67"/>
  <c r="EF3" i="67" s="1"/>
  <c r="ED11" i="67"/>
  <c r="EB11" i="67"/>
  <c r="EC11" i="67" s="1"/>
  <c r="ED39" i="67"/>
  <c r="EB39" i="67"/>
  <c r="EC39" i="67" s="1"/>
  <c r="ED12" i="67"/>
  <c r="EB12" i="67"/>
  <c r="EC12" i="67" s="1"/>
  <c r="EH4" i="67"/>
  <c r="EJ4" i="67" s="1"/>
  <c r="EL37" i="67"/>
  <c r="EK37" i="67"/>
  <c r="EH37" i="67"/>
  <c r="EH16" i="67"/>
  <c r="EJ16" i="67" s="1"/>
  <c r="EH21" i="67"/>
  <c r="EJ21" i="67" s="1"/>
  <c r="EG24" i="67"/>
  <c r="EE24" i="67"/>
  <c r="EF24" i="67" s="1"/>
  <c r="EL39" i="67"/>
  <c r="EK39" i="67"/>
  <c r="EH39" i="67"/>
  <c r="ED4" i="67"/>
  <c r="EB4" i="67"/>
  <c r="EC4" i="67" s="1"/>
  <c r="EE31" i="67"/>
  <c r="EF31" i="67" s="1"/>
  <c r="EG31" i="67"/>
  <c r="EH8" i="67"/>
  <c r="EJ8" i="67" s="1"/>
  <c r="EG22" i="67"/>
  <c r="EE22" i="67"/>
  <c r="EF22" i="67" s="1"/>
  <c r="EH13" i="67"/>
  <c r="EJ13" i="67" s="1"/>
  <c r="EL30" i="67"/>
  <c r="EK30" i="67"/>
  <c r="EH30" i="67"/>
  <c r="ED38" i="67"/>
  <c r="EB38" i="67"/>
  <c r="EC38" i="67" s="1"/>
  <c r="EB15" i="67"/>
  <c r="EC15" i="67" s="1"/>
  <c r="ED15" i="67"/>
  <c r="EB40" i="67"/>
  <c r="EC40" i="67" s="1"/>
  <c r="ED40" i="67"/>
  <c r="EG13" i="67"/>
  <c r="EE13" i="67"/>
  <c r="EF13" i="67" s="1"/>
  <c r="EG20" i="67"/>
  <c r="EE20" i="67"/>
  <c r="EF20" i="67" s="1"/>
  <c r="EG36" i="67"/>
  <c r="EE36" i="67"/>
  <c r="EF36" i="67" s="1"/>
  <c r="EK32" i="67"/>
  <c r="EH32" i="67"/>
  <c r="EL32" i="67"/>
  <c r="EK35" i="67"/>
  <c r="EL35" i="67"/>
  <c r="EH35" i="67"/>
  <c r="ED13" i="67"/>
  <c r="EB13" i="67"/>
  <c r="EC13" i="67" s="1"/>
  <c r="ED29" i="67"/>
  <c r="EB29" i="67"/>
  <c r="EC29" i="67" s="1"/>
  <c r="EH17" i="67"/>
  <c r="EJ17" i="67" s="1"/>
  <c r="EH11" i="67"/>
  <c r="EJ11" i="67" s="1"/>
  <c r="EE34" i="67"/>
  <c r="EF34" i="67" s="1"/>
  <c r="EG34" i="67"/>
  <c r="ED6" i="67"/>
  <c r="EB6" i="67"/>
  <c r="EC6" i="67" s="1"/>
  <c r="EH43" i="67"/>
  <c r="EL43" i="67"/>
  <c r="EK43" i="67"/>
  <c r="EG29" i="67"/>
  <c r="EE29" i="67"/>
  <c r="EF29" i="67" s="1"/>
  <c r="EG9" i="67"/>
  <c r="EE9" i="67"/>
  <c r="EF9" i="67" s="1"/>
  <c r="EH9" i="67"/>
  <c r="EJ9" i="67" s="1"/>
  <c r="EG32" i="67"/>
  <c r="EE32" i="67"/>
  <c r="EF32" i="67" s="1"/>
  <c r="ED47" i="67"/>
  <c r="EB47" i="67"/>
  <c r="EC47" i="67" s="1"/>
  <c r="EB8" i="67"/>
  <c r="EC8" i="67" s="1"/>
  <c r="ED8" i="67"/>
  <c r="K40" i="148"/>
  <c r="R119" i="38" l="1"/>
  <c r="H117" i="38"/>
  <c r="H129" i="38" s="1"/>
  <c r="J118" i="75"/>
  <c r="T118" i="75" s="1"/>
  <c r="H113" i="38"/>
  <c r="H125" i="38" s="1"/>
  <c r="D13" i="15"/>
  <c r="EI14" i="67"/>
  <c r="EJ41" i="67"/>
  <c r="R116" i="38"/>
  <c r="J121" i="75"/>
  <c r="T121" i="75" s="1"/>
  <c r="J114" i="75"/>
  <c r="J126" i="75" s="1"/>
  <c r="T126" i="75" s="1"/>
  <c r="J111" i="75"/>
  <c r="T111" i="75" s="1"/>
  <c r="EI23" i="67"/>
  <c r="J112" i="75"/>
  <c r="J124" i="75" s="1"/>
  <c r="T124" i="75" s="1"/>
  <c r="K133" i="36"/>
  <c r="K122" i="36"/>
  <c r="K129" i="36"/>
  <c r="K123" i="36"/>
  <c r="K130" i="36"/>
  <c r="K127" i="36"/>
  <c r="K125" i="36"/>
  <c r="K131" i="36"/>
  <c r="K126" i="36"/>
  <c r="K128" i="36"/>
  <c r="K132" i="36"/>
  <c r="K124" i="36"/>
  <c r="E62" i="25"/>
  <c r="M42" i="158"/>
  <c r="E6" i="158" s="1"/>
  <c r="E63" i="25"/>
  <c r="M43" i="158"/>
  <c r="E7" i="158" s="1"/>
  <c r="H117" i="154"/>
  <c r="T112" i="38"/>
  <c r="J124" i="38"/>
  <c r="T124" i="38" s="1"/>
  <c r="H116" i="154"/>
  <c r="H110" i="154"/>
  <c r="J131" i="38"/>
  <c r="T131" i="38" s="1"/>
  <c r="T119" i="38"/>
  <c r="T115" i="75"/>
  <c r="J127" i="75"/>
  <c r="T127" i="75" s="1"/>
  <c r="J123" i="155"/>
  <c r="T123" i="155" s="1"/>
  <c r="T111" i="155"/>
  <c r="T118" i="38"/>
  <c r="J130" i="38"/>
  <c r="T130" i="38" s="1"/>
  <c r="T114" i="38"/>
  <c r="J126" i="38"/>
  <c r="T126" i="38" s="1"/>
  <c r="J131" i="155"/>
  <c r="T131" i="155" s="1"/>
  <c r="T119" i="155"/>
  <c r="H119" i="154"/>
  <c r="T119" i="75"/>
  <c r="J131" i="75"/>
  <c r="T131" i="75" s="1"/>
  <c r="H120" i="154"/>
  <c r="J126" i="155"/>
  <c r="T126" i="155" s="1"/>
  <c r="T114" i="155"/>
  <c r="T115" i="38"/>
  <c r="J127" i="38"/>
  <c r="T127" i="38" s="1"/>
  <c r="BM16" i="17"/>
  <c r="M53" i="25"/>
  <c r="M53" i="74"/>
  <c r="E65" i="74" s="1"/>
  <c r="J128" i="75"/>
  <c r="T128" i="75" s="1"/>
  <c r="T116" i="75"/>
  <c r="T116" i="38"/>
  <c r="J128" i="38"/>
  <c r="T128" i="38" s="1"/>
  <c r="J132" i="38"/>
  <c r="T132" i="38" s="1"/>
  <c r="T120" i="38"/>
  <c r="H121" i="154"/>
  <c r="J132" i="75"/>
  <c r="T132" i="75" s="1"/>
  <c r="T120" i="75"/>
  <c r="H113" i="154"/>
  <c r="T117" i="38"/>
  <c r="J129" i="38"/>
  <c r="T129" i="38" s="1"/>
  <c r="H118" i="154"/>
  <c r="J132" i="155"/>
  <c r="T132" i="155" s="1"/>
  <c r="T120" i="155"/>
  <c r="J133" i="155"/>
  <c r="T133" i="155" s="1"/>
  <c r="T121" i="155"/>
  <c r="H111" i="154"/>
  <c r="J122" i="155"/>
  <c r="T122" i="155" s="1"/>
  <c r="T110" i="155"/>
  <c r="H115" i="154"/>
  <c r="J130" i="155"/>
  <c r="T130" i="155" s="1"/>
  <c r="T118" i="155"/>
  <c r="J122" i="38"/>
  <c r="T122" i="38" s="1"/>
  <c r="T110" i="38"/>
  <c r="J122" i="75"/>
  <c r="T122" i="75" s="1"/>
  <c r="T110" i="75"/>
  <c r="J128" i="155"/>
  <c r="T128" i="155" s="1"/>
  <c r="T116" i="155"/>
  <c r="T117" i="75"/>
  <c r="J129" i="75"/>
  <c r="T129" i="75" s="1"/>
  <c r="J133" i="38"/>
  <c r="T133" i="38" s="1"/>
  <c r="T121" i="38"/>
  <c r="T113" i="75"/>
  <c r="J125" i="75"/>
  <c r="T125" i="75" s="1"/>
  <c r="T113" i="155"/>
  <c r="J125" i="155"/>
  <c r="T125" i="155" s="1"/>
  <c r="T113" i="38"/>
  <c r="J125" i="38"/>
  <c r="T125" i="38" s="1"/>
  <c r="H114" i="154"/>
  <c r="J124" i="155"/>
  <c r="T124" i="155" s="1"/>
  <c r="T112" i="155"/>
  <c r="H112" i="154"/>
  <c r="J127" i="155"/>
  <c r="T127" i="155" s="1"/>
  <c r="T115" i="155"/>
  <c r="J123" i="38"/>
  <c r="T123" i="38" s="1"/>
  <c r="T111" i="38"/>
  <c r="J129" i="155"/>
  <c r="T129" i="155" s="1"/>
  <c r="T117" i="155"/>
  <c r="AA8" i="15"/>
  <c r="O5" i="15"/>
  <c r="AA7" i="15"/>
  <c r="AA6" i="15"/>
  <c r="A110" i="77"/>
  <c r="ED2" i="67"/>
  <c r="D2" i="75"/>
  <c r="DQ194" i="4"/>
  <c r="T194" i="4"/>
  <c r="D2" i="36"/>
  <c r="D2" i="77"/>
  <c r="EH2" i="67"/>
  <c r="EJ2" i="67" s="1"/>
  <c r="EK2" i="67"/>
  <c r="EL2" i="67"/>
  <c r="EI34" i="67"/>
  <c r="EI42" i="67"/>
  <c r="EJ33" i="67"/>
  <c r="R121" i="38"/>
  <c r="R118" i="38"/>
  <c r="EG26" i="67"/>
  <c r="EB2" i="67"/>
  <c r="EC2" i="67" s="1"/>
  <c r="EB14" i="67"/>
  <c r="EC14" i="67" s="1"/>
  <c r="ED26" i="67"/>
  <c r="EI19" i="67"/>
  <c r="EL38" i="67"/>
  <c r="EK38" i="67"/>
  <c r="EI25" i="67"/>
  <c r="EE14" i="67"/>
  <c r="EF14" i="67" s="1"/>
  <c r="EE2" i="67"/>
  <c r="EF2" i="67" s="1"/>
  <c r="EK26" i="67"/>
  <c r="EH26" i="67"/>
  <c r="EJ26" i="67" s="1"/>
  <c r="T230" i="4"/>
  <c r="DQ230" i="4"/>
  <c r="D38" i="77"/>
  <c r="D38" i="36"/>
  <c r="DP206" i="4"/>
  <c r="S206" i="4"/>
  <c r="D14" i="76"/>
  <c r="D14" i="34"/>
  <c r="D14" i="30"/>
  <c r="R230" i="4"/>
  <c r="DO230" i="4"/>
  <c r="D38" i="75"/>
  <c r="D38" i="38"/>
  <c r="D38" i="28"/>
  <c r="DO218" i="4"/>
  <c r="R218" i="4"/>
  <c r="D26" i="75"/>
  <c r="D26" i="38"/>
  <c r="D26" i="28"/>
  <c r="S230" i="4"/>
  <c r="DP230" i="4"/>
  <c r="D38" i="76"/>
  <c r="D38" i="34"/>
  <c r="D38" i="30"/>
  <c r="EG38" i="67"/>
  <c r="EE38" i="67"/>
  <c r="EF38" i="67" s="1"/>
  <c r="DO194" i="4"/>
  <c r="R194" i="4"/>
  <c r="D2" i="38"/>
  <c r="D2" i="28"/>
  <c r="DP218" i="4"/>
  <c r="S218" i="4"/>
  <c r="D26" i="76"/>
  <c r="D26" i="34"/>
  <c r="D26" i="30"/>
  <c r="D26" i="77"/>
  <c r="DQ218" i="4"/>
  <c r="T218" i="4"/>
  <c r="D26" i="36"/>
  <c r="DP194" i="4"/>
  <c r="S194" i="4"/>
  <c r="D2" i="76"/>
  <c r="D2" i="34"/>
  <c r="D2" i="30"/>
  <c r="R206" i="4"/>
  <c r="DO206" i="4"/>
  <c r="D14" i="75"/>
  <c r="D14" i="38"/>
  <c r="D14" i="28"/>
  <c r="EJ49" i="67"/>
  <c r="EI49" i="67"/>
  <c r="EI7" i="67"/>
  <c r="EI10" i="67"/>
  <c r="EI12" i="67"/>
  <c r="EJ46" i="67"/>
  <c r="EI46" i="67"/>
  <c r="EJ48" i="67"/>
  <c r="EI48" i="67"/>
  <c r="EJ38" i="67"/>
  <c r="EI38" i="67"/>
  <c r="EI44" i="67"/>
  <c r="EJ44" i="67"/>
  <c r="EI24" i="67"/>
  <c r="EI16" i="67"/>
  <c r="EI47" i="67"/>
  <c r="EJ47" i="67"/>
  <c r="EI15" i="67"/>
  <c r="EI18" i="67"/>
  <c r="EI3" i="67"/>
  <c r="EI5" i="67"/>
  <c r="EJ28" i="67"/>
  <c r="EI28" i="67"/>
  <c r="EI40" i="67"/>
  <c r="EJ40" i="67"/>
  <c r="EJ35" i="67"/>
  <c r="EI35" i="67"/>
  <c r="EI37" i="67"/>
  <c r="EJ37" i="67"/>
  <c r="EJ39" i="67"/>
  <c r="EI39" i="67"/>
  <c r="EI27" i="67"/>
  <c r="EJ27" i="67"/>
  <c r="EI9" i="67"/>
  <c r="EI30" i="67"/>
  <c r="EJ30" i="67"/>
  <c r="EJ29" i="67"/>
  <c r="EI29" i="67"/>
  <c r="EI11" i="67"/>
  <c r="EI21" i="67"/>
  <c r="EJ43" i="67"/>
  <c r="EI43" i="67"/>
  <c r="EI17" i="67"/>
  <c r="EJ32" i="67"/>
  <c r="EI32" i="67"/>
  <c r="EI13" i="67"/>
  <c r="EI8" i="67"/>
  <c r="EI4" i="67"/>
  <c r="EJ31" i="67"/>
  <c r="EI31" i="67"/>
  <c r="EI6" i="67"/>
  <c r="EI22" i="67"/>
  <c r="EI20" i="67"/>
  <c r="K41" i="148"/>
  <c r="J130" i="75" l="1"/>
  <c r="T130" i="75" s="1"/>
  <c r="R117" i="38"/>
  <c r="T114" i="75"/>
  <c r="J133" i="75"/>
  <c r="T133" i="75" s="1"/>
  <c r="J123" i="75"/>
  <c r="T123" i="75" s="1"/>
  <c r="T112" i="75"/>
  <c r="E65" i="25"/>
  <c r="M45" i="158"/>
  <c r="E9" i="158" s="1"/>
  <c r="R111" i="154"/>
  <c r="H123" i="154"/>
  <c r="R123" i="154" s="1"/>
  <c r="H131" i="154"/>
  <c r="R131" i="154" s="1"/>
  <c r="R119" i="154"/>
  <c r="R112" i="154"/>
  <c r="H124" i="154"/>
  <c r="R124" i="154" s="1"/>
  <c r="R121" i="154"/>
  <c r="H133" i="154"/>
  <c r="R133" i="154" s="1"/>
  <c r="H126" i="154"/>
  <c r="R126" i="154" s="1"/>
  <c r="R114" i="154"/>
  <c r="H122" i="154"/>
  <c r="R122" i="154" s="1"/>
  <c r="R110" i="154"/>
  <c r="R118" i="154"/>
  <c r="H130" i="154"/>
  <c r="R130" i="154" s="1"/>
  <c r="R116" i="154"/>
  <c r="H128" i="154"/>
  <c r="R128" i="154" s="1"/>
  <c r="R115" i="154"/>
  <c r="H127" i="154"/>
  <c r="R127" i="154" s="1"/>
  <c r="H132" i="154"/>
  <c r="R132" i="154" s="1"/>
  <c r="R120" i="154"/>
  <c r="H129" i="154"/>
  <c r="R129" i="154" s="1"/>
  <c r="R117" i="154"/>
  <c r="H125" i="154"/>
  <c r="R125" i="154" s="1"/>
  <c r="R113" i="154"/>
  <c r="A111" i="77"/>
  <c r="C110" i="77"/>
  <c r="B110" i="77"/>
  <c r="A110" i="75"/>
  <c r="EI2" i="67"/>
  <c r="R124" i="38"/>
  <c r="R125" i="38"/>
  <c r="R123" i="38"/>
  <c r="R122" i="38"/>
  <c r="R126" i="38"/>
  <c r="EI26" i="67"/>
  <c r="R115" i="38"/>
  <c r="R113" i="38"/>
  <c r="R114" i="38"/>
  <c r="R112" i="38"/>
  <c r="R110" i="38"/>
  <c r="R111" i="38"/>
  <c r="K42" i="148"/>
  <c r="C111" i="77" l="1"/>
  <c r="B111" i="77"/>
  <c r="A112" i="77"/>
  <c r="A111" i="75"/>
  <c r="B110" i="75"/>
  <c r="C110" i="75"/>
  <c r="K43" i="148"/>
  <c r="A113" i="77" l="1"/>
  <c r="B112" i="77"/>
  <c r="C112" i="77"/>
  <c r="A112" i="75"/>
  <c r="B111" i="75"/>
  <c r="C111" i="75"/>
  <c r="P1" i="77"/>
  <c r="Q1" i="77"/>
  <c r="P1" i="76"/>
  <c r="O1" i="76"/>
  <c r="R1" i="77"/>
  <c r="T1" i="77"/>
  <c r="S1" i="77"/>
  <c r="N133" i="76"/>
  <c r="C133" i="76"/>
  <c r="B133" i="76"/>
  <c r="N132" i="76"/>
  <c r="C132" i="76"/>
  <c r="B132" i="76"/>
  <c r="N131" i="76"/>
  <c r="C131" i="76"/>
  <c r="B131" i="76"/>
  <c r="N130" i="76"/>
  <c r="C130" i="76"/>
  <c r="B130" i="76"/>
  <c r="N129" i="76"/>
  <c r="C129" i="76"/>
  <c r="B129" i="76"/>
  <c r="N128" i="76"/>
  <c r="C128" i="76"/>
  <c r="B128" i="76"/>
  <c r="N127" i="76"/>
  <c r="C127" i="76"/>
  <c r="B127" i="76"/>
  <c r="C121" i="76"/>
  <c r="B121" i="76"/>
  <c r="C120" i="76"/>
  <c r="B120" i="76"/>
  <c r="C119" i="76"/>
  <c r="B119" i="76"/>
  <c r="C118" i="76"/>
  <c r="B118" i="76"/>
  <c r="C117" i="76"/>
  <c r="B117" i="76"/>
  <c r="C116" i="76"/>
  <c r="B116" i="76"/>
  <c r="B61" i="74"/>
  <c r="B60" i="74"/>
  <c r="B47" i="74"/>
  <c r="B59" i="74" s="1"/>
  <c r="B16" i="74"/>
  <c r="B15" i="74"/>
  <c r="Q1" i="34"/>
  <c r="O3" i="28"/>
  <c r="O4" i="28"/>
  <c r="O5" i="28"/>
  <c r="O9" i="28"/>
  <c r="O10" i="28"/>
  <c r="O12" i="28"/>
  <c r="O13" i="28"/>
  <c r="O14" i="28"/>
  <c r="O15" i="28"/>
  <c r="O16" i="28"/>
  <c r="O17" i="28"/>
  <c r="O18" i="28"/>
  <c r="O19" i="28"/>
  <c r="O20" i="28"/>
  <c r="O21" i="28"/>
  <c r="O25" i="28"/>
  <c r="O26" i="28"/>
  <c r="O29" i="28"/>
  <c r="O31" i="28"/>
  <c r="O32" i="28"/>
  <c r="O33" i="28"/>
  <c r="O34" i="28"/>
  <c r="O35" i="28"/>
  <c r="O36" i="28"/>
  <c r="O37" i="28"/>
  <c r="O42" i="28"/>
  <c r="O43" i="28"/>
  <c r="O44" i="28"/>
  <c r="O45" i="28"/>
  <c r="O46" i="28"/>
  <c r="O47" i="28"/>
  <c r="O48" i="28"/>
  <c r="O49" i="28"/>
  <c r="O50" i="28"/>
  <c r="O51" i="28"/>
  <c r="O52" i="28"/>
  <c r="O53" i="28"/>
  <c r="O57" i="28"/>
  <c r="O61" i="28"/>
  <c r="O62" i="28"/>
  <c r="O63" i="28"/>
  <c r="O64" i="28"/>
  <c r="O65" i="28"/>
  <c r="O66" i="28"/>
  <c r="O67" i="28"/>
  <c r="O68" i="28"/>
  <c r="O69" i="28"/>
  <c r="O74" i="28"/>
  <c r="O76" i="28"/>
  <c r="O77" i="28"/>
  <c r="O78" i="28"/>
  <c r="O79" i="28"/>
  <c r="O80" i="28"/>
  <c r="O81" i="28"/>
  <c r="O82" i="28"/>
  <c r="O83" i="28"/>
  <c r="O84" i="28"/>
  <c r="O85" i="28"/>
  <c r="O89" i="28"/>
  <c r="O90" i="28"/>
  <c r="O91" i="28"/>
  <c r="O92" i="28"/>
  <c r="O93" i="28"/>
  <c r="O94" i="28"/>
  <c r="O95" i="28"/>
  <c r="O96" i="28"/>
  <c r="O97" i="28"/>
  <c r="P1" i="36"/>
  <c r="I3" i="32"/>
  <c r="M3" i="32" s="1"/>
  <c r="I4" i="32"/>
  <c r="M4" i="32" s="1"/>
  <c r="I5" i="32"/>
  <c r="M5" i="32" s="1"/>
  <c r="I6" i="32"/>
  <c r="M6" i="32" s="1"/>
  <c r="I7" i="32"/>
  <c r="M7" i="32" s="1"/>
  <c r="I8" i="32"/>
  <c r="M8" i="32" s="1"/>
  <c r="I9" i="32"/>
  <c r="M9" i="32" s="1"/>
  <c r="I10" i="32"/>
  <c r="M10" i="32" s="1"/>
  <c r="I11" i="32"/>
  <c r="M11" i="32" s="1"/>
  <c r="I12" i="32"/>
  <c r="M12" i="32" s="1"/>
  <c r="I13" i="32"/>
  <c r="M13" i="32" s="1"/>
  <c r="I14" i="32"/>
  <c r="M14" i="32" s="1"/>
  <c r="I15" i="32"/>
  <c r="M15" i="32" s="1"/>
  <c r="I16" i="32"/>
  <c r="M16" i="32" s="1"/>
  <c r="I17" i="32"/>
  <c r="M17" i="32" s="1"/>
  <c r="I18" i="32"/>
  <c r="M18" i="32" s="1"/>
  <c r="I19" i="32"/>
  <c r="M19" i="32" s="1"/>
  <c r="I20" i="32"/>
  <c r="M20" i="32" s="1"/>
  <c r="I21" i="32"/>
  <c r="M21" i="32" s="1"/>
  <c r="I22" i="32"/>
  <c r="M22" i="32" s="1"/>
  <c r="I23" i="32"/>
  <c r="M23" i="32" s="1"/>
  <c r="I24" i="32"/>
  <c r="M24" i="32" s="1"/>
  <c r="I25" i="32"/>
  <c r="M25" i="32" s="1"/>
  <c r="I26" i="32"/>
  <c r="M26" i="32" s="1"/>
  <c r="I27" i="32"/>
  <c r="M27" i="32" s="1"/>
  <c r="I28" i="32"/>
  <c r="M28" i="32" s="1"/>
  <c r="I29" i="32"/>
  <c r="M29" i="32" s="1"/>
  <c r="I30" i="32"/>
  <c r="M30" i="32" s="1"/>
  <c r="I31" i="32"/>
  <c r="M31" i="32" s="1"/>
  <c r="I32" i="32"/>
  <c r="M32" i="32" s="1"/>
  <c r="I33" i="32"/>
  <c r="M33" i="32" s="1"/>
  <c r="I34" i="32"/>
  <c r="M34" i="32" s="1"/>
  <c r="I35" i="32"/>
  <c r="M35" i="32" s="1"/>
  <c r="I36" i="32"/>
  <c r="M36" i="32" s="1"/>
  <c r="I37" i="32"/>
  <c r="M37" i="32" s="1"/>
  <c r="I38" i="32"/>
  <c r="M38" i="32" s="1"/>
  <c r="I39" i="32"/>
  <c r="M39" i="32" s="1"/>
  <c r="I40" i="32"/>
  <c r="M40" i="32" s="1"/>
  <c r="I41" i="32"/>
  <c r="M41" i="32" s="1"/>
  <c r="I42" i="32"/>
  <c r="M42" i="32" s="1"/>
  <c r="I43" i="32"/>
  <c r="M43" i="32" s="1"/>
  <c r="I44" i="32"/>
  <c r="M44" i="32" s="1"/>
  <c r="I45" i="32"/>
  <c r="M45" i="32" s="1"/>
  <c r="I46" i="32"/>
  <c r="M46" i="32" s="1"/>
  <c r="I47" i="32"/>
  <c r="M47" i="32" s="1"/>
  <c r="I48" i="32"/>
  <c r="M48" i="32" s="1"/>
  <c r="I49" i="32"/>
  <c r="M49" i="32" s="1"/>
  <c r="I50" i="32"/>
  <c r="M50" i="32" s="1"/>
  <c r="I51" i="32"/>
  <c r="M51" i="32" s="1"/>
  <c r="I52" i="32"/>
  <c r="M52" i="32" s="1"/>
  <c r="I53" i="32"/>
  <c r="M53" i="32" s="1"/>
  <c r="I54" i="32"/>
  <c r="M54" i="32" s="1"/>
  <c r="I55" i="32"/>
  <c r="M55" i="32" s="1"/>
  <c r="I56" i="32"/>
  <c r="M56" i="32" s="1"/>
  <c r="I57" i="32"/>
  <c r="M57" i="32" s="1"/>
  <c r="I58" i="32"/>
  <c r="M58" i="32" s="1"/>
  <c r="I59" i="32"/>
  <c r="M59" i="32" s="1"/>
  <c r="I60" i="32"/>
  <c r="M60" i="32" s="1"/>
  <c r="I61" i="32"/>
  <c r="M61" i="32" s="1"/>
  <c r="I62" i="32"/>
  <c r="M62" i="32" s="1"/>
  <c r="I63" i="32"/>
  <c r="M63" i="32" s="1"/>
  <c r="I64" i="32"/>
  <c r="M64" i="32" s="1"/>
  <c r="I65" i="32"/>
  <c r="M65" i="32" s="1"/>
  <c r="I66" i="32"/>
  <c r="M66" i="32" s="1"/>
  <c r="I67" i="32"/>
  <c r="M67" i="32" s="1"/>
  <c r="I68" i="32"/>
  <c r="M68" i="32" s="1"/>
  <c r="I69" i="32"/>
  <c r="M69" i="32" s="1"/>
  <c r="I70" i="32"/>
  <c r="M70" i="32" s="1"/>
  <c r="I71" i="32"/>
  <c r="M71" i="32" s="1"/>
  <c r="I72" i="32"/>
  <c r="M72" i="32" s="1"/>
  <c r="I73" i="32"/>
  <c r="M73" i="32" s="1"/>
  <c r="I74" i="32"/>
  <c r="M74" i="32" s="1"/>
  <c r="I75" i="32"/>
  <c r="M75" i="32" s="1"/>
  <c r="I76" i="32"/>
  <c r="M76" i="32" s="1"/>
  <c r="I77" i="32"/>
  <c r="M77" i="32" s="1"/>
  <c r="I78" i="32"/>
  <c r="M78" i="32" s="1"/>
  <c r="I79" i="32"/>
  <c r="M79" i="32" s="1"/>
  <c r="I80" i="32"/>
  <c r="M80" i="32" s="1"/>
  <c r="I81" i="32"/>
  <c r="M81" i="32" s="1"/>
  <c r="I82" i="32"/>
  <c r="M82" i="32" s="1"/>
  <c r="I83" i="32"/>
  <c r="M83" i="32" s="1"/>
  <c r="I84" i="32"/>
  <c r="M84" i="32" s="1"/>
  <c r="I85" i="32"/>
  <c r="M85" i="32" s="1"/>
  <c r="I86" i="32"/>
  <c r="M86" i="32" s="1"/>
  <c r="I87" i="32"/>
  <c r="M87" i="32" s="1"/>
  <c r="I88" i="32"/>
  <c r="M88" i="32" s="1"/>
  <c r="I89" i="32"/>
  <c r="M89" i="32" s="1"/>
  <c r="I90" i="32"/>
  <c r="M90" i="32" s="1"/>
  <c r="I91" i="32"/>
  <c r="M91" i="32" s="1"/>
  <c r="I92" i="32"/>
  <c r="M92" i="32" s="1"/>
  <c r="I93" i="32"/>
  <c r="M93" i="32" s="1"/>
  <c r="I94" i="32"/>
  <c r="M94" i="32" s="1"/>
  <c r="I95" i="32"/>
  <c r="M95" i="32" s="1"/>
  <c r="I96" i="32"/>
  <c r="M96" i="32" s="1"/>
  <c r="I97" i="32"/>
  <c r="M97" i="32" s="1"/>
  <c r="M2" i="30"/>
  <c r="N2" i="30"/>
  <c r="P2" i="30"/>
  <c r="M3" i="30"/>
  <c r="N3" i="30"/>
  <c r="P3" i="30"/>
  <c r="M4" i="30"/>
  <c r="N4" i="30"/>
  <c r="P4" i="30"/>
  <c r="M5" i="30"/>
  <c r="N5" i="30"/>
  <c r="P5" i="30"/>
  <c r="M6" i="30"/>
  <c r="N6" i="30"/>
  <c r="P6" i="30"/>
  <c r="M7" i="30"/>
  <c r="N7" i="30"/>
  <c r="P7" i="30"/>
  <c r="M8" i="30"/>
  <c r="N8" i="30"/>
  <c r="P8" i="30"/>
  <c r="M9" i="30"/>
  <c r="N9" i="30"/>
  <c r="P9" i="30"/>
  <c r="M10" i="30"/>
  <c r="N10" i="30"/>
  <c r="P10" i="30"/>
  <c r="M11" i="30"/>
  <c r="N11" i="30"/>
  <c r="P11" i="30"/>
  <c r="M12" i="30"/>
  <c r="N12" i="30"/>
  <c r="P12" i="30"/>
  <c r="M13" i="30"/>
  <c r="N13" i="30"/>
  <c r="P13" i="30"/>
  <c r="M14" i="30"/>
  <c r="N14" i="30"/>
  <c r="P14" i="30"/>
  <c r="M15" i="30"/>
  <c r="N15" i="30"/>
  <c r="P15" i="30"/>
  <c r="M16" i="30"/>
  <c r="N16" i="30"/>
  <c r="P16" i="30"/>
  <c r="M17" i="30"/>
  <c r="N17" i="30"/>
  <c r="P17" i="30"/>
  <c r="M18" i="30"/>
  <c r="N18" i="30"/>
  <c r="P18" i="30"/>
  <c r="M19" i="30"/>
  <c r="N19" i="30"/>
  <c r="P19" i="30"/>
  <c r="M20" i="30"/>
  <c r="N20" i="30"/>
  <c r="P20" i="30"/>
  <c r="M21" i="30"/>
  <c r="N21" i="30"/>
  <c r="P21" i="30"/>
  <c r="M22" i="30"/>
  <c r="N22" i="30"/>
  <c r="P22" i="30"/>
  <c r="M23" i="30"/>
  <c r="N23" i="30"/>
  <c r="P23" i="30"/>
  <c r="M24" i="30"/>
  <c r="N24" i="30"/>
  <c r="P24" i="30"/>
  <c r="M25" i="30"/>
  <c r="N25" i="30"/>
  <c r="P25" i="30"/>
  <c r="M26" i="30"/>
  <c r="N26" i="30"/>
  <c r="P26" i="30"/>
  <c r="M27" i="30"/>
  <c r="N27" i="30"/>
  <c r="P27" i="30"/>
  <c r="M28" i="30"/>
  <c r="N28" i="30"/>
  <c r="P28" i="30"/>
  <c r="M29" i="30"/>
  <c r="N29" i="30"/>
  <c r="P29" i="30"/>
  <c r="M30" i="30"/>
  <c r="N30" i="30"/>
  <c r="P30" i="30"/>
  <c r="M31" i="30"/>
  <c r="N31" i="30"/>
  <c r="P31" i="30"/>
  <c r="M32" i="30"/>
  <c r="N32" i="30"/>
  <c r="P32" i="30"/>
  <c r="M33" i="30"/>
  <c r="N33" i="30"/>
  <c r="P33" i="30"/>
  <c r="M34" i="30"/>
  <c r="N34" i="30"/>
  <c r="P34" i="30"/>
  <c r="M35" i="30"/>
  <c r="N35" i="30"/>
  <c r="P35" i="30"/>
  <c r="M36" i="30"/>
  <c r="N36" i="30"/>
  <c r="P36" i="30"/>
  <c r="M37" i="30"/>
  <c r="N37" i="30"/>
  <c r="P37" i="30"/>
  <c r="M38" i="30"/>
  <c r="N38" i="30"/>
  <c r="P38" i="30"/>
  <c r="M39" i="30"/>
  <c r="N39" i="30"/>
  <c r="P39" i="30"/>
  <c r="M40" i="30"/>
  <c r="N40" i="30"/>
  <c r="P40" i="30"/>
  <c r="M41" i="30"/>
  <c r="N41" i="30"/>
  <c r="P41" i="30"/>
  <c r="M42" i="30"/>
  <c r="N42" i="30"/>
  <c r="P42" i="30"/>
  <c r="M43" i="30"/>
  <c r="N43" i="30"/>
  <c r="P43" i="30"/>
  <c r="M44" i="30"/>
  <c r="N44" i="30"/>
  <c r="P44" i="30"/>
  <c r="M45" i="30"/>
  <c r="N45" i="30"/>
  <c r="P45" i="30"/>
  <c r="M46" i="30"/>
  <c r="N46" i="30"/>
  <c r="P46" i="30"/>
  <c r="M47" i="30"/>
  <c r="N47" i="30"/>
  <c r="P47" i="30"/>
  <c r="M48" i="30"/>
  <c r="N48" i="30"/>
  <c r="P48" i="30"/>
  <c r="M49" i="30"/>
  <c r="N49" i="30"/>
  <c r="P49" i="30"/>
  <c r="M50" i="30"/>
  <c r="N50" i="30"/>
  <c r="P50" i="30"/>
  <c r="M51" i="30"/>
  <c r="N51" i="30"/>
  <c r="P51" i="30"/>
  <c r="M52" i="30"/>
  <c r="N52" i="30"/>
  <c r="P52" i="30"/>
  <c r="M53" i="30"/>
  <c r="N53" i="30"/>
  <c r="P53" i="30"/>
  <c r="M54" i="30"/>
  <c r="N54" i="30"/>
  <c r="P54" i="30"/>
  <c r="M55" i="30"/>
  <c r="N55" i="30"/>
  <c r="P55" i="30"/>
  <c r="M56" i="30"/>
  <c r="N56" i="30"/>
  <c r="P56" i="30"/>
  <c r="M57" i="30"/>
  <c r="N57" i="30"/>
  <c r="P57" i="30"/>
  <c r="M58" i="30"/>
  <c r="N58" i="30"/>
  <c r="P58" i="30"/>
  <c r="M59" i="30"/>
  <c r="N59" i="30"/>
  <c r="P59" i="30"/>
  <c r="M60" i="30"/>
  <c r="N60" i="30"/>
  <c r="P60" i="30"/>
  <c r="M61" i="30"/>
  <c r="N61" i="30"/>
  <c r="P61" i="30"/>
  <c r="M62" i="30"/>
  <c r="N62" i="30"/>
  <c r="P62" i="30"/>
  <c r="M63" i="30"/>
  <c r="N63" i="30"/>
  <c r="P63" i="30"/>
  <c r="M64" i="30"/>
  <c r="N64" i="30"/>
  <c r="P64" i="30"/>
  <c r="M65" i="30"/>
  <c r="N65" i="30"/>
  <c r="P65" i="30"/>
  <c r="M66" i="30"/>
  <c r="N66" i="30"/>
  <c r="P66" i="30"/>
  <c r="M67" i="30"/>
  <c r="N67" i="30"/>
  <c r="P67" i="30"/>
  <c r="M68" i="30"/>
  <c r="N68" i="30"/>
  <c r="P68" i="30"/>
  <c r="M69" i="30"/>
  <c r="N69" i="30"/>
  <c r="P69" i="30"/>
  <c r="M70" i="30"/>
  <c r="N70" i="30"/>
  <c r="P70" i="30"/>
  <c r="M71" i="30"/>
  <c r="N71" i="30"/>
  <c r="P71" i="30"/>
  <c r="M72" i="30"/>
  <c r="N72" i="30"/>
  <c r="P72" i="30"/>
  <c r="M73" i="30"/>
  <c r="N73" i="30"/>
  <c r="P73" i="30"/>
  <c r="M74" i="30"/>
  <c r="N74" i="30"/>
  <c r="P74" i="30"/>
  <c r="M75" i="30"/>
  <c r="N75" i="30"/>
  <c r="P75" i="30"/>
  <c r="M76" i="30"/>
  <c r="N76" i="30"/>
  <c r="P76" i="30"/>
  <c r="M77" i="30"/>
  <c r="N77" i="30"/>
  <c r="P77" i="30"/>
  <c r="M78" i="30"/>
  <c r="N78" i="30"/>
  <c r="P78" i="30"/>
  <c r="M79" i="30"/>
  <c r="N79" i="30"/>
  <c r="P79" i="30"/>
  <c r="M80" i="30"/>
  <c r="N80" i="30"/>
  <c r="P80" i="30"/>
  <c r="M81" i="30"/>
  <c r="N81" i="30"/>
  <c r="P81" i="30"/>
  <c r="M82" i="30"/>
  <c r="N82" i="30"/>
  <c r="P82" i="30"/>
  <c r="M83" i="30"/>
  <c r="N83" i="30"/>
  <c r="P83" i="30"/>
  <c r="M84" i="30"/>
  <c r="N84" i="30"/>
  <c r="P84" i="30"/>
  <c r="M85" i="30"/>
  <c r="N85" i="30"/>
  <c r="P85" i="30"/>
  <c r="M86" i="30"/>
  <c r="N86" i="30"/>
  <c r="P86" i="30"/>
  <c r="M87" i="30"/>
  <c r="N87" i="30"/>
  <c r="P87" i="30"/>
  <c r="M88" i="30"/>
  <c r="N88" i="30"/>
  <c r="P88" i="30"/>
  <c r="M89" i="30"/>
  <c r="N89" i="30"/>
  <c r="P89" i="30"/>
  <c r="M90" i="30"/>
  <c r="N90" i="30"/>
  <c r="P90" i="30"/>
  <c r="M91" i="30"/>
  <c r="N91" i="30"/>
  <c r="P91" i="30"/>
  <c r="M92" i="30"/>
  <c r="N92" i="30"/>
  <c r="P92" i="30"/>
  <c r="M93" i="30"/>
  <c r="N93" i="30"/>
  <c r="P93" i="30"/>
  <c r="M94" i="30"/>
  <c r="N94" i="30"/>
  <c r="P94" i="30"/>
  <c r="M95" i="30"/>
  <c r="N95" i="30"/>
  <c r="P95" i="30"/>
  <c r="M96" i="30"/>
  <c r="N96" i="30"/>
  <c r="P96" i="30"/>
  <c r="M97" i="30"/>
  <c r="N97" i="30"/>
  <c r="P97" i="30"/>
  <c r="P1" i="30"/>
  <c r="Q1" i="30"/>
  <c r="R2" i="38"/>
  <c r="S2" i="38"/>
  <c r="R3" i="38"/>
  <c r="S3" i="38"/>
  <c r="R4" i="38"/>
  <c r="S4" i="38"/>
  <c r="R5" i="38"/>
  <c r="S5" i="38"/>
  <c r="R6" i="38"/>
  <c r="S6" i="38"/>
  <c r="R7" i="38"/>
  <c r="S7" i="38"/>
  <c r="R8" i="38"/>
  <c r="S8" i="38"/>
  <c r="R9" i="38"/>
  <c r="S9" i="38"/>
  <c r="R10" i="38"/>
  <c r="S10" i="38"/>
  <c r="R11" i="38"/>
  <c r="S11" i="38"/>
  <c r="R12" i="38"/>
  <c r="S12" i="38"/>
  <c r="R13" i="38"/>
  <c r="S13" i="38"/>
  <c r="R14" i="38"/>
  <c r="S14" i="38"/>
  <c r="R15" i="38"/>
  <c r="S15" i="38"/>
  <c r="R16" i="38"/>
  <c r="S16" i="38"/>
  <c r="R17" i="38"/>
  <c r="S17" i="38"/>
  <c r="R18" i="38"/>
  <c r="S18" i="38"/>
  <c r="R19" i="38"/>
  <c r="S19" i="38"/>
  <c r="R20" i="38"/>
  <c r="S20" i="38"/>
  <c r="R21" i="38"/>
  <c r="S21" i="38"/>
  <c r="R22" i="38"/>
  <c r="S22" i="38"/>
  <c r="R23" i="38"/>
  <c r="S23" i="38"/>
  <c r="R24" i="38"/>
  <c r="S24" i="38"/>
  <c r="R25" i="38"/>
  <c r="S25" i="38"/>
  <c r="R26" i="38"/>
  <c r="S26" i="38"/>
  <c r="R27" i="38"/>
  <c r="S27" i="38"/>
  <c r="R28" i="38"/>
  <c r="S28" i="38"/>
  <c r="R29" i="38"/>
  <c r="S29" i="38"/>
  <c r="R30" i="38"/>
  <c r="S30" i="38"/>
  <c r="R31" i="38"/>
  <c r="S31" i="38"/>
  <c r="R32" i="38"/>
  <c r="S32" i="38"/>
  <c r="R33" i="38"/>
  <c r="S33" i="38"/>
  <c r="R34" i="38"/>
  <c r="S34" i="38"/>
  <c r="R35" i="38"/>
  <c r="S35" i="38"/>
  <c r="R36" i="38"/>
  <c r="S36" i="38"/>
  <c r="R37" i="38"/>
  <c r="S37" i="38"/>
  <c r="R38" i="38"/>
  <c r="S38" i="38"/>
  <c r="R39" i="38"/>
  <c r="S39" i="38"/>
  <c r="R40" i="38"/>
  <c r="S40" i="38"/>
  <c r="R41" i="38"/>
  <c r="S41" i="38"/>
  <c r="R42" i="38"/>
  <c r="S42" i="38"/>
  <c r="R43" i="38"/>
  <c r="S43" i="38"/>
  <c r="R44" i="38"/>
  <c r="S44" i="38"/>
  <c r="R45" i="38"/>
  <c r="S45" i="38"/>
  <c r="R46" i="38"/>
  <c r="S46" i="38"/>
  <c r="R47" i="38"/>
  <c r="S47" i="38"/>
  <c r="R48" i="38"/>
  <c r="S48" i="38"/>
  <c r="R49" i="38"/>
  <c r="S49" i="38"/>
  <c r="R50" i="38"/>
  <c r="S50" i="38"/>
  <c r="R51" i="38"/>
  <c r="S51" i="38"/>
  <c r="R52" i="38"/>
  <c r="S52" i="38"/>
  <c r="R53" i="38"/>
  <c r="S53" i="38"/>
  <c r="R54" i="38"/>
  <c r="S54" i="38"/>
  <c r="R55" i="38"/>
  <c r="S55" i="38"/>
  <c r="R56" i="38"/>
  <c r="S56" i="38"/>
  <c r="R57" i="38"/>
  <c r="S57" i="38"/>
  <c r="R58" i="38"/>
  <c r="S58" i="38"/>
  <c r="R59" i="38"/>
  <c r="S59" i="38"/>
  <c r="R60" i="38"/>
  <c r="S60" i="38"/>
  <c r="R61" i="38"/>
  <c r="S61" i="38"/>
  <c r="R62" i="38"/>
  <c r="S62" i="38"/>
  <c r="R63" i="38"/>
  <c r="S63" i="38"/>
  <c r="R64" i="38"/>
  <c r="S64" i="38"/>
  <c r="R65" i="38"/>
  <c r="S65" i="38"/>
  <c r="R66" i="38"/>
  <c r="S66" i="38"/>
  <c r="R67" i="38"/>
  <c r="S67" i="38"/>
  <c r="R68" i="38"/>
  <c r="S68" i="38"/>
  <c r="R69" i="38"/>
  <c r="S69" i="38"/>
  <c r="R70" i="38"/>
  <c r="S70" i="38"/>
  <c r="R71" i="38"/>
  <c r="S71" i="38"/>
  <c r="R72" i="38"/>
  <c r="S72" i="38"/>
  <c r="R73" i="38"/>
  <c r="S73" i="38"/>
  <c r="R74" i="38"/>
  <c r="S74" i="38"/>
  <c r="R75" i="38"/>
  <c r="S75" i="38"/>
  <c r="R76" i="38"/>
  <c r="S76" i="38"/>
  <c r="R77" i="38"/>
  <c r="S77" i="38"/>
  <c r="R78" i="38"/>
  <c r="S78" i="38"/>
  <c r="R79" i="38"/>
  <c r="S79" i="38"/>
  <c r="R80" i="38"/>
  <c r="S80" i="38"/>
  <c r="R81" i="38"/>
  <c r="S81" i="38"/>
  <c r="R82" i="38"/>
  <c r="S82" i="38"/>
  <c r="R83" i="38"/>
  <c r="S83" i="38"/>
  <c r="R84" i="38"/>
  <c r="S84" i="38"/>
  <c r="R85" i="38"/>
  <c r="S85" i="38"/>
  <c r="R86" i="38"/>
  <c r="S86" i="38"/>
  <c r="R87" i="38"/>
  <c r="S87" i="38"/>
  <c r="R88" i="38"/>
  <c r="S88" i="38"/>
  <c r="R89" i="38"/>
  <c r="S89" i="38"/>
  <c r="R90" i="38"/>
  <c r="S90" i="38"/>
  <c r="R91" i="38"/>
  <c r="S91" i="38"/>
  <c r="R92" i="38"/>
  <c r="S92" i="38"/>
  <c r="R93" i="38"/>
  <c r="S93" i="38"/>
  <c r="R94" i="38"/>
  <c r="S94" i="38"/>
  <c r="R95" i="38"/>
  <c r="S95" i="38"/>
  <c r="R96" i="38"/>
  <c r="S96" i="38"/>
  <c r="R97" i="38"/>
  <c r="S97" i="38"/>
  <c r="N2" i="28"/>
  <c r="N3" i="28"/>
  <c r="N4" i="28"/>
  <c r="N5" i="28"/>
  <c r="N6" i="28"/>
  <c r="O6" i="28"/>
  <c r="N7" i="28"/>
  <c r="O7" i="28"/>
  <c r="N8" i="28"/>
  <c r="O8" i="28"/>
  <c r="N9" i="28"/>
  <c r="N10" i="28"/>
  <c r="N11" i="28"/>
  <c r="O11" i="28"/>
  <c r="N12" i="28"/>
  <c r="N13" i="28"/>
  <c r="N14" i="28"/>
  <c r="N15" i="28"/>
  <c r="N16" i="28"/>
  <c r="N17" i="28"/>
  <c r="N18" i="28"/>
  <c r="N19" i="28"/>
  <c r="N20" i="28"/>
  <c r="N21" i="28"/>
  <c r="N22" i="28"/>
  <c r="O22" i="28"/>
  <c r="N23" i="28"/>
  <c r="O23" i="28"/>
  <c r="N24" i="28"/>
  <c r="O24" i="28"/>
  <c r="N25" i="28"/>
  <c r="N26" i="28"/>
  <c r="N27" i="28"/>
  <c r="O27" i="28"/>
  <c r="N28" i="28"/>
  <c r="O28" i="28"/>
  <c r="N29" i="28"/>
  <c r="N30" i="28"/>
  <c r="O30" i="28"/>
  <c r="N31" i="28"/>
  <c r="N32" i="28"/>
  <c r="N33" i="28"/>
  <c r="N34" i="28"/>
  <c r="N35" i="28"/>
  <c r="N36" i="28"/>
  <c r="N37" i="28"/>
  <c r="N38" i="28"/>
  <c r="O38" i="28"/>
  <c r="N39" i="28"/>
  <c r="O39" i="28"/>
  <c r="N40" i="28"/>
  <c r="O40" i="28"/>
  <c r="N41" i="28"/>
  <c r="O41" i="28"/>
  <c r="N42" i="28"/>
  <c r="N43" i="28"/>
  <c r="N44" i="28"/>
  <c r="N45" i="28"/>
  <c r="N46" i="28"/>
  <c r="N47" i="28"/>
  <c r="N48" i="28"/>
  <c r="N49" i="28"/>
  <c r="N50" i="28"/>
  <c r="N51" i="28"/>
  <c r="N52" i="28"/>
  <c r="N53" i="28"/>
  <c r="N54" i="28"/>
  <c r="O54" i="28"/>
  <c r="N55" i="28"/>
  <c r="O55" i="28"/>
  <c r="N56" i="28"/>
  <c r="O56" i="28"/>
  <c r="N57" i="28"/>
  <c r="N58" i="28"/>
  <c r="O58" i="28"/>
  <c r="N59" i="28"/>
  <c r="O59" i="28"/>
  <c r="N60" i="28"/>
  <c r="O60" i="28"/>
  <c r="N61" i="28"/>
  <c r="N62" i="28"/>
  <c r="N63" i="28"/>
  <c r="N64" i="28"/>
  <c r="N65" i="28"/>
  <c r="N66" i="28"/>
  <c r="N67" i="28"/>
  <c r="N68" i="28"/>
  <c r="N69" i="28"/>
  <c r="N70" i="28"/>
  <c r="O70" i="28"/>
  <c r="N71" i="28"/>
  <c r="O71" i="28"/>
  <c r="N72" i="28"/>
  <c r="O72" i="28"/>
  <c r="N73" i="28"/>
  <c r="O73" i="28"/>
  <c r="N74" i="28"/>
  <c r="N75" i="28"/>
  <c r="O75" i="28"/>
  <c r="N76" i="28"/>
  <c r="N77" i="28"/>
  <c r="N78" i="28"/>
  <c r="N79" i="28"/>
  <c r="N80" i="28"/>
  <c r="N81" i="28"/>
  <c r="N82" i="28"/>
  <c r="N83" i="28"/>
  <c r="N84" i="28"/>
  <c r="N85" i="28"/>
  <c r="N86" i="28"/>
  <c r="O86" i="28"/>
  <c r="N87" i="28"/>
  <c r="O87" i="28"/>
  <c r="N88" i="28"/>
  <c r="O88" i="28"/>
  <c r="N89" i="28"/>
  <c r="N90" i="28"/>
  <c r="N91" i="28"/>
  <c r="N92" i="28"/>
  <c r="N93" i="28"/>
  <c r="N94" i="28"/>
  <c r="N95" i="28"/>
  <c r="N96" i="28"/>
  <c r="N97" i="28"/>
  <c r="T2" i="65"/>
  <c r="U2" i="65"/>
  <c r="W2" i="65"/>
  <c r="V2" i="65"/>
  <c r="S2" i="65"/>
  <c r="R2" i="65"/>
  <c r="N2" i="38"/>
  <c r="N3" i="38"/>
  <c r="N4" i="38"/>
  <c r="N5" i="38"/>
  <c r="N6" i="38"/>
  <c r="N7" i="38"/>
  <c r="N8" i="38"/>
  <c r="N9" i="38"/>
  <c r="N10" i="38"/>
  <c r="N11" i="38"/>
  <c r="N12" i="38"/>
  <c r="N13" i="38"/>
  <c r="N14" i="38"/>
  <c r="N15" i="38"/>
  <c r="N16" i="38"/>
  <c r="N17" i="38"/>
  <c r="N18" i="38"/>
  <c r="N19" i="38"/>
  <c r="N20" i="38"/>
  <c r="N21" i="38"/>
  <c r="N22" i="38"/>
  <c r="N23" i="38"/>
  <c r="N24" i="38"/>
  <c r="N25" i="38"/>
  <c r="N26" i="38"/>
  <c r="N27" i="38"/>
  <c r="N28" i="38"/>
  <c r="N29" i="38"/>
  <c r="N30" i="38"/>
  <c r="N31" i="38"/>
  <c r="N32" i="38"/>
  <c r="N33" i="38"/>
  <c r="N34" i="38"/>
  <c r="N35" i="38"/>
  <c r="N36" i="38"/>
  <c r="N37" i="38"/>
  <c r="N38" i="38"/>
  <c r="N39" i="38"/>
  <c r="N40" i="38"/>
  <c r="N41" i="38"/>
  <c r="N42" i="38"/>
  <c r="N43" i="38"/>
  <c r="N44" i="38"/>
  <c r="N45" i="38"/>
  <c r="N46" i="38"/>
  <c r="N47" i="38"/>
  <c r="N48" i="38"/>
  <c r="N49" i="38"/>
  <c r="N50" i="38"/>
  <c r="N51" i="38"/>
  <c r="N52" i="38"/>
  <c r="N53" i="38"/>
  <c r="N54" i="38"/>
  <c r="N55" i="38"/>
  <c r="N56" i="38"/>
  <c r="N57" i="38"/>
  <c r="N58" i="38"/>
  <c r="N59" i="38"/>
  <c r="N60" i="38"/>
  <c r="N61" i="38"/>
  <c r="N62" i="38"/>
  <c r="N63" i="38"/>
  <c r="N64" i="38"/>
  <c r="N65" i="38"/>
  <c r="N66" i="38"/>
  <c r="N67" i="38"/>
  <c r="N68" i="38"/>
  <c r="N69" i="38"/>
  <c r="N70" i="38"/>
  <c r="N71" i="38"/>
  <c r="N72" i="38"/>
  <c r="N73" i="38"/>
  <c r="N74" i="38"/>
  <c r="N75" i="38"/>
  <c r="N76" i="38"/>
  <c r="N77" i="38"/>
  <c r="N78" i="38"/>
  <c r="N79" i="38"/>
  <c r="N80" i="38"/>
  <c r="N81" i="38"/>
  <c r="N82" i="38"/>
  <c r="N83" i="38"/>
  <c r="N84" i="38"/>
  <c r="N85" i="38"/>
  <c r="N86" i="38"/>
  <c r="N87" i="38"/>
  <c r="N88" i="38"/>
  <c r="N89" i="38"/>
  <c r="N90" i="38"/>
  <c r="N91" i="38"/>
  <c r="N92" i="38"/>
  <c r="N93" i="38"/>
  <c r="N94" i="38"/>
  <c r="N95" i="38"/>
  <c r="N96" i="38"/>
  <c r="N97" i="38"/>
  <c r="N127" i="38"/>
  <c r="N128" i="38"/>
  <c r="N129" i="38"/>
  <c r="N130" i="38"/>
  <c r="N131" i="38"/>
  <c r="N132" i="38"/>
  <c r="N133" i="38"/>
  <c r="B113" i="77" l="1"/>
  <c r="C113" i="77"/>
  <c r="A114" i="77"/>
  <c r="A113" i="75"/>
  <c r="B112" i="75"/>
  <c r="C112" i="75"/>
  <c r="Q1" i="76"/>
  <c r="C38" i="72"/>
  <c r="H38" i="72" s="1"/>
  <c r="K16" i="72" s="1"/>
  <c r="E67" i="72"/>
  <c r="I26" i="73"/>
  <c r="N22" i="73"/>
  <c r="K14" i="73"/>
  <c r="H14" i="73"/>
  <c r="E14" i="73"/>
  <c r="K12" i="73"/>
  <c r="H12" i="73"/>
  <c r="E12" i="73"/>
  <c r="L88" i="72"/>
  <c r="L70" i="72" s="1"/>
  <c r="L87" i="72"/>
  <c r="L69" i="72" s="1"/>
  <c r="L86" i="72"/>
  <c r="L68" i="72" s="1"/>
  <c r="L85" i="72"/>
  <c r="L67" i="72" s="1"/>
  <c r="L84" i="72"/>
  <c r="L66" i="72" s="1"/>
  <c r="L79" i="72"/>
  <c r="L61" i="72" s="1"/>
  <c r="L78" i="72"/>
  <c r="L60" i="72" s="1"/>
  <c r="L77" i="72"/>
  <c r="L59" i="72" s="1"/>
  <c r="L76" i="72"/>
  <c r="L58" i="72" s="1"/>
  <c r="L75" i="72"/>
  <c r="L57" i="72" s="1"/>
  <c r="Q74" i="72"/>
  <c r="P74" i="72"/>
  <c r="O74" i="72"/>
  <c r="O48" i="72"/>
  <c r="O47" i="72"/>
  <c r="O46" i="72"/>
  <c r="O35" i="72"/>
  <c r="O34" i="72"/>
  <c r="O33" i="72"/>
  <c r="O32" i="72"/>
  <c r="O31" i="72"/>
  <c r="O26" i="72"/>
  <c r="O25" i="72"/>
  <c r="O24" i="72"/>
  <c r="O23" i="72"/>
  <c r="O22" i="72"/>
  <c r="E18" i="72"/>
  <c r="D18" i="72"/>
  <c r="C18" i="72"/>
  <c r="E70" i="72"/>
  <c r="D70" i="72"/>
  <c r="E68" i="72"/>
  <c r="D68" i="72"/>
  <c r="C68" i="72"/>
  <c r="L5" i="72"/>
  <c r="L6" i="72" s="1"/>
  <c r="L7" i="72" s="1"/>
  <c r="L8" i="72" s="1"/>
  <c r="L9" i="72" s="1"/>
  <c r="L10" i="72" s="1"/>
  <c r="L11" i="72" s="1"/>
  <c r="L12" i="72" s="1"/>
  <c r="L13" i="72" s="1"/>
  <c r="L14" i="72" s="1"/>
  <c r="C3" i="69"/>
  <c r="H12" i="71"/>
  <c r="H15" i="71" s="1"/>
  <c r="B54" i="70"/>
  <c r="B53" i="70"/>
  <c r="U15" i="70"/>
  <c r="S15" i="70"/>
  <c r="V14" i="70"/>
  <c r="T14" i="70"/>
  <c r="V13" i="70"/>
  <c r="T13" i="70"/>
  <c r="V12" i="70"/>
  <c r="T12" i="70"/>
  <c r="V11" i="70"/>
  <c r="T11" i="70"/>
  <c r="V10" i="70"/>
  <c r="T10" i="70"/>
  <c r="V9" i="70"/>
  <c r="T9" i="70"/>
  <c r="V8" i="70"/>
  <c r="T8" i="70"/>
  <c r="V7" i="70"/>
  <c r="T7" i="70"/>
  <c r="V6" i="70"/>
  <c r="T6" i="70"/>
  <c r="V5" i="70"/>
  <c r="T5" i="70"/>
  <c r="E5" i="70"/>
  <c r="V4" i="70"/>
  <c r="T4" i="70"/>
  <c r="F4" i="70"/>
  <c r="V3" i="70"/>
  <c r="T3" i="70"/>
  <c r="F3" i="70"/>
  <c r="K26" i="69"/>
  <c r="C114" i="77" l="1"/>
  <c r="B114" i="77"/>
  <c r="A115" i="77"/>
  <c r="A114" i="75"/>
  <c r="B113" i="75"/>
  <c r="C113" i="75"/>
  <c r="Q35" i="72"/>
  <c r="M64" i="69"/>
  <c r="I64" i="69"/>
  <c r="K35" i="69"/>
  <c r="F62" i="69"/>
  <c r="CM3" i="67"/>
  <c r="L21" i="69"/>
  <c r="M21" i="69" s="1"/>
  <c r="C4" i="69"/>
  <c r="E4" i="69" s="1"/>
  <c r="E3" i="69"/>
  <c r="N67" i="69"/>
  <c r="L26" i="69"/>
  <c r="M26" i="69" s="1"/>
  <c r="Q33" i="72"/>
  <c r="D67" i="72"/>
  <c r="R35" i="72"/>
  <c r="P35" i="72"/>
  <c r="F68" i="72"/>
  <c r="T33" i="72"/>
  <c r="F70" i="72"/>
  <c r="T35" i="72"/>
  <c r="S35" i="72"/>
  <c r="P33" i="72"/>
  <c r="G18" i="72"/>
  <c r="R33" i="72"/>
  <c r="S33" i="72"/>
  <c r="F5" i="70"/>
  <c r="T15" i="70"/>
  <c r="E2" i="70" s="1"/>
  <c r="E6" i="70" s="1"/>
  <c r="E8" i="70" s="1"/>
  <c r="V15" i="70"/>
  <c r="F2" i="70" s="1"/>
  <c r="E18" i="70" l="1"/>
  <c r="D18" i="70"/>
  <c r="C18" i="70"/>
  <c r="K3" i="154"/>
  <c r="U3" i="154" s="1"/>
  <c r="K3" i="153"/>
  <c r="U3" i="153" s="1"/>
  <c r="W3" i="153" s="1"/>
  <c r="M3" i="155"/>
  <c r="C115" i="77"/>
  <c r="B115" i="77"/>
  <c r="A116" i="77"/>
  <c r="X67" i="69"/>
  <c r="X35" i="69"/>
  <c r="N26" i="69"/>
  <c r="N27" i="69" s="1"/>
  <c r="N21" i="69"/>
  <c r="N22" i="69" s="1"/>
  <c r="A115" i="75"/>
  <c r="B114" i="75"/>
  <c r="C114" i="75"/>
  <c r="K11" i="72"/>
  <c r="K12" i="72"/>
  <c r="J35" i="69"/>
  <c r="M32" i="69"/>
  <c r="I54" i="69"/>
  <c r="I32" i="69"/>
  <c r="F44" i="69"/>
  <c r="G44" i="69" s="1"/>
  <c r="H44" i="69" s="1"/>
  <c r="I44" i="69" s="1"/>
  <c r="J44" i="69" s="1"/>
  <c r="K44" i="69" s="1"/>
  <c r="L44" i="69" s="1"/>
  <c r="M44" i="69" s="1"/>
  <c r="N44" i="69" s="1"/>
  <c r="K59" i="69"/>
  <c r="H59" i="69"/>
  <c r="I59" i="69"/>
  <c r="G59" i="69"/>
  <c r="L54" i="69"/>
  <c r="M35" i="69"/>
  <c r="H67" i="69"/>
  <c r="H74" i="69"/>
  <c r="H35" i="69"/>
  <c r="K67" i="69"/>
  <c r="K74" i="69"/>
  <c r="F67" i="69"/>
  <c r="F74" i="69"/>
  <c r="H54" i="69"/>
  <c r="K54" i="69"/>
  <c r="G67" i="69"/>
  <c r="G74" i="69"/>
  <c r="J67" i="69"/>
  <c r="J74" i="69"/>
  <c r="M67" i="69"/>
  <c r="M62" i="69"/>
  <c r="G35" i="69"/>
  <c r="G54" i="69"/>
  <c r="L35" i="69"/>
  <c r="I35" i="69"/>
  <c r="I74" i="69"/>
  <c r="I67" i="69"/>
  <c r="I62" i="69"/>
  <c r="L67" i="69"/>
  <c r="L74" i="69"/>
  <c r="CM4" i="67"/>
  <c r="F16" i="69"/>
  <c r="G16" i="69" s="1"/>
  <c r="H16" i="69" s="1"/>
  <c r="I16" i="69" s="1"/>
  <c r="F48" i="69"/>
  <c r="G48" i="69" s="1"/>
  <c r="H48" i="69" s="1"/>
  <c r="I48" i="69" s="1"/>
  <c r="H64" i="69"/>
  <c r="H62" i="69" s="1"/>
  <c r="J64" i="69"/>
  <c r="J62" i="69" s="1"/>
  <c r="G64" i="69"/>
  <c r="G62" i="69" s="1"/>
  <c r="K64" i="69"/>
  <c r="K62" i="69" s="1"/>
  <c r="L64" i="69"/>
  <c r="L62" i="69" s="1"/>
  <c r="V35" i="72"/>
  <c r="H18" i="72"/>
  <c r="V33" i="72"/>
  <c r="F6" i="70"/>
  <c r="F8" i="70" s="1"/>
  <c r="G32" i="69"/>
  <c r="H32" i="69"/>
  <c r="J32" i="69"/>
  <c r="K32" i="69"/>
  <c r="L32" i="69"/>
  <c r="H65" i="72" l="1"/>
  <c r="H64" i="72"/>
  <c r="K4" i="154"/>
  <c r="U4" i="154" s="1"/>
  <c r="M4" i="155"/>
  <c r="K4" i="153"/>
  <c r="U4" i="153" s="1"/>
  <c r="X3" i="153"/>
  <c r="A117" i="77"/>
  <c r="C116" i="77"/>
  <c r="B116" i="77"/>
  <c r="O21" i="69"/>
  <c r="P21" i="69" s="1"/>
  <c r="Q21" i="69" s="1"/>
  <c r="R21" i="69" s="1"/>
  <c r="S21" i="69" s="1"/>
  <c r="T21" i="69" s="1"/>
  <c r="U21" i="69" s="1"/>
  <c r="V21" i="69" s="1"/>
  <c r="W21" i="69" s="1"/>
  <c r="X21" i="69" s="1"/>
  <c r="O26" i="69"/>
  <c r="P26" i="69" s="1"/>
  <c r="Q26" i="69" s="1"/>
  <c r="R26" i="69" s="1"/>
  <c r="S26" i="69" s="1"/>
  <c r="T26" i="69" s="1"/>
  <c r="U26" i="69" s="1"/>
  <c r="V26" i="69" s="1"/>
  <c r="W26" i="69" s="1"/>
  <c r="X26" i="69" s="1"/>
  <c r="A116" i="75"/>
  <c r="B115" i="75"/>
  <c r="C115" i="75"/>
  <c r="M30" i="69"/>
  <c r="H67" i="72"/>
  <c r="H59" i="72"/>
  <c r="H60" i="72"/>
  <c r="H58" i="72"/>
  <c r="H63" i="72"/>
  <c r="H62" i="72"/>
  <c r="H49" i="69"/>
  <c r="F15" i="69"/>
  <c r="C48" i="17"/>
  <c r="D48" i="17"/>
  <c r="Y48" i="17"/>
  <c r="Z48" i="17"/>
  <c r="I49" i="69"/>
  <c r="I30" i="69"/>
  <c r="L59" i="69"/>
  <c r="F47" i="69"/>
  <c r="F69" i="69" s="1"/>
  <c r="G49" i="69"/>
  <c r="I22" i="69"/>
  <c r="I27" i="69"/>
  <c r="L30" i="69"/>
  <c r="CM5" i="67"/>
  <c r="J48" i="69"/>
  <c r="K48" i="69" s="1"/>
  <c r="J16" i="69"/>
  <c r="K16" i="69" s="1"/>
  <c r="J54" i="69"/>
  <c r="J59" i="69"/>
  <c r="M54" i="69"/>
  <c r="M59" i="69"/>
  <c r="F52" i="69"/>
  <c r="F70" i="69" s="1"/>
  <c r="F54" i="69"/>
  <c r="F57" i="69"/>
  <c r="F71" i="69" s="1"/>
  <c r="F59" i="69"/>
  <c r="B49" i="17"/>
  <c r="B50" i="17" s="1"/>
  <c r="X49" i="17"/>
  <c r="G58" i="72"/>
  <c r="G70" i="72"/>
  <c r="J70" i="72" s="1"/>
  <c r="U35" i="72"/>
  <c r="E59" i="72"/>
  <c r="G66" i="72"/>
  <c r="U33" i="72"/>
  <c r="G68" i="72"/>
  <c r="J68" i="72" s="1"/>
  <c r="I18" i="72"/>
  <c r="E60" i="72"/>
  <c r="K22" i="69"/>
  <c r="J30" i="69"/>
  <c r="K30" i="69"/>
  <c r="H22" i="69"/>
  <c r="H30" i="69"/>
  <c r="H27" i="69"/>
  <c r="H17" i="69"/>
  <c r="F30" i="69"/>
  <c r="G22" i="69"/>
  <c r="F22" i="69"/>
  <c r="F20" i="69"/>
  <c r="F38" i="69" s="1"/>
  <c r="L27" i="69"/>
  <c r="G30" i="69"/>
  <c r="F27" i="69"/>
  <c r="F25" i="69"/>
  <c r="F39" i="69" s="1"/>
  <c r="G27" i="69"/>
  <c r="J27" i="69"/>
  <c r="K27" i="69"/>
  <c r="J22" i="69"/>
  <c r="S48" i="72" l="1"/>
  <c r="V28" i="72"/>
  <c r="W4" i="153"/>
  <c r="X4" i="153" s="1"/>
  <c r="Y4" i="153" s="1"/>
  <c r="F125" i="69"/>
  <c r="F126" i="69"/>
  <c r="F127" i="69"/>
  <c r="F123" i="69"/>
  <c r="F124" i="69"/>
  <c r="R86" i="72"/>
  <c r="S86" i="72"/>
  <c r="Y3" i="153"/>
  <c r="K5" i="154"/>
  <c r="U5" i="154" s="1"/>
  <c r="M5" i="155"/>
  <c r="K5" i="153"/>
  <c r="U5" i="153" s="1"/>
  <c r="W5" i="153" s="1"/>
  <c r="B117" i="77"/>
  <c r="C117" i="77"/>
  <c r="A118" i="77"/>
  <c r="A117" i="75"/>
  <c r="B116" i="75"/>
  <c r="C116" i="75"/>
  <c r="F37" i="69"/>
  <c r="F18" i="69"/>
  <c r="G15" i="69"/>
  <c r="R88" i="72"/>
  <c r="S88" i="72"/>
  <c r="V27" i="72"/>
  <c r="V29" i="72"/>
  <c r="V30" i="72"/>
  <c r="V32" i="72"/>
  <c r="H57" i="72"/>
  <c r="Q31" i="72"/>
  <c r="V31" i="72"/>
  <c r="H61" i="72"/>
  <c r="Q28" i="72"/>
  <c r="Q30" i="72"/>
  <c r="E62" i="72"/>
  <c r="S27" i="72"/>
  <c r="S29" i="72"/>
  <c r="E64" i="72"/>
  <c r="P29" i="72"/>
  <c r="C64" i="72"/>
  <c r="U28" i="72"/>
  <c r="G63" i="72"/>
  <c r="F64" i="72"/>
  <c r="T29" i="72"/>
  <c r="P27" i="72"/>
  <c r="C62" i="72"/>
  <c r="O86" i="72"/>
  <c r="P86" i="72"/>
  <c r="Q86" i="72"/>
  <c r="F62" i="72"/>
  <c r="T27" i="72"/>
  <c r="U27" i="72"/>
  <c r="G62" i="72"/>
  <c r="G64" i="72"/>
  <c r="U29" i="72"/>
  <c r="T30" i="72"/>
  <c r="F65" i="72"/>
  <c r="Q27" i="72"/>
  <c r="R29" i="72"/>
  <c r="D64" i="72"/>
  <c r="S28" i="72"/>
  <c r="E63" i="72"/>
  <c r="T28" i="72"/>
  <c r="F63" i="72"/>
  <c r="D63" i="72"/>
  <c r="R28" i="72"/>
  <c r="P28" i="72"/>
  <c r="C63" i="72"/>
  <c r="U30" i="72"/>
  <c r="G65" i="72"/>
  <c r="S30" i="72"/>
  <c r="E65" i="72"/>
  <c r="O88" i="72"/>
  <c r="P88" i="72"/>
  <c r="Q88" i="72"/>
  <c r="C65" i="72"/>
  <c r="P30" i="72"/>
  <c r="D62" i="72"/>
  <c r="R27" i="72"/>
  <c r="Q29" i="72"/>
  <c r="D65" i="72"/>
  <c r="R30" i="72"/>
  <c r="T31" i="72"/>
  <c r="U31" i="72"/>
  <c r="E66" i="72"/>
  <c r="S31" i="72"/>
  <c r="C66" i="72"/>
  <c r="P31" i="72"/>
  <c r="U32" i="72"/>
  <c r="G67" i="72"/>
  <c r="F66" i="72"/>
  <c r="F67" i="72"/>
  <c r="T32" i="72"/>
  <c r="D66" i="72"/>
  <c r="R31" i="72"/>
  <c r="Q32" i="72"/>
  <c r="R32" i="72"/>
  <c r="S32" i="72"/>
  <c r="C67" i="72"/>
  <c r="P32" i="72"/>
  <c r="F17" i="69"/>
  <c r="J17" i="69"/>
  <c r="J49" i="69"/>
  <c r="Y49" i="17"/>
  <c r="Z49" i="17"/>
  <c r="N48" i="17"/>
  <c r="O48" i="17"/>
  <c r="C49" i="17"/>
  <c r="D49" i="17"/>
  <c r="G17" i="69"/>
  <c r="F49" i="69"/>
  <c r="L22" i="69"/>
  <c r="I17" i="69"/>
  <c r="CM6" i="67"/>
  <c r="L16" i="69"/>
  <c r="K17" i="69"/>
  <c r="L48" i="69"/>
  <c r="K49" i="69"/>
  <c r="P62" i="69"/>
  <c r="F50" i="69"/>
  <c r="G47" i="69"/>
  <c r="G69" i="69" s="1"/>
  <c r="G57" i="69"/>
  <c r="G71" i="69" s="1"/>
  <c r="F60" i="69"/>
  <c r="G52" i="69"/>
  <c r="G70" i="69" s="1"/>
  <c r="F55" i="69"/>
  <c r="X50" i="17"/>
  <c r="M49" i="17"/>
  <c r="E61" i="72"/>
  <c r="E58" i="72"/>
  <c r="P24" i="72"/>
  <c r="R25" i="72"/>
  <c r="G57" i="72"/>
  <c r="G59" i="72"/>
  <c r="G60" i="72"/>
  <c r="F59" i="72"/>
  <c r="D58" i="72"/>
  <c r="F60" i="72"/>
  <c r="C57" i="72"/>
  <c r="P22" i="72"/>
  <c r="D60" i="72"/>
  <c r="C61" i="72"/>
  <c r="P26" i="72"/>
  <c r="F58" i="72"/>
  <c r="F23" i="69"/>
  <c r="G20" i="69"/>
  <c r="G38" i="69" s="1"/>
  <c r="F28" i="69"/>
  <c r="G25" i="69"/>
  <c r="G39" i="69" s="1"/>
  <c r="V22" i="72" l="1"/>
  <c r="G125" i="69"/>
  <c r="G127" i="69"/>
  <c r="G124" i="69"/>
  <c r="G126" i="69"/>
  <c r="G123" i="69"/>
  <c r="X5" i="153"/>
  <c r="O18" i="23"/>
  <c r="P18" i="23" s="1"/>
  <c r="S18" i="23"/>
  <c r="T18" i="23" s="1"/>
  <c r="M6" i="155"/>
  <c r="K6" i="153"/>
  <c r="U6" i="153" s="1"/>
  <c r="K6" i="154"/>
  <c r="U6" i="154" s="1"/>
  <c r="A119" i="77"/>
  <c r="C118" i="77"/>
  <c r="B118" i="77"/>
  <c r="F96" i="69"/>
  <c r="F103" i="69" s="1"/>
  <c r="F97" i="69"/>
  <c r="F98" i="69"/>
  <c r="F105" i="69" s="1"/>
  <c r="F95" i="69"/>
  <c r="F94" i="69"/>
  <c r="A118" i="75"/>
  <c r="C117" i="75"/>
  <c r="B117" i="75"/>
  <c r="G37" i="69"/>
  <c r="F84" i="69"/>
  <c r="F80" i="69"/>
  <c r="F83" i="69"/>
  <c r="F90" i="69" s="1"/>
  <c r="F82" i="69"/>
  <c r="F81" i="69"/>
  <c r="G18" i="69"/>
  <c r="V26" i="72"/>
  <c r="V23" i="72"/>
  <c r="V24" i="72"/>
  <c r="V25" i="72"/>
  <c r="J62" i="72"/>
  <c r="J64" i="72"/>
  <c r="J65" i="72"/>
  <c r="J63" i="72"/>
  <c r="J66" i="72"/>
  <c r="J67" i="72"/>
  <c r="F57" i="72"/>
  <c r="E57" i="72"/>
  <c r="C58" i="72"/>
  <c r="J58" i="72" s="1"/>
  <c r="N49" i="17"/>
  <c r="O49" i="17"/>
  <c r="C50" i="17"/>
  <c r="D50" i="17"/>
  <c r="Y50" i="17"/>
  <c r="Z50" i="17"/>
  <c r="CM7" i="67"/>
  <c r="C59" i="72"/>
  <c r="M48" i="69"/>
  <c r="N48" i="69" s="1"/>
  <c r="N49" i="69" s="1"/>
  <c r="L49" i="69"/>
  <c r="M16" i="69"/>
  <c r="L17" i="69"/>
  <c r="Q62" i="69"/>
  <c r="H52" i="69"/>
  <c r="G55" i="69"/>
  <c r="H57" i="69"/>
  <c r="G60" i="69"/>
  <c r="H47" i="69"/>
  <c r="G50" i="69"/>
  <c r="S25" i="72"/>
  <c r="B51" i="17"/>
  <c r="M50" i="17"/>
  <c r="X51" i="17"/>
  <c r="D61" i="72"/>
  <c r="C60" i="72"/>
  <c r="P25" i="72"/>
  <c r="Q25" i="72"/>
  <c r="T25" i="72"/>
  <c r="R24" i="72"/>
  <c r="Q24" i="72"/>
  <c r="R26" i="72"/>
  <c r="S26" i="72"/>
  <c r="T26" i="72"/>
  <c r="Q26" i="72"/>
  <c r="Q23" i="72"/>
  <c r="F61" i="72"/>
  <c r="U24" i="72"/>
  <c r="T23" i="72"/>
  <c r="S23" i="72"/>
  <c r="T24" i="72"/>
  <c r="S24" i="72"/>
  <c r="D59" i="72"/>
  <c r="P23" i="72"/>
  <c r="U23" i="72"/>
  <c r="U25" i="72"/>
  <c r="G61" i="72"/>
  <c r="R23" i="72"/>
  <c r="U26" i="72"/>
  <c r="R22" i="72"/>
  <c r="Q22" i="72"/>
  <c r="U22" i="72"/>
  <c r="D57" i="72"/>
  <c r="S22" i="72"/>
  <c r="T22" i="72"/>
  <c r="G23" i="69"/>
  <c r="H20" i="69"/>
  <c r="H15" i="69"/>
  <c r="G28" i="69"/>
  <c r="H25" i="69"/>
  <c r="W6" i="153" l="1"/>
  <c r="X6" i="153" s="1"/>
  <c r="Y6" i="153" s="1"/>
  <c r="H125" i="69"/>
  <c r="H127" i="69"/>
  <c r="H124" i="69"/>
  <c r="H126" i="69"/>
  <c r="H123" i="69"/>
  <c r="R84" i="72"/>
  <c r="S84" i="72"/>
  <c r="G110" i="154"/>
  <c r="Q110" i="154" s="1"/>
  <c r="I110" i="155"/>
  <c r="S110" i="155" s="1"/>
  <c r="S49" i="23"/>
  <c r="T48" i="23"/>
  <c r="K7" i="154"/>
  <c r="U7" i="154" s="1"/>
  <c r="M7" i="155"/>
  <c r="K7" i="153"/>
  <c r="U7" i="153" s="1"/>
  <c r="AA18" i="23"/>
  <c r="AB18" i="23" s="1"/>
  <c r="P48" i="23"/>
  <c r="O49" i="23"/>
  <c r="Y5" i="153"/>
  <c r="C119" i="77"/>
  <c r="A120" i="77"/>
  <c r="B119" i="77"/>
  <c r="N16" i="69"/>
  <c r="N17" i="69" s="1"/>
  <c r="G98" i="69"/>
  <c r="G105" i="69" s="1"/>
  <c r="G94" i="69"/>
  <c r="G97" i="69"/>
  <c r="G104" i="69" s="1"/>
  <c r="G95" i="69"/>
  <c r="G96" i="69"/>
  <c r="G103" i="69" s="1"/>
  <c r="F91" i="69"/>
  <c r="F132" i="69" s="1"/>
  <c r="F137" i="69" s="1"/>
  <c r="F113" i="69"/>
  <c r="A119" i="75"/>
  <c r="C118" i="75"/>
  <c r="B118" i="75"/>
  <c r="F89" i="69"/>
  <c r="F130" i="69" s="1"/>
  <c r="F111" i="69"/>
  <c r="F118" i="69" s="1"/>
  <c r="F112" i="69"/>
  <c r="F119" i="69" s="1"/>
  <c r="F104" i="69"/>
  <c r="F131" i="69" s="1"/>
  <c r="F85" i="69"/>
  <c r="F109" i="69"/>
  <c r="H37" i="69"/>
  <c r="F110" i="69"/>
  <c r="F99" i="69"/>
  <c r="G84" i="69"/>
  <c r="G83" i="69"/>
  <c r="G82" i="69"/>
  <c r="G81" i="69"/>
  <c r="G80" i="69"/>
  <c r="I47" i="69"/>
  <c r="I69" i="69" s="1"/>
  <c r="H69" i="69"/>
  <c r="I57" i="69"/>
  <c r="I71" i="69" s="1"/>
  <c r="H71" i="69"/>
  <c r="I52" i="69"/>
  <c r="I70" i="69" s="1"/>
  <c r="H70" i="69"/>
  <c r="I25" i="69"/>
  <c r="I39" i="69" s="1"/>
  <c r="H39" i="69"/>
  <c r="I20" i="69"/>
  <c r="I38" i="69" s="1"/>
  <c r="H38" i="69"/>
  <c r="I15" i="69"/>
  <c r="R80" i="72"/>
  <c r="S80" i="72"/>
  <c r="S85" i="72"/>
  <c r="R85" i="72"/>
  <c r="R81" i="72"/>
  <c r="S81" i="72"/>
  <c r="R76" i="72"/>
  <c r="S76" i="72"/>
  <c r="R83" i="72"/>
  <c r="S83" i="72"/>
  <c r="R82" i="72"/>
  <c r="S82" i="72"/>
  <c r="J57" i="72"/>
  <c r="O75" i="72" s="1"/>
  <c r="V36" i="72"/>
  <c r="O83" i="72"/>
  <c r="Q83" i="72"/>
  <c r="P83" i="72"/>
  <c r="O76" i="72"/>
  <c r="P76" i="72"/>
  <c r="Q76" i="72"/>
  <c r="P84" i="72"/>
  <c r="Q84" i="72"/>
  <c r="O84" i="72"/>
  <c r="O81" i="72"/>
  <c r="P81" i="72"/>
  <c r="Q81" i="72"/>
  <c r="Q82" i="72"/>
  <c r="P82" i="72"/>
  <c r="O82" i="72"/>
  <c r="P80" i="72"/>
  <c r="Q80" i="72"/>
  <c r="O80" i="72"/>
  <c r="J61" i="72"/>
  <c r="J59" i="72"/>
  <c r="C72" i="72"/>
  <c r="J60" i="72"/>
  <c r="N50" i="17"/>
  <c r="O50" i="17"/>
  <c r="C51" i="17"/>
  <c r="D51" i="17"/>
  <c r="Y51" i="17"/>
  <c r="Z51" i="17"/>
  <c r="CM8" i="67"/>
  <c r="M49" i="69"/>
  <c r="R62" i="69"/>
  <c r="H50" i="69"/>
  <c r="H60" i="69"/>
  <c r="H55" i="69"/>
  <c r="B52" i="17"/>
  <c r="M51" i="17"/>
  <c r="X52" i="17"/>
  <c r="P36" i="72"/>
  <c r="S36" i="72"/>
  <c r="R36" i="72"/>
  <c r="Q36" i="72"/>
  <c r="U36" i="72"/>
  <c r="T36" i="72"/>
  <c r="U88" i="72"/>
  <c r="H23" i="69"/>
  <c r="H28" i="69"/>
  <c r="H18" i="69"/>
  <c r="W7" i="153" l="1"/>
  <c r="X7" i="153" s="1"/>
  <c r="Y7" i="153" s="1"/>
  <c r="I125" i="69"/>
  <c r="I127" i="69"/>
  <c r="I124" i="69"/>
  <c r="I126" i="69"/>
  <c r="I123" i="69"/>
  <c r="H84" i="69"/>
  <c r="H91" i="69" s="1"/>
  <c r="O50" i="23"/>
  <c r="P49" i="23"/>
  <c r="AA49" i="23"/>
  <c r="AB48" i="23"/>
  <c r="I111" i="155"/>
  <c r="S111" i="155" s="1"/>
  <c r="G111" i="154"/>
  <c r="Q111" i="154" s="1"/>
  <c r="S50" i="23"/>
  <c r="T49" i="23"/>
  <c r="K8" i="154"/>
  <c r="U8" i="154" s="1"/>
  <c r="M8" i="155"/>
  <c r="K8" i="153"/>
  <c r="U8" i="153" s="1"/>
  <c r="A121" i="77"/>
  <c r="C120" i="77"/>
  <c r="B120" i="77"/>
  <c r="G99" i="69"/>
  <c r="H94" i="69"/>
  <c r="H96" i="69"/>
  <c r="H98" i="69"/>
  <c r="H105" i="69" s="1"/>
  <c r="H95" i="69"/>
  <c r="H97" i="69"/>
  <c r="H104" i="69" s="1"/>
  <c r="F120" i="69"/>
  <c r="J15" i="69"/>
  <c r="G91" i="69"/>
  <c r="G132" i="69" s="1"/>
  <c r="G137" i="69" s="1"/>
  <c r="G113" i="69"/>
  <c r="G120" i="69" s="1"/>
  <c r="O16" i="69"/>
  <c r="P16" i="69" s="1"/>
  <c r="Q16" i="69" s="1"/>
  <c r="R16" i="69" s="1"/>
  <c r="S16" i="69" s="1"/>
  <c r="T16" i="69" s="1"/>
  <c r="U16" i="69" s="1"/>
  <c r="V16" i="69" s="1"/>
  <c r="W16" i="69" s="1"/>
  <c r="X16" i="69" s="1"/>
  <c r="A120" i="75"/>
  <c r="C119" i="75"/>
  <c r="B119" i="75"/>
  <c r="F117" i="69"/>
  <c r="H83" i="69"/>
  <c r="H82" i="69"/>
  <c r="H89" i="69" s="1"/>
  <c r="H81" i="69"/>
  <c r="H80" i="69"/>
  <c r="G89" i="69"/>
  <c r="G130" i="69" s="1"/>
  <c r="G135" i="69" s="1"/>
  <c r="G111" i="69"/>
  <c r="G110" i="69"/>
  <c r="G117" i="69" s="1"/>
  <c r="F135" i="69"/>
  <c r="I50" i="69"/>
  <c r="I55" i="69"/>
  <c r="G90" i="69"/>
  <c r="G131" i="69" s="1"/>
  <c r="G112" i="69"/>
  <c r="F116" i="69"/>
  <c r="F136" i="69"/>
  <c r="J57" i="69"/>
  <c r="J71" i="69" s="1"/>
  <c r="J47" i="69"/>
  <c r="J69" i="69" s="1"/>
  <c r="G85" i="69"/>
  <c r="G109" i="69"/>
  <c r="G116" i="69" s="1"/>
  <c r="I60" i="69"/>
  <c r="J25" i="69"/>
  <c r="J39" i="69" s="1"/>
  <c r="I28" i="69"/>
  <c r="J20" i="69"/>
  <c r="J38" i="69" s="1"/>
  <c r="I23" i="69"/>
  <c r="J52" i="69"/>
  <c r="J70" i="69" s="1"/>
  <c r="I18" i="69"/>
  <c r="I37" i="69"/>
  <c r="S75" i="72"/>
  <c r="R75" i="72"/>
  <c r="R77" i="72"/>
  <c r="S77" i="72"/>
  <c r="R78" i="72"/>
  <c r="S78" i="72"/>
  <c r="R79" i="72"/>
  <c r="S79" i="72"/>
  <c r="P75" i="72"/>
  <c r="U82" i="72"/>
  <c r="U81" i="72"/>
  <c r="O78" i="72"/>
  <c r="Q78" i="72"/>
  <c r="P78" i="72"/>
  <c r="U80" i="72"/>
  <c r="P77" i="72"/>
  <c r="Q77" i="72"/>
  <c r="O77" i="72"/>
  <c r="Q79" i="72"/>
  <c r="O79" i="72"/>
  <c r="P79" i="72"/>
  <c r="U83" i="72"/>
  <c r="N51" i="17"/>
  <c r="O51" i="17"/>
  <c r="Y52" i="17"/>
  <c r="C52" i="17"/>
  <c r="CM9" i="67"/>
  <c r="O48" i="69"/>
  <c r="S62" i="69"/>
  <c r="M52" i="17"/>
  <c r="B53" i="17"/>
  <c r="X53" i="17"/>
  <c r="Q75" i="72"/>
  <c r="U84" i="72"/>
  <c r="U86" i="72"/>
  <c r="I84" i="69" l="1"/>
  <c r="J37" i="69"/>
  <c r="J123" i="69"/>
  <c r="J125" i="69"/>
  <c r="J127" i="69"/>
  <c r="J124" i="69"/>
  <c r="J126" i="69"/>
  <c r="H113" i="69"/>
  <c r="W8" i="153"/>
  <c r="X8" i="153" s="1"/>
  <c r="Y8" i="153" s="1"/>
  <c r="G112" i="154"/>
  <c r="Q112" i="154" s="1"/>
  <c r="I112" i="155"/>
  <c r="S112" i="155" s="1"/>
  <c r="S51" i="23"/>
  <c r="T50" i="23"/>
  <c r="K9" i="154"/>
  <c r="U9" i="154" s="1"/>
  <c r="M9" i="155"/>
  <c r="K9" i="153"/>
  <c r="U9" i="153" s="1"/>
  <c r="AA50" i="23"/>
  <c r="AB49" i="23"/>
  <c r="P50" i="23"/>
  <c r="O51" i="23"/>
  <c r="C121" i="77"/>
  <c r="B121" i="77"/>
  <c r="A122" i="77"/>
  <c r="I94" i="69"/>
  <c r="I96" i="69"/>
  <c r="I103" i="69" s="1"/>
  <c r="I98" i="69"/>
  <c r="I105" i="69" s="1"/>
  <c r="I95" i="69"/>
  <c r="I97" i="69"/>
  <c r="I104" i="69" s="1"/>
  <c r="A121" i="75"/>
  <c r="C120" i="75"/>
  <c r="B120" i="75"/>
  <c r="H111" i="69"/>
  <c r="H103" i="69"/>
  <c r="H130" i="69" s="1"/>
  <c r="H110" i="69"/>
  <c r="I83" i="69"/>
  <c r="I82" i="69"/>
  <c r="I81" i="69"/>
  <c r="I80" i="69"/>
  <c r="H85" i="69"/>
  <c r="G118" i="69"/>
  <c r="G136" i="69"/>
  <c r="G119" i="69"/>
  <c r="H132" i="69"/>
  <c r="H90" i="69"/>
  <c r="H131" i="69" s="1"/>
  <c r="H112" i="69"/>
  <c r="H119" i="69" s="1"/>
  <c r="H109" i="69"/>
  <c r="H116" i="69" s="1"/>
  <c r="H99" i="69"/>
  <c r="U77" i="72"/>
  <c r="U78" i="72"/>
  <c r="U76" i="72"/>
  <c r="C53" i="17"/>
  <c r="Y53" i="17"/>
  <c r="N52" i="17"/>
  <c r="CM10" i="67"/>
  <c r="P48" i="69"/>
  <c r="T62" i="69"/>
  <c r="K57" i="69"/>
  <c r="K71" i="69" s="1"/>
  <c r="J60" i="69"/>
  <c r="J50" i="69"/>
  <c r="K47" i="69"/>
  <c r="K69" i="69" s="1"/>
  <c r="J55" i="69"/>
  <c r="K52" i="69"/>
  <c r="K70" i="69" s="1"/>
  <c r="X54" i="17"/>
  <c r="Y54" i="17" s="1"/>
  <c r="B54" i="17"/>
  <c r="C54" i="17" s="1"/>
  <c r="M53" i="17"/>
  <c r="U79" i="72"/>
  <c r="U75" i="72"/>
  <c r="J28" i="69"/>
  <c r="K25" i="69"/>
  <c r="K39" i="69" s="1"/>
  <c r="J18" i="69"/>
  <c r="K15" i="69"/>
  <c r="J23" i="69"/>
  <c r="K20" i="69"/>
  <c r="K38" i="69" s="1"/>
  <c r="K123" i="69" l="1"/>
  <c r="K125" i="69"/>
  <c r="K127" i="69"/>
  <c r="K124" i="69"/>
  <c r="K126" i="69"/>
  <c r="J84" i="69"/>
  <c r="W9" i="153"/>
  <c r="X9" i="153" s="1"/>
  <c r="Y9" i="153" s="1"/>
  <c r="AA51" i="23"/>
  <c r="AB50" i="23"/>
  <c r="O52" i="23"/>
  <c r="P51" i="23"/>
  <c r="I113" i="155"/>
  <c r="S113" i="155" s="1"/>
  <c r="G113" i="154"/>
  <c r="Q113" i="154" s="1"/>
  <c r="T51" i="23"/>
  <c r="S52" i="23"/>
  <c r="M10" i="155"/>
  <c r="K10" i="154"/>
  <c r="U10" i="154" s="1"/>
  <c r="K10" i="153"/>
  <c r="U10" i="153" s="1"/>
  <c r="A123" i="77"/>
  <c r="C122" i="77"/>
  <c r="B122" i="77"/>
  <c r="I91" i="69"/>
  <c r="I132" i="69" s="1"/>
  <c r="I137" i="69" s="1"/>
  <c r="I113" i="69"/>
  <c r="I120" i="69" s="1"/>
  <c r="J94" i="69"/>
  <c r="J96" i="69"/>
  <c r="J103" i="69" s="1"/>
  <c r="J98" i="69"/>
  <c r="J105" i="69" s="1"/>
  <c r="J95" i="69"/>
  <c r="J97" i="69"/>
  <c r="J104" i="69" s="1"/>
  <c r="H120" i="69"/>
  <c r="A122" i="75"/>
  <c r="C121" i="75"/>
  <c r="B121" i="75"/>
  <c r="I110" i="69"/>
  <c r="I117" i="69" s="1"/>
  <c r="H117" i="69"/>
  <c r="H135" i="69"/>
  <c r="I85" i="69"/>
  <c r="I109" i="69"/>
  <c r="I116" i="69" s="1"/>
  <c r="H136" i="69"/>
  <c r="I99" i="69"/>
  <c r="H137" i="69"/>
  <c r="J83" i="69"/>
  <c r="J82" i="69"/>
  <c r="J81" i="69"/>
  <c r="J80" i="69"/>
  <c r="H118" i="69"/>
  <c r="I90" i="69"/>
  <c r="I131" i="69" s="1"/>
  <c r="I112" i="69"/>
  <c r="I89" i="69"/>
  <c r="I130" i="69" s="1"/>
  <c r="I135" i="69" s="1"/>
  <c r="I111" i="69"/>
  <c r="L15" i="69"/>
  <c r="K37" i="69"/>
  <c r="N53" i="17"/>
  <c r="CM11" i="67"/>
  <c r="Q48" i="69"/>
  <c r="U62" i="69"/>
  <c r="K55" i="69"/>
  <c r="L52" i="69"/>
  <c r="L70" i="69" s="1"/>
  <c r="K50" i="69"/>
  <c r="L47" i="69"/>
  <c r="L57" i="69"/>
  <c r="L71" i="69" s="1"/>
  <c r="K60" i="69"/>
  <c r="M54" i="17"/>
  <c r="N54" i="17" s="1"/>
  <c r="K18" i="69"/>
  <c r="L25" i="69"/>
  <c r="L39" i="69" s="1"/>
  <c r="K28" i="69"/>
  <c r="K23" i="69"/>
  <c r="L20" i="69"/>
  <c r="L38" i="69" s="1"/>
  <c r="K84" i="69" l="1"/>
  <c r="L126" i="69"/>
  <c r="L123" i="69"/>
  <c r="L125" i="69"/>
  <c r="L127" i="69"/>
  <c r="L124" i="69"/>
  <c r="W10" i="153"/>
  <c r="X10" i="153" s="1"/>
  <c r="Y10" i="153" s="1"/>
  <c r="G114" i="154"/>
  <c r="Q114" i="154" s="1"/>
  <c r="I114" i="155"/>
  <c r="S114" i="155" s="1"/>
  <c r="S53" i="23"/>
  <c r="T52" i="23"/>
  <c r="O53" i="23"/>
  <c r="P52" i="23"/>
  <c r="K11" i="154"/>
  <c r="U11" i="154" s="1"/>
  <c r="M11" i="155"/>
  <c r="K11" i="153"/>
  <c r="U11" i="153" s="1"/>
  <c r="AA52" i="23"/>
  <c r="AB51" i="23"/>
  <c r="C123" i="77"/>
  <c r="A124" i="77"/>
  <c r="B123" i="77"/>
  <c r="K94" i="69"/>
  <c r="K96" i="69"/>
  <c r="K103" i="69" s="1"/>
  <c r="K98" i="69"/>
  <c r="K105" i="69" s="1"/>
  <c r="K95" i="69"/>
  <c r="K97" i="69"/>
  <c r="K104" i="69" s="1"/>
  <c r="J91" i="69"/>
  <c r="J132" i="69" s="1"/>
  <c r="J137" i="69" s="1"/>
  <c r="J113" i="69"/>
  <c r="A123" i="75"/>
  <c r="B122" i="75"/>
  <c r="C122" i="75"/>
  <c r="I136" i="69"/>
  <c r="J90" i="69"/>
  <c r="J131" i="69" s="1"/>
  <c r="J112" i="69"/>
  <c r="J119" i="69" s="1"/>
  <c r="L37" i="69"/>
  <c r="J89" i="69"/>
  <c r="J130" i="69" s="1"/>
  <c r="J111" i="69"/>
  <c r="J110" i="69"/>
  <c r="I119" i="69"/>
  <c r="J99" i="69"/>
  <c r="K83" i="69"/>
  <c r="K82" i="69"/>
  <c r="K81" i="69"/>
  <c r="K80" i="69"/>
  <c r="I118" i="69"/>
  <c r="J85" i="69"/>
  <c r="J109" i="69"/>
  <c r="J116" i="69" s="1"/>
  <c r="L69" i="69"/>
  <c r="CM12" i="67"/>
  <c r="R48" i="69"/>
  <c r="V62" i="69"/>
  <c r="L60" i="69"/>
  <c r="M57" i="69"/>
  <c r="L50" i="69"/>
  <c r="M47" i="69"/>
  <c r="L55" i="69"/>
  <c r="M52" i="69"/>
  <c r="L18" i="69"/>
  <c r="L23" i="69"/>
  <c r="L28" i="69"/>
  <c r="L84" i="69" l="1"/>
  <c r="W11" i="153"/>
  <c r="X11" i="153" s="1"/>
  <c r="Y11" i="153" s="1"/>
  <c r="AB52" i="23"/>
  <c r="AA53" i="23"/>
  <c r="I115" i="155"/>
  <c r="S115" i="155" s="1"/>
  <c r="G115" i="154"/>
  <c r="Q115" i="154" s="1"/>
  <c r="S54" i="23"/>
  <c r="T53" i="23"/>
  <c r="P53" i="23"/>
  <c r="O54" i="23"/>
  <c r="K12" i="154"/>
  <c r="U12" i="154" s="1"/>
  <c r="M12" i="155"/>
  <c r="K12" i="153"/>
  <c r="U12" i="153" s="1"/>
  <c r="A125" i="77"/>
  <c r="C124" i="77"/>
  <c r="B124" i="77"/>
  <c r="M71" i="69"/>
  <c r="N57" i="69"/>
  <c r="J120" i="69"/>
  <c r="M70" i="69"/>
  <c r="N52" i="69"/>
  <c r="M69" i="69"/>
  <c r="N47" i="69"/>
  <c r="K91" i="69"/>
  <c r="K132" i="69" s="1"/>
  <c r="K137" i="69" s="1"/>
  <c r="K113" i="69"/>
  <c r="K85" i="69"/>
  <c r="L94" i="69"/>
  <c r="L96" i="69"/>
  <c r="L103" i="69" s="1"/>
  <c r="L98" i="69"/>
  <c r="L105" i="69" s="1"/>
  <c r="L97" i="69"/>
  <c r="L104" i="69" s="1"/>
  <c r="L95" i="69"/>
  <c r="A124" i="75"/>
  <c r="B123" i="75"/>
  <c r="C123" i="75"/>
  <c r="K110" i="69"/>
  <c r="K117" i="69" s="1"/>
  <c r="J135" i="69"/>
  <c r="J136" i="69"/>
  <c r="K89" i="69"/>
  <c r="K130" i="69" s="1"/>
  <c r="K111" i="69"/>
  <c r="K118" i="69" s="1"/>
  <c r="J117" i="69"/>
  <c r="K90" i="69"/>
  <c r="K131" i="69" s="1"/>
  <c r="K136" i="69" s="1"/>
  <c r="K112" i="69"/>
  <c r="K119" i="69" s="1"/>
  <c r="J118" i="69"/>
  <c r="L81" i="69"/>
  <c r="L80" i="69"/>
  <c r="L83" i="69"/>
  <c r="L82" i="69"/>
  <c r="K109" i="69"/>
  <c r="K99" i="69"/>
  <c r="B57" i="17"/>
  <c r="X57" i="17"/>
  <c r="CM13" i="67"/>
  <c r="S48" i="69"/>
  <c r="W62" i="69"/>
  <c r="M60" i="69"/>
  <c r="M55" i="69"/>
  <c r="M50" i="69"/>
  <c r="W12" i="153" l="1"/>
  <c r="X12" i="153" s="1"/>
  <c r="Y12" i="153" s="1"/>
  <c r="AB53" i="23"/>
  <c r="AA54" i="23"/>
  <c r="O55" i="23"/>
  <c r="P54" i="23"/>
  <c r="G116" i="154"/>
  <c r="Q116" i="154" s="1"/>
  <c r="I116" i="155"/>
  <c r="S116" i="155" s="1"/>
  <c r="S55" i="23"/>
  <c r="T54" i="23"/>
  <c r="M13" i="155"/>
  <c r="K13" i="153"/>
  <c r="U13" i="153" s="1"/>
  <c r="K13" i="154"/>
  <c r="U13" i="154" s="1"/>
  <c r="C125" i="77"/>
  <c r="A126" i="77"/>
  <c r="B125" i="77"/>
  <c r="M97" i="69"/>
  <c r="M104" i="69" s="1"/>
  <c r="M94" i="69"/>
  <c r="M96" i="69"/>
  <c r="M103" i="69" s="1"/>
  <c r="M98" i="69"/>
  <c r="M105" i="69" s="1"/>
  <c r="M95" i="69"/>
  <c r="N50" i="69"/>
  <c r="N69" i="69"/>
  <c r="P69" i="69" s="1"/>
  <c r="Q69" i="69" s="1"/>
  <c r="R69" i="69" s="1"/>
  <c r="S69" i="69" s="1"/>
  <c r="T69" i="69" s="1"/>
  <c r="U69" i="69" s="1"/>
  <c r="V69" i="69" s="1"/>
  <c r="W69" i="69" s="1"/>
  <c r="X69" i="69" s="1"/>
  <c r="K120" i="69"/>
  <c r="N55" i="69"/>
  <c r="N70" i="69"/>
  <c r="N60" i="69"/>
  <c r="N71" i="69"/>
  <c r="P71" i="69" s="1"/>
  <c r="Q71" i="69" s="1"/>
  <c r="R71" i="69" s="1"/>
  <c r="S71" i="69" s="1"/>
  <c r="T71" i="69" s="1"/>
  <c r="U71" i="69" s="1"/>
  <c r="V71" i="69" s="1"/>
  <c r="W71" i="69" s="1"/>
  <c r="X71" i="69" s="1"/>
  <c r="L91" i="69"/>
  <c r="L132" i="69" s="1"/>
  <c r="L113" i="69"/>
  <c r="L120" i="69" s="1"/>
  <c r="A125" i="75"/>
  <c r="B124" i="75"/>
  <c r="C124" i="75"/>
  <c r="L89" i="69"/>
  <c r="L130" i="69" s="1"/>
  <c r="L135" i="69" s="1"/>
  <c r="L111" i="69"/>
  <c r="K116" i="69"/>
  <c r="L109" i="69"/>
  <c r="L116" i="69" s="1"/>
  <c r="L99" i="69"/>
  <c r="L90" i="69"/>
  <c r="L131" i="69" s="1"/>
  <c r="L112" i="69"/>
  <c r="L85" i="69"/>
  <c r="K135" i="69"/>
  <c r="L110" i="69"/>
  <c r="X62" i="69"/>
  <c r="M57" i="17"/>
  <c r="CM14" i="67"/>
  <c r="T48" i="69"/>
  <c r="X58" i="17"/>
  <c r="B58" i="17"/>
  <c r="W13" i="153" l="1"/>
  <c r="X13" i="153" s="1"/>
  <c r="Y13" i="153" s="1"/>
  <c r="P55" i="23"/>
  <c r="O56" i="23"/>
  <c r="G117" i="154"/>
  <c r="Q117" i="154" s="1"/>
  <c r="I117" i="155"/>
  <c r="S117" i="155" s="1"/>
  <c r="T55" i="23"/>
  <c r="S56" i="23"/>
  <c r="AA55" i="23"/>
  <c r="AB54" i="23"/>
  <c r="K14" i="154"/>
  <c r="U14" i="154" s="1"/>
  <c r="K14" i="153"/>
  <c r="U14" i="153" s="1"/>
  <c r="W14" i="153" s="1"/>
  <c r="M14" i="155"/>
  <c r="A127" i="77"/>
  <c r="C126" i="77"/>
  <c r="B126" i="77"/>
  <c r="P70" i="69"/>
  <c r="Q70" i="69" s="1"/>
  <c r="R70" i="69" s="1"/>
  <c r="S70" i="69" s="1"/>
  <c r="T70" i="69" s="1"/>
  <c r="U70" i="69" s="1"/>
  <c r="V70" i="69" s="1"/>
  <c r="W70" i="69" s="1"/>
  <c r="X70" i="69" s="1"/>
  <c r="N97" i="69"/>
  <c r="N94" i="69"/>
  <c r="N96" i="69"/>
  <c r="N98" i="69"/>
  <c r="N95" i="69"/>
  <c r="A126" i="75"/>
  <c r="C125" i="75"/>
  <c r="B125" i="75"/>
  <c r="L118" i="69"/>
  <c r="L117" i="69"/>
  <c r="L136" i="69"/>
  <c r="L119" i="69"/>
  <c r="L137" i="69"/>
  <c r="M99" i="69"/>
  <c r="CM15" i="67"/>
  <c r="U48" i="69"/>
  <c r="M58" i="17"/>
  <c r="AB55" i="23" l="1"/>
  <c r="AA56" i="23"/>
  <c r="I118" i="155"/>
  <c r="S118" i="155" s="1"/>
  <c r="G118" i="154"/>
  <c r="Q118" i="154" s="1"/>
  <c r="S57" i="23"/>
  <c r="T56" i="23"/>
  <c r="K15" i="154"/>
  <c r="U15" i="154" s="1"/>
  <c r="M15" i="155"/>
  <c r="K15" i="153"/>
  <c r="U15" i="153" s="1"/>
  <c r="X14" i="153"/>
  <c r="P56" i="23"/>
  <c r="O57" i="23"/>
  <c r="B127" i="77"/>
  <c r="C127" i="77"/>
  <c r="A128" i="77"/>
  <c r="A127" i="75"/>
  <c r="B126" i="75"/>
  <c r="C126" i="75"/>
  <c r="CM16" i="67"/>
  <c r="V48" i="69"/>
  <c r="W15" i="153" l="1"/>
  <c r="X15" i="153" s="1"/>
  <c r="Y15" i="153" s="1"/>
  <c r="G119" i="154"/>
  <c r="Q119" i="154" s="1"/>
  <c r="I119" i="155"/>
  <c r="S119" i="155" s="1"/>
  <c r="T57" i="23"/>
  <c r="S58" i="23"/>
  <c r="O58" i="23"/>
  <c r="P57" i="23"/>
  <c r="Y14" i="153"/>
  <c r="M16" i="155"/>
  <c r="K16" i="154"/>
  <c r="U16" i="154" s="1"/>
  <c r="K16" i="153"/>
  <c r="U16" i="153" s="1"/>
  <c r="W16" i="153" s="1"/>
  <c r="AA57" i="23"/>
  <c r="AB56" i="23"/>
  <c r="A129" i="77"/>
  <c r="C128" i="77"/>
  <c r="B128" i="77"/>
  <c r="A128" i="75"/>
  <c r="C127" i="75"/>
  <c r="B127" i="75"/>
  <c r="CM17" i="67"/>
  <c r="W48" i="69"/>
  <c r="X48" i="69" s="1"/>
  <c r="AA58" i="23" l="1"/>
  <c r="AB57" i="23"/>
  <c r="X16" i="153"/>
  <c r="O59" i="23"/>
  <c r="P58" i="23"/>
  <c r="G120" i="154"/>
  <c r="Q120" i="154" s="1"/>
  <c r="I120" i="155"/>
  <c r="S120" i="155" s="1"/>
  <c r="T58" i="23"/>
  <c r="S59" i="23"/>
  <c r="M17" i="155"/>
  <c r="K17" i="153"/>
  <c r="U17" i="153" s="1"/>
  <c r="K17" i="154"/>
  <c r="U17" i="154" s="1"/>
  <c r="C129" i="77"/>
  <c r="B129" i="77"/>
  <c r="A130" i="77"/>
  <c r="A129" i="75"/>
  <c r="C128" i="75"/>
  <c r="B128" i="75"/>
  <c r="CM18" i="67"/>
  <c r="W17" i="153" l="1"/>
  <c r="X17" i="153" s="1"/>
  <c r="Y17" i="153" s="1"/>
  <c r="P59" i="23"/>
  <c r="O60" i="23"/>
  <c r="O19" i="23"/>
  <c r="Y16" i="153"/>
  <c r="I121" i="155"/>
  <c r="S121" i="155" s="1"/>
  <c r="G121" i="154"/>
  <c r="Q121" i="154" s="1"/>
  <c r="T59" i="23"/>
  <c r="S60" i="23"/>
  <c r="S19" i="23"/>
  <c r="M18" i="155"/>
  <c r="K18" i="154"/>
  <c r="U18" i="154" s="1"/>
  <c r="K18" i="153"/>
  <c r="U18" i="153" s="1"/>
  <c r="AA59" i="23"/>
  <c r="AB58" i="23"/>
  <c r="A131" i="77"/>
  <c r="C130" i="77"/>
  <c r="B130" i="77"/>
  <c r="A130" i="75"/>
  <c r="C129" i="75"/>
  <c r="B129" i="75"/>
  <c r="CM19" i="67"/>
  <c r="W18" i="153" l="1"/>
  <c r="X18" i="153" s="1"/>
  <c r="Y18" i="153" s="1"/>
  <c r="AA60" i="23"/>
  <c r="AB59" i="23"/>
  <c r="AA19" i="23"/>
  <c r="T19" i="23"/>
  <c r="G122" i="154"/>
  <c r="Q122" i="154" s="1"/>
  <c r="I122" i="155"/>
  <c r="S122" i="155" s="1"/>
  <c r="T60" i="23"/>
  <c r="S61" i="23"/>
  <c r="P19" i="23"/>
  <c r="O61" i="23"/>
  <c r="P60" i="23"/>
  <c r="K19" i="154"/>
  <c r="U19" i="154" s="1"/>
  <c r="K19" i="153"/>
  <c r="U19" i="153" s="1"/>
  <c r="W19" i="153" s="1"/>
  <c r="M19" i="155"/>
  <c r="B131" i="77"/>
  <c r="C131" i="77"/>
  <c r="A132" i="77"/>
  <c r="A131" i="75"/>
  <c r="C130" i="75"/>
  <c r="B130" i="75"/>
  <c r="CM20" i="67"/>
  <c r="P61" i="23" l="1"/>
  <c r="O62" i="23"/>
  <c r="AB19" i="23"/>
  <c r="M20" i="155"/>
  <c r="K20" i="154"/>
  <c r="U20" i="154" s="1"/>
  <c r="K20" i="153"/>
  <c r="U20" i="153" s="1"/>
  <c r="I123" i="155"/>
  <c r="S123" i="155" s="1"/>
  <c r="G123" i="154"/>
  <c r="Q123" i="154" s="1"/>
  <c r="S62" i="23"/>
  <c r="T61" i="23"/>
  <c r="X19" i="153"/>
  <c r="AB60" i="23"/>
  <c r="AA61" i="23"/>
  <c r="A133" i="77"/>
  <c r="C132" i="77"/>
  <c r="B132" i="77"/>
  <c r="A132" i="75"/>
  <c r="C131" i="75"/>
  <c r="B131" i="75"/>
  <c r="CM21" i="67"/>
  <c r="W20" i="153" l="1"/>
  <c r="X20" i="153" s="1"/>
  <c r="Y20" i="153" s="1"/>
  <c r="AA62" i="23"/>
  <c r="AB61" i="23"/>
  <c r="I124" i="155"/>
  <c r="S124" i="155" s="1"/>
  <c r="G124" i="154"/>
  <c r="Q124" i="154" s="1"/>
  <c r="T62" i="23"/>
  <c r="S63" i="23"/>
  <c r="O63" i="23"/>
  <c r="P62" i="23"/>
  <c r="Y19" i="153"/>
  <c r="K21" i="154"/>
  <c r="U21" i="154" s="1"/>
  <c r="M21" i="155"/>
  <c r="K21" i="153"/>
  <c r="U21" i="153" s="1"/>
  <c r="C133" i="77"/>
  <c r="B133" i="77"/>
  <c r="A133" i="75"/>
  <c r="C132" i="75"/>
  <c r="B132" i="75"/>
  <c r="CM22" i="67"/>
  <c r="W21" i="153" l="1"/>
  <c r="X21" i="153" s="1"/>
  <c r="Y21" i="153" s="1"/>
  <c r="I125" i="155"/>
  <c r="S125" i="155" s="1"/>
  <c r="G125" i="154"/>
  <c r="Q125" i="154" s="1"/>
  <c r="T63" i="23"/>
  <c r="S64" i="23"/>
  <c r="O64" i="23"/>
  <c r="P63" i="23"/>
  <c r="M22" i="155"/>
  <c r="K22" i="154"/>
  <c r="U22" i="154" s="1"/>
  <c r="K22" i="153"/>
  <c r="U22" i="153" s="1"/>
  <c r="AA63" i="23"/>
  <c r="AB62" i="23"/>
  <c r="C133" i="75"/>
  <c r="B133" i="75"/>
  <c r="CM23" i="67"/>
  <c r="W22" i="153" l="1"/>
  <c r="X22" i="153" s="1"/>
  <c r="Y22" i="153" s="1"/>
  <c r="I126" i="155"/>
  <c r="S126" i="155" s="1"/>
  <c r="G126" i="154"/>
  <c r="Q126" i="154" s="1"/>
  <c r="T64" i="23"/>
  <c r="S65" i="23"/>
  <c r="AB63" i="23"/>
  <c r="AA64" i="23"/>
  <c r="O65" i="23"/>
  <c r="P64" i="23"/>
  <c r="K23" i="154"/>
  <c r="U23" i="154" s="1"/>
  <c r="M23" i="155"/>
  <c r="K23" i="153"/>
  <c r="U23" i="153" s="1"/>
  <c r="CM24" i="67"/>
  <c r="W23" i="153" l="1"/>
  <c r="X23" i="153" s="1"/>
  <c r="Y23" i="153" s="1"/>
  <c r="O66" i="23"/>
  <c r="P65" i="23"/>
  <c r="AB64" i="23"/>
  <c r="AA65" i="23"/>
  <c r="M24" i="155"/>
  <c r="K24" i="154"/>
  <c r="U24" i="154" s="1"/>
  <c r="K24" i="153"/>
  <c r="U24" i="153" s="1"/>
  <c r="G127" i="154"/>
  <c r="Q127" i="154" s="1"/>
  <c r="I127" i="155"/>
  <c r="S127" i="155" s="1"/>
  <c r="S66" i="23"/>
  <c r="T65" i="23"/>
  <c r="CM25" i="67"/>
  <c r="W24" i="153" l="1"/>
  <c r="X24" i="153" s="1"/>
  <c r="Y24" i="153" s="1"/>
  <c r="K25" i="154"/>
  <c r="U25" i="154" s="1"/>
  <c r="K25" i="153"/>
  <c r="U25" i="153" s="1"/>
  <c r="M25" i="155"/>
  <c r="G128" i="154"/>
  <c r="Q128" i="154" s="1"/>
  <c r="I128" i="155"/>
  <c r="S128" i="155" s="1"/>
  <c r="T66" i="23"/>
  <c r="S67" i="23"/>
  <c r="AA66" i="23"/>
  <c r="AB65" i="23"/>
  <c r="O67" i="23"/>
  <c r="P66" i="23"/>
  <c r="CM26" i="67"/>
  <c r="W25" i="153" l="1"/>
  <c r="X25" i="153" s="1"/>
  <c r="Y25" i="153" s="1"/>
  <c r="M26" i="155"/>
  <c r="K26" i="154"/>
  <c r="U26" i="154" s="1"/>
  <c r="K26" i="153"/>
  <c r="U26" i="153" s="1"/>
  <c r="W26" i="153" s="1"/>
  <c r="I129" i="155"/>
  <c r="S129" i="155" s="1"/>
  <c r="G129" i="154"/>
  <c r="Q129" i="154" s="1"/>
  <c r="T67" i="23"/>
  <c r="S68" i="23"/>
  <c r="P67" i="23"/>
  <c r="O68" i="23"/>
  <c r="AA67" i="23"/>
  <c r="AB66" i="23"/>
  <c r="CM27" i="67"/>
  <c r="X26" i="153" l="1"/>
  <c r="K27" i="154"/>
  <c r="U27" i="154" s="1"/>
  <c r="K27" i="153"/>
  <c r="U27" i="153" s="1"/>
  <c r="M27" i="155"/>
  <c r="AB67" i="23"/>
  <c r="AA68" i="23"/>
  <c r="O69" i="23"/>
  <c r="P68" i="23"/>
  <c r="G130" i="154"/>
  <c r="Q130" i="154" s="1"/>
  <c r="I130" i="155"/>
  <c r="S130" i="155" s="1"/>
  <c r="T68" i="23"/>
  <c r="S69" i="23"/>
  <c r="CM28" i="67"/>
  <c r="W27" i="153" l="1"/>
  <c r="X27" i="153" s="1"/>
  <c r="Y27" i="153" s="1"/>
  <c r="I131" i="155"/>
  <c r="S131" i="155" s="1"/>
  <c r="G131" i="154"/>
  <c r="Q131" i="154" s="1"/>
  <c r="S70" i="23"/>
  <c r="T69" i="23"/>
  <c r="O70" i="23"/>
  <c r="P69" i="23"/>
  <c r="Y26" i="153"/>
  <c r="K28" i="154"/>
  <c r="U28" i="154" s="1"/>
  <c r="M28" i="155"/>
  <c r="K28" i="153"/>
  <c r="U28" i="153" s="1"/>
  <c r="W28" i="153" s="1"/>
  <c r="AB68" i="23"/>
  <c r="AA69" i="23"/>
  <c r="CM29" i="67"/>
  <c r="AA70" i="23" l="1"/>
  <c r="AB69" i="23"/>
  <c r="X28" i="153"/>
  <c r="M29" i="155"/>
  <c r="K29" i="154"/>
  <c r="U29" i="154" s="1"/>
  <c r="K29" i="153"/>
  <c r="U29" i="153" s="1"/>
  <c r="O71" i="23"/>
  <c r="P70" i="23"/>
  <c r="I132" i="155"/>
  <c r="S132" i="155" s="1"/>
  <c r="G132" i="154"/>
  <c r="Q132" i="154" s="1"/>
  <c r="S71" i="23"/>
  <c r="T70" i="23"/>
  <c r="CM30" i="67"/>
  <c r="W29" i="153" l="1"/>
  <c r="X29" i="153" s="1"/>
  <c r="Y29" i="153" s="1"/>
  <c r="M30" i="155"/>
  <c r="K30" i="153"/>
  <c r="U30" i="153" s="1"/>
  <c r="K30" i="154"/>
  <c r="U30" i="154" s="1"/>
  <c r="Y28" i="153"/>
  <c r="I133" i="155"/>
  <c r="S133" i="155" s="1"/>
  <c r="G133" i="154"/>
  <c r="Q133" i="154" s="1"/>
  <c r="T71" i="23"/>
  <c r="S20" i="23"/>
  <c r="P71" i="23"/>
  <c r="O20" i="23"/>
  <c r="AB70" i="23"/>
  <c r="AA71" i="23"/>
  <c r="CM31" i="67"/>
  <c r="W30" i="153" l="1"/>
  <c r="X30" i="153" s="1"/>
  <c r="Y30" i="153" s="1"/>
  <c r="AB71" i="23"/>
  <c r="AA20" i="23"/>
  <c r="P20" i="23"/>
  <c r="O22" i="23"/>
  <c r="K31" i="154"/>
  <c r="U31" i="154" s="1"/>
  <c r="M31" i="155"/>
  <c r="K31" i="153"/>
  <c r="U31" i="153" s="1"/>
  <c r="W31" i="153" s="1"/>
  <c r="T20" i="23"/>
  <c r="S22" i="23"/>
  <c r="CM32" i="67"/>
  <c r="X31" i="153" l="1"/>
  <c r="AB20" i="23"/>
  <c r="AA22" i="23"/>
  <c r="M32" i="155"/>
  <c r="K32" i="154"/>
  <c r="U32" i="154" s="1"/>
  <c r="K32" i="153"/>
  <c r="U32" i="153" s="1"/>
  <c r="CM33" i="67"/>
  <c r="W32" i="153" l="1"/>
  <c r="X32" i="153" s="1"/>
  <c r="Y32" i="153" s="1"/>
  <c r="K33" i="154"/>
  <c r="U33" i="154" s="1"/>
  <c r="M33" i="155"/>
  <c r="K33" i="153"/>
  <c r="U33" i="153" s="1"/>
  <c r="Y31" i="153"/>
  <c r="CM34" i="67"/>
  <c r="W33" i="153" l="1"/>
  <c r="X33" i="153" s="1"/>
  <c r="Y33" i="153" s="1"/>
  <c r="M34" i="155"/>
  <c r="K34" i="153"/>
  <c r="U34" i="153" s="1"/>
  <c r="K34" i="154"/>
  <c r="U34" i="154" s="1"/>
  <c r="CM35" i="67"/>
  <c r="W34" i="153" l="1"/>
  <c r="X34" i="153" s="1"/>
  <c r="Y34" i="153" s="1"/>
  <c r="K35" i="154"/>
  <c r="U35" i="154" s="1"/>
  <c r="M35" i="155"/>
  <c r="K35" i="153"/>
  <c r="U35" i="153" s="1"/>
  <c r="CM36" i="67"/>
  <c r="W35" i="153" l="1"/>
  <c r="X35" i="153" s="1"/>
  <c r="Y35" i="153" s="1"/>
  <c r="K36" i="154"/>
  <c r="U36" i="154" s="1"/>
  <c r="M36" i="155"/>
  <c r="K36" i="153"/>
  <c r="U36" i="153" s="1"/>
  <c r="CM37" i="67"/>
  <c r="W36" i="153" l="1"/>
  <c r="X36" i="153" s="1"/>
  <c r="Y36" i="153" s="1"/>
  <c r="K37" i="154"/>
  <c r="U37" i="154" s="1"/>
  <c r="M37" i="155"/>
  <c r="K37" i="153"/>
  <c r="U37" i="153" s="1"/>
  <c r="CM38" i="67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B116" i="36"/>
  <c r="C116" i="36"/>
  <c r="B117" i="36"/>
  <c r="C117" i="36"/>
  <c r="B118" i="36"/>
  <c r="C118" i="36"/>
  <c r="B119" i="36"/>
  <c r="C119" i="36"/>
  <c r="B120" i="36"/>
  <c r="C120" i="36"/>
  <c r="B121" i="36"/>
  <c r="C121" i="36"/>
  <c r="B127" i="36"/>
  <c r="C127" i="36"/>
  <c r="B128" i="36"/>
  <c r="C128" i="36"/>
  <c r="B129" i="36"/>
  <c r="C129" i="36"/>
  <c r="B130" i="36"/>
  <c r="C130" i="36"/>
  <c r="B131" i="36"/>
  <c r="C131" i="36"/>
  <c r="B132" i="36"/>
  <c r="C132" i="36"/>
  <c r="B133" i="36"/>
  <c r="C133" i="36"/>
  <c r="B127" i="34"/>
  <c r="C127" i="34"/>
  <c r="L127" i="34"/>
  <c r="B128" i="34"/>
  <c r="C128" i="34"/>
  <c r="L128" i="34"/>
  <c r="B129" i="34"/>
  <c r="C129" i="34"/>
  <c r="L129" i="34"/>
  <c r="B130" i="34"/>
  <c r="C130" i="34"/>
  <c r="L130" i="34"/>
  <c r="B131" i="34"/>
  <c r="C131" i="34"/>
  <c r="L131" i="34"/>
  <c r="B132" i="34"/>
  <c r="C132" i="34"/>
  <c r="L132" i="34"/>
  <c r="B133" i="34"/>
  <c r="C133" i="34"/>
  <c r="L133" i="34"/>
  <c r="B120" i="38"/>
  <c r="C120" i="38"/>
  <c r="B121" i="38"/>
  <c r="C121" i="38"/>
  <c r="B127" i="38"/>
  <c r="C127" i="38"/>
  <c r="B128" i="38"/>
  <c r="C128" i="38"/>
  <c r="B129" i="38"/>
  <c r="C129" i="38"/>
  <c r="B130" i="38"/>
  <c r="C130" i="38"/>
  <c r="B131" i="38"/>
  <c r="C131" i="38"/>
  <c r="B132" i="38"/>
  <c r="C132" i="38"/>
  <c r="B133" i="38"/>
  <c r="C133" i="38"/>
  <c r="B116" i="38"/>
  <c r="C116" i="38"/>
  <c r="B117" i="38"/>
  <c r="C117" i="38"/>
  <c r="B118" i="38"/>
  <c r="C118" i="38"/>
  <c r="B119" i="38"/>
  <c r="C119" i="38"/>
  <c r="B62" i="38"/>
  <c r="C62" i="38"/>
  <c r="B63" i="38"/>
  <c r="C63" i="38"/>
  <c r="B64" i="38"/>
  <c r="C64" i="38"/>
  <c r="B65" i="38"/>
  <c r="C65" i="38"/>
  <c r="B66" i="38"/>
  <c r="C66" i="38"/>
  <c r="B67" i="38"/>
  <c r="C67" i="38"/>
  <c r="B68" i="38"/>
  <c r="C68" i="38"/>
  <c r="B69" i="38"/>
  <c r="C69" i="38"/>
  <c r="B70" i="38"/>
  <c r="C70" i="38"/>
  <c r="B71" i="38"/>
  <c r="C71" i="38"/>
  <c r="B72" i="38"/>
  <c r="C72" i="38"/>
  <c r="B73" i="38"/>
  <c r="C73" i="38"/>
  <c r="B74" i="38"/>
  <c r="C74" i="38"/>
  <c r="B75" i="38"/>
  <c r="C75" i="38"/>
  <c r="B76" i="38"/>
  <c r="C76" i="38"/>
  <c r="B77" i="38"/>
  <c r="C77" i="38"/>
  <c r="B78" i="38"/>
  <c r="C78" i="38"/>
  <c r="B79" i="38"/>
  <c r="C79" i="38"/>
  <c r="B80" i="38"/>
  <c r="C80" i="38"/>
  <c r="B81" i="38"/>
  <c r="C81" i="38"/>
  <c r="B82" i="38"/>
  <c r="C82" i="38"/>
  <c r="B83" i="38"/>
  <c r="C83" i="38"/>
  <c r="B84" i="38"/>
  <c r="C84" i="38"/>
  <c r="B85" i="38"/>
  <c r="C85" i="38"/>
  <c r="B86" i="38"/>
  <c r="C86" i="38"/>
  <c r="B87" i="38"/>
  <c r="C87" i="38"/>
  <c r="B88" i="38"/>
  <c r="C88" i="38"/>
  <c r="B89" i="38"/>
  <c r="C89" i="38"/>
  <c r="B90" i="38"/>
  <c r="C90" i="38"/>
  <c r="B91" i="38"/>
  <c r="C91" i="38"/>
  <c r="B92" i="38"/>
  <c r="C92" i="38"/>
  <c r="B93" i="38"/>
  <c r="C93" i="38"/>
  <c r="B94" i="38"/>
  <c r="C94" i="38"/>
  <c r="B95" i="38"/>
  <c r="C95" i="38"/>
  <c r="B96" i="38"/>
  <c r="C96" i="38"/>
  <c r="B97" i="38"/>
  <c r="C97" i="38"/>
  <c r="DT1" i="4"/>
  <c r="DS1" i="4"/>
  <c r="DR1" i="4"/>
  <c r="P66" i="28"/>
  <c r="P75" i="28"/>
  <c r="P83" i="28"/>
  <c r="P87" i="28"/>
  <c r="P91" i="28"/>
  <c r="P93" i="28"/>
  <c r="P96" i="28"/>
  <c r="P77" i="28"/>
  <c r="P80" i="28"/>
  <c r="P86" i="28"/>
  <c r="P90" i="28"/>
  <c r="P62" i="28"/>
  <c r="P63" i="28"/>
  <c r="P64" i="28"/>
  <c r="P69" i="28"/>
  <c r="P70" i="28"/>
  <c r="P72" i="28"/>
  <c r="W37" i="153" l="1"/>
  <c r="X37" i="153" s="1"/>
  <c r="Y37" i="153" s="1"/>
  <c r="K38" i="154"/>
  <c r="U38" i="154" s="1"/>
  <c r="K38" i="153"/>
  <c r="U38" i="153" s="1"/>
  <c r="W38" i="153" s="1"/>
  <c r="M38" i="155"/>
  <c r="CM39" i="67"/>
  <c r="P82" i="28"/>
  <c r="P85" i="28"/>
  <c r="P97" i="28"/>
  <c r="P65" i="28"/>
  <c r="P94" i="28"/>
  <c r="P88" i="28"/>
  <c r="P81" i="28"/>
  <c r="P73" i="28"/>
  <c r="P78" i="28"/>
  <c r="P68" i="28"/>
  <c r="P84" i="28"/>
  <c r="P89" i="28"/>
  <c r="P92" i="28"/>
  <c r="P76" i="28"/>
  <c r="P74" i="28"/>
  <c r="P95" i="28"/>
  <c r="P79" i="28"/>
  <c r="P67" i="28"/>
  <c r="P71" i="28"/>
  <c r="DC2" i="4"/>
  <c r="CO2" i="4"/>
  <c r="CA2" i="4"/>
  <c r="BM2" i="4"/>
  <c r="AY2" i="4"/>
  <c r="AK2" i="4"/>
  <c r="AL2" i="4" s="1"/>
  <c r="AM2" i="4" s="1"/>
  <c r="AN2" i="4" s="1"/>
  <c r="AO2" i="4" s="1"/>
  <c r="AP2" i="4" s="1"/>
  <c r="AQ2" i="4" s="1"/>
  <c r="AR2" i="4" s="1"/>
  <c r="AS2" i="4" s="1"/>
  <c r="V2" i="4"/>
  <c r="W2" i="4" s="1"/>
  <c r="B40" i="65"/>
  <c r="B41" i="65"/>
  <c r="B42" i="65"/>
  <c r="B43" i="65"/>
  <c r="B44" i="65"/>
  <c r="B45" i="65"/>
  <c r="B46" i="65"/>
  <c r="B47" i="65"/>
  <c r="B48" i="65"/>
  <c r="B49" i="65"/>
  <c r="B50" i="65"/>
  <c r="B51" i="65"/>
  <c r="B52" i="65"/>
  <c r="B53" i="65"/>
  <c r="B54" i="65"/>
  <c r="B55" i="65"/>
  <c r="B56" i="65"/>
  <c r="B57" i="65"/>
  <c r="B58" i="65"/>
  <c r="B59" i="65"/>
  <c r="B60" i="65"/>
  <c r="B61" i="65"/>
  <c r="B62" i="65"/>
  <c r="B63" i="65"/>
  <c r="B64" i="65"/>
  <c r="B65" i="65"/>
  <c r="B66" i="65"/>
  <c r="B67" i="65"/>
  <c r="B68" i="65"/>
  <c r="B69" i="65"/>
  <c r="B70" i="65"/>
  <c r="B71" i="65"/>
  <c r="B72" i="65"/>
  <c r="B73" i="65"/>
  <c r="B74" i="65"/>
  <c r="B75" i="65"/>
  <c r="B76" i="65"/>
  <c r="B77" i="65"/>
  <c r="B78" i="65"/>
  <c r="B79" i="65"/>
  <c r="B80" i="65"/>
  <c r="B81" i="65"/>
  <c r="B82" i="65"/>
  <c r="B83" i="65"/>
  <c r="B84" i="65"/>
  <c r="B85" i="65"/>
  <c r="B86" i="65"/>
  <c r="B87" i="65"/>
  <c r="B88" i="65"/>
  <c r="B89" i="65"/>
  <c r="B90" i="65"/>
  <c r="B91" i="65"/>
  <c r="B92" i="65"/>
  <c r="B93" i="65"/>
  <c r="B94" i="65"/>
  <c r="B95" i="65"/>
  <c r="B96" i="65"/>
  <c r="B97" i="65"/>
  <c r="B98" i="65"/>
  <c r="B99" i="65"/>
  <c r="C29" i="65"/>
  <c r="C41" i="65" s="1"/>
  <c r="C53" i="65" s="1"/>
  <c r="C65" i="65" s="1"/>
  <c r="C77" i="65" s="1"/>
  <c r="C89" i="65" s="1"/>
  <c r="C101" i="65" s="1"/>
  <c r="C113" i="65" s="1"/>
  <c r="C125" i="65" s="1"/>
  <c r="C137" i="65" s="1"/>
  <c r="C30" i="65"/>
  <c r="C42" i="65" s="1"/>
  <c r="C54" i="65" s="1"/>
  <c r="C66" i="65" s="1"/>
  <c r="C78" i="65" s="1"/>
  <c r="C90" i="65" s="1"/>
  <c r="C102" i="65" s="1"/>
  <c r="C114" i="65" s="1"/>
  <c r="C126" i="65" s="1"/>
  <c r="C138" i="65" s="1"/>
  <c r="C31" i="65"/>
  <c r="C43" i="65" s="1"/>
  <c r="C55" i="65" s="1"/>
  <c r="C67" i="65" s="1"/>
  <c r="C79" i="65" s="1"/>
  <c r="C91" i="65" s="1"/>
  <c r="C103" i="65" s="1"/>
  <c r="C115" i="65" s="1"/>
  <c r="C127" i="65" s="1"/>
  <c r="C139" i="65" s="1"/>
  <c r="C32" i="65"/>
  <c r="C44" i="65" s="1"/>
  <c r="C56" i="65" s="1"/>
  <c r="C68" i="65" s="1"/>
  <c r="C80" i="65" s="1"/>
  <c r="C92" i="65" s="1"/>
  <c r="C104" i="65" s="1"/>
  <c r="C116" i="65" s="1"/>
  <c r="C128" i="65" s="1"/>
  <c r="C140" i="65" s="1"/>
  <c r="C33" i="65"/>
  <c r="C45" i="65" s="1"/>
  <c r="C57" i="65" s="1"/>
  <c r="C69" i="65" s="1"/>
  <c r="C81" i="65" s="1"/>
  <c r="C93" i="65" s="1"/>
  <c r="C105" i="65" s="1"/>
  <c r="C117" i="65" s="1"/>
  <c r="C129" i="65" s="1"/>
  <c r="C141" i="65" s="1"/>
  <c r="C34" i="65"/>
  <c r="C46" i="65" s="1"/>
  <c r="C58" i="65" s="1"/>
  <c r="C70" i="65" s="1"/>
  <c r="C82" i="65" s="1"/>
  <c r="C94" i="65" s="1"/>
  <c r="C106" i="65" s="1"/>
  <c r="C118" i="65" s="1"/>
  <c r="C130" i="65" s="1"/>
  <c r="C142" i="65" s="1"/>
  <c r="C35" i="65"/>
  <c r="C47" i="65" s="1"/>
  <c r="C59" i="65" s="1"/>
  <c r="C71" i="65" s="1"/>
  <c r="C83" i="65" s="1"/>
  <c r="C95" i="65" s="1"/>
  <c r="C107" i="65" s="1"/>
  <c r="C119" i="65" s="1"/>
  <c r="C131" i="65" s="1"/>
  <c r="C143" i="65" s="1"/>
  <c r="C36" i="65"/>
  <c r="C48" i="65" s="1"/>
  <c r="C60" i="65" s="1"/>
  <c r="C72" i="65" s="1"/>
  <c r="C84" i="65" s="1"/>
  <c r="C96" i="65" s="1"/>
  <c r="C108" i="65" s="1"/>
  <c r="C120" i="65" s="1"/>
  <c r="C132" i="65" s="1"/>
  <c r="C144" i="65" s="1"/>
  <c r="C38" i="65"/>
  <c r="C50" i="65" s="1"/>
  <c r="C62" i="65" s="1"/>
  <c r="C74" i="65" s="1"/>
  <c r="C86" i="65" s="1"/>
  <c r="C98" i="65" s="1"/>
  <c r="C110" i="65" s="1"/>
  <c r="C122" i="65" s="1"/>
  <c r="C134" i="65" s="1"/>
  <c r="C146" i="65" s="1"/>
  <c r="C39" i="65"/>
  <c r="C51" i="65" s="1"/>
  <c r="C63" i="65" s="1"/>
  <c r="C75" i="65" s="1"/>
  <c r="C87" i="65" s="1"/>
  <c r="C99" i="65" s="1"/>
  <c r="C111" i="65" s="1"/>
  <c r="C123" i="65" s="1"/>
  <c r="C135" i="65" s="1"/>
  <c r="C147" i="65" s="1"/>
  <c r="C37" i="65"/>
  <c r="C49" i="65" s="1"/>
  <c r="C61" i="65" s="1"/>
  <c r="C73" i="65" s="1"/>
  <c r="C85" i="65" s="1"/>
  <c r="C97" i="65" s="1"/>
  <c r="C109" i="65" s="1"/>
  <c r="C121" i="65" s="1"/>
  <c r="C133" i="65" s="1"/>
  <c r="C145" i="65" s="1"/>
  <c r="C28" i="65"/>
  <c r="C40" i="65" s="1"/>
  <c r="C52" i="65" s="1"/>
  <c r="C64" i="65" s="1"/>
  <c r="C76" i="65" s="1"/>
  <c r="C88" i="65" s="1"/>
  <c r="C100" i="65" s="1"/>
  <c r="C112" i="65" s="1"/>
  <c r="C124" i="65" s="1"/>
  <c r="C136" i="65" s="1"/>
  <c r="B113" i="65"/>
  <c r="B114" i="65"/>
  <c r="B115" i="65"/>
  <c r="B116" i="65"/>
  <c r="B117" i="65"/>
  <c r="B118" i="65"/>
  <c r="B119" i="65"/>
  <c r="B120" i="65"/>
  <c r="B121" i="65"/>
  <c r="B122" i="65"/>
  <c r="B123" i="65"/>
  <c r="B124" i="65"/>
  <c r="B125" i="65"/>
  <c r="B126" i="65"/>
  <c r="B127" i="65"/>
  <c r="B128" i="65"/>
  <c r="B129" i="65"/>
  <c r="B130" i="65"/>
  <c r="B131" i="65"/>
  <c r="B132" i="65"/>
  <c r="B133" i="65"/>
  <c r="B134" i="65"/>
  <c r="B135" i="65"/>
  <c r="B100" i="65"/>
  <c r="B101" i="65"/>
  <c r="B102" i="65"/>
  <c r="B103" i="65"/>
  <c r="B104" i="65"/>
  <c r="B105" i="65"/>
  <c r="B106" i="65"/>
  <c r="B107" i="65"/>
  <c r="B108" i="65"/>
  <c r="B109" i="65"/>
  <c r="B110" i="65"/>
  <c r="B111" i="65"/>
  <c r="B112" i="65"/>
  <c r="K39" i="154" l="1"/>
  <c r="U39" i="154" s="1"/>
  <c r="M39" i="155"/>
  <c r="K39" i="153"/>
  <c r="U39" i="153" s="1"/>
  <c r="X38" i="153"/>
  <c r="N124" i="65"/>
  <c r="N136" i="65" s="1"/>
  <c r="O124" i="65"/>
  <c r="O136" i="65" s="1"/>
  <c r="P124" i="65"/>
  <c r="P136" i="65" s="1"/>
  <c r="AQ37" i="67"/>
  <c r="AR37" i="67"/>
  <c r="N127" i="65"/>
  <c r="N139" i="65" s="1"/>
  <c r="O127" i="65"/>
  <c r="O139" i="65" s="1"/>
  <c r="P127" i="65"/>
  <c r="P139" i="65" s="1"/>
  <c r="AQ84" i="67"/>
  <c r="AR84" i="67"/>
  <c r="AQ68" i="67"/>
  <c r="AR68" i="67"/>
  <c r="AQ52" i="67"/>
  <c r="AR52" i="67"/>
  <c r="AQ36" i="67"/>
  <c r="AR36" i="67"/>
  <c r="AQ35" i="67"/>
  <c r="AR35" i="67"/>
  <c r="AQ82" i="67"/>
  <c r="AR82" i="67"/>
  <c r="AQ50" i="67"/>
  <c r="AR50" i="67"/>
  <c r="AQ34" i="67"/>
  <c r="AR34" i="67"/>
  <c r="AQ81" i="67"/>
  <c r="AR81" i="67"/>
  <c r="AQ65" i="67"/>
  <c r="AR65" i="67"/>
  <c r="AQ49" i="67"/>
  <c r="AR49" i="67"/>
  <c r="AQ33" i="67"/>
  <c r="AR33" i="67"/>
  <c r="N128" i="65"/>
  <c r="N140" i="65" s="1"/>
  <c r="O128" i="65"/>
  <c r="O140" i="65" s="1"/>
  <c r="P128" i="65"/>
  <c r="P140" i="65" s="1"/>
  <c r="AQ51" i="67"/>
  <c r="AR51" i="67"/>
  <c r="AQ66" i="67"/>
  <c r="AR66" i="67"/>
  <c r="AQ80" i="67"/>
  <c r="AR80" i="67"/>
  <c r="AQ64" i="67"/>
  <c r="AR64" i="67"/>
  <c r="AQ48" i="67"/>
  <c r="AR48" i="67"/>
  <c r="AQ32" i="67"/>
  <c r="AR32" i="67"/>
  <c r="AQ67" i="67"/>
  <c r="AR67" i="67"/>
  <c r="N125" i="65"/>
  <c r="N137" i="65" s="1"/>
  <c r="O125" i="65"/>
  <c r="O137" i="65" s="1"/>
  <c r="P125" i="65"/>
  <c r="P137" i="65" s="1"/>
  <c r="AQ94" i="67"/>
  <c r="AR94" i="67"/>
  <c r="AQ93" i="67"/>
  <c r="AR93" i="67"/>
  <c r="AQ92" i="67"/>
  <c r="AR92" i="67"/>
  <c r="AQ79" i="67"/>
  <c r="AR79" i="67"/>
  <c r="AQ63" i="67"/>
  <c r="AR63" i="67"/>
  <c r="AQ47" i="67"/>
  <c r="AR47" i="67"/>
  <c r="AQ31" i="67"/>
  <c r="AR31" i="67"/>
  <c r="AQ78" i="67"/>
  <c r="AR78" i="67"/>
  <c r="AQ62" i="67"/>
  <c r="AR62" i="67"/>
  <c r="AQ46" i="67"/>
  <c r="AR46" i="67"/>
  <c r="AP30" i="67"/>
  <c r="AQ30" i="67"/>
  <c r="AR30" i="67"/>
  <c r="AQ77" i="67"/>
  <c r="AR77" i="67"/>
  <c r="AQ61" i="67"/>
  <c r="AR61" i="67"/>
  <c r="AQ45" i="67"/>
  <c r="AR45" i="67"/>
  <c r="AP29" i="67"/>
  <c r="AQ29" i="67"/>
  <c r="AR29" i="67"/>
  <c r="AQ91" i="67"/>
  <c r="AR91" i="67"/>
  <c r="AQ89" i="67"/>
  <c r="AR89" i="67"/>
  <c r="AQ76" i="67"/>
  <c r="AR76" i="67"/>
  <c r="AQ60" i="67"/>
  <c r="AR60" i="67"/>
  <c r="AQ44" i="67"/>
  <c r="AR44" i="67"/>
  <c r="AQ28" i="67"/>
  <c r="AR28" i="67"/>
  <c r="AP28" i="67"/>
  <c r="AQ75" i="67"/>
  <c r="AR75" i="67"/>
  <c r="AQ59" i="67"/>
  <c r="AR59" i="67"/>
  <c r="AQ43" i="67"/>
  <c r="AR43" i="67"/>
  <c r="AP27" i="67"/>
  <c r="AQ27" i="67"/>
  <c r="AR27" i="67"/>
  <c r="AQ58" i="67"/>
  <c r="AR58" i="67"/>
  <c r="AQ42" i="67"/>
  <c r="AR42" i="67"/>
  <c r="AP26" i="67"/>
  <c r="AQ26" i="67"/>
  <c r="AR26" i="67"/>
  <c r="AQ53" i="67"/>
  <c r="AR53" i="67"/>
  <c r="AQ73" i="67"/>
  <c r="AR73" i="67"/>
  <c r="AQ57" i="67"/>
  <c r="AR57" i="67"/>
  <c r="AQ41" i="67"/>
  <c r="AR41" i="67"/>
  <c r="AQ72" i="67"/>
  <c r="AR72" i="67"/>
  <c r="AQ56" i="67"/>
  <c r="AR56" i="67"/>
  <c r="AQ40" i="67"/>
  <c r="AR40" i="67"/>
  <c r="AQ69" i="67"/>
  <c r="AR69" i="67"/>
  <c r="AQ83" i="67"/>
  <c r="AR83" i="67"/>
  <c r="AQ90" i="67"/>
  <c r="AR90" i="67"/>
  <c r="AQ86" i="67"/>
  <c r="AR86" i="67"/>
  <c r="N131" i="65"/>
  <c r="N143" i="65" s="1"/>
  <c r="O131" i="65"/>
  <c r="O143" i="65" s="1"/>
  <c r="P131" i="65"/>
  <c r="P143" i="65" s="1"/>
  <c r="O130" i="65"/>
  <c r="O142" i="65" s="1"/>
  <c r="P130" i="65"/>
  <c r="P142" i="65" s="1"/>
  <c r="N130" i="65"/>
  <c r="N142" i="65" s="1"/>
  <c r="AQ71" i="67"/>
  <c r="AR71" i="67"/>
  <c r="AQ55" i="67"/>
  <c r="AR55" i="67"/>
  <c r="AQ39" i="67"/>
  <c r="AR39" i="67"/>
  <c r="AQ85" i="67"/>
  <c r="AR85" i="67"/>
  <c r="O126" i="65"/>
  <c r="O138" i="65" s="1"/>
  <c r="P126" i="65"/>
  <c r="P138" i="65" s="1"/>
  <c r="N126" i="65"/>
  <c r="N138" i="65" s="1"/>
  <c r="AQ88" i="67"/>
  <c r="AR88" i="67"/>
  <c r="X113" i="65"/>
  <c r="BA99" i="67" s="1"/>
  <c r="AQ87" i="67"/>
  <c r="AR87" i="67"/>
  <c r="AQ74" i="67"/>
  <c r="AR74" i="67"/>
  <c r="N132" i="65"/>
  <c r="N144" i="65" s="1"/>
  <c r="O132" i="65"/>
  <c r="O144" i="65" s="1"/>
  <c r="P132" i="65"/>
  <c r="P144" i="65" s="1"/>
  <c r="N129" i="65"/>
  <c r="N141" i="65" s="1"/>
  <c r="O129" i="65"/>
  <c r="O141" i="65" s="1"/>
  <c r="P129" i="65"/>
  <c r="P141" i="65" s="1"/>
  <c r="AQ70" i="67"/>
  <c r="AR70" i="67"/>
  <c r="AQ54" i="67"/>
  <c r="AR54" i="67"/>
  <c r="AQ38" i="67"/>
  <c r="AR38" i="67"/>
  <c r="AJ85" i="67"/>
  <c r="AK85" i="67"/>
  <c r="AL85" i="67"/>
  <c r="AM85" i="67"/>
  <c r="AN85" i="67"/>
  <c r="AO85" i="67"/>
  <c r="AJ69" i="67"/>
  <c r="AK69" i="67"/>
  <c r="AL69" i="67"/>
  <c r="AM69" i="67"/>
  <c r="AN69" i="67"/>
  <c r="AO69" i="67"/>
  <c r="AJ53" i="67"/>
  <c r="AK53" i="67"/>
  <c r="AL53" i="67"/>
  <c r="AM53" i="67"/>
  <c r="AO53" i="67"/>
  <c r="AN53" i="67"/>
  <c r="AJ37" i="67"/>
  <c r="AK37" i="67"/>
  <c r="AL37" i="67"/>
  <c r="AM37" i="67"/>
  <c r="AN37" i="67"/>
  <c r="AO37" i="67"/>
  <c r="AJ68" i="67"/>
  <c r="AK68" i="67"/>
  <c r="AL68" i="67"/>
  <c r="AM68" i="67"/>
  <c r="AN68" i="67"/>
  <c r="AO68" i="67"/>
  <c r="AJ52" i="67"/>
  <c r="AK52" i="67"/>
  <c r="AL52" i="67"/>
  <c r="AM52" i="67"/>
  <c r="AN52" i="67"/>
  <c r="AO52" i="67"/>
  <c r="AJ36" i="67"/>
  <c r="AK36" i="67"/>
  <c r="AL36" i="67"/>
  <c r="AM36" i="67"/>
  <c r="AN36" i="67"/>
  <c r="AO36" i="67"/>
  <c r="AN83" i="67"/>
  <c r="AL83" i="67"/>
  <c r="AO83" i="67"/>
  <c r="AJ83" i="67"/>
  <c r="AK83" i="67"/>
  <c r="AM83" i="67"/>
  <c r="AN67" i="67"/>
  <c r="AL67" i="67"/>
  <c r="AM67" i="67"/>
  <c r="AO67" i="67"/>
  <c r="AJ67" i="67"/>
  <c r="AK67" i="67"/>
  <c r="AN51" i="67"/>
  <c r="AL51" i="67"/>
  <c r="AO51" i="67"/>
  <c r="AJ51" i="67"/>
  <c r="AK51" i="67"/>
  <c r="AM51" i="67"/>
  <c r="AN35" i="67"/>
  <c r="AO35" i="67"/>
  <c r="AJ35" i="67"/>
  <c r="AM35" i="67"/>
  <c r="AK35" i="67"/>
  <c r="AL35" i="67"/>
  <c r="AJ82" i="67"/>
  <c r="AK82" i="67"/>
  <c r="AL82" i="67"/>
  <c r="AM82" i="67"/>
  <c r="AO82" i="67"/>
  <c r="AN82" i="67"/>
  <c r="AJ66" i="67"/>
  <c r="AK66" i="67"/>
  <c r="AL66" i="67"/>
  <c r="AM66" i="67"/>
  <c r="AO66" i="67"/>
  <c r="AN66" i="67"/>
  <c r="AJ50" i="67"/>
  <c r="AK50" i="67"/>
  <c r="AL50" i="67"/>
  <c r="AM50" i="67"/>
  <c r="AO50" i="67"/>
  <c r="AN50" i="67"/>
  <c r="AJ34" i="67"/>
  <c r="AK34" i="67"/>
  <c r="AL34" i="67"/>
  <c r="AM34" i="67"/>
  <c r="AO34" i="67"/>
  <c r="AN34" i="67"/>
  <c r="AN81" i="67"/>
  <c r="AJ81" i="67"/>
  <c r="AK81" i="67"/>
  <c r="AL81" i="67"/>
  <c r="AM81" i="67"/>
  <c r="AN65" i="67"/>
  <c r="AJ65" i="67"/>
  <c r="AK65" i="67"/>
  <c r="AL65" i="67"/>
  <c r="AM65" i="67"/>
  <c r="AO65" i="67"/>
  <c r="AN49" i="67"/>
  <c r="AJ49" i="67"/>
  <c r="AK49" i="67"/>
  <c r="AL49" i="67"/>
  <c r="AM49" i="67"/>
  <c r="AO49" i="67"/>
  <c r="AN33" i="67"/>
  <c r="AJ33" i="67"/>
  <c r="AK33" i="67"/>
  <c r="AL33" i="67"/>
  <c r="AM33" i="67"/>
  <c r="AO33" i="67"/>
  <c r="AM48" i="67"/>
  <c r="AN48" i="67"/>
  <c r="AO48" i="67"/>
  <c r="AL48" i="67"/>
  <c r="AK48" i="67"/>
  <c r="AJ48" i="67"/>
  <c r="AM32" i="67"/>
  <c r="AN32" i="67"/>
  <c r="AO32" i="67"/>
  <c r="AL32" i="67"/>
  <c r="AK32" i="67"/>
  <c r="AJ32" i="67"/>
  <c r="AJ79" i="67"/>
  <c r="AK79" i="67"/>
  <c r="AL79" i="67"/>
  <c r="AM79" i="67"/>
  <c r="AN79" i="67"/>
  <c r="AJ31" i="67"/>
  <c r="AO31" i="67"/>
  <c r="AK31" i="67"/>
  <c r="AL31" i="67"/>
  <c r="AM31" i="67"/>
  <c r="AN31" i="67"/>
  <c r="AM80" i="67"/>
  <c r="AN80" i="67"/>
  <c r="AL80" i="67"/>
  <c r="AJ80" i="67"/>
  <c r="AK80" i="67"/>
  <c r="AM62" i="67"/>
  <c r="AJ62" i="67"/>
  <c r="AK62" i="67"/>
  <c r="AL62" i="67"/>
  <c r="AO62" i="67"/>
  <c r="AN62" i="67"/>
  <c r="AM46" i="67"/>
  <c r="AJ46" i="67"/>
  <c r="AK46" i="67"/>
  <c r="AL46" i="67"/>
  <c r="AO46" i="67"/>
  <c r="AN46" i="67"/>
  <c r="AM30" i="67"/>
  <c r="AJ30" i="67"/>
  <c r="AK30" i="67"/>
  <c r="AL30" i="67"/>
  <c r="AO30" i="67"/>
  <c r="AN30" i="67"/>
  <c r="AL61" i="67"/>
  <c r="AM61" i="67"/>
  <c r="AN61" i="67"/>
  <c r="AO61" i="67"/>
  <c r="AJ61" i="67"/>
  <c r="AK61" i="67"/>
  <c r="AL45" i="67"/>
  <c r="AM45" i="67"/>
  <c r="AN45" i="67"/>
  <c r="AO45" i="67"/>
  <c r="AK45" i="67"/>
  <c r="AJ45" i="67"/>
  <c r="AL29" i="67"/>
  <c r="AM29" i="67"/>
  <c r="AN29" i="67"/>
  <c r="AO29" i="67"/>
  <c r="AJ29" i="67"/>
  <c r="AK29" i="67"/>
  <c r="AO92" i="67"/>
  <c r="K92" i="76" s="1"/>
  <c r="AO76" i="67"/>
  <c r="AJ76" i="67"/>
  <c r="AK76" i="67"/>
  <c r="AL76" i="67"/>
  <c r="AM76" i="67"/>
  <c r="AN76" i="67"/>
  <c r="AO60" i="67"/>
  <c r="AJ60" i="67"/>
  <c r="AK60" i="67"/>
  <c r="AL60" i="67"/>
  <c r="AM60" i="67"/>
  <c r="AN60" i="67"/>
  <c r="AO44" i="67"/>
  <c r="AJ44" i="67"/>
  <c r="AK44" i="67"/>
  <c r="AL44" i="67"/>
  <c r="AM44" i="67"/>
  <c r="AN44" i="67"/>
  <c r="AO28" i="67"/>
  <c r="AJ28" i="67"/>
  <c r="AK28" i="67"/>
  <c r="AL28" i="67"/>
  <c r="AM28" i="67"/>
  <c r="AN28" i="67"/>
  <c r="AO90" i="67"/>
  <c r="K90" i="76" s="1"/>
  <c r="AL27" i="67"/>
  <c r="AO27" i="67"/>
  <c r="AJ27" i="67"/>
  <c r="AK27" i="67"/>
  <c r="AM27" i="67"/>
  <c r="AN27" i="67"/>
  <c r="AM78" i="67"/>
  <c r="AJ78" i="67"/>
  <c r="AK78" i="67"/>
  <c r="AL78" i="67"/>
  <c r="AN78" i="67"/>
  <c r="AO89" i="67"/>
  <c r="K89" i="76" s="1"/>
  <c r="AO87" i="67"/>
  <c r="AK42" i="67"/>
  <c r="AL42" i="67"/>
  <c r="AM42" i="67"/>
  <c r="AO42" i="67"/>
  <c r="AN42" i="67"/>
  <c r="AJ42" i="67"/>
  <c r="AK26" i="67"/>
  <c r="AL26" i="67"/>
  <c r="AM26" i="67"/>
  <c r="AO26" i="67"/>
  <c r="AN26" i="67"/>
  <c r="AJ26" i="67"/>
  <c r="AL59" i="67"/>
  <c r="AO59" i="67"/>
  <c r="AJ59" i="67"/>
  <c r="AK59" i="67"/>
  <c r="AM59" i="67"/>
  <c r="AN59" i="67"/>
  <c r="AO86" i="67"/>
  <c r="AO57" i="67"/>
  <c r="AJ57" i="67"/>
  <c r="AK57" i="67"/>
  <c r="AL57" i="67"/>
  <c r="AM57" i="67"/>
  <c r="AN57" i="67"/>
  <c r="AO41" i="67"/>
  <c r="AJ41" i="67"/>
  <c r="AN41" i="67"/>
  <c r="AK41" i="67"/>
  <c r="AL41" i="67"/>
  <c r="AM41" i="67"/>
  <c r="AJ63" i="67"/>
  <c r="AO63" i="67"/>
  <c r="AK63" i="67"/>
  <c r="AL63" i="67"/>
  <c r="AM63" i="67"/>
  <c r="AN63" i="67"/>
  <c r="AL43" i="67"/>
  <c r="AO43" i="67"/>
  <c r="AJ43" i="67"/>
  <c r="AK43" i="67"/>
  <c r="AM43" i="67"/>
  <c r="AN43" i="67"/>
  <c r="AK74" i="67"/>
  <c r="AL74" i="67"/>
  <c r="AM74" i="67"/>
  <c r="AN74" i="67"/>
  <c r="AJ74" i="67"/>
  <c r="AK58" i="67"/>
  <c r="AL58" i="67"/>
  <c r="AM58" i="67"/>
  <c r="AO58" i="67"/>
  <c r="AN58" i="67"/>
  <c r="AJ58" i="67"/>
  <c r="AO73" i="67"/>
  <c r="AK73" i="67"/>
  <c r="AN73" i="67"/>
  <c r="AL73" i="67"/>
  <c r="AM73" i="67"/>
  <c r="AO72" i="67"/>
  <c r="AK72" i="67"/>
  <c r="AJ72" i="67"/>
  <c r="AL72" i="67"/>
  <c r="AM72" i="67"/>
  <c r="AN72" i="67"/>
  <c r="AO56" i="67"/>
  <c r="AK56" i="67"/>
  <c r="AJ56" i="67"/>
  <c r="AL56" i="67"/>
  <c r="AM56" i="67"/>
  <c r="AN56" i="67"/>
  <c r="AO40" i="67"/>
  <c r="AK40" i="67"/>
  <c r="AJ40" i="67"/>
  <c r="AL40" i="67"/>
  <c r="AM40" i="67"/>
  <c r="AN40" i="67"/>
  <c r="AJ84" i="67"/>
  <c r="AK84" i="67"/>
  <c r="AL84" i="67"/>
  <c r="AM84" i="67"/>
  <c r="AN84" i="67"/>
  <c r="AO84" i="67"/>
  <c r="AJ47" i="67"/>
  <c r="AO47" i="67"/>
  <c r="AK47" i="67"/>
  <c r="AL47" i="67"/>
  <c r="AM47" i="67"/>
  <c r="AN47" i="67"/>
  <c r="AL77" i="67"/>
  <c r="AM77" i="67"/>
  <c r="AN77" i="67"/>
  <c r="AJ77" i="67"/>
  <c r="AK77" i="67"/>
  <c r="AO71" i="67"/>
  <c r="AJ71" i="67"/>
  <c r="AK71" i="67"/>
  <c r="AL71" i="67"/>
  <c r="AM71" i="67"/>
  <c r="AN71" i="67"/>
  <c r="AO55" i="67"/>
  <c r="AJ55" i="67"/>
  <c r="AK55" i="67"/>
  <c r="AL55" i="67"/>
  <c r="AM55" i="67"/>
  <c r="AN55" i="67"/>
  <c r="AO39" i="67"/>
  <c r="AJ39" i="67"/>
  <c r="AK39" i="67"/>
  <c r="AL39" i="67"/>
  <c r="AM39" i="67"/>
  <c r="AN39" i="67"/>
  <c r="AO96" i="67"/>
  <c r="K96" i="76" s="1"/>
  <c r="AO95" i="67"/>
  <c r="K95" i="76" s="1"/>
  <c r="AM64" i="67"/>
  <c r="AN64" i="67"/>
  <c r="AO64" i="67"/>
  <c r="AL64" i="67"/>
  <c r="AK64" i="67"/>
  <c r="AJ64" i="67"/>
  <c r="AL75" i="67"/>
  <c r="AJ75" i="67"/>
  <c r="AK75" i="67"/>
  <c r="AM75" i="67"/>
  <c r="AN75" i="67"/>
  <c r="AN70" i="67"/>
  <c r="AJ70" i="67"/>
  <c r="AK70" i="67"/>
  <c r="AO70" i="67"/>
  <c r="AL70" i="67"/>
  <c r="AM70" i="67"/>
  <c r="AJ54" i="67"/>
  <c r="AM54" i="67"/>
  <c r="AK54" i="67"/>
  <c r="AN54" i="67"/>
  <c r="AL54" i="67"/>
  <c r="AO54" i="67"/>
  <c r="AN38" i="67"/>
  <c r="AJ38" i="67"/>
  <c r="AM38" i="67"/>
  <c r="AO38" i="67"/>
  <c r="AK38" i="67"/>
  <c r="AL38" i="67"/>
  <c r="CM40" i="67"/>
  <c r="X117" i="65"/>
  <c r="BA103" i="67" s="1"/>
  <c r="X115" i="65"/>
  <c r="BA101" i="67" s="1"/>
  <c r="S63" i="28"/>
  <c r="S73" i="28"/>
  <c r="S87" i="28"/>
  <c r="S71" i="28"/>
  <c r="S95" i="28"/>
  <c r="S93" i="28"/>
  <c r="S86" i="28"/>
  <c r="S70" i="28"/>
  <c r="S69" i="28"/>
  <c r="S84" i="28"/>
  <c r="S68" i="28"/>
  <c r="S81" i="28"/>
  <c r="S67" i="28"/>
  <c r="S85" i="28"/>
  <c r="S83" i="28"/>
  <c r="S82" i="28"/>
  <c r="S66" i="28"/>
  <c r="S96" i="28"/>
  <c r="S80" i="28"/>
  <c r="S64" i="28"/>
  <c r="S94" i="28"/>
  <c r="S78" i="28"/>
  <c r="S62" i="28"/>
  <c r="S79" i="28"/>
  <c r="S92" i="28"/>
  <c r="S77" i="28"/>
  <c r="S76" i="28"/>
  <c r="S91" i="28"/>
  <c r="S75" i="28"/>
  <c r="S90" i="28"/>
  <c r="S74" i="28"/>
  <c r="S65" i="28"/>
  <c r="S97" i="28"/>
  <c r="S89" i="28"/>
  <c r="S88" i="28"/>
  <c r="S72" i="28"/>
  <c r="BN2" i="4"/>
  <c r="CB2" i="4"/>
  <c r="AZ2" i="4"/>
  <c r="CP2" i="4"/>
  <c r="DD2" i="4"/>
  <c r="X2" i="4"/>
  <c r="AT2" i="4"/>
  <c r="X112" i="65"/>
  <c r="BA98" i="67" s="1"/>
  <c r="X114" i="65"/>
  <c r="BA100" i="67" s="1"/>
  <c r="W39" i="153" l="1"/>
  <c r="X39" i="153" s="1"/>
  <c r="Y39" i="153" s="1"/>
  <c r="I40" i="150"/>
  <c r="R40" i="150" s="1"/>
  <c r="U40" i="150" s="1"/>
  <c r="K40" i="76"/>
  <c r="I40" i="36"/>
  <c r="R40" i="36" s="1"/>
  <c r="I40" i="30"/>
  <c r="Q40" i="30" s="1"/>
  <c r="I40" i="34"/>
  <c r="K40" i="77"/>
  <c r="I73" i="150"/>
  <c r="R73" i="150" s="1"/>
  <c r="U73" i="150" s="1"/>
  <c r="K73" i="77"/>
  <c r="I73" i="34"/>
  <c r="I73" i="36"/>
  <c r="R73" i="36" s="1"/>
  <c r="K73" i="76"/>
  <c r="I73" i="30"/>
  <c r="Q73" i="30" s="1"/>
  <c r="I43" i="150"/>
  <c r="R43" i="150" s="1"/>
  <c r="U43" i="150" s="1"/>
  <c r="I43" i="30"/>
  <c r="Q43" i="30" s="1"/>
  <c r="I43" i="36"/>
  <c r="R43" i="36" s="1"/>
  <c r="K43" i="77"/>
  <c r="K43" i="76"/>
  <c r="I43" i="34"/>
  <c r="K44" i="77"/>
  <c r="I44" i="36"/>
  <c r="R44" i="36" s="1"/>
  <c r="I44" i="30"/>
  <c r="Q44" i="30" s="1"/>
  <c r="I44" i="34"/>
  <c r="I44" i="150"/>
  <c r="R44" i="150" s="1"/>
  <c r="U44" i="150" s="1"/>
  <c r="K44" i="76"/>
  <c r="I29" i="150"/>
  <c r="R29" i="150" s="1"/>
  <c r="U29" i="150" s="1"/>
  <c r="K29" i="76"/>
  <c r="I29" i="30"/>
  <c r="Q29" i="30" s="1"/>
  <c r="K29" i="77"/>
  <c r="I29" i="34"/>
  <c r="I29" i="36"/>
  <c r="R29" i="36" s="1"/>
  <c r="I30" i="150"/>
  <c r="R30" i="150" s="1"/>
  <c r="U30" i="150" s="1"/>
  <c r="I30" i="30"/>
  <c r="Q30" i="30" s="1"/>
  <c r="K30" i="76"/>
  <c r="I30" i="34"/>
  <c r="K30" i="77"/>
  <c r="I30" i="36"/>
  <c r="R30" i="36" s="1"/>
  <c r="I35" i="150"/>
  <c r="R35" i="150" s="1"/>
  <c r="U35" i="150" s="1"/>
  <c r="I35" i="34"/>
  <c r="K35" i="76"/>
  <c r="I35" i="30"/>
  <c r="Q35" i="30" s="1"/>
  <c r="K35" i="77"/>
  <c r="I35" i="36"/>
  <c r="R35" i="36" s="1"/>
  <c r="I68" i="150"/>
  <c r="R68" i="150" s="1"/>
  <c r="U68" i="150" s="1"/>
  <c r="I68" i="30"/>
  <c r="Q68" i="30" s="1"/>
  <c r="I68" i="34"/>
  <c r="I68" i="36"/>
  <c r="R68" i="36" s="1"/>
  <c r="K68" i="76"/>
  <c r="K68" i="77"/>
  <c r="K64" i="76"/>
  <c r="K64" i="77"/>
  <c r="I64" i="150"/>
  <c r="R64" i="150" s="1"/>
  <c r="U64" i="150" s="1"/>
  <c r="I64" i="36"/>
  <c r="R64" i="36" s="1"/>
  <c r="I64" i="30"/>
  <c r="Q64" i="30" s="1"/>
  <c r="I64" i="34"/>
  <c r="I55" i="150"/>
  <c r="R55" i="150" s="1"/>
  <c r="U55" i="150" s="1"/>
  <c r="K55" i="77"/>
  <c r="I55" i="36"/>
  <c r="R55" i="36" s="1"/>
  <c r="I55" i="34"/>
  <c r="K55" i="76"/>
  <c r="I55" i="30"/>
  <c r="Q55" i="30" s="1"/>
  <c r="I47" i="150"/>
  <c r="R47" i="150" s="1"/>
  <c r="U47" i="150" s="1"/>
  <c r="K47" i="77"/>
  <c r="K47" i="76"/>
  <c r="I47" i="36"/>
  <c r="R47" i="36" s="1"/>
  <c r="I47" i="30"/>
  <c r="Q47" i="30" s="1"/>
  <c r="I47" i="34"/>
  <c r="I27" i="150"/>
  <c r="R27" i="150" s="1"/>
  <c r="U27" i="150" s="1"/>
  <c r="K27" i="77"/>
  <c r="K27" i="76"/>
  <c r="I27" i="30"/>
  <c r="Q27" i="30" s="1"/>
  <c r="I27" i="36"/>
  <c r="R27" i="36" s="1"/>
  <c r="I27" i="34"/>
  <c r="I66" i="150"/>
  <c r="R66" i="150" s="1"/>
  <c r="U66" i="150" s="1"/>
  <c r="K66" i="77"/>
  <c r="K66" i="76"/>
  <c r="I66" i="34"/>
  <c r="I66" i="30"/>
  <c r="Q66" i="30" s="1"/>
  <c r="I66" i="36"/>
  <c r="R66" i="36" s="1"/>
  <c r="I83" i="150"/>
  <c r="R83" i="150" s="1"/>
  <c r="U83" i="150" s="1"/>
  <c r="K83" i="77"/>
  <c r="I83" i="36"/>
  <c r="R83" i="36" s="1"/>
  <c r="I83" i="34"/>
  <c r="Q83" i="34" s="1"/>
  <c r="I83" i="30"/>
  <c r="Q83" i="30" s="1"/>
  <c r="K83" i="76"/>
  <c r="I58" i="150"/>
  <c r="R58" i="150" s="1"/>
  <c r="U58" i="150" s="1"/>
  <c r="K58" i="76"/>
  <c r="I58" i="36"/>
  <c r="R58" i="36" s="1"/>
  <c r="K58" i="77"/>
  <c r="I58" i="34"/>
  <c r="I58" i="30"/>
  <c r="Q58" i="30" s="1"/>
  <c r="K57" i="77"/>
  <c r="I57" i="34"/>
  <c r="K57" i="76"/>
  <c r="I57" i="36"/>
  <c r="R57" i="36" s="1"/>
  <c r="I57" i="150"/>
  <c r="R57" i="150" s="1"/>
  <c r="U57" i="150" s="1"/>
  <c r="I57" i="30"/>
  <c r="Q57" i="30" s="1"/>
  <c r="I42" i="150"/>
  <c r="R42" i="150" s="1"/>
  <c r="U42" i="150" s="1"/>
  <c r="K42" i="77"/>
  <c r="I42" i="36"/>
  <c r="R42" i="36" s="1"/>
  <c r="K42" i="76"/>
  <c r="I42" i="30"/>
  <c r="Q42" i="30" s="1"/>
  <c r="I42" i="34"/>
  <c r="I69" i="150"/>
  <c r="R69" i="150" s="1"/>
  <c r="U69" i="150" s="1"/>
  <c r="K69" i="77"/>
  <c r="K69" i="76"/>
  <c r="I69" i="30"/>
  <c r="Q69" i="30" s="1"/>
  <c r="I69" i="34"/>
  <c r="I69" i="36"/>
  <c r="R69" i="36" s="1"/>
  <c r="I84" i="150"/>
  <c r="R84" i="150" s="1"/>
  <c r="U84" i="150" s="1"/>
  <c r="I84" i="30"/>
  <c r="Q84" i="30" s="1"/>
  <c r="I84" i="34"/>
  <c r="Q84" i="34" s="1"/>
  <c r="K84" i="77"/>
  <c r="K84" i="76"/>
  <c r="I84" i="36"/>
  <c r="R84" i="36" s="1"/>
  <c r="I86" i="150"/>
  <c r="R86" i="150" s="1"/>
  <c r="U86" i="150" s="1"/>
  <c r="K86" i="77"/>
  <c r="K86" i="76"/>
  <c r="I86" i="34"/>
  <c r="Q86" i="34" s="1"/>
  <c r="I86" i="36"/>
  <c r="R86" i="36" s="1"/>
  <c r="I86" i="30"/>
  <c r="Q86" i="30" s="1"/>
  <c r="I90" i="150"/>
  <c r="R90" i="150" s="1"/>
  <c r="U90" i="150" s="1"/>
  <c r="K90" i="77"/>
  <c r="I90" i="36"/>
  <c r="R90" i="36" s="1"/>
  <c r="I90" i="34"/>
  <c r="Q90" i="34" s="1"/>
  <c r="I90" i="30"/>
  <c r="Q90" i="30" s="1"/>
  <c r="I49" i="150"/>
  <c r="R49" i="150" s="1"/>
  <c r="U49" i="150" s="1"/>
  <c r="K49" i="77"/>
  <c r="K49" i="76"/>
  <c r="I49" i="34"/>
  <c r="I49" i="30"/>
  <c r="Q49" i="30" s="1"/>
  <c r="I49" i="36"/>
  <c r="R49" i="36" s="1"/>
  <c r="I95" i="150"/>
  <c r="R95" i="150" s="1"/>
  <c r="U95" i="150" s="1"/>
  <c r="K95" i="77"/>
  <c r="I95" i="30"/>
  <c r="Q95" i="30" s="1"/>
  <c r="I95" i="34"/>
  <c r="Q95" i="34" s="1"/>
  <c r="I95" i="36"/>
  <c r="R95" i="36" s="1"/>
  <c r="K56" i="76"/>
  <c r="I56" i="150"/>
  <c r="R56" i="150" s="1"/>
  <c r="U56" i="150" s="1"/>
  <c r="K56" i="77"/>
  <c r="I56" i="36"/>
  <c r="R56" i="36" s="1"/>
  <c r="I56" i="30"/>
  <c r="Q56" i="30" s="1"/>
  <c r="I56" i="34"/>
  <c r="K32" i="76"/>
  <c r="I32" i="150"/>
  <c r="R32" i="150" s="1"/>
  <c r="U32" i="150" s="1"/>
  <c r="I32" i="36"/>
  <c r="R32" i="36" s="1"/>
  <c r="I32" i="30"/>
  <c r="Q32" i="30" s="1"/>
  <c r="K32" i="77"/>
  <c r="I32" i="34"/>
  <c r="I36" i="30"/>
  <c r="Q36" i="30" s="1"/>
  <c r="I36" i="34"/>
  <c r="K36" i="76"/>
  <c r="I36" i="36"/>
  <c r="R36" i="36" s="1"/>
  <c r="I36" i="150"/>
  <c r="R36" i="150" s="1"/>
  <c r="U36" i="150" s="1"/>
  <c r="K36" i="77"/>
  <c r="I70" i="150"/>
  <c r="R70" i="150" s="1"/>
  <c r="U70" i="150" s="1"/>
  <c r="K70" i="76"/>
  <c r="I70" i="34"/>
  <c r="K70" i="77"/>
  <c r="I70" i="36"/>
  <c r="R70" i="36" s="1"/>
  <c r="I70" i="30"/>
  <c r="Q70" i="30" s="1"/>
  <c r="I96" i="150"/>
  <c r="R96" i="150" s="1"/>
  <c r="U96" i="150" s="1"/>
  <c r="I96" i="36"/>
  <c r="R96" i="36" s="1"/>
  <c r="I96" i="34"/>
  <c r="Q96" i="34" s="1"/>
  <c r="I96" i="30"/>
  <c r="Q96" i="30" s="1"/>
  <c r="K96" i="77"/>
  <c r="K63" i="77"/>
  <c r="K63" i="76"/>
  <c r="I63" i="150"/>
  <c r="R63" i="150" s="1"/>
  <c r="U63" i="150" s="1"/>
  <c r="I63" i="36"/>
  <c r="R63" i="36" s="1"/>
  <c r="I63" i="30"/>
  <c r="Q63" i="30" s="1"/>
  <c r="I63" i="34"/>
  <c r="K60" i="77"/>
  <c r="I60" i="36"/>
  <c r="R60" i="36" s="1"/>
  <c r="I60" i="30"/>
  <c r="Q60" i="30" s="1"/>
  <c r="I60" i="34"/>
  <c r="I60" i="150"/>
  <c r="R60" i="150" s="1"/>
  <c r="U60" i="150" s="1"/>
  <c r="K60" i="76"/>
  <c r="K45" i="76"/>
  <c r="I45" i="150"/>
  <c r="R45" i="150" s="1"/>
  <c r="U45" i="150" s="1"/>
  <c r="I45" i="30"/>
  <c r="Q45" i="30" s="1"/>
  <c r="I45" i="34"/>
  <c r="I45" i="36"/>
  <c r="R45" i="36" s="1"/>
  <c r="K45" i="77"/>
  <c r="I34" i="150"/>
  <c r="R34" i="150" s="1"/>
  <c r="U34" i="150" s="1"/>
  <c r="K34" i="77"/>
  <c r="K34" i="76"/>
  <c r="I34" i="34"/>
  <c r="I34" i="30"/>
  <c r="Q34" i="30" s="1"/>
  <c r="I34" i="36"/>
  <c r="R34" i="36" s="1"/>
  <c r="I51" i="150"/>
  <c r="R51" i="150" s="1"/>
  <c r="U51" i="150" s="1"/>
  <c r="K51" i="77"/>
  <c r="I51" i="34"/>
  <c r="K51" i="76"/>
  <c r="I51" i="30"/>
  <c r="Q51" i="30" s="1"/>
  <c r="I51" i="36"/>
  <c r="R51" i="36" s="1"/>
  <c r="M40" i="155"/>
  <c r="K40" i="154"/>
  <c r="U40" i="154" s="1"/>
  <c r="K40" i="153"/>
  <c r="U40" i="153" s="1"/>
  <c r="W40" i="153" s="1"/>
  <c r="I87" i="150"/>
  <c r="R87" i="150" s="1"/>
  <c r="U87" i="150" s="1"/>
  <c r="I87" i="34"/>
  <c r="Q87" i="34" s="1"/>
  <c r="K87" i="76"/>
  <c r="K87" i="77"/>
  <c r="I87" i="30"/>
  <c r="Q87" i="30" s="1"/>
  <c r="I87" i="36"/>
  <c r="R87" i="36" s="1"/>
  <c r="K46" i="77"/>
  <c r="I46" i="30"/>
  <c r="Q46" i="30" s="1"/>
  <c r="K46" i="76"/>
  <c r="I46" i="36"/>
  <c r="R46" i="36" s="1"/>
  <c r="I46" i="150"/>
  <c r="R46" i="150" s="1"/>
  <c r="U46" i="150" s="1"/>
  <c r="I46" i="34"/>
  <c r="K37" i="76"/>
  <c r="I37" i="150"/>
  <c r="R37" i="150" s="1"/>
  <c r="U37" i="150" s="1"/>
  <c r="I37" i="30"/>
  <c r="Q37" i="30" s="1"/>
  <c r="I37" i="34"/>
  <c r="K37" i="77"/>
  <c r="I37" i="36"/>
  <c r="R37" i="36" s="1"/>
  <c r="I71" i="150"/>
  <c r="R71" i="150" s="1"/>
  <c r="U71" i="150" s="1"/>
  <c r="K71" i="77"/>
  <c r="I71" i="36"/>
  <c r="R71" i="36" s="1"/>
  <c r="K71" i="76"/>
  <c r="I71" i="34"/>
  <c r="I71" i="30"/>
  <c r="Q71" i="30" s="1"/>
  <c r="I89" i="150"/>
  <c r="R89" i="150" s="1"/>
  <c r="U89" i="150" s="1"/>
  <c r="K89" i="77"/>
  <c r="I89" i="36"/>
  <c r="R89" i="36" s="1"/>
  <c r="I89" i="34"/>
  <c r="Q89" i="34" s="1"/>
  <c r="I89" i="30"/>
  <c r="Q89" i="30" s="1"/>
  <c r="I82" i="150"/>
  <c r="R82" i="150" s="1"/>
  <c r="U82" i="150" s="1"/>
  <c r="K82" i="77"/>
  <c r="I82" i="36"/>
  <c r="R82" i="36" s="1"/>
  <c r="I82" i="34"/>
  <c r="Q82" i="34" s="1"/>
  <c r="K82" i="76"/>
  <c r="I82" i="30"/>
  <c r="Q82" i="30" s="1"/>
  <c r="I59" i="150"/>
  <c r="R59" i="150" s="1"/>
  <c r="U59" i="150" s="1"/>
  <c r="I59" i="30"/>
  <c r="Q59" i="30" s="1"/>
  <c r="I59" i="36"/>
  <c r="R59" i="36" s="1"/>
  <c r="K59" i="76"/>
  <c r="K59" i="77"/>
  <c r="I59" i="34"/>
  <c r="K85" i="77"/>
  <c r="K85" i="76"/>
  <c r="I85" i="150"/>
  <c r="R85" i="150" s="1"/>
  <c r="U85" i="150" s="1"/>
  <c r="I85" i="36"/>
  <c r="R85" i="36" s="1"/>
  <c r="I85" i="30"/>
  <c r="Q85" i="30" s="1"/>
  <c r="I85" i="34"/>
  <c r="Q85" i="34" s="1"/>
  <c r="I38" i="150"/>
  <c r="R38" i="150" s="1"/>
  <c r="U38" i="150" s="1"/>
  <c r="K38" i="77"/>
  <c r="K38" i="76"/>
  <c r="I38" i="34"/>
  <c r="I38" i="36"/>
  <c r="R38" i="36" s="1"/>
  <c r="I38" i="30"/>
  <c r="Q38" i="30" s="1"/>
  <c r="K28" i="77"/>
  <c r="I28" i="36"/>
  <c r="R28" i="36" s="1"/>
  <c r="I28" i="30"/>
  <c r="Q28" i="30" s="1"/>
  <c r="I28" i="34"/>
  <c r="K28" i="76"/>
  <c r="I28" i="150"/>
  <c r="R28" i="150" s="1"/>
  <c r="U28" i="150" s="1"/>
  <c r="I65" i="150"/>
  <c r="R65" i="150" s="1"/>
  <c r="U65" i="150" s="1"/>
  <c r="K65" i="76"/>
  <c r="I65" i="34"/>
  <c r="I65" i="30"/>
  <c r="Q65" i="30" s="1"/>
  <c r="K65" i="77"/>
  <c r="I65" i="36"/>
  <c r="R65" i="36" s="1"/>
  <c r="Y38" i="153"/>
  <c r="I72" i="150"/>
  <c r="R72" i="150" s="1"/>
  <c r="U72" i="150" s="1"/>
  <c r="K72" i="76"/>
  <c r="K72" i="77"/>
  <c r="I72" i="36"/>
  <c r="R72" i="36" s="1"/>
  <c r="I72" i="30"/>
  <c r="Q72" i="30" s="1"/>
  <c r="I72" i="34"/>
  <c r="K31" i="77"/>
  <c r="K31" i="76"/>
  <c r="I31" i="36"/>
  <c r="R31" i="36" s="1"/>
  <c r="I31" i="150"/>
  <c r="R31" i="150" s="1"/>
  <c r="U31" i="150" s="1"/>
  <c r="I31" i="30"/>
  <c r="Q31" i="30" s="1"/>
  <c r="I31" i="34"/>
  <c r="I48" i="150"/>
  <c r="R48" i="150" s="1"/>
  <c r="U48" i="150" s="1"/>
  <c r="K48" i="76"/>
  <c r="K48" i="77"/>
  <c r="I48" i="36"/>
  <c r="R48" i="36" s="1"/>
  <c r="I48" i="30"/>
  <c r="Q48" i="30" s="1"/>
  <c r="I48" i="34"/>
  <c r="I67" i="150"/>
  <c r="R67" i="150" s="1"/>
  <c r="U67" i="150" s="1"/>
  <c r="K67" i="76"/>
  <c r="I67" i="34"/>
  <c r="I67" i="30"/>
  <c r="Q67" i="30" s="1"/>
  <c r="K67" i="77"/>
  <c r="I67" i="36"/>
  <c r="R67" i="36" s="1"/>
  <c r="I52" i="150"/>
  <c r="R52" i="150" s="1"/>
  <c r="U52" i="150" s="1"/>
  <c r="I52" i="30"/>
  <c r="Q52" i="30" s="1"/>
  <c r="I52" i="34"/>
  <c r="I52" i="36"/>
  <c r="R52" i="36" s="1"/>
  <c r="K52" i="77"/>
  <c r="K52" i="76"/>
  <c r="K39" i="77"/>
  <c r="I39" i="150"/>
  <c r="R39" i="150" s="1"/>
  <c r="U39" i="150" s="1"/>
  <c r="I39" i="36"/>
  <c r="R39" i="36" s="1"/>
  <c r="I39" i="34"/>
  <c r="I39" i="30"/>
  <c r="Q39" i="30" s="1"/>
  <c r="K39" i="76"/>
  <c r="I76" i="150"/>
  <c r="R76" i="150" s="1"/>
  <c r="U76" i="150" s="1"/>
  <c r="K76" i="77"/>
  <c r="I76" i="30"/>
  <c r="Q76" i="30" s="1"/>
  <c r="I76" i="34"/>
  <c r="Q76" i="34" s="1"/>
  <c r="I76" i="36"/>
  <c r="R76" i="36" s="1"/>
  <c r="K76" i="76"/>
  <c r="I61" i="150"/>
  <c r="R61" i="150" s="1"/>
  <c r="U61" i="150" s="1"/>
  <c r="K61" i="76"/>
  <c r="I61" i="30"/>
  <c r="Q61" i="30" s="1"/>
  <c r="I61" i="34"/>
  <c r="I61" i="36"/>
  <c r="R61" i="36" s="1"/>
  <c r="K61" i="77"/>
  <c r="I50" i="150"/>
  <c r="R50" i="150" s="1"/>
  <c r="U50" i="150" s="1"/>
  <c r="I50" i="34"/>
  <c r="K50" i="76"/>
  <c r="I50" i="30"/>
  <c r="Q50" i="30" s="1"/>
  <c r="I50" i="36"/>
  <c r="R50" i="36" s="1"/>
  <c r="K50" i="77"/>
  <c r="I41" i="150"/>
  <c r="R41" i="150" s="1"/>
  <c r="U41" i="150" s="1"/>
  <c r="K41" i="77"/>
  <c r="I41" i="34"/>
  <c r="I41" i="36"/>
  <c r="R41" i="36" s="1"/>
  <c r="K41" i="76"/>
  <c r="I41" i="30"/>
  <c r="Q41" i="30" s="1"/>
  <c r="I26" i="150"/>
  <c r="R26" i="150" s="1"/>
  <c r="U26" i="150" s="1"/>
  <c r="I26" i="36"/>
  <c r="R26" i="36" s="1"/>
  <c r="K26" i="77"/>
  <c r="K26" i="76"/>
  <c r="I26" i="30"/>
  <c r="Q26" i="30" s="1"/>
  <c r="I26" i="34"/>
  <c r="I92" i="150"/>
  <c r="R92" i="150" s="1"/>
  <c r="U92" i="150" s="1"/>
  <c r="K92" i="77"/>
  <c r="I92" i="30"/>
  <c r="Q92" i="30" s="1"/>
  <c r="I92" i="34"/>
  <c r="Q92" i="34" s="1"/>
  <c r="I92" i="36"/>
  <c r="R92" i="36" s="1"/>
  <c r="I62" i="150"/>
  <c r="R62" i="150" s="1"/>
  <c r="U62" i="150" s="1"/>
  <c r="K62" i="77"/>
  <c r="I62" i="30"/>
  <c r="Q62" i="30" s="1"/>
  <c r="I62" i="36"/>
  <c r="R62" i="36" s="1"/>
  <c r="I62" i="34"/>
  <c r="K62" i="76"/>
  <c r="I54" i="150"/>
  <c r="R54" i="150" s="1"/>
  <c r="U54" i="150" s="1"/>
  <c r="K54" i="76"/>
  <c r="I54" i="34"/>
  <c r="K54" i="77"/>
  <c r="I54" i="36"/>
  <c r="R54" i="36" s="1"/>
  <c r="I54" i="30"/>
  <c r="Q54" i="30" s="1"/>
  <c r="I33" i="150"/>
  <c r="R33" i="150" s="1"/>
  <c r="U33" i="150" s="1"/>
  <c r="K33" i="77"/>
  <c r="I33" i="34"/>
  <c r="I33" i="30"/>
  <c r="Q33" i="30" s="1"/>
  <c r="K33" i="76"/>
  <c r="I33" i="36"/>
  <c r="R33" i="36" s="1"/>
  <c r="I53" i="150"/>
  <c r="R53" i="150" s="1"/>
  <c r="U53" i="150" s="1"/>
  <c r="K53" i="77"/>
  <c r="K53" i="76"/>
  <c r="I53" i="30"/>
  <c r="Q53" i="30" s="1"/>
  <c r="I53" i="34"/>
  <c r="I53" i="36"/>
  <c r="R53" i="36" s="1"/>
  <c r="X116" i="65"/>
  <c r="BA102" i="67" s="1"/>
  <c r="V88" i="65"/>
  <c r="W89" i="65"/>
  <c r="AZ75" i="67" s="1"/>
  <c r="AO75" i="67"/>
  <c r="W102" i="65"/>
  <c r="AZ88" i="67" s="1"/>
  <c r="AO88" i="67"/>
  <c r="K88" i="76" s="1"/>
  <c r="AK86" i="67"/>
  <c r="AM90" i="67"/>
  <c r="AL91" i="67"/>
  <c r="AK97" i="67"/>
  <c r="Y53" i="65"/>
  <c r="BB39" i="67" s="1"/>
  <c r="AS39" i="67"/>
  <c r="Q131" i="65"/>
  <c r="Y119" i="65"/>
  <c r="BB105" i="67" s="1"/>
  <c r="AS69" i="67"/>
  <c r="Y83" i="65"/>
  <c r="BB69" i="67" s="1"/>
  <c r="AS41" i="67"/>
  <c r="Y55" i="65"/>
  <c r="BB41" i="67" s="1"/>
  <c r="AS43" i="67"/>
  <c r="Y57" i="65"/>
  <c r="BB43" i="67" s="1"/>
  <c r="AP44" i="67"/>
  <c r="X58" i="65"/>
  <c r="BA44" i="67" s="1"/>
  <c r="AS91" i="67"/>
  <c r="Y105" i="65"/>
  <c r="BB91" i="67" s="1"/>
  <c r="AS77" i="67"/>
  <c r="Y91" i="65"/>
  <c r="BB77" i="67" s="1"/>
  <c r="AS63" i="67"/>
  <c r="Y77" i="65"/>
  <c r="BB63" i="67" s="1"/>
  <c r="AS66" i="67"/>
  <c r="Y80" i="65"/>
  <c r="BB66" i="67" s="1"/>
  <c r="AP34" i="67"/>
  <c r="W88" i="65"/>
  <c r="AZ74" i="67" s="1"/>
  <c r="AO74" i="67"/>
  <c r="AN86" i="67"/>
  <c r="AL90" i="67"/>
  <c r="AN92" i="67"/>
  <c r="AJ97" i="67"/>
  <c r="AP70" i="67"/>
  <c r="X84" i="65"/>
  <c r="BA70" i="67" s="1"/>
  <c r="AS44" i="67"/>
  <c r="Y58" i="65"/>
  <c r="BB44" i="67" s="1"/>
  <c r="AP48" i="67"/>
  <c r="X62" i="65"/>
  <c r="BA48" i="67" s="1"/>
  <c r="AS95" i="67"/>
  <c r="Y109" i="65"/>
  <c r="BB95" i="67" s="1"/>
  <c r="AS107" i="67"/>
  <c r="AP33" i="67"/>
  <c r="AS34" i="67"/>
  <c r="AN95" i="67"/>
  <c r="AK87" i="67"/>
  <c r="AJ95" i="67"/>
  <c r="V94" i="65"/>
  <c r="AN96" i="67"/>
  <c r="AJ86" i="67"/>
  <c r="W92" i="65"/>
  <c r="AZ78" i="67" s="1"/>
  <c r="AO78" i="67"/>
  <c r="AK90" i="67"/>
  <c r="AM92" i="67"/>
  <c r="AN97" i="67"/>
  <c r="AS70" i="67"/>
  <c r="Y84" i="65"/>
  <c r="BB70" i="67" s="1"/>
  <c r="AP87" i="67"/>
  <c r="X101" i="65"/>
  <c r="BA87" i="67" s="1"/>
  <c r="AP62" i="67"/>
  <c r="X76" i="65"/>
  <c r="BA62" i="67" s="1"/>
  <c r="AP94" i="67"/>
  <c r="X108" i="65"/>
  <c r="BA94" i="67" s="1"/>
  <c r="AS48" i="67"/>
  <c r="Y62" i="65"/>
  <c r="BB48" i="67" s="1"/>
  <c r="AR95" i="67"/>
  <c r="AS49" i="67"/>
  <c r="Y63" i="65"/>
  <c r="BB49" i="67" s="1"/>
  <c r="AP52" i="67"/>
  <c r="X66" i="65"/>
  <c r="BA52" i="67" s="1"/>
  <c r="AK96" i="67"/>
  <c r="AK88" i="67"/>
  <c r="AM96" i="67"/>
  <c r="AL92" i="67"/>
  <c r="Y117" i="65"/>
  <c r="BB103" i="67" s="1"/>
  <c r="Q129" i="65"/>
  <c r="AP88" i="67"/>
  <c r="X102" i="65"/>
  <c r="BA88" i="67" s="1"/>
  <c r="AP39" i="67"/>
  <c r="X53" i="65"/>
  <c r="BA39" i="67" s="1"/>
  <c r="AP69" i="67"/>
  <c r="X83" i="65"/>
  <c r="BA69" i="67" s="1"/>
  <c r="AP41" i="67"/>
  <c r="X55" i="65"/>
  <c r="BA41" i="67" s="1"/>
  <c r="AS26" i="67"/>
  <c r="AP43" i="67"/>
  <c r="X57" i="65"/>
  <c r="BA43" i="67" s="1"/>
  <c r="AP91" i="67"/>
  <c r="X105" i="65"/>
  <c r="BA91" i="67" s="1"/>
  <c r="AP77" i="67"/>
  <c r="X91" i="65"/>
  <c r="BA77" i="67" s="1"/>
  <c r="AS62" i="67"/>
  <c r="Y76" i="65"/>
  <c r="BB62" i="67" s="1"/>
  <c r="AP63" i="67"/>
  <c r="X77" i="65"/>
  <c r="BA63" i="67" s="1"/>
  <c r="AS94" i="67"/>
  <c r="Y108" i="65"/>
  <c r="BB94" i="67" s="1"/>
  <c r="AQ95" i="67"/>
  <c r="Y66" i="65"/>
  <c r="BB52" i="67" s="1"/>
  <c r="AS52" i="67"/>
  <c r="AS109" i="67"/>
  <c r="AS97" i="67"/>
  <c r="Y111" i="65"/>
  <c r="BB97" i="67" s="1"/>
  <c r="AN88" i="67"/>
  <c r="AJ93" i="67"/>
  <c r="AK92" i="67"/>
  <c r="AS88" i="67"/>
  <c r="Y102" i="65"/>
  <c r="BB88" i="67" s="1"/>
  <c r="Y69" i="65"/>
  <c r="BB55" i="67" s="1"/>
  <c r="AS55" i="67"/>
  <c r="AP40" i="67"/>
  <c r="X54" i="65"/>
  <c r="BA40" i="67" s="1"/>
  <c r="AS57" i="67"/>
  <c r="Y71" i="65"/>
  <c r="BB57" i="67" s="1"/>
  <c r="AS59" i="67"/>
  <c r="Y73" i="65"/>
  <c r="BB59" i="67" s="1"/>
  <c r="AP60" i="67"/>
  <c r="X74" i="65"/>
  <c r="BA60" i="67" s="1"/>
  <c r="AS29" i="67"/>
  <c r="AP96" i="67"/>
  <c r="X110" i="65"/>
  <c r="BA96" i="67" s="1"/>
  <c r="AS79" i="67"/>
  <c r="Y93" i="65"/>
  <c r="BB79" i="67" s="1"/>
  <c r="Q125" i="65"/>
  <c r="Y113" i="65"/>
  <c r="BB99" i="67" s="1"/>
  <c r="AP95" i="67"/>
  <c r="X109" i="65"/>
  <c r="BA95" i="67" s="1"/>
  <c r="AP50" i="67"/>
  <c r="X64" i="65"/>
  <c r="BA50" i="67" s="1"/>
  <c r="AR97" i="67"/>
  <c r="AK93" i="67"/>
  <c r="AN87" i="67"/>
  <c r="AJ92" i="67"/>
  <c r="AS40" i="67"/>
  <c r="Y54" i="65"/>
  <c r="BB40" i="67" s="1"/>
  <c r="Y74" i="65"/>
  <c r="BB60" i="67" s="1"/>
  <c r="AS60" i="67"/>
  <c r="AS96" i="67"/>
  <c r="Y110" i="65"/>
  <c r="BB96" i="67" s="1"/>
  <c r="AS108" i="67"/>
  <c r="AP64" i="67"/>
  <c r="X78" i="65"/>
  <c r="BA64" i="67" s="1"/>
  <c r="Y65" i="65"/>
  <c r="BB51" i="67" s="1"/>
  <c r="AS51" i="67"/>
  <c r="AP49" i="67"/>
  <c r="X63" i="65"/>
  <c r="BA49" i="67" s="1"/>
  <c r="Y64" i="65"/>
  <c r="BB50" i="67" s="1"/>
  <c r="AS50" i="67"/>
  <c r="AQ97" i="67"/>
  <c r="W107" i="65"/>
  <c r="AZ93" i="67" s="1"/>
  <c r="AO93" i="67"/>
  <c r="K93" i="76" s="1"/>
  <c r="AM87" i="67"/>
  <c r="AP86" i="67"/>
  <c r="X100" i="65"/>
  <c r="BA86" i="67" s="1"/>
  <c r="AP42" i="67"/>
  <c r="X56" i="65"/>
  <c r="BA42" i="67" s="1"/>
  <c r="AR96" i="67"/>
  <c r="AP78" i="67"/>
  <c r="X92" i="65"/>
  <c r="BA78" i="67" s="1"/>
  <c r="AS64" i="67"/>
  <c r="Y78" i="65"/>
  <c r="BB64" i="67" s="1"/>
  <c r="AS65" i="67"/>
  <c r="Y79" i="65"/>
  <c r="BB65" i="67" s="1"/>
  <c r="AP68" i="67"/>
  <c r="X82" i="65"/>
  <c r="BA68" i="67" s="1"/>
  <c r="AP97" i="67"/>
  <c r="X111" i="65"/>
  <c r="BA97" i="67" s="1"/>
  <c r="AN93" i="67"/>
  <c r="V99" i="65"/>
  <c r="AJ73" i="67"/>
  <c r="AL87" i="67"/>
  <c r="AN94" i="67"/>
  <c r="W93" i="65"/>
  <c r="AZ79" i="67" s="1"/>
  <c r="AO79" i="67"/>
  <c r="W95" i="65"/>
  <c r="AZ81" i="67" s="1"/>
  <c r="AO81" i="67"/>
  <c r="AP55" i="67"/>
  <c r="X69" i="65"/>
  <c r="BA55" i="67" s="1"/>
  <c r="AS86" i="67"/>
  <c r="Y100" i="65"/>
  <c r="BB86" i="67" s="1"/>
  <c r="AP57" i="67"/>
  <c r="X71" i="65"/>
  <c r="BA57" i="67" s="1"/>
  <c r="AS42" i="67"/>
  <c r="Y56" i="65"/>
  <c r="BB42" i="67" s="1"/>
  <c r="AP59" i="67"/>
  <c r="X73" i="65"/>
  <c r="BA59" i="67" s="1"/>
  <c r="AQ96" i="67"/>
  <c r="AS78" i="67"/>
  <c r="Y92" i="65"/>
  <c r="BB78" i="67" s="1"/>
  <c r="AP79" i="67"/>
  <c r="X93" i="65"/>
  <c r="BA79" i="67" s="1"/>
  <c r="AS68" i="67"/>
  <c r="Y82" i="65"/>
  <c r="BB68" i="67" s="1"/>
  <c r="AS37" i="67"/>
  <c r="Y114" i="65"/>
  <c r="BB100" i="67" s="1"/>
  <c r="Q126" i="65"/>
  <c r="Y85" i="65"/>
  <c r="BB71" i="67" s="1"/>
  <c r="AS71" i="67"/>
  <c r="AP56" i="67"/>
  <c r="X70" i="65"/>
  <c r="BA56" i="67" s="1"/>
  <c r="Y87" i="65"/>
  <c r="BB73" i="67" s="1"/>
  <c r="AS73" i="67"/>
  <c r="AS75" i="67"/>
  <c r="Y89" i="65"/>
  <c r="BB75" i="67" s="1"/>
  <c r="AP76" i="67"/>
  <c r="X90" i="65"/>
  <c r="BA76" i="67" s="1"/>
  <c r="AS45" i="67"/>
  <c r="Y59" i="65"/>
  <c r="BB45" i="67" s="1"/>
  <c r="AS31" i="67"/>
  <c r="AP92" i="67"/>
  <c r="X106" i="65"/>
  <c r="BA92" i="67" s="1"/>
  <c r="AP51" i="67"/>
  <c r="X65" i="65"/>
  <c r="BA51" i="67" s="1"/>
  <c r="AP82" i="67"/>
  <c r="X96" i="65"/>
  <c r="BA82" i="67" s="1"/>
  <c r="AM95" i="67"/>
  <c r="AL93" i="67"/>
  <c r="AJ87" i="67"/>
  <c r="AL94" i="67"/>
  <c r="AP38" i="67"/>
  <c r="X52" i="65"/>
  <c r="BA38" i="67" s="1"/>
  <c r="AS56" i="67"/>
  <c r="Y70" i="65"/>
  <c r="BB56" i="67" s="1"/>
  <c r="AS76" i="67"/>
  <c r="Y90" i="65"/>
  <c r="BB76" i="67" s="1"/>
  <c r="AS92" i="67"/>
  <c r="Y106" i="65"/>
  <c r="BB92" i="67" s="1"/>
  <c r="AS67" i="67"/>
  <c r="Y81" i="65"/>
  <c r="BB67" i="67" s="1"/>
  <c r="AP80" i="67"/>
  <c r="X94" i="65"/>
  <c r="BA80" i="67" s="1"/>
  <c r="AP65" i="67"/>
  <c r="X79" i="65"/>
  <c r="BA65" i="67" s="1"/>
  <c r="AS82" i="67"/>
  <c r="Y96" i="65"/>
  <c r="BB82" i="67" s="1"/>
  <c r="AK94" i="67"/>
  <c r="W94" i="65"/>
  <c r="AZ80" i="67" s="1"/>
  <c r="AO80" i="67"/>
  <c r="AS38" i="67"/>
  <c r="Y52" i="65"/>
  <c r="BB38" i="67" s="1"/>
  <c r="Y120" i="65"/>
  <c r="BB106" i="67" s="1"/>
  <c r="Q132" i="65"/>
  <c r="AP90" i="67"/>
  <c r="X104" i="65"/>
  <c r="BA90" i="67" s="1"/>
  <c r="AP58" i="67"/>
  <c r="X72" i="65"/>
  <c r="BA58" i="67" s="1"/>
  <c r="AS80" i="67"/>
  <c r="Y94" i="65"/>
  <c r="BB80" i="67" s="1"/>
  <c r="Y95" i="65"/>
  <c r="BB81" i="67" s="1"/>
  <c r="AS81" i="67"/>
  <c r="AS35" i="67"/>
  <c r="AP84" i="67"/>
  <c r="X98" i="65"/>
  <c r="BA84" i="67" s="1"/>
  <c r="AP37" i="67"/>
  <c r="AK95" i="67"/>
  <c r="AM89" i="67"/>
  <c r="AN91" i="67"/>
  <c r="AJ94" i="67"/>
  <c r="AP71" i="67"/>
  <c r="X85" i="65"/>
  <c r="BA71" i="67" s="1"/>
  <c r="AS90" i="67"/>
  <c r="Y104" i="65"/>
  <c r="BB90" i="67" s="1"/>
  <c r="AP73" i="67"/>
  <c r="X87" i="65"/>
  <c r="BA73" i="67" s="1"/>
  <c r="AS58" i="67"/>
  <c r="Y72" i="65"/>
  <c r="BB58" i="67" s="1"/>
  <c r="AP75" i="67"/>
  <c r="X89" i="65"/>
  <c r="BA75" i="67" s="1"/>
  <c r="AP45" i="67"/>
  <c r="X59" i="65"/>
  <c r="BA45" i="67" s="1"/>
  <c r="AS30" i="67"/>
  <c r="AP31" i="67"/>
  <c r="Y98" i="65"/>
  <c r="BB84" i="67" s="1"/>
  <c r="AS84" i="67"/>
  <c r="W108" i="65"/>
  <c r="AZ94" i="67" s="1"/>
  <c r="AO94" i="67"/>
  <c r="K94" i="76" s="1"/>
  <c r="AL95" i="67"/>
  <c r="AL89" i="67"/>
  <c r="AM91" i="67"/>
  <c r="AM94" i="67"/>
  <c r="AS85" i="67"/>
  <c r="Y99" i="65"/>
  <c r="BB85" i="67" s="1"/>
  <c r="AS83" i="67"/>
  <c r="Y97" i="65"/>
  <c r="BB83" i="67" s="1"/>
  <c r="AP72" i="67"/>
  <c r="X86" i="65"/>
  <c r="BA72" i="67" s="1"/>
  <c r="Y67" i="65"/>
  <c r="BB53" i="67" s="1"/>
  <c r="AS53" i="67"/>
  <c r="AS27" i="67"/>
  <c r="AS89" i="67"/>
  <c r="Y103" i="65"/>
  <c r="BB89" i="67" s="1"/>
  <c r="Y75" i="65"/>
  <c r="BB61" i="67" s="1"/>
  <c r="AS61" i="67"/>
  <c r="AS47" i="67"/>
  <c r="Y61" i="65"/>
  <c r="BB47" i="67" s="1"/>
  <c r="Y107" i="65"/>
  <c r="BB93" i="67" s="1"/>
  <c r="AS93" i="67"/>
  <c r="AP67" i="67"/>
  <c r="X81" i="65"/>
  <c r="BA67" i="67" s="1"/>
  <c r="Q128" i="65"/>
  <c r="Y116" i="65"/>
  <c r="BB102" i="67" s="1"/>
  <c r="AK89" i="67"/>
  <c r="AJ90" i="67"/>
  <c r="AK91" i="67"/>
  <c r="W111" i="65"/>
  <c r="AZ97" i="67" s="1"/>
  <c r="AO97" i="67"/>
  <c r="K97" i="76" s="1"/>
  <c r="AP54" i="67"/>
  <c r="X68" i="65"/>
  <c r="BA54" i="67" s="1"/>
  <c r="AP74" i="67"/>
  <c r="X88" i="65"/>
  <c r="BA74" i="67" s="1"/>
  <c r="Y118" i="65"/>
  <c r="BB104" i="67" s="1"/>
  <c r="Q130" i="65"/>
  <c r="AS72" i="67"/>
  <c r="Y86" i="65"/>
  <c r="BB72" i="67" s="1"/>
  <c r="AS28" i="67"/>
  <c r="AP32" i="67"/>
  <c r="AP81" i="67"/>
  <c r="X95" i="65"/>
  <c r="BA81" i="67" s="1"/>
  <c r="AP35" i="67"/>
  <c r="AL88" i="67"/>
  <c r="AL96" i="67"/>
  <c r="AL86" i="67"/>
  <c r="AN89" i="67"/>
  <c r="AN90" i="67"/>
  <c r="AJ91" i="67"/>
  <c r="AM97" i="67"/>
  <c r="AS54" i="67"/>
  <c r="Y68" i="65"/>
  <c r="BB54" i="67" s="1"/>
  <c r="AS74" i="67"/>
  <c r="Y88" i="65"/>
  <c r="BB74" i="67" s="1"/>
  <c r="AP46" i="67"/>
  <c r="X60" i="65"/>
  <c r="BA46" i="67" s="1"/>
  <c r="AS32" i="67"/>
  <c r="AS33" i="67"/>
  <c r="AP36" i="67"/>
  <c r="Q127" i="65"/>
  <c r="Y115" i="65"/>
  <c r="BB101" i="67" s="1"/>
  <c r="Y112" i="65"/>
  <c r="BB98" i="67" s="1"/>
  <c r="Q124" i="65"/>
  <c r="AM93" i="67"/>
  <c r="W91" i="65"/>
  <c r="AZ77" i="67" s="1"/>
  <c r="AO77" i="67"/>
  <c r="AM88" i="67"/>
  <c r="AJ88" i="67"/>
  <c r="AJ96" i="67"/>
  <c r="AM86" i="67"/>
  <c r="AJ89" i="67"/>
  <c r="W105" i="65"/>
  <c r="AZ91" i="67" s="1"/>
  <c r="AO91" i="67"/>
  <c r="K91" i="76" s="1"/>
  <c r="AL97" i="67"/>
  <c r="Y101" i="65"/>
  <c r="BB87" i="67" s="1"/>
  <c r="AS87" i="67"/>
  <c r="AP85" i="67"/>
  <c r="X99" i="65"/>
  <c r="BA85" i="67" s="1"/>
  <c r="AP83" i="67"/>
  <c r="X97" i="65"/>
  <c r="BA83" i="67" s="1"/>
  <c r="AP53" i="67"/>
  <c r="X67" i="65"/>
  <c r="BA53" i="67" s="1"/>
  <c r="AP89" i="67"/>
  <c r="X103" i="65"/>
  <c r="BA89" i="67" s="1"/>
  <c r="AP61" i="67"/>
  <c r="X75" i="65"/>
  <c r="BA61" i="67" s="1"/>
  <c r="AS46" i="67"/>
  <c r="Y60" i="65"/>
  <c r="BB46" i="67" s="1"/>
  <c r="AP47" i="67"/>
  <c r="X61" i="65"/>
  <c r="BA47" i="67" s="1"/>
  <c r="AP93" i="67"/>
  <c r="X107" i="65"/>
  <c r="BA93" i="67" s="1"/>
  <c r="AP66" i="67"/>
  <c r="X80" i="65"/>
  <c r="BA66" i="67" s="1"/>
  <c r="AS36" i="67"/>
  <c r="V53" i="65"/>
  <c r="W87" i="65"/>
  <c r="AZ73" i="67" s="1"/>
  <c r="V57" i="65"/>
  <c r="V52" i="65"/>
  <c r="W68" i="65"/>
  <c r="AZ54" i="67" s="1"/>
  <c r="W53" i="65"/>
  <c r="AZ39" i="67" s="1"/>
  <c r="V70" i="65"/>
  <c r="V72" i="65"/>
  <c r="W57" i="65"/>
  <c r="AZ43" i="67" s="1"/>
  <c r="V59" i="65"/>
  <c r="V64" i="65"/>
  <c r="V66" i="65"/>
  <c r="W98" i="65"/>
  <c r="AZ84" i="67" s="1"/>
  <c r="W101" i="65"/>
  <c r="AZ87" i="67" s="1"/>
  <c r="W90" i="65"/>
  <c r="AZ76" i="67" s="1"/>
  <c r="W82" i="65"/>
  <c r="AZ68" i="67" s="1"/>
  <c r="W70" i="65"/>
  <c r="AZ56" i="67" s="1"/>
  <c r="W72" i="65"/>
  <c r="AZ58" i="67" s="1"/>
  <c r="V71" i="65"/>
  <c r="W59" i="65"/>
  <c r="AZ45" i="67" s="1"/>
  <c r="W63" i="65"/>
  <c r="AZ49" i="67" s="1"/>
  <c r="W80" i="65"/>
  <c r="AZ66" i="67" s="1"/>
  <c r="W97" i="65"/>
  <c r="AZ83" i="67" s="1"/>
  <c r="V67" i="65"/>
  <c r="AO107" i="67"/>
  <c r="W109" i="65"/>
  <c r="AZ95" i="67" s="1"/>
  <c r="W71" i="65"/>
  <c r="AZ57" i="67" s="1"/>
  <c r="W60" i="65"/>
  <c r="AZ46" i="67" s="1"/>
  <c r="W83" i="65"/>
  <c r="AZ69" i="67" s="1"/>
  <c r="W100" i="65"/>
  <c r="AZ86" i="67" s="1"/>
  <c r="V58" i="65"/>
  <c r="W112" i="65"/>
  <c r="AZ98" i="67" s="1"/>
  <c r="V68" i="65"/>
  <c r="V69" i="65"/>
  <c r="W58" i="65"/>
  <c r="AZ44" i="67" s="1"/>
  <c r="V65" i="65"/>
  <c r="W69" i="65"/>
  <c r="AZ55" i="67" s="1"/>
  <c r="V86" i="65"/>
  <c r="W77" i="65"/>
  <c r="AZ63" i="67" s="1"/>
  <c r="V56" i="65"/>
  <c r="W104" i="65"/>
  <c r="AZ90" i="67" s="1"/>
  <c r="V60" i="65"/>
  <c r="V62" i="65"/>
  <c r="V63" i="65"/>
  <c r="V80" i="65"/>
  <c r="W65" i="65"/>
  <c r="AZ51" i="67" s="1"/>
  <c r="V82" i="65"/>
  <c r="V77" i="65"/>
  <c r="W103" i="65"/>
  <c r="AZ89" i="67" s="1"/>
  <c r="V75" i="65"/>
  <c r="AO108" i="67"/>
  <c r="W110" i="65"/>
  <c r="AZ96" i="67" s="1"/>
  <c r="W86" i="65"/>
  <c r="AZ72" i="67" s="1"/>
  <c r="W56" i="65"/>
  <c r="AZ42" i="67" s="1"/>
  <c r="W75" i="65"/>
  <c r="AZ61" i="67" s="1"/>
  <c r="W79" i="65"/>
  <c r="AZ65" i="67" s="1"/>
  <c r="W96" i="65"/>
  <c r="AZ82" i="67" s="1"/>
  <c r="V83" i="65"/>
  <c r="V78" i="65"/>
  <c r="W76" i="65"/>
  <c r="AZ62" i="67" s="1"/>
  <c r="W62" i="65"/>
  <c r="AZ48" i="67" s="1"/>
  <c r="W99" i="65"/>
  <c r="AZ85" i="67" s="1"/>
  <c r="W84" i="65"/>
  <c r="AZ70" i="67" s="1"/>
  <c r="W61" i="65"/>
  <c r="AZ47" i="67" s="1"/>
  <c r="V84" i="65"/>
  <c r="V61" i="65"/>
  <c r="V54" i="65"/>
  <c r="V74" i="65"/>
  <c r="V81" i="65"/>
  <c r="V85" i="65"/>
  <c r="W74" i="65"/>
  <c r="AZ60" i="67" s="1"/>
  <c r="W81" i="65"/>
  <c r="AZ67" i="67" s="1"/>
  <c r="W66" i="65"/>
  <c r="AZ52" i="67" s="1"/>
  <c r="W78" i="65"/>
  <c r="AZ64" i="67" s="1"/>
  <c r="W85" i="65"/>
  <c r="AZ71" i="67" s="1"/>
  <c r="W54" i="65"/>
  <c r="AZ40" i="67" s="1"/>
  <c r="V55" i="65"/>
  <c r="V76" i="65"/>
  <c r="V79" i="65"/>
  <c r="W64" i="65"/>
  <c r="AZ50" i="67" s="1"/>
  <c r="W55" i="65"/>
  <c r="AZ41" i="67" s="1"/>
  <c r="V73" i="65"/>
  <c r="W106" i="65"/>
  <c r="AZ92" i="67" s="1"/>
  <c r="W52" i="65"/>
  <c r="AZ38" i="67" s="1"/>
  <c r="V87" i="65"/>
  <c r="W73" i="65"/>
  <c r="AZ59" i="67" s="1"/>
  <c r="W67" i="65"/>
  <c r="AZ53" i="67" s="1"/>
  <c r="O116" i="34"/>
  <c r="O117" i="34"/>
  <c r="CM41" i="67"/>
  <c r="X119" i="65"/>
  <c r="BA105" i="67" s="1"/>
  <c r="X118" i="65"/>
  <c r="BA104" i="67" s="1"/>
  <c r="V91" i="65"/>
  <c r="V89" i="65"/>
  <c r="V111" i="65"/>
  <c r="V90" i="65"/>
  <c r="W114" i="65"/>
  <c r="AZ100" i="67" s="1"/>
  <c r="W113" i="65"/>
  <c r="AZ99" i="67" s="1"/>
  <c r="W118" i="65"/>
  <c r="AZ104" i="67" s="1"/>
  <c r="W116" i="65"/>
  <c r="AZ102" i="67" s="1"/>
  <c r="W117" i="65"/>
  <c r="AZ103" i="67" s="1"/>
  <c r="W115" i="65"/>
  <c r="AZ101" i="67" s="1"/>
  <c r="S127" i="38"/>
  <c r="S130" i="38"/>
  <c r="S133" i="38"/>
  <c r="S132" i="38"/>
  <c r="S128" i="38"/>
  <c r="S131" i="38"/>
  <c r="S129" i="38"/>
  <c r="V100" i="65"/>
  <c r="V106" i="65"/>
  <c r="V123" i="65"/>
  <c r="DE2" i="4"/>
  <c r="CC2" i="4"/>
  <c r="Y2" i="4"/>
  <c r="BO2" i="4"/>
  <c r="CQ2" i="4"/>
  <c r="AU2" i="4"/>
  <c r="BA2" i="4"/>
  <c r="V97" i="65"/>
  <c r="V96" i="65"/>
  <c r="V98" i="65"/>
  <c r="V95" i="65"/>
  <c r="K107" i="76" l="1"/>
  <c r="I107" i="36"/>
  <c r="R107" i="36" s="1"/>
  <c r="K107" i="77"/>
  <c r="I107" i="34"/>
  <c r="Q107" i="34" s="1"/>
  <c r="I107" i="30"/>
  <c r="Q107" i="30" s="1"/>
  <c r="S107" i="30" s="1"/>
  <c r="I107" i="150"/>
  <c r="R107" i="150" s="1"/>
  <c r="U107" i="150" s="1"/>
  <c r="K108" i="77"/>
  <c r="K108" i="76"/>
  <c r="I108" i="34"/>
  <c r="Q108" i="34" s="1"/>
  <c r="I108" i="36"/>
  <c r="R108" i="36" s="1"/>
  <c r="I108" i="150"/>
  <c r="R108" i="150" s="1"/>
  <c r="U108" i="150" s="1"/>
  <c r="I108" i="30"/>
  <c r="Q108" i="30" s="1"/>
  <c r="S108" i="30" s="1"/>
  <c r="I132" i="65"/>
  <c r="I144" i="65" s="1"/>
  <c r="AK106" i="67"/>
  <c r="I127" i="65"/>
  <c r="I139" i="65" s="1"/>
  <c r="AK101" i="67"/>
  <c r="H131" i="65"/>
  <c r="H143" i="65" s="1"/>
  <c r="AJ105" i="67"/>
  <c r="L128" i="65"/>
  <c r="L140" i="65" s="1"/>
  <c r="AN102" i="67"/>
  <c r="L129" i="65"/>
  <c r="L141" i="65" s="1"/>
  <c r="AN103" i="67"/>
  <c r="K133" i="65"/>
  <c r="K145" i="65" s="1"/>
  <c r="AM107" i="67"/>
  <c r="J125" i="65"/>
  <c r="J137" i="65" s="1"/>
  <c r="AL99" i="67"/>
  <c r="P134" i="65"/>
  <c r="P146" i="65" s="1"/>
  <c r="AR108" i="67"/>
  <c r="I131" i="65"/>
  <c r="I143" i="65" s="1"/>
  <c r="AK105" i="67"/>
  <c r="K135" i="65"/>
  <c r="K147" i="65" s="1"/>
  <c r="AM109" i="67"/>
  <c r="L126" i="65"/>
  <c r="L138" i="65" s="1"/>
  <c r="AN100" i="67"/>
  <c r="J130" i="65"/>
  <c r="J142" i="65" s="1"/>
  <c r="AL104" i="67"/>
  <c r="H124" i="65"/>
  <c r="H136" i="65" s="1"/>
  <c r="V136" i="65" s="1"/>
  <c r="AJ98" i="67"/>
  <c r="L127" i="65"/>
  <c r="L139" i="65" s="1"/>
  <c r="AN101" i="67"/>
  <c r="K127" i="65"/>
  <c r="K139" i="65" s="1"/>
  <c r="AM101" i="67"/>
  <c r="P135" i="65"/>
  <c r="P147" i="65" s="1"/>
  <c r="AR109" i="67"/>
  <c r="H125" i="65"/>
  <c r="H137" i="65" s="1"/>
  <c r="AJ99" i="67"/>
  <c r="H127" i="65"/>
  <c r="H139" i="65" s="1"/>
  <c r="AJ101" i="67"/>
  <c r="K124" i="65"/>
  <c r="K136" i="65" s="1"/>
  <c r="AM98" i="67"/>
  <c r="K134" i="65"/>
  <c r="K146" i="65" s="1"/>
  <c r="AM108" i="67"/>
  <c r="L134" i="65"/>
  <c r="L146" i="65" s="1"/>
  <c r="AN108" i="67"/>
  <c r="I133" i="65"/>
  <c r="I145" i="65" s="1"/>
  <c r="AK107" i="67"/>
  <c r="L131" i="65"/>
  <c r="L143" i="65" s="1"/>
  <c r="AN105" i="67"/>
  <c r="I126" i="65"/>
  <c r="I138" i="65" s="1"/>
  <c r="AK100" i="67"/>
  <c r="J124" i="65"/>
  <c r="J136" i="65" s="1"/>
  <c r="AL98" i="67"/>
  <c r="N135" i="65"/>
  <c r="N147" i="65" s="1"/>
  <c r="AP109" i="67"/>
  <c r="N133" i="65"/>
  <c r="N145" i="65" s="1"/>
  <c r="AP107" i="67"/>
  <c r="H133" i="65"/>
  <c r="H145" i="65" s="1"/>
  <c r="AJ107" i="67"/>
  <c r="I135" i="65"/>
  <c r="I147" i="65" s="1"/>
  <c r="AK109" i="67"/>
  <c r="H126" i="65"/>
  <c r="H138" i="65" s="1"/>
  <c r="AJ100" i="67"/>
  <c r="K125" i="65"/>
  <c r="K137" i="65" s="1"/>
  <c r="AM99" i="67"/>
  <c r="O133" i="65"/>
  <c r="O145" i="65" s="1"/>
  <c r="AQ107" i="67"/>
  <c r="I134" i="65"/>
  <c r="I146" i="65" s="1"/>
  <c r="AK108" i="67"/>
  <c r="H135" i="65"/>
  <c r="H147" i="65" s="1"/>
  <c r="AJ109" i="67"/>
  <c r="I125" i="65"/>
  <c r="I137" i="65" s="1"/>
  <c r="AK99" i="67"/>
  <c r="J129" i="65"/>
  <c r="J141" i="65" s="1"/>
  <c r="AL103" i="67"/>
  <c r="K132" i="65"/>
  <c r="K144" i="65" s="1"/>
  <c r="AM106" i="67"/>
  <c r="J127" i="65"/>
  <c r="J139" i="65" s="1"/>
  <c r="AL101" i="67"/>
  <c r="K126" i="65"/>
  <c r="K138" i="65" s="1"/>
  <c r="AM100" i="67"/>
  <c r="I129" i="65"/>
  <c r="I141" i="65" s="1"/>
  <c r="AK103" i="67"/>
  <c r="L135" i="65"/>
  <c r="L147" i="65" s="1"/>
  <c r="AN109" i="67"/>
  <c r="L130" i="65"/>
  <c r="L142" i="65" s="1"/>
  <c r="AN104" i="67"/>
  <c r="K129" i="65"/>
  <c r="K141" i="65" s="1"/>
  <c r="AM103" i="67"/>
  <c r="J133" i="65"/>
  <c r="J145" i="65" s="1"/>
  <c r="AL107" i="67"/>
  <c r="O135" i="65"/>
  <c r="O147" i="65" s="1"/>
  <c r="AQ109" i="67"/>
  <c r="L133" i="65"/>
  <c r="L145" i="65" s="1"/>
  <c r="AN107" i="67"/>
  <c r="K128" i="65"/>
  <c r="K140" i="65" s="1"/>
  <c r="AM102" i="67"/>
  <c r="J132" i="65"/>
  <c r="J144" i="65" s="1"/>
  <c r="AL106" i="67"/>
  <c r="H128" i="65"/>
  <c r="H140" i="65" s="1"/>
  <c r="AJ102" i="67"/>
  <c r="K130" i="65"/>
  <c r="K142" i="65" s="1"/>
  <c r="AM104" i="67"/>
  <c r="J128" i="65"/>
  <c r="J140" i="65" s="1"/>
  <c r="AL102" i="67"/>
  <c r="J134" i="65"/>
  <c r="J146" i="65" s="1"/>
  <c r="AL108" i="67"/>
  <c r="P133" i="65"/>
  <c r="P145" i="65" s="1"/>
  <c r="AR107" i="67"/>
  <c r="I124" i="65"/>
  <c r="I136" i="65" s="1"/>
  <c r="AK98" i="67"/>
  <c r="K131" i="65"/>
  <c r="K143" i="65" s="1"/>
  <c r="AM105" i="67"/>
  <c r="O134" i="65"/>
  <c r="O146" i="65" s="1"/>
  <c r="AQ108" i="67"/>
  <c r="I130" i="65"/>
  <c r="I142" i="65" s="1"/>
  <c r="AK104" i="67"/>
  <c r="I128" i="65"/>
  <c r="I140" i="65" s="1"/>
  <c r="AK102" i="67"/>
  <c r="L124" i="65"/>
  <c r="L136" i="65" s="1"/>
  <c r="AN98" i="67"/>
  <c r="J135" i="65"/>
  <c r="J147" i="65" s="1"/>
  <c r="AL109" i="67"/>
  <c r="J131" i="65"/>
  <c r="J143" i="65" s="1"/>
  <c r="AL105" i="67"/>
  <c r="L132" i="65"/>
  <c r="L144" i="65" s="1"/>
  <c r="AN106" i="67"/>
  <c r="L125" i="65"/>
  <c r="L137" i="65" s="1"/>
  <c r="AN99" i="67"/>
  <c r="N134" i="65"/>
  <c r="N146" i="65" s="1"/>
  <c r="AP108" i="67"/>
  <c r="H134" i="65"/>
  <c r="H146" i="65" s="1"/>
  <c r="AJ108" i="67"/>
  <c r="J126" i="65"/>
  <c r="J138" i="65" s="1"/>
  <c r="AL100" i="67"/>
  <c r="H130" i="65"/>
  <c r="H142" i="65" s="1"/>
  <c r="AJ104" i="67"/>
  <c r="H129" i="65"/>
  <c r="H141" i="65" s="1"/>
  <c r="AJ103" i="67"/>
  <c r="H132" i="65"/>
  <c r="H144" i="65" s="1"/>
  <c r="AJ106" i="67"/>
  <c r="V49" i="150"/>
  <c r="W49" i="150" s="1"/>
  <c r="V30" i="150"/>
  <c r="W30" i="150" s="1"/>
  <c r="V47" i="150"/>
  <c r="W47" i="150" s="1"/>
  <c r="V43" i="150"/>
  <c r="W43" i="150" s="1"/>
  <c r="V39" i="150"/>
  <c r="W39" i="150" s="1"/>
  <c r="V34" i="150"/>
  <c r="W34" i="150" s="1"/>
  <c r="V48" i="150"/>
  <c r="W48" i="150" s="1"/>
  <c r="V29" i="150"/>
  <c r="W29" i="150" s="1"/>
  <c r="V44" i="150"/>
  <c r="W44" i="150" s="1"/>
  <c r="V35" i="150"/>
  <c r="W35" i="150" s="1"/>
  <c r="V31" i="150"/>
  <c r="W31" i="150" s="1"/>
  <c r="V46" i="150"/>
  <c r="W46" i="150" s="1"/>
  <c r="V41" i="150"/>
  <c r="W41" i="150" s="1"/>
  <c r="V27" i="150"/>
  <c r="W27" i="150" s="1"/>
  <c r="V37" i="150"/>
  <c r="W37" i="150" s="1"/>
  <c r="V28" i="150"/>
  <c r="W28" i="150" s="1"/>
  <c r="V32" i="150"/>
  <c r="W32" i="150" s="1"/>
  <c r="V33" i="150"/>
  <c r="W33" i="150" s="1"/>
  <c r="V42" i="150"/>
  <c r="W42" i="150" s="1"/>
  <c r="P10" i="15"/>
  <c r="I88" i="150"/>
  <c r="R88" i="150" s="1"/>
  <c r="U88" i="150" s="1"/>
  <c r="K88" i="77"/>
  <c r="I88" i="30"/>
  <c r="Q88" i="30" s="1"/>
  <c r="I88" i="36"/>
  <c r="R88" i="36" s="1"/>
  <c r="I88" i="34"/>
  <c r="Q88" i="34" s="1"/>
  <c r="P9" i="15"/>
  <c r="M41" i="155"/>
  <c r="K41" i="153"/>
  <c r="U41" i="153" s="1"/>
  <c r="K41" i="154"/>
  <c r="U41" i="154" s="1"/>
  <c r="I77" i="150"/>
  <c r="R77" i="150" s="1"/>
  <c r="U77" i="150" s="1"/>
  <c r="K77" i="77"/>
  <c r="K77" i="76"/>
  <c r="I77" i="36"/>
  <c r="R77" i="36" s="1"/>
  <c r="I77" i="30"/>
  <c r="Q77" i="30" s="1"/>
  <c r="I77" i="34"/>
  <c r="Q77" i="34" s="1"/>
  <c r="I80" i="150"/>
  <c r="R80" i="150" s="1"/>
  <c r="U80" i="150" s="1"/>
  <c r="K80" i="76"/>
  <c r="K80" i="77"/>
  <c r="I80" i="36"/>
  <c r="R80" i="36" s="1"/>
  <c r="I80" i="30"/>
  <c r="Q80" i="30" s="1"/>
  <c r="I80" i="34"/>
  <c r="Q80" i="34" s="1"/>
  <c r="P7" i="15"/>
  <c r="V26" i="150"/>
  <c r="V38" i="150"/>
  <c r="X40" i="153"/>
  <c r="I93" i="150"/>
  <c r="R93" i="150" s="1"/>
  <c r="U93" i="150" s="1"/>
  <c r="K93" i="77"/>
  <c r="I93" i="36"/>
  <c r="R93" i="36" s="1"/>
  <c r="I93" i="34"/>
  <c r="Q93" i="34" s="1"/>
  <c r="I93" i="30"/>
  <c r="Q93" i="30" s="1"/>
  <c r="I97" i="150"/>
  <c r="R97" i="150" s="1"/>
  <c r="U97" i="150" s="1"/>
  <c r="K97" i="77"/>
  <c r="I97" i="36"/>
  <c r="R97" i="36" s="1"/>
  <c r="I97" i="30"/>
  <c r="Q97" i="30" s="1"/>
  <c r="I97" i="34"/>
  <c r="Q97" i="34" s="1"/>
  <c r="I81" i="150"/>
  <c r="R81" i="150" s="1"/>
  <c r="U81" i="150" s="1"/>
  <c r="K81" i="77"/>
  <c r="K81" i="76"/>
  <c r="I81" i="34"/>
  <c r="Q81" i="34" s="1"/>
  <c r="I81" i="36"/>
  <c r="R81" i="36" s="1"/>
  <c r="I81" i="30"/>
  <c r="Q81" i="30" s="1"/>
  <c r="I94" i="150"/>
  <c r="R94" i="150" s="1"/>
  <c r="U94" i="150" s="1"/>
  <c r="I94" i="30"/>
  <c r="Q94" i="30" s="1"/>
  <c r="I94" i="34"/>
  <c r="Q94" i="34" s="1"/>
  <c r="K94" i="77"/>
  <c r="I94" i="36"/>
  <c r="R94" i="36" s="1"/>
  <c r="I79" i="150"/>
  <c r="R79" i="150" s="1"/>
  <c r="U79" i="150" s="1"/>
  <c r="K79" i="76"/>
  <c r="I79" i="30"/>
  <c r="Q79" i="30" s="1"/>
  <c r="K79" i="77"/>
  <c r="I79" i="36"/>
  <c r="R79" i="36" s="1"/>
  <c r="I79" i="34"/>
  <c r="Q79" i="34" s="1"/>
  <c r="I91" i="150"/>
  <c r="R91" i="150" s="1"/>
  <c r="U91" i="150" s="1"/>
  <c r="I91" i="34"/>
  <c r="Q91" i="34" s="1"/>
  <c r="K91" i="77"/>
  <c r="I91" i="30"/>
  <c r="Q91" i="30" s="1"/>
  <c r="I91" i="36"/>
  <c r="R91" i="36" s="1"/>
  <c r="I78" i="150"/>
  <c r="R78" i="150" s="1"/>
  <c r="U78" i="150" s="1"/>
  <c r="K78" i="77"/>
  <c r="I78" i="30"/>
  <c r="Q78" i="30" s="1"/>
  <c r="K78" i="76"/>
  <c r="I78" i="36"/>
  <c r="R78" i="36" s="1"/>
  <c r="I78" i="34"/>
  <c r="Q78" i="34" s="1"/>
  <c r="I74" i="150"/>
  <c r="R74" i="150" s="1"/>
  <c r="U74" i="150" s="1"/>
  <c r="I74" i="36"/>
  <c r="R74" i="36" s="1"/>
  <c r="K74" i="76"/>
  <c r="I74" i="30"/>
  <c r="Q74" i="30" s="1"/>
  <c r="K74" i="77"/>
  <c r="I74" i="34"/>
  <c r="Q74" i="34" s="1"/>
  <c r="I75" i="150"/>
  <c r="R75" i="150" s="1"/>
  <c r="U75" i="150" s="1"/>
  <c r="K75" i="77"/>
  <c r="K75" i="76"/>
  <c r="I75" i="30"/>
  <c r="Q75" i="30" s="1"/>
  <c r="I75" i="36"/>
  <c r="R75" i="36" s="1"/>
  <c r="I75" i="34"/>
  <c r="Q75" i="34" s="1"/>
  <c r="Q143" i="65"/>
  <c r="Y143" i="65" s="1"/>
  <c r="Y131" i="65"/>
  <c r="Q140" i="65"/>
  <c r="Y140" i="65" s="1"/>
  <c r="Y128" i="65"/>
  <c r="Q142" i="65"/>
  <c r="Y142" i="65" s="1"/>
  <c r="Y130" i="65"/>
  <c r="Y125" i="65"/>
  <c r="Q137" i="65"/>
  <c r="Y137" i="65" s="1"/>
  <c r="Q144" i="65"/>
  <c r="Y144" i="65" s="1"/>
  <c r="Y132" i="65"/>
  <c r="Q141" i="65"/>
  <c r="Y141" i="65" s="1"/>
  <c r="Y129" i="65"/>
  <c r="Y124" i="65"/>
  <c r="Q136" i="65"/>
  <c r="Y136" i="65" s="1"/>
  <c r="Y121" i="65"/>
  <c r="BB107" i="67" s="1"/>
  <c r="Q133" i="65"/>
  <c r="Y126" i="65"/>
  <c r="Q138" i="65"/>
  <c r="Y138" i="65" s="1"/>
  <c r="Q139" i="65"/>
  <c r="Y139" i="65" s="1"/>
  <c r="Y127" i="65"/>
  <c r="Q134" i="65"/>
  <c r="Y122" i="65"/>
  <c r="BB108" i="67" s="1"/>
  <c r="Q135" i="65"/>
  <c r="Y123" i="65"/>
  <c r="BB109" i="67" s="1"/>
  <c r="Q64" i="38"/>
  <c r="Q64" i="28"/>
  <c r="O82" i="34"/>
  <c r="O82" i="30"/>
  <c r="S82" i="30" s="1"/>
  <c r="Q55" i="38"/>
  <c r="Q55" i="28"/>
  <c r="Q77" i="28"/>
  <c r="Q77" i="38"/>
  <c r="O65" i="30"/>
  <c r="S65" i="30" s="1"/>
  <c r="O64" i="30"/>
  <c r="S64" i="30" s="1"/>
  <c r="O94" i="34"/>
  <c r="O94" i="30"/>
  <c r="Q80" i="38"/>
  <c r="Q80" i="28"/>
  <c r="Q65" i="38"/>
  <c r="Q65" i="28"/>
  <c r="Q94" i="38"/>
  <c r="Q94" i="28"/>
  <c r="O77" i="34"/>
  <c r="O77" i="30"/>
  <c r="Q95" i="38"/>
  <c r="Q95" i="28"/>
  <c r="Q85" i="38"/>
  <c r="Q85" i="28"/>
  <c r="Q87" i="38"/>
  <c r="Q87" i="28"/>
  <c r="O80" i="34"/>
  <c r="O80" i="30"/>
  <c r="Q63" i="38"/>
  <c r="Q63" i="28"/>
  <c r="O95" i="34"/>
  <c r="O95" i="30"/>
  <c r="S95" i="30" s="1"/>
  <c r="Q72" i="38"/>
  <c r="Q72" i="28"/>
  <c r="O85" i="34"/>
  <c r="O85" i="30"/>
  <c r="S85" i="30" s="1"/>
  <c r="Q75" i="38"/>
  <c r="Q75" i="28"/>
  <c r="O87" i="34"/>
  <c r="O87" i="30"/>
  <c r="S87" i="30" s="1"/>
  <c r="Q90" i="38"/>
  <c r="Q90" i="28"/>
  <c r="Q92" i="38"/>
  <c r="Q92" i="28"/>
  <c r="O63" i="30"/>
  <c r="S63" i="30" s="1"/>
  <c r="O75" i="34"/>
  <c r="O75" i="30"/>
  <c r="O90" i="34"/>
  <c r="O90" i="30"/>
  <c r="S90" i="30" s="1"/>
  <c r="O92" i="34"/>
  <c r="O92" i="30"/>
  <c r="S92" i="30" s="1"/>
  <c r="Q78" i="38"/>
  <c r="Q78" i="28"/>
  <c r="O66" i="30"/>
  <c r="S66" i="30" s="1"/>
  <c r="Q73" i="28"/>
  <c r="Q73" i="38"/>
  <c r="Q59" i="38"/>
  <c r="Q59" i="28"/>
  <c r="O78" i="34"/>
  <c r="O78" i="30"/>
  <c r="O83" i="34"/>
  <c r="O83" i="30"/>
  <c r="S83" i="30" s="1"/>
  <c r="Q76" i="38"/>
  <c r="Q76" i="28"/>
  <c r="Q96" i="38"/>
  <c r="Q96" i="28"/>
  <c r="Q79" i="38"/>
  <c r="Q79" i="28"/>
  <c r="Q93" i="38"/>
  <c r="Q93" i="28"/>
  <c r="O73" i="30"/>
  <c r="S73" i="30" s="1"/>
  <c r="Q74" i="38"/>
  <c r="Q74" i="28"/>
  <c r="Q88" i="38"/>
  <c r="Q88" i="28"/>
  <c r="O74" i="34"/>
  <c r="O74" i="30"/>
  <c r="O76" i="34"/>
  <c r="O76" i="30"/>
  <c r="S76" i="30" s="1"/>
  <c r="Q86" i="38"/>
  <c r="Q86" i="28"/>
  <c r="O96" i="34"/>
  <c r="O96" i="30"/>
  <c r="S96" i="30" s="1"/>
  <c r="Q58" i="38"/>
  <c r="Q58" i="28"/>
  <c r="O79" i="34"/>
  <c r="O79" i="30"/>
  <c r="O93" i="34"/>
  <c r="O93" i="30"/>
  <c r="Q69" i="38"/>
  <c r="Q69" i="28"/>
  <c r="O72" i="30"/>
  <c r="S72" i="30" s="1"/>
  <c r="Q60" i="38"/>
  <c r="Q60" i="28"/>
  <c r="Q56" i="38"/>
  <c r="Q56" i="28"/>
  <c r="O69" i="30"/>
  <c r="S69" i="30" s="1"/>
  <c r="Q52" i="38"/>
  <c r="Q52" i="28"/>
  <c r="O91" i="34"/>
  <c r="O91" i="30"/>
  <c r="Q51" i="38"/>
  <c r="Q51" i="28"/>
  <c r="O62" i="30"/>
  <c r="S62" i="30" s="1"/>
  <c r="Q61" i="28"/>
  <c r="Q61" i="38"/>
  <c r="Q70" i="38"/>
  <c r="Q70" i="28"/>
  <c r="Q83" i="38"/>
  <c r="Q83" i="28"/>
  <c r="Q62" i="38"/>
  <c r="Q62" i="28"/>
  <c r="Q54" i="38"/>
  <c r="Q54" i="28"/>
  <c r="O70" i="30"/>
  <c r="S70" i="30" s="1"/>
  <c r="Q50" i="38"/>
  <c r="Q50" i="28"/>
  <c r="Q68" i="38"/>
  <c r="Q68" i="28"/>
  <c r="Q81" i="38"/>
  <c r="Q81" i="28"/>
  <c r="Q67" i="38"/>
  <c r="Q67" i="28"/>
  <c r="Q97" i="28"/>
  <c r="Q97" i="38"/>
  <c r="Q66" i="38"/>
  <c r="Q66" i="28"/>
  <c r="O68" i="30"/>
  <c r="S68" i="30" s="1"/>
  <c r="O81" i="34"/>
  <c r="O81" i="30"/>
  <c r="O67" i="30"/>
  <c r="S67" i="30" s="1"/>
  <c r="O97" i="34"/>
  <c r="O97" i="30"/>
  <c r="Q71" i="38"/>
  <c r="Q71" i="28"/>
  <c r="Q89" i="28"/>
  <c r="Q89" i="38"/>
  <c r="O88" i="34"/>
  <c r="O88" i="30"/>
  <c r="Q57" i="38"/>
  <c r="Q57" i="28"/>
  <c r="Q91" i="38"/>
  <c r="Q91" i="28"/>
  <c r="O86" i="34"/>
  <c r="O86" i="30"/>
  <c r="S86" i="30" s="1"/>
  <c r="Q53" i="38"/>
  <c r="Q53" i="28"/>
  <c r="Q84" i="38"/>
  <c r="Q84" i="28"/>
  <c r="O84" i="34"/>
  <c r="O84" i="30"/>
  <c r="S84" i="30" s="1"/>
  <c r="O71" i="30"/>
  <c r="S71" i="30" s="1"/>
  <c r="O89" i="34"/>
  <c r="O89" i="30"/>
  <c r="S89" i="30" s="1"/>
  <c r="Q82" i="38"/>
  <c r="Q82" i="28"/>
  <c r="X129" i="65"/>
  <c r="X141" i="65"/>
  <c r="X124" i="65"/>
  <c r="X136" i="65"/>
  <c r="X127" i="65"/>
  <c r="X139" i="65"/>
  <c r="X128" i="65"/>
  <c r="X140" i="65"/>
  <c r="X126" i="65"/>
  <c r="X138" i="65"/>
  <c r="X125" i="65"/>
  <c r="X137" i="65"/>
  <c r="W119" i="65"/>
  <c r="AZ105" i="67" s="1"/>
  <c r="V103" i="65"/>
  <c r="V102" i="65"/>
  <c r="V101" i="65"/>
  <c r="Q117" i="76"/>
  <c r="Q116" i="76"/>
  <c r="O119" i="34"/>
  <c r="O120" i="34"/>
  <c r="O121" i="34"/>
  <c r="O118" i="34"/>
  <c r="CM42" i="67"/>
  <c r="X122" i="65"/>
  <c r="BA108" i="67" s="1"/>
  <c r="X121" i="65"/>
  <c r="BA107" i="67" s="1"/>
  <c r="X120" i="65"/>
  <c r="BA106" i="67" s="1"/>
  <c r="M124" i="65"/>
  <c r="X123" i="65"/>
  <c r="BA109" i="67" s="1"/>
  <c r="V93" i="65"/>
  <c r="V92" i="65"/>
  <c r="O113" i="34"/>
  <c r="O114" i="34"/>
  <c r="O110" i="34"/>
  <c r="O115" i="34"/>
  <c r="O112" i="34"/>
  <c r="O111" i="34"/>
  <c r="V114" i="65"/>
  <c r="M128" i="65"/>
  <c r="AO109" i="67"/>
  <c r="W120" i="65"/>
  <c r="AZ106" i="67" s="1"/>
  <c r="M131" i="65"/>
  <c r="M125" i="65"/>
  <c r="W122" i="65"/>
  <c r="AZ108" i="67" s="1"/>
  <c r="M127" i="65"/>
  <c r="M126" i="65"/>
  <c r="M129" i="65"/>
  <c r="M130" i="65"/>
  <c r="W121" i="65"/>
  <c r="AZ107" i="67" s="1"/>
  <c r="V118" i="65"/>
  <c r="V107" i="65"/>
  <c r="V108" i="65"/>
  <c r="V110" i="65"/>
  <c r="V115" i="65"/>
  <c r="V112" i="65"/>
  <c r="V105" i="65"/>
  <c r="V109" i="65"/>
  <c r="V113" i="65"/>
  <c r="BB2" i="4"/>
  <c r="CD2" i="4"/>
  <c r="DF2" i="4"/>
  <c r="CR2" i="4"/>
  <c r="Z2" i="4"/>
  <c r="BP2" i="4"/>
  <c r="I109" i="34" l="1"/>
  <c r="Q109" i="34" s="1"/>
  <c r="K109" i="77"/>
  <c r="K109" i="76"/>
  <c r="I109" i="36"/>
  <c r="R109" i="36" s="1"/>
  <c r="I109" i="150"/>
  <c r="R109" i="150" s="1"/>
  <c r="U109" i="150" s="1"/>
  <c r="I109" i="30"/>
  <c r="Q109" i="30" s="1"/>
  <c r="S109" i="30" s="1"/>
  <c r="J13" i="15" s="1"/>
  <c r="S79" i="30"/>
  <c r="S97" i="30"/>
  <c r="S80" i="30"/>
  <c r="S91" i="30"/>
  <c r="S78" i="30"/>
  <c r="S94" i="30"/>
  <c r="S88" i="30"/>
  <c r="S81" i="30"/>
  <c r="S93" i="30"/>
  <c r="S77" i="30"/>
  <c r="S75" i="30"/>
  <c r="S74" i="30"/>
  <c r="M142" i="65"/>
  <c r="K116" i="76"/>
  <c r="S116" i="76" s="1"/>
  <c r="I116" i="36"/>
  <c r="R116" i="36" s="1"/>
  <c r="I116" i="34"/>
  <c r="Q116" i="34" s="1"/>
  <c r="K116" i="77"/>
  <c r="T116" i="77" s="1"/>
  <c r="M136" i="65"/>
  <c r="K110" i="76"/>
  <c r="S110" i="76" s="1"/>
  <c r="K110" i="77"/>
  <c r="T110" i="77" s="1"/>
  <c r="I110" i="36"/>
  <c r="R110" i="36" s="1"/>
  <c r="I110" i="34"/>
  <c r="Q110" i="34" s="1"/>
  <c r="I111" i="36"/>
  <c r="R111" i="36" s="1"/>
  <c r="K111" i="76"/>
  <c r="S111" i="76" s="1"/>
  <c r="K111" i="77"/>
  <c r="T111" i="77" s="1"/>
  <c r="I111" i="34"/>
  <c r="Q111" i="34" s="1"/>
  <c r="M143" i="65"/>
  <c r="I117" i="34"/>
  <c r="Q117" i="34" s="1"/>
  <c r="K117" i="76"/>
  <c r="S117" i="76" s="1"/>
  <c r="K117" i="77"/>
  <c r="T117" i="77" s="1"/>
  <c r="I117" i="36"/>
  <c r="R117" i="36" s="1"/>
  <c r="K113" i="77"/>
  <c r="T113" i="77" s="1"/>
  <c r="I113" i="36"/>
  <c r="R113" i="36" s="1"/>
  <c r="K113" i="76"/>
  <c r="S113" i="76" s="1"/>
  <c r="I113" i="34"/>
  <c r="Q113" i="34" s="1"/>
  <c r="W41" i="153"/>
  <c r="X41" i="153" s="1"/>
  <c r="Y41" i="153" s="1"/>
  <c r="K112" i="77"/>
  <c r="T112" i="77" s="1"/>
  <c r="I112" i="36"/>
  <c r="R112" i="36" s="1"/>
  <c r="K112" i="76"/>
  <c r="S112" i="76" s="1"/>
  <c r="I112" i="34"/>
  <c r="Q112" i="34" s="1"/>
  <c r="K115" i="77"/>
  <c r="T115" i="77" s="1"/>
  <c r="I115" i="36"/>
  <c r="R115" i="36" s="1"/>
  <c r="K115" i="76"/>
  <c r="S115" i="76" s="1"/>
  <c r="I115" i="34"/>
  <c r="Q115" i="34" s="1"/>
  <c r="K114" i="77"/>
  <c r="T114" i="77" s="1"/>
  <c r="I114" i="36"/>
  <c r="R114" i="36" s="1"/>
  <c r="K114" i="76"/>
  <c r="S114" i="76" s="1"/>
  <c r="I114" i="34"/>
  <c r="Q114" i="34" s="1"/>
  <c r="P8" i="15"/>
  <c r="V40" i="150"/>
  <c r="W40" i="150" s="1"/>
  <c r="P12" i="15"/>
  <c r="W38" i="150"/>
  <c r="W26" i="150"/>
  <c r="M42" i="155"/>
  <c r="K42" i="154"/>
  <c r="U42" i="154" s="1"/>
  <c r="K42" i="153"/>
  <c r="U42" i="153" s="1"/>
  <c r="Y40" i="153"/>
  <c r="P11" i="15"/>
  <c r="Y133" i="65"/>
  <c r="Q145" i="65"/>
  <c r="Y145" i="65" s="1"/>
  <c r="Q147" i="65"/>
  <c r="Y147" i="65" s="1"/>
  <c r="Y135" i="65"/>
  <c r="Y134" i="65"/>
  <c r="Q146" i="65"/>
  <c r="Y146" i="65" s="1"/>
  <c r="W126" i="65"/>
  <c r="M138" i="65"/>
  <c r="W127" i="65"/>
  <c r="M139" i="65"/>
  <c r="W125" i="65"/>
  <c r="M137" i="65"/>
  <c r="X131" i="65"/>
  <c r="X143" i="65"/>
  <c r="X130" i="65"/>
  <c r="X142" i="65"/>
  <c r="V135" i="65"/>
  <c r="V147" i="65"/>
  <c r="W128" i="65"/>
  <c r="M140" i="65"/>
  <c r="W129" i="65"/>
  <c r="M141" i="65"/>
  <c r="W131" i="65"/>
  <c r="W123" i="65"/>
  <c r="AZ109" i="67" s="1"/>
  <c r="W124" i="65"/>
  <c r="W130" i="65"/>
  <c r="O122" i="34"/>
  <c r="Q122" i="76"/>
  <c r="O125" i="34"/>
  <c r="Q125" i="76"/>
  <c r="O123" i="34"/>
  <c r="Q123" i="76"/>
  <c r="Q124" i="76"/>
  <c r="O124" i="34"/>
  <c r="V104" i="65"/>
  <c r="Q127" i="76"/>
  <c r="Q118" i="76"/>
  <c r="Q121" i="76"/>
  <c r="Q120" i="76"/>
  <c r="Q119" i="76"/>
  <c r="Q131" i="76"/>
  <c r="Q128" i="76"/>
  <c r="CM43" i="67"/>
  <c r="Q112" i="76"/>
  <c r="Q110" i="76"/>
  <c r="Q114" i="76"/>
  <c r="Q111" i="76"/>
  <c r="Q115" i="76"/>
  <c r="Q113" i="76"/>
  <c r="Q129" i="76"/>
  <c r="M135" i="65"/>
  <c r="M133" i="65"/>
  <c r="M134" i="65"/>
  <c r="M132" i="65"/>
  <c r="V117" i="65"/>
  <c r="V124" i="65"/>
  <c r="V116" i="65"/>
  <c r="V119" i="65"/>
  <c r="V122" i="65"/>
  <c r="V121" i="65"/>
  <c r="V120" i="65"/>
  <c r="BQ2" i="4"/>
  <c r="BC2" i="4"/>
  <c r="DG2" i="4"/>
  <c r="AA2" i="4"/>
  <c r="CS2" i="4"/>
  <c r="CE2" i="4"/>
  <c r="P13" i="15" l="1"/>
  <c r="W137" i="65"/>
  <c r="I123" i="34"/>
  <c r="Q123" i="34" s="1"/>
  <c r="K123" i="77"/>
  <c r="T123" i="77" s="1"/>
  <c r="I123" i="36"/>
  <c r="R123" i="36" s="1"/>
  <c r="K123" i="76"/>
  <c r="S123" i="76" s="1"/>
  <c r="W143" i="65"/>
  <c r="K129" i="77"/>
  <c r="T129" i="77" s="1"/>
  <c r="K129" i="76"/>
  <c r="S129" i="76" s="1"/>
  <c r="I129" i="36"/>
  <c r="R129" i="36" s="1"/>
  <c r="I129" i="34"/>
  <c r="W138" i="65"/>
  <c r="K124" i="76"/>
  <c r="S124" i="76" s="1"/>
  <c r="K124" i="77"/>
  <c r="T124" i="77" s="1"/>
  <c r="I124" i="36"/>
  <c r="R124" i="36" s="1"/>
  <c r="I124" i="34"/>
  <c r="Q124" i="34" s="1"/>
  <c r="I118" i="34"/>
  <c r="Q118" i="34" s="1"/>
  <c r="K118" i="76"/>
  <c r="S118" i="76" s="1"/>
  <c r="K118" i="77"/>
  <c r="T118" i="77" s="1"/>
  <c r="I118" i="36"/>
  <c r="R118" i="36" s="1"/>
  <c r="W141" i="65"/>
  <c r="K127" i="77"/>
  <c r="T127" i="77" s="1"/>
  <c r="I127" i="34"/>
  <c r="K127" i="76"/>
  <c r="S127" i="76" s="1"/>
  <c r="I127" i="36"/>
  <c r="R127" i="36" s="1"/>
  <c r="I120" i="34"/>
  <c r="Q120" i="34" s="1"/>
  <c r="K120" i="77"/>
  <c r="T120" i="77" s="1"/>
  <c r="I120" i="36"/>
  <c r="R120" i="36" s="1"/>
  <c r="K120" i="76"/>
  <c r="S120" i="76" s="1"/>
  <c r="W140" i="65"/>
  <c r="K126" i="77"/>
  <c r="T126" i="77" s="1"/>
  <c r="I126" i="36"/>
  <c r="R126" i="36" s="1"/>
  <c r="I126" i="34"/>
  <c r="Q126" i="34" s="1"/>
  <c r="K126" i="76"/>
  <c r="S126" i="76" s="1"/>
  <c r="M147" i="65"/>
  <c r="I121" i="34"/>
  <c r="Q121" i="34" s="1"/>
  <c r="K121" i="77"/>
  <c r="T121" i="77" s="1"/>
  <c r="I121" i="36"/>
  <c r="R121" i="36" s="1"/>
  <c r="K121" i="76"/>
  <c r="S121" i="76" s="1"/>
  <c r="W136" i="65"/>
  <c r="I122" i="34"/>
  <c r="Q122" i="34" s="1"/>
  <c r="K122" i="77"/>
  <c r="T122" i="77" s="1"/>
  <c r="I122" i="36"/>
  <c r="R122" i="36" s="1"/>
  <c r="K122" i="76"/>
  <c r="S122" i="76" s="1"/>
  <c r="I119" i="34"/>
  <c r="Q119" i="34" s="1"/>
  <c r="K119" i="76"/>
  <c r="S119" i="76" s="1"/>
  <c r="K119" i="77"/>
  <c r="T119" i="77" s="1"/>
  <c r="I119" i="36"/>
  <c r="R119" i="36" s="1"/>
  <c r="W139" i="65"/>
  <c r="K125" i="77"/>
  <c r="T125" i="77" s="1"/>
  <c r="I125" i="36"/>
  <c r="R125" i="36" s="1"/>
  <c r="I125" i="34"/>
  <c r="Q125" i="34" s="1"/>
  <c r="K125" i="76"/>
  <c r="S125" i="76" s="1"/>
  <c r="W42" i="153"/>
  <c r="X42" i="153" s="1"/>
  <c r="Y42" i="153" s="1"/>
  <c r="W142" i="65"/>
  <c r="K128" i="76"/>
  <c r="S128" i="76" s="1"/>
  <c r="K128" i="77"/>
  <c r="T128" i="77" s="1"/>
  <c r="I128" i="36"/>
  <c r="R128" i="36" s="1"/>
  <c r="I128" i="34"/>
  <c r="M43" i="155"/>
  <c r="K43" i="153"/>
  <c r="U43" i="153" s="1"/>
  <c r="W43" i="153" s="1"/>
  <c r="K43" i="154"/>
  <c r="U43" i="154" s="1"/>
  <c r="V125" i="65"/>
  <c r="V137" i="65"/>
  <c r="X134" i="65"/>
  <c r="X146" i="65"/>
  <c r="W132" i="65"/>
  <c r="M144" i="65"/>
  <c r="V130" i="65"/>
  <c r="V142" i="65"/>
  <c r="V127" i="65"/>
  <c r="V139" i="65"/>
  <c r="X135" i="65"/>
  <c r="X147" i="65"/>
  <c r="V126" i="65"/>
  <c r="V138" i="65"/>
  <c r="X132" i="65"/>
  <c r="X144" i="65"/>
  <c r="W134" i="65"/>
  <c r="M146" i="65"/>
  <c r="X133" i="65"/>
  <c r="X145" i="65"/>
  <c r="W133" i="65"/>
  <c r="M145" i="65"/>
  <c r="W135" i="65"/>
  <c r="Q126" i="76"/>
  <c r="O126" i="34"/>
  <c r="Q132" i="76"/>
  <c r="Q130" i="76"/>
  <c r="CM44" i="67"/>
  <c r="Q133" i="76"/>
  <c r="DH2" i="4"/>
  <c r="CT2" i="4"/>
  <c r="BD2" i="4"/>
  <c r="AB2" i="4"/>
  <c r="CF2" i="4"/>
  <c r="BR2" i="4"/>
  <c r="W147" i="65" l="1"/>
  <c r="I133" i="34"/>
  <c r="K133" i="76"/>
  <c r="S133" i="76" s="1"/>
  <c r="K133" i="77"/>
  <c r="T133" i="77" s="1"/>
  <c r="I133" i="36"/>
  <c r="R133" i="36" s="1"/>
  <c r="W146" i="65"/>
  <c r="K132" i="76"/>
  <c r="S132" i="76" s="1"/>
  <c r="K132" i="77"/>
  <c r="T132" i="77" s="1"/>
  <c r="I132" i="36"/>
  <c r="R132" i="36" s="1"/>
  <c r="I132" i="34"/>
  <c r="W145" i="65"/>
  <c r="K131" i="77"/>
  <c r="T131" i="77" s="1"/>
  <c r="I131" i="36"/>
  <c r="R131" i="36" s="1"/>
  <c r="K131" i="76"/>
  <c r="S131" i="76" s="1"/>
  <c r="I131" i="34"/>
  <c r="W144" i="65"/>
  <c r="K130" i="77"/>
  <c r="T130" i="77" s="1"/>
  <c r="I130" i="36"/>
  <c r="R130" i="36" s="1"/>
  <c r="K130" i="76"/>
  <c r="S130" i="76" s="1"/>
  <c r="I130" i="34"/>
  <c r="X43" i="153"/>
  <c r="K44" i="154"/>
  <c r="U44" i="154" s="1"/>
  <c r="M44" i="155"/>
  <c r="K44" i="153"/>
  <c r="U44" i="153" s="1"/>
  <c r="V134" i="65"/>
  <c r="V146" i="65"/>
  <c r="V131" i="65"/>
  <c r="V143" i="65"/>
  <c r="V129" i="65"/>
  <c r="V141" i="65"/>
  <c r="V133" i="65"/>
  <c r="V145" i="65"/>
  <c r="V132" i="65"/>
  <c r="V144" i="65"/>
  <c r="V128" i="65"/>
  <c r="V140" i="65"/>
  <c r="CM45" i="67"/>
  <c r="DI2" i="4"/>
  <c r="BE2" i="4"/>
  <c r="CG2" i="4"/>
  <c r="BS2" i="4"/>
  <c r="AC2" i="4"/>
  <c r="CU2" i="4"/>
  <c r="W44" i="153" l="1"/>
  <c r="X44" i="153" s="1"/>
  <c r="Y44" i="153" s="1"/>
  <c r="K45" i="154"/>
  <c r="U45" i="154" s="1"/>
  <c r="K45" i="153"/>
  <c r="U45" i="153" s="1"/>
  <c r="M45" i="155"/>
  <c r="Y43" i="153"/>
  <c r="CM46" i="67"/>
  <c r="DJ2" i="4"/>
  <c r="CV2" i="4"/>
  <c r="BT2" i="4"/>
  <c r="BF2" i="4"/>
  <c r="AD2" i="4"/>
  <c r="CH2" i="4"/>
  <c r="W45" i="153" l="1"/>
  <c r="X45" i="153" s="1"/>
  <c r="Y45" i="153" s="1"/>
  <c r="M46" i="155"/>
  <c r="K46" i="154"/>
  <c r="U46" i="154" s="1"/>
  <c r="K46" i="153"/>
  <c r="U46" i="153" s="1"/>
  <c r="CM47" i="67"/>
  <c r="DK2" i="4"/>
  <c r="BG2" i="4"/>
  <c r="CW2" i="4"/>
  <c r="AE2" i="4"/>
  <c r="BU2" i="4"/>
  <c r="CI2" i="4"/>
  <c r="W46" i="153" l="1"/>
  <c r="X46" i="153" s="1"/>
  <c r="Y46" i="153" s="1"/>
  <c r="K47" i="154"/>
  <c r="U47" i="154" s="1"/>
  <c r="M47" i="155"/>
  <c r="K47" i="153"/>
  <c r="U47" i="153" s="1"/>
  <c r="CM48" i="67"/>
  <c r="DL2" i="4"/>
  <c r="BH2" i="4"/>
  <c r="CX2" i="4"/>
  <c r="AF2" i="4"/>
  <c r="BV2" i="4"/>
  <c r="CJ2" i="4"/>
  <c r="B39" i="65"/>
  <c r="B38" i="65"/>
  <c r="B37" i="65"/>
  <c r="B36" i="65"/>
  <c r="B35" i="65"/>
  <c r="B34" i="65"/>
  <c r="B33" i="65"/>
  <c r="B32" i="65"/>
  <c r="B31" i="65"/>
  <c r="B30" i="65"/>
  <c r="B29" i="65"/>
  <c r="B28" i="65"/>
  <c r="B27" i="65"/>
  <c r="B26" i="65"/>
  <c r="B25" i="65"/>
  <c r="B24" i="65"/>
  <c r="B23" i="65"/>
  <c r="B22" i="65"/>
  <c r="B21" i="65"/>
  <c r="B20" i="65"/>
  <c r="B19" i="65"/>
  <c r="B18" i="65"/>
  <c r="B17" i="65"/>
  <c r="B16" i="65"/>
  <c r="W47" i="153" l="1"/>
  <c r="X47" i="153" s="1"/>
  <c r="Y47" i="153" s="1"/>
  <c r="M48" i="155"/>
  <c r="K48" i="154"/>
  <c r="U48" i="154" s="1"/>
  <c r="K48" i="153"/>
  <c r="U48" i="153" s="1"/>
  <c r="AQ6" i="67"/>
  <c r="AR6" i="67"/>
  <c r="AP14" i="67"/>
  <c r="AQ14" i="67"/>
  <c r="AR14" i="67"/>
  <c r="AQ20" i="67"/>
  <c r="AR20" i="67"/>
  <c r="AQ5" i="67"/>
  <c r="AR5" i="67"/>
  <c r="AQ22" i="67"/>
  <c r="AR22" i="67"/>
  <c r="AQ8" i="67"/>
  <c r="AR8" i="67"/>
  <c r="AQ9" i="67"/>
  <c r="AR9" i="67"/>
  <c r="AQ10" i="67"/>
  <c r="AR10" i="67"/>
  <c r="AQ12" i="67"/>
  <c r="AR12" i="67"/>
  <c r="AP15" i="67"/>
  <c r="AQ15" i="67"/>
  <c r="AR15" i="67"/>
  <c r="AP18" i="67"/>
  <c r="AQ18" i="67"/>
  <c r="AR18" i="67"/>
  <c r="AQ4" i="67"/>
  <c r="AR4" i="67"/>
  <c r="AQ21" i="67"/>
  <c r="AR21" i="67"/>
  <c r="AQ7" i="67"/>
  <c r="AR7" i="67"/>
  <c r="AQ23" i="67"/>
  <c r="AR23" i="67"/>
  <c r="AQ24" i="67"/>
  <c r="AR24" i="67"/>
  <c r="AQ25" i="67"/>
  <c r="AR25" i="67"/>
  <c r="AQ11" i="67"/>
  <c r="AR11" i="67"/>
  <c r="AQ13" i="67"/>
  <c r="AR13" i="67"/>
  <c r="AQ16" i="67"/>
  <c r="AR16" i="67"/>
  <c r="AP16" i="67"/>
  <c r="AP17" i="67"/>
  <c r="AQ17" i="67"/>
  <c r="AR17" i="67"/>
  <c r="AQ3" i="67"/>
  <c r="AR3" i="67"/>
  <c r="AQ19" i="67"/>
  <c r="AR19" i="67"/>
  <c r="AR2" i="67"/>
  <c r="AQ2" i="67"/>
  <c r="AJ20" i="67"/>
  <c r="AK20" i="67"/>
  <c r="AL20" i="67"/>
  <c r="AM20" i="67"/>
  <c r="AN20" i="67"/>
  <c r="AO20" i="67"/>
  <c r="AO23" i="67"/>
  <c r="AJ23" i="67"/>
  <c r="AK23" i="67"/>
  <c r="AL23" i="67"/>
  <c r="AM23" i="67"/>
  <c r="AN23" i="67"/>
  <c r="AK9" i="67"/>
  <c r="AL9" i="67"/>
  <c r="AN9" i="67"/>
  <c r="AM9" i="67"/>
  <c r="AL11" i="67"/>
  <c r="AK11" i="67"/>
  <c r="AM11" i="67"/>
  <c r="AN11" i="67"/>
  <c r="AJ17" i="67"/>
  <c r="AN17" i="67"/>
  <c r="AK17" i="67"/>
  <c r="AL17" i="67"/>
  <c r="AM17" i="67"/>
  <c r="AO17" i="67"/>
  <c r="AK4" i="67"/>
  <c r="AL4" i="67"/>
  <c r="AM4" i="67"/>
  <c r="AN4" i="67"/>
  <c r="AK5" i="67"/>
  <c r="AL5" i="67"/>
  <c r="AM5" i="67"/>
  <c r="AN5" i="67"/>
  <c r="AM22" i="67"/>
  <c r="AO22" i="67"/>
  <c r="AJ22" i="67"/>
  <c r="AN22" i="67"/>
  <c r="AK22" i="67"/>
  <c r="AL22" i="67"/>
  <c r="AK8" i="67"/>
  <c r="AL8" i="67"/>
  <c r="AM8" i="67"/>
  <c r="AN8" i="67"/>
  <c r="AO25" i="67"/>
  <c r="AJ25" i="67"/>
  <c r="AK25" i="67"/>
  <c r="AL25" i="67"/>
  <c r="AM25" i="67"/>
  <c r="AN25" i="67"/>
  <c r="AK12" i="67"/>
  <c r="AL12" i="67"/>
  <c r="AM12" i="67"/>
  <c r="AN12" i="67"/>
  <c r="AO15" i="67"/>
  <c r="AJ15" i="67"/>
  <c r="AK15" i="67"/>
  <c r="AL15" i="67"/>
  <c r="AM15" i="67"/>
  <c r="AN15" i="67"/>
  <c r="AK2" i="67"/>
  <c r="AL2" i="67"/>
  <c r="AM2" i="67"/>
  <c r="AN2" i="67"/>
  <c r="AJ18" i="67"/>
  <c r="AK18" i="67"/>
  <c r="AL18" i="67"/>
  <c r="AM18" i="67"/>
  <c r="AO18" i="67"/>
  <c r="AN18" i="67"/>
  <c r="AJ21" i="67"/>
  <c r="AK21" i="67"/>
  <c r="AL21" i="67"/>
  <c r="AM21" i="67"/>
  <c r="AN21" i="67"/>
  <c r="AO21" i="67"/>
  <c r="AN6" i="67"/>
  <c r="AM6" i="67"/>
  <c r="AK6" i="67"/>
  <c r="AL6" i="67"/>
  <c r="AK7" i="67"/>
  <c r="AL7" i="67"/>
  <c r="AM7" i="67"/>
  <c r="AN7" i="67"/>
  <c r="AO24" i="67"/>
  <c r="AJ24" i="67"/>
  <c r="AK24" i="67"/>
  <c r="AL24" i="67"/>
  <c r="AM24" i="67"/>
  <c r="AN24" i="67"/>
  <c r="AK10" i="67"/>
  <c r="AL10" i="67"/>
  <c r="AM10" i="67"/>
  <c r="AN10" i="67"/>
  <c r="AL13" i="67"/>
  <c r="AM13" i="67"/>
  <c r="AN13" i="67"/>
  <c r="AK13" i="67"/>
  <c r="AM14" i="67"/>
  <c r="AJ14" i="67"/>
  <c r="AK14" i="67"/>
  <c r="AL14" i="67"/>
  <c r="AO14" i="67"/>
  <c r="AN14" i="67"/>
  <c r="AM16" i="67"/>
  <c r="AN16" i="67"/>
  <c r="AO16" i="67"/>
  <c r="AJ16" i="67"/>
  <c r="AK16" i="67"/>
  <c r="AL16" i="67"/>
  <c r="AN3" i="67"/>
  <c r="AM3" i="67"/>
  <c r="AK3" i="67"/>
  <c r="AL3" i="67"/>
  <c r="AN19" i="67"/>
  <c r="AL19" i="67"/>
  <c r="AM19" i="67"/>
  <c r="AO19" i="67"/>
  <c r="AJ19" i="67"/>
  <c r="AK19" i="67"/>
  <c r="CA4" i="4"/>
  <c r="CB4" i="4"/>
  <c r="CD4" i="4"/>
  <c r="CF4" i="4"/>
  <c r="CH4" i="4"/>
  <c r="CI4" i="4"/>
  <c r="CJ4" i="4"/>
  <c r="CG4" i="4"/>
  <c r="CC4" i="4"/>
  <c r="CE4" i="4"/>
  <c r="CM49" i="67"/>
  <c r="BY5" i="4"/>
  <c r="BI2" i="4"/>
  <c r="CY2" i="4"/>
  <c r="BW2" i="4"/>
  <c r="CK2" i="4"/>
  <c r="CK4" i="4" s="1"/>
  <c r="DM2" i="4"/>
  <c r="W48" i="153" l="1"/>
  <c r="X48" i="153" s="1"/>
  <c r="Y48" i="153" s="1"/>
  <c r="I18" i="36"/>
  <c r="R18" i="36" s="1"/>
  <c r="K18" i="76"/>
  <c r="K18" i="77"/>
  <c r="I18" i="34"/>
  <c r="I18" i="30"/>
  <c r="Q18" i="30" s="1"/>
  <c r="I18" i="150"/>
  <c r="R18" i="150" s="1"/>
  <c r="U18" i="150" s="1"/>
  <c r="K23" i="77"/>
  <c r="I23" i="150"/>
  <c r="R23" i="150" s="1"/>
  <c r="U23" i="150" s="1"/>
  <c r="K23" i="76"/>
  <c r="I23" i="34"/>
  <c r="I23" i="30"/>
  <c r="Q23" i="30" s="1"/>
  <c r="I23" i="36"/>
  <c r="R23" i="36" s="1"/>
  <c r="I22" i="150"/>
  <c r="R22" i="150" s="1"/>
  <c r="U22" i="150" s="1"/>
  <c r="K22" i="77"/>
  <c r="K22" i="76"/>
  <c r="I22" i="34"/>
  <c r="I22" i="30"/>
  <c r="Q22" i="30" s="1"/>
  <c r="I22" i="36"/>
  <c r="R22" i="36" s="1"/>
  <c r="K14" i="77"/>
  <c r="I14" i="150"/>
  <c r="R14" i="150" s="1"/>
  <c r="U14" i="150" s="1"/>
  <c r="I14" i="34"/>
  <c r="K14" i="76"/>
  <c r="I14" i="36"/>
  <c r="R14" i="36" s="1"/>
  <c r="I14" i="30"/>
  <c r="Q14" i="30" s="1"/>
  <c r="K15" i="77"/>
  <c r="K15" i="76"/>
  <c r="I15" i="150"/>
  <c r="R15" i="150" s="1"/>
  <c r="U15" i="150" s="1"/>
  <c r="I15" i="30"/>
  <c r="Q15" i="30" s="1"/>
  <c r="I15" i="36"/>
  <c r="R15" i="36" s="1"/>
  <c r="I15" i="34"/>
  <c r="I19" i="150"/>
  <c r="R19" i="150" s="1"/>
  <c r="U19" i="150" s="1"/>
  <c r="I19" i="36"/>
  <c r="R19" i="36" s="1"/>
  <c r="K19" i="76"/>
  <c r="K19" i="77"/>
  <c r="I19" i="30"/>
  <c r="Q19" i="30" s="1"/>
  <c r="I19" i="34"/>
  <c r="K20" i="77"/>
  <c r="I20" i="150"/>
  <c r="R20" i="150" s="1"/>
  <c r="U20" i="150" s="1"/>
  <c r="I20" i="30"/>
  <c r="Q20" i="30" s="1"/>
  <c r="I20" i="36"/>
  <c r="R20" i="36" s="1"/>
  <c r="K20" i="76"/>
  <c r="I20" i="34"/>
  <c r="K49" i="154"/>
  <c r="U49" i="154" s="1"/>
  <c r="K49" i="153"/>
  <c r="U49" i="153" s="1"/>
  <c r="M49" i="155"/>
  <c r="K25" i="77"/>
  <c r="I25" i="150"/>
  <c r="R25" i="150" s="1"/>
  <c r="U25" i="150" s="1"/>
  <c r="I25" i="34"/>
  <c r="I25" i="36"/>
  <c r="R25" i="36" s="1"/>
  <c r="K25" i="76"/>
  <c r="I25" i="30"/>
  <c r="Q25" i="30" s="1"/>
  <c r="K24" i="76"/>
  <c r="I24" i="30"/>
  <c r="Q24" i="30" s="1"/>
  <c r="I24" i="34"/>
  <c r="K24" i="77"/>
  <c r="I24" i="36"/>
  <c r="R24" i="36" s="1"/>
  <c r="I24" i="150"/>
  <c r="R24" i="150" s="1"/>
  <c r="U24" i="150" s="1"/>
  <c r="I21" i="150"/>
  <c r="R21" i="150" s="1"/>
  <c r="U21" i="150" s="1"/>
  <c r="K21" i="77"/>
  <c r="I21" i="36"/>
  <c r="R21" i="36" s="1"/>
  <c r="K21" i="76"/>
  <c r="I21" i="30"/>
  <c r="Q21" i="30" s="1"/>
  <c r="I21" i="34"/>
  <c r="I16" i="150"/>
  <c r="R16" i="150" s="1"/>
  <c r="U16" i="150" s="1"/>
  <c r="K16" i="76"/>
  <c r="K16" i="77"/>
  <c r="I16" i="30"/>
  <c r="Q16" i="30" s="1"/>
  <c r="I16" i="34"/>
  <c r="I16" i="36"/>
  <c r="R16" i="36" s="1"/>
  <c r="I17" i="150"/>
  <c r="R17" i="150" s="1"/>
  <c r="U17" i="150" s="1"/>
  <c r="K17" i="77"/>
  <c r="I17" i="30"/>
  <c r="Q17" i="30" s="1"/>
  <c r="I17" i="34"/>
  <c r="K17" i="76"/>
  <c r="I17" i="36"/>
  <c r="R17" i="36" s="1"/>
  <c r="AP2" i="67"/>
  <c r="X16" i="65"/>
  <c r="BA2" i="67" s="1"/>
  <c r="AP4" i="67"/>
  <c r="X18" i="65"/>
  <c r="BA4" i="67" s="1"/>
  <c r="AS5" i="67"/>
  <c r="Y19" i="65"/>
  <c r="BB5" i="67" s="1"/>
  <c r="AO12" i="67"/>
  <c r="W26" i="65"/>
  <c r="AZ12" i="67" s="1"/>
  <c r="AJ4" i="67"/>
  <c r="V18" i="65"/>
  <c r="AS4" i="67"/>
  <c r="Y18" i="65"/>
  <c r="BB4" i="67" s="1"/>
  <c r="AJ9" i="67"/>
  <c r="V23" i="65"/>
  <c r="AP10" i="67"/>
  <c r="X24" i="65"/>
  <c r="BA10" i="67" s="1"/>
  <c r="AJ6" i="67"/>
  <c r="V20" i="65"/>
  <c r="AJ12" i="67"/>
  <c r="V26" i="65"/>
  <c r="AO9" i="67"/>
  <c r="W23" i="65"/>
  <c r="AZ9" i="67" s="1"/>
  <c r="AS2" i="67"/>
  <c r="Y16" i="65"/>
  <c r="BB2" i="67" s="1"/>
  <c r="AS10" i="67"/>
  <c r="Y24" i="65"/>
  <c r="BB10" i="67" s="1"/>
  <c r="AP5" i="67"/>
  <c r="X19" i="65"/>
  <c r="BA5" i="67" s="1"/>
  <c r="AS13" i="67"/>
  <c r="Y27" i="65"/>
  <c r="BB13" i="67" s="1"/>
  <c r="AS9" i="67"/>
  <c r="Y23" i="65"/>
  <c r="BB9" i="67" s="1"/>
  <c r="AO2" i="67"/>
  <c r="W16" i="65"/>
  <c r="AZ2" i="67" s="1"/>
  <c r="AP13" i="67"/>
  <c r="X27" i="65"/>
  <c r="BA13" i="67" s="1"/>
  <c r="AP9" i="67"/>
  <c r="X23" i="65"/>
  <c r="BA9" i="67" s="1"/>
  <c r="AJ3" i="67"/>
  <c r="V17" i="65"/>
  <c r="AO13" i="67"/>
  <c r="W27" i="65"/>
  <c r="AZ13" i="67" s="1"/>
  <c r="AO11" i="67"/>
  <c r="W25" i="65"/>
  <c r="AZ11" i="67" s="1"/>
  <c r="AS3" i="67"/>
  <c r="Y17" i="65"/>
  <c r="BB3" i="67" s="1"/>
  <c r="AS11" i="67"/>
  <c r="Y25" i="65"/>
  <c r="BB11" i="67" s="1"/>
  <c r="AS7" i="67"/>
  <c r="Y21" i="65"/>
  <c r="BB7" i="67" s="1"/>
  <c r="AP8" i="67"/>
  <c r="X22" i="65"/>
  <c r="BA8" i="67" s="1"/>
  <c r="AO6" i="67"/>
  <c r="W20" i="65"/>
  <c r="AZ6" i="67" s="1"/>
  <c r="AS8" i="67"/>
  <c r="Y22" i="65"/>
  <c r="BB8" i="67" s="1"/>
  <c r="AO5" i="67"/>
  <c r="W19" i="65"/>
  <c r="AZ5" i="67" s="1"/>
  <c r="AP3" i="67"/>
  <c r="X17" i="65"/>
  <c r="BA3" i="67" s="1"/>
  <c r="AP11" i="67"/>
  <c r="X25" i="65"/>
  <c r="BA11" i="67" s="1"/>
  <c r="AP7" i="67"/>
  <c r="X21" i="65"/>
  <c r="BA7" i="67" s="1"/>
  <c r="AJ11" i="67"/>
  <c r="V25" i="65"/>
  <c r="AP12" i="67"/>
  <c r="X26" i="65"/>
  <c r="BA12" i="67" s="1"/>
  <c r="AJ13" i="67"/>
  <c r="V27" i="65"/>
  <c r="AJ5" i="67"/>
  <c r="V19" i="65"/>
  <c r="AO8" i="67"/>
  <c r="W22" i="65"/>
  <c r="AZ8" i="67" s="1"/>
  <c r="AS12" i="67"/>
  <c r="Y26" i="65"/>
  <c r="BB12" i="67" s="1"/>
  <c r="AJ2" i="67"/>
  <c r="V16" i="65"/>
  <c r="AO7" i="67"/>
  <c r="W21" i="65"/>
  <c r="AZ7" i="67" s="1"/>
  <c r="AJ10" i="67"/>
  <c r="V24" i="65"/>
  <c r="AP6" i="67"/>
  <c r="X20" i="65"/>
  <c r="BA6" i="67" s="1"/>
  <c r="AO3" i="67"/>
  <c r="W17" i="65"/>
  <c r="AZ3" i="67" s="1"/>
  <c r="AO10" i="67"/>
  <c r="W24" i="65"/>
  <c r="AZ10" i="67" s="1"/>
  <c r="AJ7" i="67"/>
  <c r="V21" i="65"/>
  <c r="AJ8" i="67"/>
  <c r="V22" i="65"/>
  <c r="AO4" i="67"/>
  <c r="W18" i="65"/>
  <c r="AZ4" i="67" s="1"/>
  <c r="AS6" i="67"/>
  <c r="Y20" i="65"/>
  <c r="BB6" i="67" s="1"/>
  <c r="AP24" i="67"/>
  <c r="X50" i="65"/>
  <c r="BA36" i="67" s="1"/>
  <c r="Q10" i="38"/>
  <c r="Q10" i="28"/>
  <c r="AS16" i="67"/>
  <c r="Y30" i="65"/>
  <c r="BB16" i="67" s="1"/>
  <c r="Y42" i="65"/>
  <c r="BB28" i="67" s="1"/>
  <c r="AS24" i="67"/>
  <c r="Y38" i="65"/>
  <c r="BB24" i="67" s="1"/>
  <c r="Y50" i="65"/>
  <c r="BB36" i="67" s="1"/>
  <c r="Q3" i="28"/>
  <c r="Q3" i="38"/>
  <c r="Q17" i="38"/>
  <c r="Q17" i="28"/>
  <c r="Q6" i="38"/>
  <c r="Q6" i="28"/>
  <c r="Q19" i="38"/>
  <c r="Q19" i="28"/>
  <c r="Q2" i="38"/>
  <c r="Q2" i="28"/>
  <c r="AS19" i="67"/>
  <c r="Y33" i="65"/>
  <c r="BB19" i="67" s="1"/>
  <c r="Y45" i="65"/>
  <c r="BB31" i="67" s="1"/>
  <c r="Y37" i="65"/>
  <c r="BB23" i="67" s="1"/>
  <c r="AS23" i="67"/>
  <c r="Y49" i="65"/>
  <c r="BB35" i="67" s="1"/>
  <c r="AP20" i="67"/>
  <c r="X46" i="65"/>
  <c r="BA32" i="67" s="1"/>
  <c r="Q15" i="38"/>
  <c r="Q15" i="28"/>
  <c r="Q16" i="38"/>
  <c r="Q16" i="28"/>
  <c r="Q24" i="28"/>
  <c r="Q24" i="38"/>
  <c r="Q25" i="28"/>
  <c r="Q25" i="38"/>
  <c r="Q22" i="38"/>
  <c r="Q22" i="28"/>
  <c r="Q23" i="38"/>
  <c r="Q23" i="28"/>
  <c r="AS20" i="67"/>
  <c r="Y34" i="65"/>
  <c r="BB20" i="67" s="1"/>
  <c r="Y46" i="65"/>
  <c r="BB32" i="67" s="1"/>
  <c r="Q14" i="38"/>
  <c r="Q14" i="28"/>
  <c r="Q5" i="38"/>
  <c r="Q5" i="28"/>
  <c r="AP19" i="67"/>
  <c r="X45" i="65"/>
  <c r="BA31" i="67" s="1"/>
  <c r="AP23" i="67"/>
  <c r="X49" i="65"/>
  <c r="BA35" i="67" s="1"/>
  <c r="AS18" i="67"/>
  <c r="Y32" i="65"/>
  <c r="BB18" i="67" s="1"/>
  <c r="Y44" i="65"/>
  <c r="BB30" i="67" s="1"/>
  <c r="Q21" i="28"/>
  <c r="Q21" i="38"/>
  <c r="Y29" i="65"/>
  <c r="BB15" i="67" s="1"/>
  <c r="AS15" i="67"/>
  <c r="Y41" i="65"/>
  <c r="BB27" i="67" s="1"/>
  <c r="Q11" i="38"/>
  <c r="Q11" i="28"/>
  <c r="Q8" i="38"/>
  <c r="Q8" i="28"/>
  <c r="AS14" i="67"/>
  <c r="Y28" i="65"/>
  <c r="BB14" i="67" s="1"/>
  <c r="Y40" i="65"/>
  <c r="BB26" i="67" s="1"/>
  <c r="Q20" i="38"/>
  <c r="Q20" i="28"/>
  <c r="AS17" i="67"/>
  <c r="Y31" i="65"/>
  <c r="BB17" i="67" s="1"/>
  <c r="Y43" i="65"/>
  <c r="BB29" i="67" s="1"/>
  <c r="Y39" i="65"/>
  <c r="BB25" i="67" s="1"/>
  <c r="AS25" i="67"/>
  <c r="Y51" i="65"/>
  <c r="BB37" i="67" s="1"/>
  <c r="Y35" i="65"/>
  <c r="BB21" i="67" s="1"/>
  <c r="AS21" i="67"/>
  <c r="Y47" i="65"/>
  <c r="BB33" i="67" s="1"/>
  <c r="Q7" i="38"/>
  <c r="Q7" i="28"/>
  <c r="Q4" i="38"/>
  <c r="Q4" i="28"/>
  <c r="Q18" i="38"/>
  <c r="Q18" i="28"/>
  <c r="Q9" i="38"/>
  <c r="Q9" i="28"/>
  <c r="AP22" i="67"/>
  <c r="X48" i="65"/>
  <c r="BA34" i="67" s="1"/>
  <c r="Q13" i="38"/>
  <c r="Q13" i="28"/>
  <c r="Q12" i="38"/>
  <c r="Q12" i="28"/>
  <c r="AP25" i="67"/>
  <c r="X51" i="65"/>
  <c r="BA37" i="67" s="1"/>
  <c r="AP21" i="67"/>
  <c r="X47" i="65"/>
  <c r="BA33" i="67" s="1"/>
  <c r="AS22" i="67"/>
  <c r="Y36" i="65"/>
  <c r="BB22" i="67" s="1"/>
  <c r="Y48" i="65"/>
  <c r="BB34" i="67" s="1"/>
  <c r="W33" i="65"/>
  <c r="AZ19" i="67" s="1"/>
  <c r="W45" i="65"/>
  <c r="AZ31" i="67" s="1"/>
  <c r="V35" i="65"/>
  <c r="V47" i="65"/>
  <c r="W31" i="65"/>
  <c r="AZ17" i="67" s="1"/>
  <c r="W43" i="65"/>
  <c r="AZ29" i="67" s="1"/>
  <c r="Q34" i="28"/>
  <c r="Q34" i="38"/>
  <c r="X29" i="65"/>
  <c r="BA15" i="67" s="1"/>
  <c r="X41" i="65"/>
  <c r="BA27" i="67" s="1"/>
  <c r="X36" i="65"/>
  <c r="BA22" i="67" s="1"/>
  <c r="W32" i="65"/>
  <c r="AZ18" i="67" s="1"/>
  <c r="W44" i="65"/>
  <c r="AZ30" i="67" s="1"/>
  <c r="V39" i="65"/>
  <c r="V51" i="65"/>
  <c r="Q33" i="38"/>
  <c r="Q33" i="28"/>
  <c r="X44" i="65"/>
  <c r="BA30" i="67" s="1"/>
  <c r="X32" i="65"/>
  <c r="BA18" i="67" s="1"/>
  <c r="W39" i="65"/>
  <c r="AZ25" i="67" s="1"/>
  <c r="W51" i="65"/>
  <c r="AZ37" i="67" s="1"/>
  <c r="X35" i="65"/>
  <c r="BA21" i="67" s="1"/>
  <c r="X28" i="65"/>
  <c r="BA14" i="67" s="1"/>
  <c r="X40" i="65"/>
  <c r="BA26" i="67" s="1"/>
  <c r="W28" i="65"/>
  <c r="AZ14" i="67" s="1"/>
  <c r="W40" i="65"/>
  <c r="AZ26" i="67" s="1"/>
  <c r="W30" i="65"/>
  <c r="AZ16" i="67" s="1"/>
  <c r="W42" i="65"/>
  <c r="AZ28" i="67" s="1"/>
  <c r="V29" i="65"/>
  <c r="V41" i="65"/>
  <c r="V31" i="65"/>
  <c r="V43" i="65"/>
  <c r="W29" i="65"/>
  <c r="AZ15" i="67" s="1"/>
  <c r="W41" i="65"/>
  <c r="AZ27" i="67" s="1"/>
  <c r="Q29" i="28"/>
  <c r="Q29" i="38"/>
  <c r="Q35" i="38"/>
  <c r="Q35" i="28"/>
  <c r="V28" i="65"/>
  <c r="V40" i="65"/>
  <c r="V32" i="65"/>
  <c r="V44" i="65"/>
  <c r="Q32" i="38"/>
  <c r="Q32" i="28"/>
  <c r="Q27" i="38"/>
  <c r="Q27" i="28"/>
  <c r="X37" i="65"/>
  <c r="BA23" i="67" s="1"/>
  <c r="V37" i="65"/>
  <c r="V49" i="65"/>
  <c r="Q37" i="38"/>
  <c r="Q37" i="28"/>
  <c r="Q30" i="38"/>
  <c r="Q30" i="28"/>
  <c r="W37" i="65"/>
  <c r="AZ23" i="67" s="1"/>
  <c r="W49" i="65"/>
  <c r="AZ35" i="67" s="1"/>
  <c r="Q36" i="38"/>
  <c r="Q36" i="28"/>
  <c r="X34" i="65"/>
  <c r="BA20" i="67" s="1"/>
  <c r="W34" i="65"/>
  <c r="AZ20" i="67" s="1"/>
  <c r="W46" i="65"/>
  <c r="AZ32" i="67" s="1"/>
  <c r="V38" i="65"/>
  <c r="V50" i="65"/>
  <c r="W35" i="65"/>
  <c r="AZ21" i="67" s="1"/>
  <c r="W47" i="65"/>
  <c r="AZ33" i="67" s="1"/>
  <c r="Q28" i="38"/>
  <c r="Q28" i="28"/>
  <c r="X39" i="65"/>
  <c r="BA25" i="67" s="1"/>
  <c r="W38" i="65"/>
  <c r="AZ24" i="67" s="1"/>
  <c r="W50" i="65"/>
  <c r="AZ36" i="67" s="1"/>
  <c r="V30" i="65"/>
  <c r="V42" i="65"/>
  <c r="Q31" i="38"/>
  <c r="Q31" i="28"/>
  <c r="Q26" i="38"/>
  <c r="Q26" i="28"/>
  <c r="X38" i="65"/>
  <c r="BA24" i="67" s="1"/>
  <c r="X30" i="65"/>
  <c r="BA16" i="67" s="1"/>
  <c r="X42" i="65"/>
  <c r="BA28" i="67" s="1"/>
  <c r="V36" i="65"/>
  <c r="V48" i="65"/>
  <c r="V33" i="65"/>
  <c r="V45" i="65"/>
  <c r="X33" i="65"/>
  <c r="BA19" i="67" s="1"/>
  <c r="W36" i="65"/>
  <c r="AZ22" i="67" s="1"/>
  <c r="W48" i="65"/>
  <c r="AZ34" i="67" s="1"/>
  <c r="X31" i="65"/>
  <c r="BA17" i="67" s="1"/>
  <c r="X43" i="65"/>
  <c r="BA29" i="67" s="1"/>
  <c r="V34" i="65"/>
  <c r="V46" i="65"/>
  <c r="DC4" i="4"/>
  <c r="DD4" i="4"/>
  <c r="DE4" i="4"/>
  <c r="DF4" i="4"/>
  <c r="DG4" i="4"/>
  <c r="DH4" i="4"/>
  <c r="DJ4" i="4"/>
  <c r="DK4" i="4"/>
  <c r="DL4" i="4"/>
  <c r="DM4" i="4"/>
  <c r="DI4" i="4"/>
  <c r="CD18" i="4"/>
  <c r="CE18" i="4"/>
  <c r="CF18" i="4"/>
  <c r="CH18" i="4"/>
  <c r="CI18" i="4"/>
  <c r="CJ18" i="4"/>
  <c r="CA18" i="4"/>
  <c r="CB18" i="4"/>
  <c r="CC18" i="4"/>
  <c r="CG18" i="4"/>
  <c r="CK18" i="4"/>
  <c r="CP4" i="4"/>
  <c r="CQ4" i="4"/>
  <c r="CR4" i="4"/>
  <c r="CT4" i="4"/>
  <c r="CV4" i="4"/>
  <c r="CW4" i="4"/>
  <c r="CX4" i="4"/>
  <c r="CY4" i="4"/>
  <c r="CO4" i="4"/>
  <c r="CS4" i="4"/>
  <c r="CU4" i="4"/>
  <c r="CR18" i="4"/>
  <c r="CS18" i="4"/>
  <c r="CT18" i="4"/>
  <c r="CV18" i="4"/>
  <c r="CW18" i="4"/>
  <c r="CX18" i="4"/>
  <c r="CO18" i="4"/>
  <c r="CP18" i="4"/>
  <c r="CQ18" i="4"/>
  <c r="CU18" i="4"/>
  <c r="CY18" i="4"/>
  <c r="CA5" i="4"/>
  <c r="CB5" i="4"/>
  <c r="CC5" i="4"/>
  <c r="CE5" i="4"/>
  <c r="CF5" i="4"/>
  <c r="CG5" i="4"/>
  <c r="CI5" i="4"/>
  <c r="CK5" i="4"/>
  <c r="CJ5" i="4"/>
  <c r="CH5" i="4"/>
  <c r="CD5" i="4"/>
  <c r="DJ18" i="4"/>
  <c r="DK18" i="4"/>
  <c r="DL18" i="4"/>
  <c r="DM18" i="4"/>
  <c r="DC18" i="4"/>
  <c r="DD18" i="4"/>
  <c r="DE18" i="4"/>
  <c r="DF18" i="4"/>
  <c r="DG18" i="4"/>
  <c r="DH18" i="4"/>
  <c r="DI18" i="4"/>
  <c r="CM50" i="67"/>
  <c r="CM5" i="4"/>
  <c r="BY6" i="4"/>
  <c r="BK5" i="4"/>
  <c r="BM4" i="4"/>
  <c r="BN4" i="4"/>
  <c r="BO4" i="4"/>
  <c r="BQ4" i="4"/>
  <c r="BR4" i="4"/>
  <c r="BS4" i="4"/>
  <c r="BW4" i="4"/>
  <c r="BP4" i="4"/>
  <c r="BT4" i="4"/>
  <c r="BU4" i="4"/>
  <c r="BV4" i="4"/>
  <c r="AL4" i="4"/>
  <c r="AR4" i="4"/>
  <c r="AS4" i="4"/>
  <c r="AT4" i="4"/>
  <c r="AU4" i="4"/>
  <c r="AK4" i="4"/>
  <c r="AP4" i="4"/>
  <c r="AM4" i="4"/>
  <c r="AN4" i="4"/>
  <c r="AO4" i="4"/>
  <c r="AQ4" i="4"/>
  <c r="AW5" i="4"/>
  <c r="BC4" i="4"/>
  <c r="BF4" i="4"/>
  <c r="BG4" i="4"/>
  <c r="BI4" i="4"/>
  <c r="AY4" i="4"/>
  <c r="AZ4" i="4"/>
  <c r="BA4" i="4"/>
  <c r="BB4" i="4"/>
  <c r="BD4" i="4"/>
  <c r="BH4" i="4"/>
  <c r="BE4" i="4"/>
  <c r="DA5" i="4"/>
  <c r="BY19" i="4"/>
  <c r="T19" i="4"/>
  <c r="AE18" i="4"/>
  <c r="V18" i="4"/>
  <c r="Y18" i="4"/>
  <c r="X18" i="4"/>
  <c r="W18" i="4"/>
  <c r="Z18" i="4"/>
  <c r="AA18" i="4"/>
  <c r="AF18" i="4"/>
  <c r="AB18" i="4"/>
  <c r="AC18" i="4"/>
  <c r="AD18" i="4"/>
  <c r="BK19" i="4"/>
  <c r="BW18" i="4"/>
  <c r="BR18" i="4"/>
  <c r="BS18" i="4"/>
  <c r="BT18" i="4"/>
  <c r="BV18" i="4"/>
  <c r="BO18" i="4"/>
  <c r="BP18" i="4"/>
  <c r="BU18" i="4"/>
  <c r="BQ18" i="4"/>
  <c r="BM18" i="4"/>
  <c r="BN18" i="4"/>
  <c r="AI19" i="4"/>
  <c r="AU18" i="4"/>
  <c r="AK18" i="4"/>
  <c r="AL18" i="4"/>
  <c r="AO18" i="4"/>
  <c r="AQ18" i="4"/>
  <c r="AR18" i="4"/>
  <c r="AS18" i="4"/>
  <c r="AN18" i="4"/>
  <c r="AP18" i="4"/>
  <c r="AT18" i="4"/>
  <c r="AM18" i="4"/>
  <c r="DA19" i="4"/>
  <c r="AW19" i="4"/>
  <c r="BI18" i="4"/>
  <c r="AZ18" i="4"/>
  <c r="BA18" i="4"/>
  <c r="BB18" i="4"/>
  <c r="BD18" i="4"/>
  <c r="BC18" i="4"/>
  <c r="BG18" i="4"/>
  <c r="BE18" i="4"/>
  <c r="BF18" i="4"/>
  <c r="BH18" i="4"/>
  <c r="AY18" i="4"/>
  <c r="CM19" i="4"/>
  <c r="AC4" i="4"/>
  <c r="AF4" i="4"/>
  <c r="AD4" i="4"/>
  <c r="AE4" i="4"/>
  <c r="V4" i="4"/>
  <c r="W4" i="4"/>
  <c r="X4" i="4"/>
  <c r="Y4" i="4"/>
  <c r="Z4" i="4"/>
  <c r="AA4" i="4"/>
  <c r="AB4" i="4"/>
  <c r="W49" i="153" l="1"/>
  <c r="X49" i="153" s="1"/>
  <c r="Y49" i="153" s="1"/>
  <c r="V25" i="150"/>
  <c r="W25" i="150" s="1"/>
  <c r="V19" i="150"/>
  <c r="W19" i="150" s="1"/>
  <c r="V22" i="150"/>
  <c r="W22" i="150" s="1"/>
  <c r="V15" i="150"/>
  <c r="W15" i="150" s="1"/>
  <c r="V21" i="150"/>
  <c r="W21" i="150" s="1"/>
  <c r="V24" i="150"/>
  <c r="W24" i="150" s="1"/>
  <c r="V23" i="150"/>
  <c r="W23" i="150" s="1"/>
  <c r="V17" i="150"/>
  <c r="W17" i="150" s="1"/>
  <c r="V20" i="150"/>
  <c r="W20" i="150" s="1"/>
  <c r="V18" i="150"/>
  <c r="W18" i="150" s="1"/>
  <c r="P6" i="15"/>
  <c r="K2" i="77"/>
  <c r="I2" i="34"/>
  <c r="I2" i="36"/>
  <c r="R2" i="36" s="1"/>
  <c r="I2" i="150"/>
  <c r="R2" i="150" s="1"/>
  <c r="U2" i="150" s="1"/>
  <c r="I2" i="30"/>
  <c r="Q2" i="30" s="1"/>
  <c r="K2" i="76"/>
  <c r="M50" i="155"/>
  <c r="K50" i="153"/>
  <c r="U50" i="153" s="1"/>
  <c r="W50" i="153" s="1"/>
  <c r="K50" i="154"/>
  <c r="U50" i="154" s="1"/>
  <c r="I4" i="150"/>
  <c r="R4" i="150" s="1"/>
  <c r="U4" i="150" s="1"/>
  <c r="I4" i="36"/>
  <c r="R4" i="36" s="1"/>
  <c r="I4" i="30"/>
  <c r="Q4" i="30" s="1"/>
  <c r="K4" i="76"/>
  <c r="I4" i="34"/>
  <c r="K4" i="77"/>
  <c r="I11" i="150"/>
  <c r="R11" i="150" s="1"/>
  <c r="U11" i="150" s="1"/>
  <c r="K11" i="77"/>
  <c r="I11" i="36"/>
  <c r="R11" i="36" s="1"/>
  <c r="I11" i="34"/>
  <c r="I11" i="30"/>
  <c r="Q11" i="30" s="1"/>
  <c r="K11" i="76"/>
  <c r="I5" i="36"/>
  <c r="R5" i="36" s="1"/>
  <c r="K5" i="76"/>
  <c r="I5" i="150"/>
  <c r="R5" i="150" s="1"/>
  <c r="U5" i="150" s="1"/>
  <c r="I5" i="30"/>
  <c r="Q5" i="30" s="1"/>
  <c r="K5" i="77"/>
  <c r="I5" i="34"/>
  <c r="I7" i="150"/>
  <c r="R7" i="150" s="1"/>
  <c r="U7" i="150" s="1"/>
  <c r="I7" i="34"/>
  <c r="K7" i="76"/>
  <c r="K7" i="77"/>
  <c r="I7" i="36"/>
  <c r="R7" i="36" s="1"/>
  <c r="I7" i="30"/>
  <c r="Q7" i="30" s="1"/>
  <c r="I13" i="150"/>
  <c r="R13" i="150" s="1"/>
  <c r="U13" i="150" s="1"/>
  <c r="K13" i="76"/>
  <c r="K13" i="77"/>
  <c r="I13" i="34"/>
  <c r="I13" i="30"/>
  <c r="Q13" i="30" s="1"/>
  <c r="I13" i="36"/>
  <c r="R13" i="36" s="1"/>
  <c r="V14" i="150"/>
  <c r="I8" i="150"/>
  <c r="R8" i="150" s="1"/>
  <c r="U8" i="150" s="1"/>
  <c r="K8" i="77"/>
  <c r="K8" i="76"/>
  <c r="I8" i="30"/>
  <c r="Q8" i="30" s="1"/>
  <c r="I8" i="36"/>
  <c r="R8" i="36" s="1"/>
  <c r="I8" i="34"/>
  <c r="K10" i="77"/>
  <c r="I10" i="36"/>
  <c r="R10" i="36" s="1"/>
  <c r="I10" i="34"/>
  <c r="K10" i="76"/>
  <c r="I10" i="150"/>
  <c r="R10" i="150" s="1"/>
  <c r="U10" i="150" s="1"/>
  <c r="I10" i="30"/>
  <c r="Q10" i="30" s="1"/>
  <c r="K12" i="77"/>
  <c r="I12" i="30"/>
  <c r="Q12" i="30" s="1"/>
  <c r="I12" i="34"/>
  <c r="I12" i="150"/>
  <c r="R12" i="150" s="1"/>
  <c r="U12" i="150" s="1"/>
  <c r="I12" i="36"/>
  <c r="R12" i="36" s="1"/>
  <c r="K12" i="76"/>
  <c r="K3" i="77"/>
  <c r="I3" i="36"/>
  <c r="R3" i="36" s="1"/>
  <c r="I3" i="150"/>
  <c r="R3" i="150" s="1"/>
  <c r="U3" i="150" s="1"/>
  <c r="K3" i="76"/>
  <c r="I3" i="30"/>
  <c r="Q3" i="30" s="1"/>
  <c r="I3" i="34"/>
  <c r="K6" i="77"/>
  <c r="K6" i="76"/>
  <c r="I6" i="34"/>
  <c r="I6" i="36"/>
  <c r="R6" i="36" s="1"/>
  <c r="I6" i="30"/>
  <c r="Q6" i="30" s="1"/>
  <c r="I6" i="150"/>
  <c r="R6" i="150" s="1"/>
  <c r="U6" i="150" s="1"/>
  <c r="K9" i="77"/>
  <c r="I9" i="150"/>
  <c r="R9" i="150" s="1"/>
  <c r="U9" i="150" s="1"/>
  <c r="I9" i="34"/>
  <c r="I9" i="36"/>
  <c r="R9" i="36" s="1"/>
  <c r="K9" i="76"/>
  <c r="I9" i="30"/>
  <c r="Q9" i="30" s="1"/>
  <c r="O3" i="30"/>
  <c r="O9" i="30"/>
  <c r="O12" i="30"/>
  <c r="O13" i="30"/>
  <c r="S13" i="30" s="1"/>
  <c r="O4" i="30"/>
  <c r="O8" i="30"/>
  <c r="O10" i="30"/>
  <c r="O2" i="30"/>
  <c r="S2" i="30" s="1"/>
  <c r="O5" i="30"/>
  <c r="O7" i="30"/>
  <c r="O6" i="30"/>
  <c r="O11" i="30"/>
  <c r="O35" i="30"/>
  <c r="S35" i="30" s="1"/>
  <c r="O33" i="30"/>
  <c r="S33" i="30" s="1"/>
  <c r="O23" i="30"/>
  <c r="S23" i="30" s="1"/>
  <c r="O21" i="30"/>
  <c r="S21" i="30" s="1"/>
  <c r="O31" i="30"/>
  <c r="S31" i="30" s="1"/>
  <c r="O37" i="30"/>
  <c r="S37" i="30" s="1"/>
  <c r="O19" i="30"/>
  <c r="S19" i="30" s="1"/>
  <c r="O36" i="30"/>
  <c r="S36" i="30" s="1"/>
  <c r="O34" i="30"/>
  <c r="S34" i="30" s="1"/>
  <c r="O25" i="30"/>
  <c r="S25" i="30" s="1"/>
  <c r="O27" i="30"/>
  <c r="S27" i="30" s="1"/>
  <c r="O24" i="30"/>
  <c r="S24" i="30" s="1"/>
  <c r="O22" i="30"/>
  <c r="S22" i="30" s="1"/>
  <c r="O29" i="30"/>
  <c r="S29" i="30" s="1"/>
  <c r="O17" i="30"/>
  <c r="S17" i="30" s="1"/>
  <c r="O15" i="30"/>
  <c r="S15" i="30" s="1"/>
  <c r="O28" i="30"/>
  <c r="S28" i="30" s="1"/>
  <c r="O32" i="30"/>
  <c r="S32" i="30" s="1"/>
  <c r="O16" i="30"/>
  <c r="S16" i="30" s="1"/>
  <c r="O20" i="30"/>
  <c r="S20" i="30" s="1"/>
  <c r="O30" i="30"/>
  <c r="S30" i="30" s="1"/>
  <c r="O26" i="30"/>
  <c r="S26" i="30" s="1"/>
  <c r="O18" i="30"/>
  <c r="S18" i="30" s="1"/>
  <c r="O14" i="30"/>
  <c r="S14" i="30" s="1"/>
  <c r="Q49" i="38"/>
  <c r="Q49" i="28"/>
  <c r="O49" i="30"/>
  <c r="S49" i="30" s="1"/>
  <c r="O56" i="30"/>
  <c r="S56" i="30" s="1"/>
  <c r="O52" i="30"/>
  <c r="S52" i="30" s="1"/>
  <c r="O61" i="30"/>
  <c r="S61" i="30" s="1"/>
  <c r="Q40" i="38"/>
  <c r="Q40" i="28"/>
  <c r="O40" i="30"/>
  <c r="S40" i="30" s="1"/>
  <c r="O53" i="30"/>
  <c r="S53" i="30" s="1"/>
  <c r="O50" i="30"/>
  <c r="S50" i="30" s="1"/>
  <c r="Q41" i="38"/>
  <c r="Q41" i="28"/>
  <c r="O48" i="30"/>
  <c r="S48" i="30" s="1"/>
  <c r="O41" i="30"/>
  <c r="S41" i="30" s="1"/>
  <c r="Q44" i="28"/>
  <c r="Q44" i="38"/>
  <c r="O45" i="30"/>
  <c r="S45" i="30" s="1"/>
  <c r="Q48" i="38"/>
  <c r="Q48" i="28"/>
  <c r="O58" i="30"/>
  <c r="S58" i="30" s="1"/>
  <c r="Q46" i="38"/>
  <c r="Q46" i="28"/>
  <c r="O54" i="30"/>
  <c r="S54" i="30" s="1"/>
  <c r="O60" i="30"/>
  <c r="S60" i="30" s="1"/>
  <c r="O38" i="30"/>
  <c r="S38" i="30" s="1"/>
  <c r="O59" i="30"/>
  <c r="S59" i="30" s="1"/>
  <c r="O46" i="30"/>
  <c r="S46" i="30" s="1"/>
  <c r="Q47" i="38"/>
  <c r="Q47" i="28"/>
  <c r="Q39" i="28"/>
  <c r="Q39" i="38"/>
  <c r="Q42" i="38"/>
  <c r="Q42" i="28"/>
  <c r="O55" i="30"/>
  <c r="S55" i="30" s="1"/>
  <c r="O44" i="30"/>
  <c r="S44" i="30" s="1"/>
  <c r="Q38" i="38"/>
  <c r="Q38" i="28"/>
  <c r="O57" i="30"/>
  <c r="S57" i="30" s="1"/>
  <c r="O47" i="30"/>
  <c r="S47" i="30" s="1"/>
  <c r="O39" i="30"/>
  <c r="S39" i="30" s="1"/>
  <c r="O42" i="30"/>
  <c r="S42" i="30" s="1"/>
  <c r="Q43" i="28"/>
  <c r="Q43" i="38"/>
  <c r="O51" i="30"/>
  <c r="S51" i="30" s="1"/>
  <c r="Q45" i="38"/>
  <c r="Q45" i="28"/>
  <c r="O43" i="30"/>
  <c r="S43" i="30" s="1"/>
  <c r="DC19" i="4"/>
  <c r="DD19" i="4"/>
  <c r="DE19" i="4"/>
  <c r="DF19" i="4"/>
  <c r="DG19" i="4"/>
  <c r="DH19" i="4"/>
  <c r="DI19" i="4"/>
  <c r="DJ19" i="4"/>
  <c r="DK19" i="4"/>
  <c r="DL19" i="4"/>
  <c r="DM19" i="4"/>
  <c r="CQ5" i="4"/>
  <c r="CR5" i="4"/>
  <c r="CS5" i="4"/>
  <c r="CU5" i="4"/>
  <c r="CV5" i="4"/>
  <c r="CW5" i="4"/>
  <c r="CY5" i="4"/>
  <c r="CO5" i="4"/>
  <c r="CX5" i="4"/>
  <c r="CP5" i="4"/>
  <c r="CT5" i="4"/>
  <c r="DG5" i="4"/>
  <c r="DH5" i="4"/>
  <c r="DI5" i="4"/>
  <c r="DJ5" i="4"/>
  <c r="DK5" i="4"/>
  <c r="DL5" i="4"/>
  <c r="DM5" i="4"/>
  <c r="DC5" i="4"/>
  <c r="DD5" i="4"/>
  <c r="DE5" i="4"/>
  <c r="DF5" i="4"/>
  <c r="CW19" i="4"/>
  <c r="CX19" i="4"/>
  <c r="CY19" i="4"/>
  <c r="CO19" i="4"/>
  <c r="CP19" i="4"/>
  <c r="CQ19" i="4"/>
  <c r="CR19" i="4"/>
  <c r="CS19" i="4"/>
  <c r="CT19" i="4"/>
  <c r="CU19" i="4"/>
  <c r="CV19" i="4"/>
  <c r="CF6" i="4"/>
  <c r="CG6" i="4"/>
  <c r="CH6" i="4"/>
  <c r="CJ6" i="4"/>
  <c r="CK6" i="4"/>
  <c r="CB6" i="4"/>
  <c r="CC6" i="4"/>
  <c r="CD6" i="4"/>
  <c r="CI6" i="4"/>
  <c r="CE6" i="4"/>
  <c r="CA6" i="4"/>
  <c r="CH19" i="4"/>
  <c r="CI19" i="4"/>
  <c r="CJ19" i="4"/>
  <c r="CA19" i="4"/>
  <c r="CB19" i="4"/>
  <c r="CC19" i="4"/>
  <c r="CD19" i="4"/>
  <c r="CE19" i="4"/>
  <c r="CF19" i="4"/>
  <c r="CK19" i="4"/>
  <c r="CG19" i="4"/>
  <c r="CM51" i="67"/>
  <c r="BY7" i="4"/>
  <c r="BK6" i="4"/>
  <c r="BR5" i="4"/>
  <c r="BM5" i="4"/>
  <c r="BN5" i="4"/>
  <c r="BV5" i="4"/>
  <c r="BW5" i="4"/>
  <c r="BO5" i="4"/>
  <c r="BP5" i="4"/>
  <c r="BQ5" i="4"/>
  <c r="BS5" i="4"/>
  <c r="BT5" i="4"/>
  <c r="BU5" i="4"/>
  <c r="CM6" i="4"/>
  <c r="AW6" i="4"/>
  <c r="BH5" i="4"/>
  <c r="BC5" i="4"/>
  <c r="AY5" i="4"/>
  <c r="AZ5" i="4"/>
  <c r="BE5" i="4"/>
  <c r="BF5" i="4"/>
  <c r="BG5" i="4"/>
  <c r="BI5" i="4"/>
  <c r="BA5" i="4"/>
  <c r="BB5" i="4"/>
  <c r="BD5" i="4"/>
  <c r="DA6" i="4"/>
  <c r="AI6" i="4"/>
  <c r="AN5" i="4"/>
  <c r="AQ5" i="4"/>
  <c r="AK5" i="4"/>
  <c r="AL5" i="4"/>
  <c r="AM5" i="4"/>
  <c r="AO5" i="4"/>
  <c r="AP5" i="4"/>
  <c r="AR5" i="4"/>
  <c r="AS5" i="4"/>
  <c r="AU5" i="4"/>
  <c r="AT5" i="4"/>
  <c r="T20" i="4"/>
  <c r="X19" i="4"/>
  <c r="Y19" i="4"/>
  <c r="Z19" i="4"/>
  <c r="AB19" i="4"/>
  <c r="AA19" i="4"/>
  <c r="AC19" i="4"/>
  <c r="AE19" i="4"/>
  <c r="AD19" i="4"/>
  <c r="AF19" i="4"/>
  <c r="W19" i="4"/>
  <c r="V19" i="4"/>
  <c r="DA20" i="4"/>
  <c r="CM20" i="4"/>
  <c r="BK20" i="4"/>
  <c r="BO19" i="4"/>
  <c r="BM19" i="4"/>
  <c r="BP19" i="4"/>
  <c r="BS19" i="4"/>
  <c r="BT19" i="4"/>
  <c r="BU19" i="4"/>
  <c r="BN19" i="4"/>
  <c r="BQ19" i="4"/>
  <c r="BR19" i="4"/>
  <c r="BV19" i="4"/>
  <c r="BW19" i="4"/>
  <c r="AI20" i="4"/>
  <c r="AQ19" i="4"/>
  <c r="AR19" i="4"/>
  <c r="AU19" i="4"/>
  <c r="AK19" i="4"/>
  <c r="AL19" i="4"/>
  <c r="AO19" i="4"/>
  <c r="AP19" i="4"/>
  <c r="AS19" i="4"/>
  <c r="AM19" i="4"/>
  <c r="AN19" i="4"/>
  <c r="AT19" i="4"/>
  <c r="AW20" i="4"/>
  <c r="BA19" i="4"/>
  <c r="BG19" i="4"/>
  <c r="BH19" i="4"/>
  <c r="BI19" i="4"/>
  <c r="BC19" i="4"/>
  <c r="AZ19" i="4"/>
  <c r="BB19" i="4"/>
  <c r="AY19" i="4"/>
  <c r="BF19" i="4"/>
  <c r="BD19" i="4"/>
  <c r="BE19" i="4"/>
  <c r="BY20" i="4"/>
  <c r="T6" i="4"/>
  <c r="V5" i="4"/>
  <c r="W5" i="4"/>
  <c r="X5" i="4"/>
  <c r="Y5" i="4"/>
  <c r="Z5" i="4"/>
  <c r="AA5" i="4"/>
  <c r="AB5" i="4"/>
  <c r="AC5" i="4"/>
  <c r="AE5" i="4"/>
  <c r="AD5" i="4"/>
  <c r="AF5" i="4"/>
  <c r="S6" i="30" l="1"/>
  <c r="S12" i="30"/>
  <c r="S3" i="30"/>
  <c r="S10" i="30"/>
  <c r="S8" i="30"/>
  <c r="S11" i="30"/>
  <c r="S4" i="30"/>
  <c r="S9" i="30"/>
  <c r="S7" i="30"/>
  <c r="S5" i="30"/>
  <c r="V16" i="150"/>
  <c r="W16" i="150" s="1"/>
  <c r="V12" i="150"/>
  <c r="W12" i="150" s="1"/>
  <c r="V9" i="150"/>
  <c r="W9" i="150" s="1"/>
  <c r="V5" i="150"/>
  <c r="W5" i="150" s="1"/>
  <c r="V10" i="150"/>
  <c r="W10" i="150" s="1"/>
  <c r="V11" i="150"/>
  <c r="W11" i="150" s="1"/>
  <c r="V8" i="150"/>
  <c r="W8" i="150" s="1"/>
  <c r="V4" i="150"/>
  <c r="W4" i="150" s="1"/>
  <c r="V6" i="150"/>
  <c r="W6" i="150" s="1"/>
  <c r="V13" i="150"/>
  <c r="W13" i="150" s="1"/>
  <c r="V7" i="150"/>
  <c r="W7" i="150" s="1"/>
  <c r="V3" i="150"/>
  <c r="W3" i="150" s="1"/>
  <c r="W14" i="150"/>
  <c r="V2" i="150"/>
  <c r="M51" i="155"/>
  <c r="K51" i="153"/>
  <c r="U51" i="153" s="1"/>
  <c r="W51" i="153" s="1"/>
  <c r="K51" i="154"/>
  <c r="U51" i="154" s="1"/>
  <c r="CV6" i="4"/>
  <c r="CW6" i="4"/>
  <c r="CX6" i="4"/>
  <c r="CP6" i="4"/>
  <c r="CQ6" i="4"/>
  <c r="CR6" i="4"/>
  <c r="CS6" i="4"/>
  <c r="CT6" i="4"/>
  <c r="CY6" i="4"/>
  <c r="CU6" i="4"/>
  <c r="CO6" i="4"/>
  <c r="DL6" i="4"/>
  <c r="DM6" i="4"/>
  <c r="DD6" i="4"/>
  <c r="DE6" i="4"/>
  <c r="DF6" i="4"/>
  <c r="DG6" i="4"/>
  <c r="DH6" i="4"/>
  <c r="DI6" i="4"/>
  <c r="DJ6" i="4"/>
  <c r="DB6" i="4"/>
  <c r="DK6" i="4"/>
  <c r="DC6" i="4"/>
  <c r="BZ5" i="4"/>
  <c r="U18" i="4"/>
  <c r="AJ4" i="4"/>
  <c r="AV4" i="4" s="1"/>
  <c r="U4" i="4"/>
  <c r="AJ18" i="4"/>
  <c r="AV18" i="4" s="1"/>
  <c r="AX4" i="4"/>
  <c r="BL4" i="4"/>
  <c r="AX18" i="4"/>
  <c r="CP20" i="4"/>
  <c r="CQ20" i="4"/>
  <c r="CR20" i="4"/>
  <c r="CT20" i="4"/>
  <c r="CU20" i="4"/>
  <c r="CV20" i="4"/>
  <c r="CW20" i="4"/>
  <c r="CX20" i="4"/>
  <c r="CN20" i="4"/>
  <c r="CY20" i="4"/>
  <c r="CO20" i="4"/>
  <c r="CS20" i="4"/>
  <c r="DD20" i="4"/>
  <c r="DE20" i="4"/>
  <c r="DF20" i="4"/>
  <c r="DB20" i="4"/>
  <c r="DG20" i="4"/>
  <c r="DH20" i="4"/>
  <c r="DI20" i="4"/>
  <c r="DJ20" i="4"/>
  <c r="DK20" i="4"/>
  <c r="DL20" i="4"/>
  <c r="DM20" i="4"/>
  <c r="DC20" i="4"/>
  <c r="DB19" i="4"/>
  <c r="BZ18" i="4"/>
  <c r="CN18" i="4"/>
  <c r="CN4" i="4"/>
  <c r="BZ20" i="4"/>
  <c r="CA20" i="4"/>
  <c r="CB20" i="4"/>
  <c r="CD20" i="4"/>
  <c r="CE20" i="4"/>
  <c r="CF20" i="4"/>
  <c r="CG20" i="4"/>
  <c r="CH20" i="4"/>
  <c r="CI20" i="4"/>
  <c r="CJ20" i="4"/>
  <c r="CC20" i="4"/>
  <c r="CK20" i="4"/>
  <c r="CK7" i="4"/>
  <c r="BZ7" i="4"/>
  <c r="CA7" i="4"/>
  <c r="CC7" i="4"/>
  <c r="CE7" i="4"/>
  <c r="CG7" i="4"/>
  <c r="CH7" i="4"/>
  <c r="CI7" i="4"/>
  <c r="CB7" i="4"/>
  <c r="CD7" i="4"/>
  <c r="CF7" i="4"/>
  <c r="CJ7" i="4"/>
  <c r="CM52" i="67"/>
  <c r="AW7" i="4"/>
  <c r="BH6" i="4"/>
  <c r="AX6" i="4"/>
  <c r="BB6" i="4"/>
  <c r="BC6" i="4"/>
  <c r="BE6" i="4"/>
  <c r="BF6" i="4"/>
  <c r="BG6" i="4"/>
  <c r="AY6" i="4"/>
  <c r="AZ6" i="4"/>
  <c r="BA6" i="4"/>
  <c r="BD6" i="4"/>
  <c r="BI6" i="4"/>
  <c r="BY8" i="4"/>
  <c r="DA7" i="4"/>
  <c r="BK7" i="4"/>
  <c r="BW6" i="4"/>
  <c r="BR6" i="4"/>
  <c r="BS6" i="4"/>
  <c r="BN6" i="4"/>
  <c r="BO6" i="4"/>
  <c r="BP6" i="4"/>
  <c r="BV6" i="4"/>
  <c r="BT6" i="4"/>
  <c r="BU6" i="4"/>
  <c r="BL6" i="4"/>
  <c r="BQ6" i="4"/>
  <c r="BM6" i="4"/>
  <c r="AI7" i="4"/>
  <c r="AS6" i="4"/>
  <c r="AL6" i="4"/>
  <c r="AM6" i="4"/>
  <c r="AN6" i="4"/>
  <c r="AO6" i="4"/>
  <c r="AP6" i="4"/>
  <c r="AQ6" i="4"/>
  <c r="AJ6" i="4"/>
  <c r="AK6" i="4"/>
  <c r="AR6" i="4"/>
  <c r="AT6" i="4"/>
  <c r="AU6" i="4"/>
  <c r="CM7" i="4"/>
  <c r="BY21" i="4"/>
  <c r="AI21" i="4"/>
  <c r="AO20" i="4"/>
  <c r="AP20" i="4"/>
  <c r="AJ20" i="4"/>
  <c r="AQ20" i="4"/>
  <c r="AR20" i="4"/>
  <c r="AT20" i="4"/>
  <c r="AK20" i="4"/>
  <c r="AN20" i="4"/>
  <c r="AL20" i="4"/>
  <c r="AM20" i="4"/>
  <c r="AS20" i="4"/>
  <c r="AU20" i="4"/>
  <c r="BK21" i="4"/>
  <c r="BQ20" i="4"/>
  <c r="BT20" i="4"/>
  <c r="BN20" i="4"/>
  <c r="BO20" i="4"/>
  <c r="BP20" i="4"/>
  <c r="BS20" i="4"/>
  <c r="BU20" i="4"/>
  <c r="BV20" i="4"/>
  <c r="BW20" i="4"/>
  <c r="BL20" i="4"/>
  <c r="BM20" i="4"/>
  <c r="BR20" i="4"/>
  <c r="DA21" i="4"/>
  <c r="AW21" i="4"/>
  <c r="BC20" i="4"/>
  <c r="AZ20" i="4"/>
  <c r="BE20" i="4"/>
  <c r="BF20" i="4"/>
  <c r="BG20" i="4"/>
  <c r="BH20" i="4"/>
  <c r="BI20" i="4"/>
  <c r="AX20" i="4"/>
  <c r="BB20" i="4"/>
  <c r="AY20" i="4"/>
  <c r="BA20" i="4"/>
  <c r="BD20" i="4"/>
  <c r="CM21" i="4"/>
  <c r="T21" i="4"/>
  <c r="Y20" i="4"/>
  <c r="AD20" i="4"/>
  <c r="AE20" i="4"/>
  <c r="AF20" i="4"/>
  <c r="X20" i="4"/>
  <c r="W20" i="4"/>
  <c r="V20" i="4"/>
  <c r="U20" i="4"/>
  <c r="AB20" i="4"/>
  <c r="Z20" i="4"/>
  <c r="AA20" i="4"/>
  <c r="AC20" i="4"/>
  <c r="T7" i="4"/>
  <c r="W6" i="4"/>
  <c r="Z6" i="4"/>
  <c r="U6" i="4"/>
  <c r="AA6" i="4"/>
  <c r="AB6" i="4"/>
  <c r="AC6" i="4"/>
  <c r="AD6" i="4"/>
  <c r="X6" i="4"/>
  <c r="Y6" i="4"/>
  <c r="V6" i="4"/>
  <c r="AE6" i="4"/>
  <c r="AF6" i="4"/>
  <c r="P5" i="15" l="1"/>
  <c r="P14" i="15" s="1"/>
  <c r="W2" i="150"/>
  <c r="K52" i="154"/>
  <c r="U52" i="154" s="1"/>
  <c r="M52" i="155"/>
  <c r="K52" i="153"/>
  <c r="U52" i="153" s="1"/>
  <c r="W52" i="153" s="1"/>
  <c r="DI21" i="4"/>
  <c r="DJ21" i="4"/>
  <c r="DK21" i="4"/>
  <c r="DL21" i="4"/>
  <c r="DB21" i="4"/>
  <c r="DM21" i="4"/>
  <c r="DC21" i="4"/>
  <c r="DD21" i="4"/>
  <c r="DE21" i="4"/>
  <c r="DF21" i="4"/>
  <c r="DG21" i="4"/>
  <c r="DH21" i="4"/>
  <c r="DB7" i="4"/>
  <c r="DC7" i="4"/>
  <c r="DD7" i="4"/>
  <c r="DE7" i="4"/>
  <c r="DF7" i="4"/>
  <c r="DG7" i="4"/>
  <c r="DI7" i="4"/>
  <c r="DJ7" i="4"/>
  <c r="DK7" i="4"/>
  <c r="DL7" i="4"/>
  <c r="DM7" i="4"/>
  <c r="DH7" i="4"/>
  <c r="CA8" i="4"/>
  <c r="CB8" i="4"/>
  <c r="CD8" i="4"/>
  <c r="CE8" i="4"/>
  <c r="CF8" i="4"/>
  <c r="BZ8" i="4"/>
  <c r="CH8" i="4"/>
  <c r="CJ8" i="4"/>
  <c r="CG8" i="4"/>
  <c r="CC8" i="4"/>
  <c r="CI8" i="4"/>
  <c r="CK8" i="4"/>
  <c r="BZ21" i="4"/>
  <c r="CA21" i="4"/>
  <c r="CB21" i="4"/>
  <c r="CD21" i="4"/>
  <c r="CE21" i="4"/>
  <c r="CF21" i="4"/>
  <c r="CH21" i="4"/>
  <c r="CI21" i="4"/>
  <c r="CJ21" i="4"/>
  <c r="CK21" i="4"/>
  <c r="CC21" i="4"/>
  <c r="CG21" i="4"/>
  <c r="CN5" i="4"/>
  <c r="AJ5" i="4"/>
  <c r="AV5" i="4" s="1"/>
  <c r="AJ19" i="4"/>
  <c r="AV19" i="4" s="1"/>
  <c r="U19" i="4"/>
  <c r="DB5" i="4"/>
  <c r="BL19" i="4"/>
  <c r="BZ4" i="4"/>
  <c r="BL18" i="4"/>
  <c r="U5" i="4"/>
  <c r="AX5" i="4"/>
  <c r="BZ19" i="4"/>
  <c r="DB4" i="4"/>
  <c r="CN19" i="4"/>
  <c r="BZ6" i="4"/>
  <c r="BL5" i="4"/>
  <c r="AX19" i="4"/>
  <c r="CN6" i="4"/>
  <c r="CO7" i="4"/>
  <c r="CP7" i="4"/>
  <c r="CN7" i="4"/>
  <c r="CQ7" i="4"/>
  <c r="CS7" i="4"/>
  <c r="CU7" i="4"/>
  <c r="CV7" i="4"/>
  <c r="CW7" i="4"/>
  <c r="CX7" i="4"/>
  <c r="CY7" i="4"/>
  <c r="CR7" i="4"/>
  <c r="CT7" i="4"/>
  <c r="CQ21" i="4"/>
  <c r="CR21" i="4"/>
  <c r="CS21" i="4"/>
  <c r="CU21" i="4"/>
  <c r="CV21" i="4"/>
  <c r="CW21" i="4"/>
  <c r="CY21" i="4"/>
  <c r="CN21" i="4"/>
  <c r="CO21" i="4"/>
  <c r="CX21" i="4"/>
  <c r="CP21" i="4"/>
  <c r="CT21" i="4"/>
  <c r="DB18" i="4"/>
  <c r="CM53" i="67"/>
  <c r="AV6" i="4"/>
  <c r="AV20" i="4"/>
  <c r="CM8" i="4"/>
  <c r="AW8" i="4"/>
  <c r="BB7" i="4"/>
  <c r="BI7" i="4"/>
  <c r="BA7" i="4"/>
  <c r="BC7" i="4"/>
  <c r="BD7" i="4"/>
  <c r="BE7" i="4"/>
  <c r="AX7" i="4"/>
  <c r="BF7" i="4"/>
  <c r="BG7" i="4"/>
  <c r="AY7" i="4"/>
  <c r="AZ7" i="4"/>
  <c r="BH7" i="4"/>
  <c r="BY9" i="4"/>
  <c r="DA8" i="4"/>
  <c r="BK8" i="4"/>
  <c r="BL7" i="4"/>
  <c r="BW7" i="4"/>
  <c r="BS7" i="4"/>
  <c r="BT7" i="4"/>
  <c r="BV7" i="4"/>
  <c r="BM7" i="4"/>
  <c r="BN7" i="4"/>
  <c r="BO7" i="4"/>
  <c r="BP7" i="4"/>
  <c r="BQ7" i="4"/>
  <c r="BR7" i="4"/>
  <c r="BU7" i="4"/>
  <c r="AI8" i="4"/>
  <c r="AK7" i="4"/>
  <c r="AQ7" i="4"/>
  <c r="AR7" i="4"/>
  <c r="AS7" i="4"/>
  <c r="AT7" i="4"/>
  <c r="AU7" i="4"/>
  <c r="AJ7" i="4"/>
  <c r="AL7" i="4"/>
  <c r="AO7" i="4"/>
  <c r="AM7" i="4"/>
  <c r="AN7" i="4"/>
  <c r="AP7" i="4"/>
  <c r="AW22" i="4"/>
  <c r="BH21" i="4"/>
  <c r="BB21" i="4"/>
  <c r="BC21" i="4"/>
  <c r="BD21" i="4"/>
  <c r="BF21" i="4"/>
  <c r="AY21" i="4"/>
  <c r="BE21" i="4"/>
  <c r="AZ21" i="4"/>
  <c r="AX21" i="4"/>
  <c r="BA21" i="4"/>
  <c r="BG21" i="4"/>
  <c r="BI21" i="4"/>
  <c r="DA22" i="4"/>
  <c r="AI22" i="4"/>
  <c r="AT21" i="4"/>
  <c r="AL21" i="4"/>
  <c r="AM21" i="4"/>
  <c r="AP21" i="4"/>
  <c r="AJ21" i="4"/>
  <c r="AK21" i="4"/>
  <c r="AQ21" i="4"/>
  <c r="AU21" i="4"/>
  <c r="AN21" i="4"/>
  <c r="AO21" i="4"/>
  <c r="AR21" i="4"/>
  <c r="AS21" i="4"/>
  <c r="BK22" i="4"/>
  <c r="BV21" i="4"/>
  <c r="BU21" i="4"/>
  <c r="BW21" i="4"/>
  <c r="BM21" i="4"/>
  <c r="BN21" i="4"/>
  <c r="BR21" i="4"/>
  <c r="BS21" i="4"/>
  <c r="BL21" i="4"/>
  <c r="BT21" i="4"/>
  <c r="BO21" i="4"/>
  <c r="BP21" i="4"/>
  <c r="BQ21" i="4"/>
  <c r="CM22" i="4"/>
  <c r="T22" i="4"/>
  <c r="AD21" i="4"/>
  <c r="W21" i="4"/>
  <c r="AA21" i="4"/>
  <c r="AE21" i="4"/>
  <c r="AB21" i="4"/>
  <c r="U21" i="4"/>
  <c r="AC21" i="4"/>
  <c r="AF21" i="4"/>
  <c r="Y21" i="4"/>
  <c r="Z21" i="4"/>
  <c r="V21" i="4"/>
  <c r="X21" i="4"/>
  <c r="BY22" i="4"/>
  <c r="T8" i="4"/>
  <c r="AB7" i="4"/>
  <c r="AE7" i="4"/>
  <c r="AF7" i="4"/>
  <c r="U7" i="4"/>
  <c r="AC7" i="4"/>
  <c r="AD7" i="4"/>
  <c r="V7" i="4"/>
  <c r="W7" i="4"/>
  <c r="X7" i="4"/>
  <c r="Y7" i="4"/>
  <c r="Z7" i="4"/>
  <c r="AA7" i="4"/>
  <c r="K53" i="154" l="1"/>
  <c r="U53" i="154" s="1"/>
  <c r="M53" i="155"/>
  <c r="K53" i="153"/>
  <c r="U53" i="153" s="1"/>
  <c r="W53" i="153" s="1"/>
  <c r="CV22" i="4"/>
  <c r="CW22" i="4"/>
  <c r="CX22" i="4"/>
  <c r="CO22" i="4"/>
  <c r="CP22" i="4"/>
  <c r="CQ22" i="4"/>
  <c r="CR22" i="4"/>
  <c r="CS22" i="4"/>
  <c r="CT22" i="4"/>
  <c r="CN22" i="4"/>
  <c r="CU22" i="4"/>
  <c r="CY22" i="4"/>
  <c r="CD22" i="4"/>
  <c r="CE22" i="4"/>
  <c r="CF22" i="4"/>
  <c r="CH22" i="4"/>
  <c r="CI22" i="4"/>
  <c r="CJ22" i="4"/>
  <c r="BZ22" i="4"/>
  <c r="CA22" i="4"/>
  <c r="CB22" i="4"/>
  <c r="CG22" i="4"/>
  <c r="CK22" i="4"/>
  <c r="CC22" i="4"/>
  <c r="CP8" i="4"/>
  <c r="CQ8" i="4"/>
  <c r="CR8" i="4"/>
  <c r="CT8" i="4"/>
  <c r="CU8" i="4"/>
  <c r="CV8" i="4"/>
  <c r="CN8" i="4"/>
  <c r="CX8" i="4"/>
  <c r="CO8" i="4"/>
  <c r="CS8" i="4"/>
  <c r="CW8" i="4"/>
  <c r="CY8" i="4"/>
  <c r="CE9" i="4"/>
  <c r="CF9" i="4"/>
  <c r="CG9" i="4"/>
  <c r="CI9" i="4"/>
  <c r="CJ9" i="4"/>
  <c r="CK9" i="4"/>
  <c r="CA9" i="4"/>
  <c r="CC9" i="4"/>
  <c r="CB9" i="4"/>
  <c r="CD9" i="4"/>
  <c r="CH9" i="4"/>
  <c r="BZ9" i="4"/>
  <c r="DB22" i="4"/>
  <c r="DC22" i="4"/>
  <c r="DD22" i="4"/>
  <c r="DE22" i="4"/>
  <c r="DF22" i="4"/>
  <c r="DG22" i="4"/>
  <c r="DH22" i="4"/>
  <c r="DI22" i="4"/>
  <c r="DJ22" i="4"/>
  <c r="DK22" i="4"/>
  <c r="DL22" i="4"/>
  <c r="DM22" i="4"/>
  <c r="DF8" i="4"/>
  <c r="DG8" i="4"/>
  <c r="DB8" i="4"/>
  <c r="DH8" i="4"/>
  <c r="DI8" i="4"/>
  <c r="DJ8" i="4"/>
  <c r="DK8" i="4"/>
  <c r="DL8" i="4"/>
  <c r="DC8" i="4"/>
  <c r="DD8" i="4"/>
  <c r="DE8" i="4"/>
  <c r="DM8" i="4"/>
  <c r="CM54" i="67"/>
  <c r="AV21" i="4"/>
  <c r="AV7" i="4"/>
  <c r="AW9" i="4"/>
  <c r="BG8" i="4"/>
  <c r="BB8" i="4"/>
  <c r="AY8" i="4"/>
  <c r="BA8" i="4"/>
  <c r="BC8" i="4"/>
  <c r="BD8" i="4"/>
  <c r="BI8" i="4"/>
  <c r="AX8" i="4"/>
  <c r="AZ8" i="4"/>
  <c r="BE8" i="4"/>
  <c r="BF8" i="4"/>
  <c r="BH8" i="4"/>
  <c r="BY10" i="4"/>
  <c r="DA9" i="4"/>
  <c r="BK9" i="4"/>
  <c r="BQ8" i="4"/>
  <c r="BL8" i="4"/>
  <c r="BM8" i="4"/>
  <c r="BN8" i="4"/>
  <c r="BS8" i="4"/>
  <c r="BT8" i="4"/>
  <c r="BU8" i="4"/>
  <c r="BV8" i="4"/>
  <c r="BW8" i="4"/>
  <c r="BO8" i="4"/>
  <c r="BP8" i="4"/>
  <c r="BR8" i="4"/>
  <c r="AI9" i="4"/>
  <c r="AM8" i="4"/>
  <c r="AP8" i="4"/>
  <c r="AJ8" i="4"/>
  <c r="AK8" i="4"/>
  <c r="AL8" i="4"/>
  <c r="AN8" i="4"/>
  <c r="AO8" i="4"/>
  <c r="AQ8" i="4"/>
  <c r="AR8" i="4"/>
  <c r="AT8" i="4"/>
  <c r="AS8" i="4"/>
  <c r="AU8" i="4"/>
  <c r="CM9" i="4"/>
  <c r="BY23" i="4"/>
  <c r="DA23" i="4"/>
  <c r="AI23" i="4"/>
  <c r="AR22" i="4"/>
  <c r="AS22" i="4"/>
  <c r="AN22" i="4"/>
  <c r="AO22" i="4"/>
  <c r="AP22" i="4"/>
  <c r="AJ22" i="4"/>
  <c r="AT22" i="4"/>
  <c r="AK22" i="4"/>
  <c r="AL22" i="4"/>
  <c r="AM22" i="4"/>
  <c r="AQ22" i="4"/>
  <c r="AU22" i="4"/>
  <c r="CM23" i="4"/>
  <c r="T23" i="4"/>
  <c r="Y22" i="4"/>
  <c r="Z22" i="4"/>
  <c r="AA22" i="4"/>
  <c r="AC22" i="4"/>
  <c r="V22" i="4"/>
  <c r="X22" i="4"/>
  <c r="U22" i="4"/>
  <c r="W22" i="4"/>
  <c r="AB22" i="4"/>
  <c r="AD22" i="4"/>
  <c r="AE22" i="4"/>
  <c r="AF22" i="4"/>
  <c r="BK23" i="4"/>
  <c r="BN22" i="4"/>
  <c r="BM22" i="4"/>
  <c r="BP22" i="4"/>
  <c r="BU22" i="4"/>
  <c r="BV22" i="4"/>
  <c r="BW22" i="4"/>
  <c r="BO22" i="4"/>
  <c r="BS22" i="4"/>
  <c r="BT22" i="4"/>
  <c r="BL22" i="4"/>
  <c r="BQ22" i="4"/>
  <c r="BR22" i="4"/>
  <c r="AW23" i="4"/>
  <c r="BH22" i="4"/>
  <c r="BI22" i="4"/>
  <c r="BD22" i="4"/>
  <c r="BG22" i="4"/>
  <c r="BE22" i="4"/>
  <c r="BF22" i="4"/>
  <c r="AX22" i="4"/>
  <c r="AY22" i="4"/>
  <c r="AZ22" i="4"/>
  <c r="BA22" i="4"/>
  <c r="BB22" i="4"/>
  <c r="BC22" i="4"/>
  <c r="T9" i="4"/>
  <c r="V8" i="4"/>
  <c r="U8" i="4"/>
  <c r="W8" i="4"/>
  <c r="X8" i="4"/>
  <c r="AF8" i="4"/>
  <c r="Y8" i="4"/>
  <c r="Z8" i="4"/>
  <c r="AA8" i="4"/>
  <c r="AD8" i="4"/>
  <c r="AB8" i="4"/>
  <c r="AC8" i="4"/>
  <c r="AE8" i="4"/>
  <c r="M54" i="155" l="1"/>
  <c r="K54" i="153"/>
  <c r="U54" i="153" s="1"/>
  <c r="W54" i="153" s="1"/>
  <c r="K54" i="154"/>
  <c r="U54" i="154" s="1"/>
  <c r="DK9" i="4"/>
  <c r="DL9" i="4"/>
  <c r="DM9" i="4"/>
  <c r="DB9" i="4"/>
  <c r="DC9" i="4"/>
  <c r="DD9" i="4"/>
  <c r="DE9" i="4"/>
  <c r="DF9" i="4"/>
  <c r="DG9" i="4"/>
  <c r="DH9" i="4"/>
  <c r="DI9" i="4"/>
  <c r="DJ9" i="4"/>
  <c r="CJ10" i="4"/>
  <c r="CK10" i="4"/>
  <c r="CB10" i="4"/>
  <c r="BZ10" i="4"/>
  <c r="CD10" i="4"/>
  <c r="CF10" i="4"/>
  <c r="CH10" i="4"/>
  <c r="CI10" i="4"/>
  <c r="CE10" i="4"/>
  <c r="CA10" i="4"/>
  <c r="CG10" i="4"/>
  <c r="CC10" i="4"/>
  <c r="CO23" i="4"/>
  <c r="CP23" i="4"/>
  <c r="CQ23" i="4"/>
  <c r="CS23" i="4"/>
  <c r="CT23" i="4"/>
  <c r="CU23" i="4"/>
  <c r="CV23" i="4"/>
  <c r="CW23" i="4"/>
  <c r="CX23" i="4"/>
  <c r="CY23" i="4"/>
  <c r="CR23" i="4"/>
  <c r="CN23" i="4"/>
  <c r="CU9" i="4"/>
  <c r="CV9" i="4"/>
  <c r="CW9" i="4"/>
  <c r="CY9" i="4"/>
  <c r="CO9" i="4"/>
  <c r="CP9" i="4"/>
  <c r="CQ9" i="4"/>
  <c r="CR9" i="4"/>
  <c r="CS9" i="4"/>
  <c r="CN9" i="4"/>
  <c r="CT9" i="4"/>
  <c r="CX9" i="4"/>
  <c r="CH23" i="4"/>
  <c r="CI23" i="4"/>
  <c r="CJ23" i="4"/>
  <c r="BZ23" i="4"/>
  <c r="CA23" i="4"/>
  <c r="CB23" i="4"/>
  <c r="CC23" i="4"/>
  <c r="CD23" i="4"/>
  <c r="CE23" i="4"/>
  <c r="CF23" i="4"/>
  <c r="CG23" i="4"/>
  <c r="CK23" i="4"/>
  <c r="DC23" i="4"/>
  <c r="DD23" i="4"/>
  <c r="DE23" i="4"/>
  <c r="DF23" i="4"/>
  <c r="DG23" i="4"/>
  <c r="DH23" i="4"/>
  <c r="DB23" i="4"/>
  <c r="DI23" i="4"/>
  <c r="DJ23" i="4"/>
  <c r="DK23" i="4"/>
  <c r="DL23" i="4"/>
  <c r="DM23" i="4"/>
  <c r="CM55" i="67"/>
  <c r="AV22" i="4"/>
  <c r="AV8" i="4"/>
  <c r="BY11" i="4"/>
  <c r="DA10" i="4"/>
  <c r="BK10" i="4"/>
  <c r="BV9" i="4"/>
  <c r="BQ9" i="4"/>
  <c r="BO9" i="4"/>
  <c r="BP9" i="4"/>
  <c r="BL9" i="4"/>
  <c r="BS9" i="4"/>
  <c r="BT9" i="4"/>
  <c r="BU9" i="4"/>
  <c r="BM9" i="4"/>
  <c r="BN9" i="4"/>
  <c r="BR9" i="4"/>
  <c r="BW9" i="4"/>
  <c r="AI10" i="4"/>
  <c r="AR9" i="4"/>
  <c r="AU9" i="4"/>
  <c r="AK9" i="4"/>
  <c r="AL9" i="4"/>
  <c r="AM9" i="4"/>
  <c r="AN9" i="4"/>
  <c r="AO9" i="4"/>
  <c r="AP9" i="4"/>
  <c r="AJ9" i="4"/>
  <c r="AQ9" i="4"/>
  <c r="AS9" i="4"/>
  <c r="AT9" i="4"/>
  <c r="CM10" i="4"/>
  <c r="AW10" i="4"/>
  <c r="BG9" i="4"/>
  <c r="BE9" i="4"/>
  <c r="BF9" i="4"/>
  <c r="BI9" i="4"/>
  <c r="AY9" i="4"/>
  <c r="AZ9" i="4"/>
  <c r="BA9" i="4"/>
  <c r="BB9" i="4"/>
  <c r="BC9" i="4"/>
  <c r="AX9" i="4"/>
  <c r="BD9" i="4"/>
  <c r="BH9" i="4"/>
  <c r="AW24" i="4"/>
  <c r="BB23" i="4"/>
  <c r="AY23" i="4"/>
  <c r="BA23" i="4"/>
  <c r="AZ23" i="4"/>
  <c r="BH23" i="4"/>
  <c r="BI23" i="4"/>
  <c r="AX23" i="4"/>
  <c r="BD23" i="4"/>
  <c r="BC23" i="4"/>
  <c r="BE23" i="4"/>
  <c r="BF23" i="4"/>
  <c r="BG23" i="4"/>
  <c r="T24" i="4"/>
  <c r="X23" i="4"/>
  <c r="AE23" i="4"/>
  <c r="U23" i="4"/>
  <c r="AF23" i="4"/>
  <c r="AA23" i="4"/>
  <c r="AD23" i="4"/>
  <c r="AB23" i="4"/>
  <c r="AC23" i="4"/>
  <c r="Z23" i="4"/>
  <c r="W23" i="4"/>
  <c r="V23" i="4"/>
  <c r="Y23" i="4"/>
  <c r="CM24" i="4"/>
  <c r="AI24" i="4"/>
  <c r="AN23" i="4"/>
  <c r="AK23" i="4"/>
  <c r="AQ23" i="4"/>
  <c r="AT23" i="4"/>
  <c r="AR23" i="4"/>
  <c r="AS23" i="4"/>
  <c r="AU23" i="4"/>
  <c r="AL23" i="4"/>
  <c r="AM23" i="4"/>
  <c r="AJ23" i="4"/>
  <c r="AO23" i="4"/>
  <c r="AP23" i="4"/>
  <c r="DA24" i="4"/>
  <c r="BK24" i="4"/>
  <c r="BP23" i="4"/>
  <c r="BS23" i="4"/>
  <c r="BR23" i="4"/>
  <c r="BT23" i="4"/>
  <c r="BU23" i="4"/>
  <c r="BW23" i="4"/>
  <c r="BM23" i="4"/>
  <c r="BN23" i="4"/>
  <c r="BL23" i="4"/>
  <c r="BO23" i="4"/>
  <c r="BQ23" i="4"/>
  <c r="BV23" i="4"/>
  <c r="BY24" i="4"/>
  <c r="T10" i="4"/>
  <c r="V9" i="4"/>
  <c r="Y9" i="4"/>
  <c r="Z9" i="4"/>
  <c r="AA9" i="4"/>
  <c r="AB9" i="4"/>
  <c r="U9" i="4"/>
  <c r="AC9" i="4"/>
  <c r="W9" i="4"/>
  <c r="X9" i="4"/>
  <c r="AD9" i="4"/>
  <c r="AE9" i="4"/>
  <c r="AF9" i="4"/>
  <c r="K55" i="154" l="1"/>
  <c r="U55" i="154" s="1"/>
  <c r="M55" i="155"/>
  <c r="K55" i="153"/>
  <c r="U55" i="153" s="1"/>
  <c r="W55" i="153" s="1"/>
  <c r="DH24" i="4"/>
  <c r="DI24" i="4"/>
  <c r="DJ24" i="4"/>
  <c r="DK24" i="4"/>
  <c r="DL24" i="4"/>
  <c r="DM24" i="4"/>
  <c r="DB24" i="4"/>
  <c r="DC24" i="4"/>
  <c r="DD24" i="4"/>
  <c r="DE24" i="4"/>
  <c r="DF24" i="4"/>
  <c r="DG24" i="4"/>
  <c r="DI10" i="4"/>
  <c r="DE10" i="4"/>
  <c r="DJ10" i="4"/>
  <c r="DK10" i="4"/>
  <c r="DL10" i="4"/>
  <c r="DM10" i="4"/>
  <c r="DF10" i="4"/>
  <c r="DC10" i="4"/>
  <c r="DD10" i="4"/>
  <c r="DB10" i="4"/>
  <c r="DG10" i="4"/>
  <c r="DH10" i="4"/>
  <c r="CA11" i="4"/>
  <c r="CC11" i="4"/>
  <c r="CD11" i="4"/>
  <c r="CE11" i="4"/>
  <c r="CG11" i="4"/>
  <c r="CI11" i="4"/>
  <c r="CK11" i="4"/>
  <c r="CB11" i="4"/>
  <c r="CF11" i="4"/>
  <c r="CJ11" i="4"/>
  <c r="CH11" i="4"/>
  <c r="BZ11" i="4"/>
  <c r="BZ24" i="4"/>
  <c r="CA24" i="4"/>
  <c r="CB24" i="4"/>
  <c r="CD24" i="4"/>
  <c r="CE24" i="4"/>
  <c r="CF24" i="4"/>
  <c r="CG24" i="4"/>
  <c r="CH24" i="4"/>
  <c r="CI24" i="4"/>
  <c r="CJ24" i="4"/>
  <c r="CC24" i="4"/>
  <c r="CK24" i="4"/>
  <c r="CP24" i="4"/>
  <c r="CN24" i="4"/>
  <c r="CQ24" i="4"/>
  <c r="CR24" i="4"/>
  <c r="CT24" i="4"/>
  <c r="CU24" i="4"/>
  <c r="CV24" i="4"/>
  <c r="CX24" i="4"/>
  <c r="CY24" i="4"/>
  <c r="CO24" i="4"/>
  <c r="CW24" i="4"/>
  <c r="CS24" i="4"/>
  <c r="CO10" i="4"/>
  <c r="CP10" i="4"/>
  <c r="CR10" i="4"/>
  <c r="CN10" i="4"/>
  <c r="CT10" i="4"/>
  <c r="CU10" i="4"/>
  <c r="CV10" i="4"/>
  <c r="CW10" i="4"/>
  <c r="CX10" i="4"/>
  <c r="CS10" i="4"/>
  <c r="CQ10" i="4"/>
  <c r="CY10" i="4"/>
  <c r="CM56" i="67"/>
  <c r="AV9" i="4"/>
  <c r="AV23" i="4"/>
  <c r="DA11" i="4"/>
  <c r="BK11" i="4"/>
  <c r="BV10" i="4"/>
  <c r="BW10" i="4"/>
  <c r="BO10" i="4"/>
  <c r="BP10" i="4"/>
  <c r="BQ10" i="4"/>
  <c r="BR10" i="4"/>
  <c r="BS10" i="4"/>
  <c r="BT10" i="4"/>
  <c r="BL10" i="4"/>
  <c r="BM10" i="4"/>
  <c r="BN10" i="4"/>
  <c r="BU10" i="4"/>
  <c r="AI11" i="4"/>
  <c r="AP10" i="4"/>
  <c r="AQ10" i="4"/>
  <c r="AR10" i="4"/>
  <c r="AS10" i="4"/>
  <c r="AT10" i="4"/>
  <c r="AU10" i="4"/>
  <c r="AJ10" i="4"/>
  <c r="AK10" i="4"/>
  <c r="AN10" i="4"/>
  <c r="AL10" i="4"/>
  <c r="AM10" i="4"/>
  <c r="AO10" i="4"/>
  <c r="CM11" i="4"/>
  <c r="AW11" i="4"/>
  <c r="BA10" i="4"/>
  <c r="AY10" i="4"/>
  <c r="AZ10" i="4"/>
  <c r="BE10" i="4"/>
  <c r="BF10" i="4"/>
  <c r="BG10" i="4"/>
  <c r="BH10" i="4"/>
  <c r="BI10" i="4"/>
  <c r="BC10" i="4"/>
  <c r="BD10" i="4"/>
  <c r="BB10" i="4"/>
  <c r="AX10" i="4"/>
  <c r="BY12" i="4"/>
  <c r="DA25" i="4"/>
  <c r="BY25" i="4"/>
  <c r="T25" i="4"/>
  <c r="AC24" i="4"/>
  <c r="U24" i="4"/>
  <c r="V24" i="4"/>
  <c r="X24" i="4"/>
  <c r="AA24" i="4"/>
  <c r="Z24" i="4"/>
  <c r="W24" i="4"/>
  <c r="Y24" i="4"/>
  <c r="AE24" i="4"/>
  <c r="AB24" i="4"/>
  <c r="AD24" i="4"/>
  <c r="AF24" i="4"/>
  <c r="CM25" i="4"/>
  <c r="AI25" i="4"/>
  <c r="AI26" i="4" s="1"/>
  <c r="AS24" i="4"/>
  <c r="AM24" i="4"/>
  <c r="AN24" i="4"/>
  <c r="AQ24" i="4"/>
  <c r="AL24" i="4"/>
  <c r="AO24" i="4"/>
  <c r="AP24" i="4"/>
  <c r="AT24" i="4"/>
  <c r="AJ24" i="4"/>
  <c r="AR24" i="4"/>
  <c r="AU24" i="4"/>
  <c r="AK24" i="4"/>
  <c r="BK25" i="4"/>
  <c r="BK26" i="4" s="1"/>
  <c r="BU24" i="4"/>
  <c r="BL24" i="4"/>
  <c r="BV24" i="4"/>
  <c r="BW24" i="4"/>
  <c r="BR24" i="4"/>
  <c r="BS24" i="4"/>
  <c r="BT24" i="4"/>
  <c r="BM24" i="4"/>
  <c r="BP24" i="4"/>
  <c r="BN24" i="4"/>
  <c r="BO24" i="4"/>
  <c r="BQ24" i="4"/>
  <c r="AW25" i="4"/>
  <c r="BG24" i="4"/>
  <c r="BC24" i="4"/>
  <c r="BD24" i="4"/>
  <c r="BE24" i="4"/>
  <c r="BH24" i="4"/>
  <c r="BF24" i="4"/>
  <c r="BI24" i="4"/>
  <c r="AZ24" i="4"/>
  <c r="AY24" i="4"/>
  <c r="BA24" i="4"/>
  <c r="BB24" i="4"/>
  <c r="AX24" i="4"/>
  <c r="T11" i="4"/>
  <c r="AA10" i="4"/>
  <c r="AD10" i="4"/>
  <c r="AE10" i="4"/>
  <c r="AF10" i="4"/>
  <c r="AB10" i="4"/>
  <c r="AC10" i="4"/>
  <c r="V10" i="4"/>
  <c r="U10" i="4"/>
  <c r="W10" i="4"/>
  <c r="X10" i="4"/>
  <c r="Y10" i="4"/>
  <c r="Z10" i="4"/>
  <c r="K56" i="154" l="1"/>
  <c r="U56" i="154" s="1"/>
  <c r="M56" i="155"/>
  <c r="K56" i="153"/>
  <c r="U56" i="153" s="1"/>
  <c r="W56" i="153" s="1"/>
  <c r="BY26" i="4"/>
  <c r="BZ25" i="4"/>
  <c r="CA25" i="4"/>
  <c r="CB25" i="4"/>
  <c r="CD25" i="4"/>
  <c r="CE25" i="4"/>
  <c r="CF25" i="4"/>
  <c r="CH25" i="4"/>
  <c r="CI25" i="4"/>
  <c r="CJ25" i="4"/>
  <c r="CK25" i="4"/>
  <c r="CC25" i="4"/>
  <c r="CG25" i="4"/>
  <c r="CW11" i="4"/>
  <c r="CV11" i="4"/>
  <c r="CU11" i="4"/>
  <c r="CX11" i="4"/>
  <c r="CS11" i="4"/>
  <c r="CT11" i="4"/>
  <c r="CY11" i="4"/>
  <c r="CO11" i="4"/>
  <c r="CP11" i="4"/>
  <c r="CQ11" i="4"/>
  <c r="CN11" i="4"/>
  <c r="CR11" i="4"/>
  <c r="AI27" i="4"/>
  <c r="AP26" i="4"/>
  <c r="AS26" i="4"/>
  <c r="AT26" i="4"/>
  <c r="AU26" i="4"/>
  <c r="AN26" i="4"/>
  <c r="AO26" i="4"/>
  <c r="AR26" i="4"/>
  <c r="AQ26" i="4"/>
  <c r="DE25" i="4"/>
  <c r="DF25" i="4"/>
  <c r="DG25" i="4"/>
  <c r="DH25" i="4"/>
  <c r="DJ25" i="4"/>
  <c r="DI25" i="4"/>
  <c r="DK25" i="4"/>
  <c r="DL25" i="4"/>
  <c r="DM25" i="4"/>
  <c r="DB25" i="4"/>
  <c r="DD25" i="4"/>
  <c r="DC25" i="4"/>
  <c r="CM26" i="4"/>
  <c r="CT25" i="4"/>
  <c r="CV25" i="4"/>
  <c r="CS25" i="4"/>
  <c r="CU25" i="4"/>
  <c r="CW25" i="4"/>
  <c r="CX25" i="4"/>
  <c r="CY25" i="4"/>
  <c r="CR25" i="4"/>
  <c r="CN25" i="4"/>
  <c r="CO25" i="4"/>
  <c r="CP25" i="4"/>
  <c r="CQ25" i="4"/>
  <c r="BY13" i="4"/>
  <c r="BY14" i="4" s="1"/>
  <c r="BY15" i="4" s="1"/>
  <c r="CD12" i="4"/>
  <c r="CE12" i="4"/>
  <c r="CF12" i="4"/>
  <c r="CH12" i="4"/>
  <c r="CI12" i="4"/>
  <c r="CJ12" i="4"/>
  <c r="BZ12" i="4"/>
  <c r="CB12" i="4"/>
  <c r="CA12" i="4"/>
  <c r="CC12" i="4"/>
  <c r="CG12" i="4"/>
  <c r="CK12" i="4"/>
  <c r="BK27" i="4"/>
  <c r="BQ26" i="4"/>
  <c r="BV26" i="4"/>
  <c r="BW26" i="4"/>
  <c r="BU26" i="4"/>
  <c r="BT26" i="4"/>
  <c r="BS26" i="4"/>
  <c r="BR26" i="4"/>
  <c r="BP26" i="4"/>
  <c r="BO26" i="4"/>
  <c r="BE25" i="4"/>
  <c r="BG25" i="4"/>
  <c r="BF25" i="4"/>
  <c r="BH25" i="4"/>
  <c r="BD25" i="4"/>
  <c r="BI25" i="4"/>
  <c r="BA25" i="4"/>
  <c r="AZ25" i="4"/>
  <c r="AW26" i="4"/>
  <c r="BB25" i="4"/>
  <c r="BC25" i="4"/>
  <c r="DM11" i="4"/>
  <c r="DB11" i="4"/>
  <c r="DH11" i="4"/>
  <c r="DC11" i="4"/>
  <c r="DD11" i="4"/>
  <c r="DL11" i="4"/>
  <c r="DE11" i="4"/>
  <c r="DG11" i="4"/>
  <c r="DI11" i="4"/>
  <c r="DJ11" i="4"/>
  <c r="DF11" i="4"/>
  <c r="DK11" i="4"/>
  <c r="CM57" i="67"/>
  <c r="AV10" i="4"/>
  <c r="AV24" i="4"/>
  <c r="BK12" i="4"/>
  <c r="BP11" i="4"/>
  <c r="BM11" i="4"/>
  <c r="BO11" i="4"/>
  <c r="BL11" i="4"/>
  <c r="BQ11" i="4"/>
  <c r="BR11" i="4"/>
  <c r="BV11" i="4"/>
  <c r="BW11" i="4"/>
  <c r="BU11" i="4"/>
  <c r="BT11" i="4"/>
  <c r="BS11" i="4"/>
  <c r="BN11" i="4"/>
  <c r="AI12" i="4"/>
  <c r="AI13" i="4" s="1"/>
  <c r="AL11" i="4"/>
  <c r="AO11" i="4"/>
  <c r="AU11" i="4"/>
  <c r="AK11" i="4"/>
  <c r="AM11" i="4"/>
  <c r="AN11" i="4"/>
  <c r="AP11" i="4"/>
  <c r="AQ11" i="4"/>
  <c r="AS11" i="4"/>
  <c r="AR11" i="4"/>
  <c r="AJ11" i="4"/>
  <c r="AT11" i="4"/>
  <c r="CM12" i="4"/>
  <c r="AW12" i="4"/>
  <c r="AW13" i="4" s="1"/>
  <c r="BF11" i="4"/>
  <c r="AX11" i="4"/>
  <c r="BA11" i="4"/>
  <c r="BB11" i="4"/>
  <c r="BC11" i="4"/>
  <c r="BE11" i="4"/>
  <c r="BG11" i="4"/>
  <c r="BH11" i="4"/>
  <c r="AY11" i="4"/>
  <c r="AZ11" i="4"/>
  <c r="BD11" i="4"/>
  <c r="BI11" i="4"/>
  <c r="DA12" i="4"/>
  <c r="AY25" i="4"/>
  <c r="AX25" i="4"/>
  <c r="T26" i="4"/>
  <c r="Z25" i="4"/>
  <c r="AA25" i="4"/>
  <c r="AB25" i="4"/>
  <c r="U25" i="4"/>
  <c r="AD25" i="4"/>
  <c r="AC25" i="4"/>
  <c r="AE25" i="4"/>
  <c r="AF25" i="4"/>
  <c r="X25" i="4"/>
  <c r="Y25" i="4"/>
  <c r="V25" i="4"/>
  <c r="W25" i="4"/>
  <c r="BM25" i="4"/>
  <c r="BO25" i="4"/>
  <c r="BP25" i="4"/>
  <c r="BL25" i="4"/>
  <c r="BQ25" i="4"/>
  <c r="BS25" i="4"/>
  <c r="BR25" i="4"/>
  <c r="BN25" i="4"/>
  <c r="BT25" i="4"/>
  <c r="BU25" i="4"/>
  <c r="BV25" i="4"/>
  <c r="BW25" i="4"/>
  <c r="AS25" i="4"/>
  <c r="AT25" i="4"/>
  <c r="AU25" i="4"/>
  <c r="AK25" i="4"/>
  <c r="AO25" i="4"/>
  <c r="AR25" i="4"/>
  <c r="AM25" i="4"/>
  <c r="AP25" i="4"/>
  <c r="AQ25" i="4"/>
  <c r="AJ25" i="4"/>
  <c r="AL25" i="4"/>
  <c r="AN25" i="4"/>
  <c r="DA26" i="4"/>
  <c r="T12" i="4"/>
  <c r="AF11" i="4"/>
  <c r="V11" i="4"/>
  <c r="AD11" i="4"/>
  <c r="AE11" i="4"/>
  <c r="U11" i="4"/>
  <c r="W11" i="4"/>
  <c r="X11" i="4"/>
  <c r="Y11" i="4"/>
  <c r="Z11" i="4"/>
  <c r="AA11" i="4"/>
  <c r="AB11" i="4"/>
  <c r="AC11" i="4"/>
  <c r="K57" i="154" l="1"/>
  <c r="U57" i="154" s="1"/>
  <c r="K57" i="153"/>
  <c r="U57" i="153" s="1"/>
  <c r="W57" i="153" s="1"/>
  <c r="M57" i="155"/>
  <c r="CE13" i="4"/>
  <c r="CE14" i="4" s="1"/>
  <c r="CH13" i="4"/>
  <c r="CH14" i="4" s="1"/>
  <c r="CI13" i="4"/>
  <c r="CI14" i="4" s="1"/>
  <c r="CJ13" i="4"/>
  <c r="CJ14" i="4" s="1"/>
  <c r="CK13" i="4"/>
  <c r="CK14" i="4" s="1"/>
  <c r="CG13" i="4"/>
  <c r="CG14" i="4" s="1"/>
  <c r="CF13" i="4"/>
  <c r="CF14" i="4" s="1"/>
  <c r="BZ13" i="4"/>
  <c r="BZ14" i="4" s="1"/>
  <c r="CC13" i="4"/>
  <c r="CC14" i="4" s="1"/>
  <c r="CA13" i="4"/>
  <c r="CA14" i="4" s="1"/>
  <c r="CB13" i="4"/>
  <c r="CB14" i="4" s="1"/>
  <c r="CD13" i="4"/>
  <c r="CD14" i="4" s="1"/>
  <c r="BK28" i="4"/>
  <c r="BK29" i="4" s="1"/>
  <c r="BO27" i="4"/>
  <c r="BO28" i="4" s="1"/>
  <c r="BO29" i="4" s="1"/>
  <c r="BP27" i="4"/>
  <c r="BP28" i="4" s="1"/>
  <c r="BP29" i="4" s="1"/>
  <c r="BQ27" i="4"/>
  <c r="BQ28" i="4" s="1"/>
  <c r="BQ29" i="4" s="1"/>
  <c r="BT27" i="4"/>
  <c r="BT28" i="4" s="1"/>
  <c r="BT29" i="4" s="1"/>
  <c r="BV27" i="4"/>
  <c r="BV28" i="4" s="1"/>
  <c r="BV29" i="4" s="1"/>
  <c r="BW27" i="4"/>
  <c r="BW28" i="4" s="1"/>
  <c r="BW29" i="4" s="1"/>
  <c r="BR27" i="4"/>
  <c r="BR28" i="4" s="1"/>
  <c r="BR29" i="4" s="1"/>
  <c r="BS27" i="4"/>
  <c r="BS28" i="4" s="1"/>
  <c r="BS29" i="4" s="1"/>
  <c r="BU27" i="4"/>
  <c r="BU28" i="4" s="1"/>
  <c r="BU29" i="4" s="1"/>
  <c r="BM27" i="4"/>
  <c r="BL27" i="4"/>
  <c r="BN27" i="4"/>
  <c r="U12" i="4"/>
  <c r="T13" i="4"/>
  <c r="AI28" i="4"/>
  <c r="AI29" i="4" s="1"/>
  <c r="AU27" i="4"/>
  <c r="AU28" i="4" s="1"/>
  <c r="AU29" i="4" s="1"/>
  <c r="AO27" i="4"/>
  <c r="AO28" i="4" s="1"/>
  <c r="AO29" i="4" s="1"/>
  <c r="AP27" i="4"/>
  <c r="AP28" i="4" s="1"/>
  <c r="AP29" i="4" s="1"/>
  <c r="AQ27" i="4"/>
  <c r="AQ28" i="4" s="1"/>
  <c r="AQ29" i="4" s="1"/>
  <c r="AT27" i="4"/>
  <c r="AT28" i="4" s="1"/>
  <c r="AT29" i="4" s="1"/>
  <c r="AN27" i="4"/>
  <c r="AN28" i="4" s="1"/>
  <c r="AN29" i="4" s="1"/>
  <c r="AR27" i="4"/>
  <c r="AS27" i="4"/>
  <c r="AS28" i="4" s="1"/>
  <c r="AS29" i="4" s="1"/>
  <c r="AJ27" i="4"/>
  <c r="AK27" i="4"/>
  <c r="AL27" i="4"/>
  <c r="AM27" i="4"/>
  <c r="AJ13" i="4"/>
  <c r="AI14" i="4"/>
  <c r="AI15" i="4" s="1"/>
  <c r="AQ13" i="4"/>
  <c r="AO13" i="4"/>
  <c r="AN13" i="4"/>
  <c r="AP13" i="4"/>
  <c r="AM13" i="4"/>
  <c r="AU13" i="4"/>
  <c r="AT13" i="4"/>
  <c r="AS13" i="4"/>
  <c r="AR13" i="4"/>
  <c r="AL13" i="4"/>
  <c r="AK13" i="4"/>
  <c r="DI26" i="4"/>
  <c r="DK26" i="4"/>
  <c r="DF26" i="4"/>
  <c r="DG26" i="4"/>
  <c r="DJ26" i="4"/>
  <c r="DA27" i="4"/>
  <c r="DL26" i="4"/>
  <c r="DM26" i="4"/>
  <c r="DH26" i="4"/>
  <c r="DD26" i="4"/>
  <c r="DB26" i="4"/>
  <c r="DC26" i="4"/>
  <c r="DE26" i="4"/>
  <c r="Y26" i="4"/>
  <c r="T27" i="4"/>
  <c r="Z26" i="4"/>
  <c r="AA26" i="4"/>
  <c r="AB26" i="4"/>
  <c r="AC26" i="4"/>
  <c r="AD26" i="4"/>
  <c r="AE26" i="4"/>
  <c r="AF26" i="4"/>
  <c r="AZ13" i="4"/>
  <c r="AW14" i="4"/>
  <c r="AW15" i="4" s="1"/>
  <c r="AY13" i="4"/>
  <c r="BD13" i="4"/>
  <c r="BB13" i="4"/>
  <c r="BC13" i="4"/>
  <c r="BE13" i="4"/>
  <c r="BF13" i="4"/>
  <c r="BG13" i="4"/>
  <c r="BI13" i="4"/>
  <c r="BH13" i="4"/>
  <c r="BA13" i="4"/>
  <c r="AX13" i="4"/>
  <c r="CS12" i="4"/>
  <c r="CU12" i="4"/>
  <c r="CX12" i="4"/>
  <c r="CT12" i="4"/>
  <c r="CV12" i="4"/>
  <c r="CW12" i="4"/>
  <c r="CY12" i="4"/>
  <c r="CM13" i="4"/>
  <c r="CO12" i="4"/>
  <c r="CP12" i="4"/>
  <c r="CQ12" i="4"/>
  <c r="CN12" i="4"/>
  <c r="CR12" i="4"/>
  <c r="AR28" i="4"/>
  <c r="AR29" i="4" s="1"/>
  <c r="DC12" i="4"/>
  <c r="DL12" i="4"/>
  <c r="DB12" i="4"/>
  <c r="DD12" i="4"/>
  <c r="DE12" i="4"/>
  <c r="DF12" i="4"/>
  <c r="DG12" i="4"/>
  <c r="DH12" i="4"/>
  <c r="DM12" i="4"/>
  <c r="DI12" i="4"/>
  <c r="DJ12" i="4"/>
  <c r="DK12" i="4"/>
  <c r="AW27" i="4"/>
  <c r="AZ26" i="4"/>
  <c r="BA26" i="4"/>
  <c r="BG26" i="4"/>
  <c r="BF26" i="4"/>
  <c r="BI26" i="4"/>
  <c r="BE26" i="4"/>
  <c r="BD26" i="4"/>
  <c r="BC26" i="4"/>
  <c r="BB26" i="4"/>
  <c r="BH26" i="4"/>
  <c r="CM27" i="4"/>
  <c r="CR26" i="4"/>
  <c r="CS26" i="4"/>
  <c r="CX26" i="4"/>
  <c r="CT26" i="4"/>
  <c r="CU26" i="4"/>
  <c r="CV26" i="4"/>
  <c r="CW26" i="4"/>
  <c r="CY26" i="4"/>
  <c r="CN26" i="4"/>
  <c r="CO26" i="4"/>
  <c r="CP26" i="4"/>
  <c r="CQ26" i="4"/>
  <c r="CH26" i="4"/>
  <c r="CI26" i="4"/>
  <c r="BY27" i="4"/>
  <c r="CJ26" i="4"/>
  <c r="CK26" i="4"/>
  <c r="CD26" i="4"/>
  <c r="CB26" i="4"/>
  <c r="CE26" i="4"/>
  <c r="CC26" i="4"/>
  <c r="CG26" i="4"/>
  <c r="CF26" i="4"/>
  <c r="BZ26" i="4"/>
  <c r="CA26" i="4"/>
  <c r="CM58" i="67"/>
  <c r="AV11" i="4"/>
  <c r="AV25" i="4"/>
  <c r="AQ12" i="4"/>
  <c r="AT12" i="4"/>
  <c r="AT14" i="4" s="1"/>
  <c r="AT15" i="4" s="1"/>
  <c r="AK12" i="4"/>
  <c r="AL12" i="4"/>
  <c r="AL14" i="4" s="1"/>
  <c r="AL15" i="4" s="1"/>
  <c r="AM12" i="4"/>
  <c r="AN12" i="4"/>
  <c r="AO12" i="4"/>
  <c r="AJ12" i="4"/>
  <c r="AP12" i="4"/>
  <c r="AR12" i="4"/>
  <c r="AR14" i="4" s="1"/>
  <c r="AR15" i="4" s="1"/>
  <c r="AS12" i="4"/>
  <c r="AU12" i="4"/>
  <c r="AU14" i="4" s="1"/>
  <c r="AU15" i="4" s="1"/>
  <c r="CM14" i="4"/>
  <c r="CM15" i="4" s="1"/>
  <c r="BF12" i="4"/>
  <c r="BI12" i="4"/>
  <c r="AX12" i="4"/>
  <c r="AX14" i="4" s="1"/>
  <c r="AX15" i="4" s="1"/>
  <c r="BA12" i="4"/>
  <c r="BB12" i="4"/>
  <c r="BB14" i="4" s="1"/>
  <c r="BB15" i="4" s="1"/>
  <c r="BC12" i="4"/>
  <c r="BD12" i="4"/>
  <c r="BE12" i="4"/>
  <c r="BG12" i="4"/>
  <c r="BG14" i="4" s="1"/>
  <c r="BG15" i="4" s="1"/>
  <c r="AY12" i="4"/>
  <c r="AZ12" i="4"/>
  <c r="BH12" i="4"/>
  <c r="DA13" i="4"/>
  <c r="BU12" i="4"/>
  <c r="BP12" i="4"/>
  <c r="BS12" i="4"/>
  <c r="BT12" i="4"/>
  <c r="BW12" i="4"/>
  <c r="BL12" i="4"/>
  <c r="BM12" i="4"/>
  <c r="BN12" i="4"/>
  <c r="BO12" i="4"/>
  <c r="BQ12" i="4"/>
  <c r="BR12" i="4"/>
  <c r="BV12" i="4"/>
  <c r="BK13" i="4"/>
  <c r="BL26" i="4"/>
  <c r="BL28" i="4" s="1"/>
  <c r="BL29" i="4" s="1"/>
  <c r="BM26" i="4"/>
  <c r="BN26" i="4"/>
  <c r="BN28" i="4" s="1"/>
  <c r="BN29" i="4" s="1"/>
  <c r="W26" i="4"/>
  <c r="V26" i="4"/>
  <c r="X26" i="4"/>
  <c r="U26" i="4"/>
  <c r="AM26" i="4"/>
  <c r="AM28" i="4" s="1"/>
  <c r="AM29" i="4" s="1"/>
  <c r="AL26" i="4"/>
  <c r="AJ26" i="4"/>
  <c r="AK26" i="4"/>
  <c r="AY26" i="4"/>
  <c r="AX26" i="4"/>
  <c r="X12" i="4"/>
  <c r="Y12" i="4"/>
  <c r="Z12" i="4"/>
  <c r="AA12" i="4"/>
  <c r="V12" i="4"/>
  <c r="W12" i="4"/>
  <c r="AB12" i="4"/>
  <c r="AC12" i="4"/>
  <c r="AD12" i="4"/>
  <c r="AE12" i="4"/>
  <c r="AF12" i="4"/>
  <c r="AK14" i="4" l="1"/>
  <c r="AK15" i="4" s="1"/>
  <c r="AJ28" i="4"/>
  <c r="AJ29" i="4" s="1"/>
  <c r="AL28" i="4"/>
  <c r="AL29" i="4" s="1"/>
  <c r="BI14" i="4"/>
  <c r="BI15" i="4" s="1"/>
  <c r="BM28" i="4"/>
  <c r="BM29" i="4" s="1"/>
  <c r="BH14" i="4"/>
  <c r="BH15" i="4" s="1"/>
  <c r="BE14" i="4"/>
  <c r="BE15" i="4" s="1"/>
  <c r="AZ14" i="4"/>
  <c r="AZ15" i="4" s="1"/>
  <c r="AN14" i="4"/>
  <c r="AN15" i="4" s="1"/>
  <c r="M58" i="155"/>
  <c r="K58" i="154"/>
  <c r="U58" i="154" s="1"/>
  <c r="K58" i="153"/>
  <c r="U58" i="153" s="1"/>
  <c r="W58" i="153" s="1"/>
  <c r="AY14" i="4"/>
  <c r="AY15" i="4" s="1"/>
  <c r="BD14" i="4"/>
  <c r="BD15" i="4" s="1"/>
  <c r="AK28" i="4"/>
  <c r="AK29" i="4" s="1"/>
  <c r="AP14" i="4"/>
  <c r="AP15" i="4" s="1"/>
  <c r="AJ14" i="4"/>
  <c r="AJ15" i="4" s="1"/>
  <c r="AM14" i="4"/>
  <c r="AM15" i="4" s="1"/>
  <c r="AQ14" i="4"/>
  <c r="AQ15" i="4" s="1"/>
  <c r="BA14" i="4"/>
  <c r="BA15" i="4" s="1"/>
  <c r="AO14" i="4"/>
  <c r="AO15" i="4" s="1"/>
  <c r="T28" i="4"/>
  <c r="T29" i="4" s="1"/>
  <c r="AB27" i="4"/>
  <c r="AB28" i="4" s="1"/>
  <c r="AB29" i="4" s="1"/>
  <c r="AD27" i="4"/>
  <c r="AD28" i="4" s="1"/>
  <c r="AD29" i="4" s="1"/>
  <c r="AC27" i="4"/>
  <c r="AC28" i="4" s="1"/>
  <c r="AC29" i="4" s="1"/>
  <c r="AA27" i="4"/>
  <c r="AA28" i="4" s="1"/>
  <c r="AA29" i="4" s="1"/>
  <c r="AE27" i="4"/>
  <c r="AE28" i="4" s="1"/>
  <c r="AE29" i="4" s="1"/>
  <c r="AF27" i="4"/>
  <c r="AF28" i="4" s="1"/>
  <c r="AF29" i="4" s="1"/>
  <c r="Y27" i="4"/>
  <c r="Y28" i="4" s="1"/>
  <c r="Y29" i="4" s="1"/>
  <c r="Z27" i="4"/>
  <c r="Z28" i="4" s="1"/>
  <c r="Z29" i="4" s="1"/>
  <c r="U27" i="4"/>
  <c r="V27" i="4"/>
  <c r="V28" i="4" s="1"/>
  <c r="V29" i="4" s="1"/>
  <c r="W27" i="4"/>
  <c r="W28" i="4" s="1"/>
  <c r="W29" i="4" s="1"/>
  <c r="X27" i="4"/>
  <c r="X28" i="4" s="1"/>
  <c r="X29" i="4" s="1"/>
  <c r="CM28" i="4"/>
  <c r="CM29" i="4" s="1"/>
  <c r="CY27" i="4"/>
  <c r="CY28" i="4" s="1"/>
  <c r="CY29" i="4" s="1"/>
  <c r="CR27" i="4"/>
  <c r="CR28" i="4" s="1"/>
  <c r="CR29" i="4" s="1"/>
  <c r="CS27" i="4"/>
  <c r="CS28" i="4" s="1"/>
  <c r="CS29" i="4" s="1"/>
  <c r="CX27" i="4"/>
  <c r="CX28" i="4" s="1"/>
  <c r="CX29" i="4" s="1"/>
  <c r="CT27" i="4"/>
  <c r="CT28" i="4" s="1"/>
  <c r="CT29" i="4" s="1"/>
  <c r="CW27" i="4"/>
  <c r="CW28" i="4" s="1"/>
  <c r="CW29" i="4" s="1"/>
  <c r="CU27" i="4"/>
  <c r="CU28" i="4" s="1"/>
  <c r="CU29" i="4" s="1"/>
  <c r="CV27" i="4"/>
  <c r="CV28" i="4" s="1"/>
  <c r="CV29" i="4" s="1"/>
  <c r="CN27" i="4"/>
  <c r="CN28" i="4" s="1"/>
  <c r="CN29" i="4" s="1"/>
  <c r="CQ27" i="4"/>
  <c r="CQ28" i="4" s="1"/>
  <c r="CQ29" i="4" s="1"/>
  <c r="CO27" i="4"/>
  <c r="CO28" i="4" s="1"/>
  <c r="CO29" i="4" s="1"/>
  <c r="CP27" i="4"/>
  <c r="CP28" i="4" s="1"/>
  <c r="CP29" i="4" s="1"/>
  <c r="CS13" i="4"/>
  <c r="CS14" i="4" s="1"/>
  <c r="CT13" i="4"/>
  <c r="CT14" i="4" s="1"/>
  <c r="CU13" i="4"/>
  <c r="CU14" i="4" s="1"/>
  <c r="CV13" i="4"/>
  <c r="CV14" i="4" s="1"/>
  <c r="CW13" i="4"/>
  <c r="CW14" i="4" s="1"/>
  <c r="CX13" i="4"/>
  <c r="CX14" i="4" s="1"/>
  <c r="CY13" i="4"/>
  <c r="CY14" i="4" s="1"/>
  <c r="CN13" i="4"/>
  <c r="CN14" i="4" s="1"/>
  <c r="CN15" i="4" s="1"/>
  <c r="CS34" i="4" s="1"/>
  <c r="CO13" i="4"/>
  <c r="CO14" i="4" s="1"/>
  <c r="CP13" i="4"/>
  <c r="CP14" i="4" s="1"/>
  <c r="CQ13" i="4"/>
  <c r="CQ14" i="4" s="1"/>
  <c r="CR13" i="4"/>
  <c r="CR14" i="4" s="1"/>
  <c r="BF14" i="4"/>
  <c r="BF15" i="4" s="1"/>
  <c r="CC27" i="4"/>
  <c r="CC28" i="4" s="1"/>
  <c r="CC29" i="4" s="1"/>
  <c r="BY28" i="4"/>
  <c r="BY29" i="4" s="1"/>
  <c r="CK27" i="4"/>
  <c r="CK28" i="4" s="1"/>
  <c r="CK29" i="4" s="1"/>
  <c r="CD27" i="4"/>
  <c r="CD28" i="4" s="1"/>
  <c r="CD29" i="4" s="1"/>
  <c r="CB27" i="4"/>
  <c r="CB28" i="4" s="1"/>
  <c r="CB29" i="4" s="1"/>
  <c r="CE27" i="4"/>
  <c r="CE28" i="4" s="1"/>
  <c r="CE29" i="4" s="1"/>
  <c r="CF27" i="4"/>
  <c r="CF28" i="4" s="1"/>
  <c r="CF29" i="4" s="1"/>
  <c r="CG27" i="4"/>
  <c r="CG28" i="4" s="1"/>
  <c r="CG29" i="4" s="1"/>
  <c r="CH27" i="4"/>
  <c r="CH28" i="4" s="1"/>
  <c r="CH29" i="4" s="1"/>
  <c r="CJ27" i="4"/>
  <c r="CJ28" i="4" s="1"/>
  <c r="CJ29" i="4" s="1"/>
  <c r="CI27" i="4"/>
  <c r="CI28" i="4" s="1"/>
  <c r="CI29" i="4" s="1"/>
  <c r="BZ27" i="4"/>
  <c r="BZ28" i="4" s="1"/>
  <c r="BZ29" i="4" s="1"/>
  <c r="CA27" i="4"/>
  <c r="CA28" i="4" s="1"/>
  <c r="CA29" i="4" s="1"/>
  <c r="AS14" i="4"/>
  <c r="AS15" i="4" s="1"/>
  <c r="T14" i="4"/>
  <c r="T15" i="4" s="1"/>
  <c r="AC13" i="4"/>
  <c r="AC14" i="4" s="1"/>
  <c r="AC15" i="4" s="1"/>
  <c r="Z42" i="4" s="1"/>
  <c r="AD13" i="4"/>
  <c r="AD14" i="4" s="1"/>
  <c r="AD15" i="4" s="1"/>
  <c r="Z43" i="4" s="1"/>
  <c r="AF13" i="4"/>
  <c r="AF14" i="4" s="1"/>
  <c r="AF15" i="4" s="1"/>
  <c r="Z45" i="4" s="1"/>
  <c r="AB13" i="4"/>
  <c r="AB14" i="4" s="1"/>
  <c r="AB15" i="4" s="1"/>
  <c r="Z41" i="4" s="1"/>
  <c r="AA13" i="4"/>
  <c r="AA14" i="4" s="1"/>
  <c r="AA15" i="4" s="1"/>
  <c r="Z40" i="4" s="1"/>
  <c r="AE13" i="4"/>
  <c r="AE14" i="4" s="1"/>
  <c r="AE15" i="4" s="1"/>
  <c r="Z44" i="4" s="1"/>
  <c r="W13" i="4"/>
  <c r="W14" i="4" s="1"/>
  <c r="W15" i="4" s="1"/>
  <c r="Z36" i="4" s="1"/>
  <c r="X13" i="4"/>
  <c r="X14" i="4" s="1"/>
  <c r="X15" i="4" s="1"/>
  <c r="Z37" i="4" s="1"/>
  <c r="Y13" i="4"/>
  <c r="Y14" i="4" s="1"/>
  <c r="Y15" i="4" s="1"/>
  <c r="Z38" i="4" s="1"/>
  <c r="Z13" i="4"/>
  <c r="Z14" i="4" s="1"/>
  <c r="Z15" i="4" s="1"/>
  <c r="Z39" i="4" s="1"/>
  <c r="V13" i="4"/>
  <c r="V14" i="4" s="1"/>
  <c r="V15" i="4" s="1"/>
  <c r="Z35" i="4" s="1"/>
  <c r="U13" i="4"/>
  <c r="U14" i="4" s="1"/>
  <c r="U15" i="4" s="1"/>
  <c r="Z34" i="4" s="1"/>
  <c r="DA14" i="4"/>
  <c r="DA15" i="4" s="1"/>
  <c r="DE13" i="4"/>
  <c r="DE14" i="4" s="1"/>
  <c r="DE15" i="4" s="1"/>
  <c r="DF13" i="4"/>
  <c r="DF14" i="4" s="1"/>
  <c r="DF15" i="4" s="1"/>
  <c r="DG13" i="4"/>
  <c r="DG14" i="4" s="1"/>
  <c r="DG15" i="4" s="1"/>
  <c r="DH13" i="4"/>
  <c r="DH14" i="4" s="1"/>
  <c r="DH15" i="4" s="1"/>
  <c r="DJ13" i="4"/>
  <c r="DJ14" i="4" s="1"/>
  <c r="DJ15" i="4" s="1"/>
  <c r="DB13" i="4"/>
  <c r="DB14" i="4" s="1"/>
  <c r="DB15" i="4" s="1"/>
  <c r="DC13" i="4"/>
  <c r="DC14" i="4" s="1"/>
  <c r="DC15" i="4" s="1"/>
  <c r="DI13" i="4"/>
  <c r="DI14" i="4" s="1"/>
  <c r="DI15" i="4" s="1"/>
  <c r="DK13" i="4"/>
  <c r="DK14" i="4" s="1"/>
  <c r="DK15" i="4" s="1"/>
  <c r="DD13" i="4"/>
  <c r="DD14" i="4" s="1"/>
  <c r="DD15" i="4" s="1"/>
  <c r="DL13" i="4"/>
  <c r="DL14" i="4" s="1"/>
  <c r="DL15" i="4" s="1"/>
  <c r="DM13" i="4"/>
  <c r="DM14" i="4" s="1"/>
  <c r="DM15" i="4" s="1"/>
  <c r="U28" i="4"/>
  <c r="U29" i="4" s="1"/>
  <c r="DB27" i="4"/>
  <c r="DB28" i="4" s="1"/>
  <c r="DB29" i="4" s="1"/>
  <c r="DA28" i="4"/>
  <c r="DA29" i="4" s="1"/>
  <c r="DC27" i="4"/>
  <c r="DC28" i="4" s="1"/>
  <c r="DC29" i="4" s="1"/>
  <c r="DD27" i="4"/>
  <c r="DD28" i="4" s="1"/>
  <c r="DD29" i="4" s="1"/>
  <c r="DF27" i="4"/>
  <c r="DF28" i="4" s="1"/>
  <c r="DF29" i="4" s="1"/>
  <c r="DG27" i="4"/>
  <c r="DG28" i="4" s="1"/>
  <c r="DG29" i="4" s="1"/>
  <c r="DM27" i="4"/>
  <c r="DM28" i="4" s="1"/>
  <c r="DM29" i="4" s="1"/>
  <c r="DL27" i="4"/>
  <c r="DL28" i="4" s="1"/>
  <c r="DL29" i="4" s="1"/>
  <c r="DK27" i="4"/>
  <c r="DK28" i="4" s="1"/>
  <c r="DK29" i="4" s="1"/>
  <c r="DI27" i="4"/>
  <c r="DI28" i="4" s="1"/>
  <c r="DI29" i="4" s="1"/>
  <c r="DJ27" i="4"/>
  <c r="DJ28" i="4" s="1"/>
  <c r="DJ29" i="4" s="1"/>
  <c r="DH27" i="4"/>
  <c r="DH28" i="4" s="1"/>
  <c r="DH29" i="4" s="1"/>
  <c r="DE27" i="4"/>
  <c r="DE28" i="4" s="1"/>
  <c r="DE29" i="4" s="1"/>
  <c r="AW28" i="4"/>
  <c r="AW29" i="4" s="1"/>
  <c r="AZ27" i="4"/>
  <c r="AZ28" i="4" s="1"/>
  <c r="AZ29" i="4" s="1"/>
  <c r="BA27" i="4"/>
  <c r="BA28" i="4" s="1"/>
  <c r="BA29" i="4" s="1"/>
  <c r="BB27" i="4"/>
  <c r="BB28" i="4" s="1"/>
  <c r="BB29" i="4" s="1"/>
  <c r="BC27" i="4"/>
  <c r="BC28" i="4" s="1"/>
  <c r="BC29" i="4" s="1"/>
  <c r="BD27" i="4"/>
  <c r="BD28" i="4" s="1"/>
  <c r="BD29" i="4" s="1"/>
  <c r="BG27" i="4"/>
  <c r="BG28" i="4" s="1"/>
  <c r="BG29" i="4" s="1"/>
  <c r="BE27" i="4"/>
  <c r="BE28" i="4" s="1"/>
  <c r="BE29" i="4" s="1"/>
  <c r="BH27" i="4"/>
  <c r="BH28" i="4" s="1"/>
  <c r="BH29" i="4" s="1"/>
  <c r="BI27" i="4"/>
  <c r="BI28" i="4" s="1"/>
  <c r="BI29" i="4" s="1"/>
  <c r="BF27" i="4"/>
  <c r="BF28" i="4" s="1"/>
  <c r="BF29" i="4" s="1"/>
  <c r="AX27" i="4"/>
  <c r="AX28" i="4" s="1"/>
  <c r="AX29" i="4" s="1"/>
  <c r="AY27" i="4"/>
  <c r="AY28" i="4" s="1"/>
  <c r="AY29" i="4" s="1"/>
  <c r="AV13" i="4"/>
  <c r="BK14" i="4"/>
  <c r="BK15" i="4" s="1"/>
  <c r="BQ13" i="4"/>
  <c r="BQ14" i="4" s="1"/>
  <c r="BQ15" i="4" s="1"/>
  <c r="BR13" i="4"/>
  <c r="BR14" i="4" s="1"/>
  <c r="BR15" i="4" s="1"/>
  <c r="BS13" i="4"/>
  <c r="BS14" i="4" s="1"/>
  <c r="BS15" i="4" s="1"/>
  <c r="BT13" i="4"/>
  <c r="BT14" i="4" s="1"/>
  <c r="BT15" i="4" s="1"/>
  <c r="BW13" i="4"/>
  <c r="BW14" i="4" s="1"/>
  <c r="BW15" i="4" s="1"/>
  <c r="BU13" i="4"/>
  <c r="BU14" i="4" s="1"/>
  <c r="BU15" i="4" s="1"/>
  <c r="BV13" i="4"/>
  <c r="BV14" i="4" s="1"/>
  <c r="BV15" i="4" s="1"/>
  <c r="BM13" i="4"/>
  <c r="BM14" i="4" s="1"/>
  <c r="BM15" i="4" s="1"/>
  <c r="BN13" i="4"/>
  <c r="BN14" i="4" s="1"/>
  <c r="BN15" i="4" s="1"/>
  <c r="BO13" i="4"/>
  <c r="BO14" i="4" s="1"/>
  <c r="BO15" i="4" s="1"/>
  <c r="BP13" i="4"/>
  <c r="BP14" i="4" s="1"/>
  <c r="BP15" i="4" s="1"/>
  <c r="BL13" i="4"/>
  <c r="BL14" i="4" s="1"/>
  <c r="BL15" i="4" s="1"/>
  <c r="BC14" i="4"/>
  <c r="BC15" i="4" s="1"/>
  <c r="CM59" i="67"/>
  <c r="AV26" i="4"/>
  <c r="AV12" i="4"/>
  <c r="K59" i="153" l="1"/>
  <c r="U59" i="153" s="1"/>
  <c r="W59" i="153" s="1"/>
  <c r="K59" i="154"/>
  <c r="U59" i="154" s="1"/>
  <c r="M59" i="155"/>
  <c r="CM60" i="67"/>
  <c r="K60" i="154" l="1"/>
  <c r="U60" i="154" s="1"/>
  <c r="M60" i="155"/>
  <c r="K60" i="153"/>
  <c r="U60" i="153" s="1"/>
  <c r="W60" i="153" s="1"/>
  <c r="CM61" i="67"/>
  <c r="M61" i="155" l="1"/>
  <c r="K61" i="154"/>
  <c r="U61" i="154" s="1"/>
  <c r="K61" i="153"/>
  <c r="U61" i="153" s="1"/>
  <c r="W61" i="153" s="1"/>
  <c r="CM62" i="67"/>
  <c r="M62" i="155" l="1"/>
  <c r="K62" i="154"/>
  <c r="U62" i="154" s="1"/>
  <c r="K62" i="153"/>
  <c r="U62" i="153" s="1"/>
  <c r="W62" i="153" s="1"/>
  <c r="CM63" i="67"/>
  <c r="K63" i="154" l="1"/>
  <c r="U63" i="154" s="1"/>
  <c r="K63" i="153"/>
  <c r="U63" i="153" s="1"/>
  <c r="W63" i="153" s="1"/>
  <c r="M63" i="155"/>
  <c r="CM64" i="67"/>
  <c r="M64" i="155" l="1"/>
  <c r="K64" i="154"/>
  <c r="U64" i="154" s="1"/>
  <c r="K64" i="153"/>
  <c r="U64" i="153" s="1"/>
  <c r="W64" i="153" s="1"/>
  <c r="CM65" i="67"/>
  <c r="M65" i="155" l="1"/>
  <c r="K65" i="153"/>
  <c r="U65" i="153" s="1"/>
  <c r="W65" i="153" s="1"/>
  <c r="K65" i="154"/>
  <c r="U65" i="154" s="1"/>
  <c r="CM66" i="67"/>
  <c r="M66" i="155" l="1"/>
  <c r="K66" i="154"/>
  <c r="U66" i="154" s="1"/>
  <c r="K66" i="153"/>
  <c r="U66" i="153" s="1"/>
  <c r="W66" i="153" s="1"/>
  <c r="CM67" i="67"/>
  <c r="S1" i="38"/>
  <c r="R1" i="38"/>
  <c r="C61" i="38"/>
  <c r="B61" i="38"/>
  <c r="C60" i="38"/>
  <c r="B60" i="38"/>
  <c r="C59" i="38"/>
  <c r="B59" i="38"/>
  <c r="C58" i="38"/>
  <c r="B58" i="38"/>
  <c r="C57" i="38"/>
  <c r="B57" i="38"/>
  <c r="C56" i="38"/>
  <c r="B56" i="38"/>
  <c r="C55" i="38"/>
  <c r="B55" i="38"/>
  <c r="C54" i="38"/>
  <c r="B54" i="38"/>
  <c r="C53" i="38"/>
  <c r="B53" i="38"/>
  <c r="C52" i="38"/>
  <c r="B52" i="38"/>
  <c r="C51" i="38"/>
  <c r="B51" i="38"/>
  <c r="C50" i="38"/>
  <c r="B50" i="38"/>
  <c r="C49" i="38"/>
  <c r="B49" i="38"/>
  <c r="C48" i="38"/>
  <c r="B48" i="38"/>
  <c r="C47" i="38"/>
  <c r="B47" i="38"/>
  <c r="C46" i="38"/>
  <c r="B45" i="38"/>
  <c r="C44" i="38"/>
  <c r="B43" i="38"/>
  <c r="C42" i="38"/>
  <c r="B41" i="38"/>
  <c r="C40" i="38"/>
  <c r="B39" i="38"/>
  <c r="C38" i="38"/>
  <c r="C36" i="38"/>
  <c r="C34" i="38"/>
  <c r="C32" i="38"/>
  <c r="C30" i="38"/>
  <c r="B29" i="38"/>
  <c r="C28" i="38"/>
  <c r="B27" i="38"/>
  <c r="C26" i="38"/>
  <c r="B25" i="38"/>
  <c r="C24" i="38"/>
  <c r="C22" i="38"/>
  <c r="B21" i="38"/>
  <c r="C20" i="38"/>
  <c r="B19" i="38"/>
  <c r="C18" i="38"/>
  <c r="B17" i="38"/>
  <c r="C16" i="38"/>
  <c r="C14" i="38"/>
  <c r="B13" i="38"/>
  <c r="C12" i="38"/>
  <c r="B11" i="38"/>
  <c r="C10" i="38"/>
  <c r="B9" i="38"/>
  <c r="C8" i="38"/>
  <c r="C6" i="38"/>
  <c r="B5" i="38"/>
  <c r="C4" i="38"/>
  <c r="B3" i="38"/>
  <c r="C2" i="38"/>
  <c r="K67" i="154" l="1"/>
  <c r="U67" i="154" s="1"/>
  <c r="M67" i="155"/>
  <c r="K67" i="153"/>
  <c r="U67" i="153" s="1"/>
  <c r="W67" i="153" s="1"/>
  <c r="CM68" i="67"/>
  <c r="B42" i="38"/>
  <c r="C25" i="38"/>
  <c r="C3" i="38"/>
  <c r="B34" i="38"/>
  <c r="C11" i="38"/>
  <c r="C27" i="38"/>
  <c r="B36" i="38"/>
  <c r="C9" i="38"/>
  <c r="C19" i="38"/>
  <c r="B32" i="38"/>
  <c r="C17" i="38"/>
  <c r="B33" i="38"/>
  <c r="C33" i="38"/>
  <c r="B38" i="38"/>
  <c r="B46" i="38"/>
  <c r="C37" i="38"/>
  <c r="B37" i="38"/>
  <c r="B7" i="38"/>
  <c r="C7" i="38"/>
  <c r="B23" i="38"/>
  <c r="C23" i="38"/>
  <c r="B35" i="38"/>
  <c r="C35" i="38"/>
  <c r="B40" i="38"/>
  <c r="B15" i="38"/>
  <c r="C15" i="38"/>
  <c r="B31" i="38"/>
  <c r="C31" i="38"/>
  <c r="B44" i="38"/>
  <c r="C5" i="38"/>
  <c r="C13" i="38"/>
  <c r="C21" i="38"/>
  <c r="C29" i="38"/>
  <c r="C39" i="38"/>
  <c r="C41" i="38"/>
  <c r="C43" i="38"/>
  <c r="C45" i="38"/>
  <c r="B2" i="38"/>
  <c r="B4" i="38"/>
  <c r="B6" i="38"/>
  <c r="B8" i="38"/>
  <c r="B10" i="38"/>
  <c r="B12" i="38"/>
  <c r="B14" i="38"/>
  <c r="B16" i="38"/>
  <c r="B18" i="38"/>
  <c r="B20" i="38"/>
  <c r="B22" i="38"/>
  <c r="B24" i="38"/>
  <c r="B26" i="38"/>
  <c r="B28" i="38"/>
  <c r="B30" i="38"/>
  <c r="K68" i="154" l="1"/>
  <c r="U68" i="154" s="1"/>
  <c r="M68" i="155"/>
  <c r="K68" i="153"/>
  <c r="U68" i="153" s="1"/>
  <c r="W68" i="153" s="1"/>
  <c r="CM69" i="67"/>
  <c r="Q1" i="36"/>
  <c r="R1" i="36"/>
  <c r="L2" i="34"/>
  <c r="L3" i="34"/>
  <c r="L4" i="34"/>
  <c r="L5" i="34"/>
  <c r="L6" i="34"/>
  <c r="L7" i="34"/>
  <c r="L8" i="34"/>
  <c r="L9" i="34"/>
  <c r="L10" i="34"/>
  <c r="L11" i="34"/>
  <c r="L12" i="34"/>
  <c r="L13" i="34"/>
  <c r="L14" i="34"/>
  <c r="L15" i="34"/>
  <c r="L16" i="34"/>
  <c r="L17" i="34"/>
  <c r="L18" i="34"/>
  <c r="L19" i="34"/>
  <c r="L20" i="34"/>
  <c r="L21" i="34"/>
  <c r="L22" i="34"/>
  <c r="L23" i="34"/>
  <c r="L24" i="34"/>
  <c r="L25" i="34"/>
  <c r="L26" i="34"/>
  <c r="L27" i="34"/>
  <c r="L28" i="34"/>
  <c r="L29" i="34"/>
  <c r="L30" i="34"/>
  <c r="L31" i="34"/>
  <c r="L32" i="34"/>
  <c r="L33" i="34"/>
  <c r="L34" i="34"/>
  <c r="L35" i="34"/>
  <c r="L36" i="34"/>
  <c r="L37" i="34"/>
  <c r="L38" i="34"/>
  <c r="L39" i="34"/>
  <c r="L40" i="34"/>
  <c r="L41" i="34"/>
  <c r="L42" i="34"/>
  <c r="L43" i="34"/>
  <c r="L44" i="34"/>
  <c r="L45" i="34"/>
  <c r="L46" i="34"/>
  <c r="L47" i="34"/>
  <c r="L48" i="34"/>
  <c r="L49" i="34"/>
  <c r="L50" i="34"/>
  <c r="L51" i="34"/>
  <c r="L52" i="34"/>
  <c r="L53" i="34"/>
  <c r="L54" i="34"/>
  <c r="L55" i="34"/>
  <c r="L56" i="34"/>
  <c r="L57" i="34"/>
  <c r="L58" i="34"/>
  <c r="L59" i="34"/>
  <c r="L60" i="34"/>
  <c r="L61" i="34"/>
  <c r="L62" i="34"/>
  <c r="L63" i="34"/>
  <c r="L64" i="34"/>
  <c r="L65" i="34"/>
  <c r="L66" i="34"/>
  <c r="L67" i="34"/>
  <c r="L68" i="34"/>
  <c r="L69" i="34"/>
  <c r="L70" i="34"/>
  <c r="L71" i="34"/>
  <c r="L72" i="34"/>
  <c r="L73" i="34"/>
  <c r="Q2" i="34"/>
  <c r="Q3" i="34"/>
  <c r="Q4" i="34"/>
  <c r="Q5" i="34"/>
  <c r="Q6" i="34"/>
  <c r="Q7" i="34"/>
  <c r="Q8" i="34"/>
  <c r="Q9" i="34"/>
  <c r="Q10" i="34"/>
  <c r="Q11" i="34"/>
  <c r="Q12" i="34"/>
  <c r="Q13" i="34"/>
  <c r="Q14" i="34"/>
  <c r="Q15" i="34"/>
  <c r="Q16" i="34"/>
  <c r="Q17" i="34"/>
  <c r="Q18" i="34"/>
  <c r="Q19" i="34"/>
  <c r="Q20" i="34"/>
  <c r="Q21" i="34"/>
  <c r="Q22" i="34"/>
  <c r="Q23" i="34"/>
  <c r="Q24" i="34"/>
  <c r="Q25" i="34"/>
  <c r="Q26" i="34"/>
  <c r="Q27" i="34"/>
  <c r="Q28" i="34"/>
  <c r="Q29" i="34"/>
  <c r="Q30" i="34"/>
  <c r="Q31" i="34"/>
  <c r="Q32" i="34"/>
  <c r="Q33" i="34"/>
  <c r="Q34" i="34"/>
  <c r="Q35" i="34"/>
  <c r="Q36" i="34"/>
  <c r="Q37" i="34"/>
  <c r="Q38" i="34"/>
  <c r="Q39" i="34"/>
  <c r="Q40" i="34"/>
  <c r="Q41" i="34"/>
  <c r="Q42" i="34"/>
  <c r="Q43" i="34"/>
  <c r="Q44" i="34"/>
  <c r="Q45" i="34"/>
  <c r="Q46" i="34"/>
  <c r="Q47" i="34"/>
  <c r="Q48" i="34"/>
  <c r="Q49" i="34"/>
  <c r="O1" i="34"/>
  <c r="C73" i="34"/>
  <c r="B73" i="34"/>
  <c r="C72" i="34"/>
  <c r="B72" i="34"/>
  <c r="C71" i="34"/>
  <c r="B71" i="34"/>
  <c r="C70" i="34"/>
  <c r="B70" i="34"/>
  <c r="C69" i="34"/>
  <c r="B69" i="34"/>
  <c r="C68" i="34"/>
  <c r="B68" i="34"/>
  <c r="C67" i="34"/>
  <c r="B67" i="34"/>
  <c r="C66" i="34"/>
  <c r="B66" i="34"/>
  <c r="C65" i="34"/>
  <c r="B65" i="34"/>
  <c r="C64" i="34"/>
  <c r="B64" i="34"/>
  <c r="C63" i="34"/>
  <c r="B63" i="34"/>
  <c r="C62" i="34"/>
  <c r="B62" i="34"/>
  <c r="C61" i="34"/>
  <c r="B61" i="34"/>
  <c r="C60" i="34"/>
  <c r="B60" i="34"/>
  <c r="C59" i="34"/>
  <c r="B59" i="34"/>
  <c r="C58" i="34"/>
  <c r="B58" i="34"/>
  <c r="C57" i="34"/>
  <c r="B57" i="34"/>
  <c r="C56" i="34"/>
  <c r="B56" i="34"/>
  <c r="C55" i="34"/>
  <c r="B55" i="34"/>
  <c r="C54" i="34"/>
  <c r="B54" i="34"/>
  <c r="C53" i="34"/>
  <c r="B53" i="34"/>
  <c r="C52" i="34"/>
  <c r="B52" i="34"/>
  <c r="C51" i="34"/>
  <c r="B51" i="34"/>
  <c r="C50" i="34"/>
  <c r="B50" i="34"/>
  <c r="C49" i="34"/>
  <c r="B49" i="34"/>
  <c r="C48" i="34"/>
  <c r="B48" i="34"/>
  <c r="C47" i="34"/>
  <c r="B47" i="34"/>
  <c r="C46" i="34"/>
  <c r="C45" i="34"/>
  <c r="C44" i="34"/>
  <c r="C43" i="34"/>
  <c r="C42" i="34"/>
  <c r="B41" i="34"/>
  <c r="C40" i="34"/>
  <c r="B39" i="34"/>
  <c r="C38" i="34"/>
  <c r="B37" i="34"/>
  <c r="C36" i="34"/>
  <c r="B35" i="34"/>
  <c r="C34" i="34"/>
  <c r="B33" i="34"/>
  <c r="B32" i="34"/>
  <c r="C30" i="34"/>
  <c r="C29" i="34"/>
  <c r="C28" i="34"/>
  <c r="C27" i="34"/>
  <c r="C26" i="34"/>
  <c r="C25" i="34"/>
  <c r="C24" i="34"/>
  <c r="C22" i="34"/>
  <c r="C21" i="34"/>
  <c r="C20" i="34"/>
  <c r="C19" i="34"/>
  <c r="C18" i="34"/>
  <c r="C17" i="34"/>
  <c r="C16" i="34"/>
  <c r="C14" i="34"/>
  <c r="C13" i="34"/>
  <c r="C12" i="34"/>
  <c r="C11" i="34"/>
  <c r="C10" i="34"/>
  <c r="C9" i="34"/>
  <c r="C8" i="34"/>
  <c r="C6" i="34"/>
  <c r="C5" i="34"/>
  <c r="C4" i="34"/>
  <c r="C3" i="34"/>
  <c r="C2" i="34"/>
  <c r="R2" i="28"/>
  <c r="R3" i="28"/>
  <c r="R4" i="28"/>
  <c r="R5" i="28"/>
  <c r="R6" i="28"/>
  <c r="R7" i="28"/>
  <c r="R8" i="28"/>
  <c r="R9" i="28"/>
  <c r="R10" i="28"/>
  <c r="R11" i="28"/>
  <c r="R12" i="28"/>
  <c r="R13" i="28"/>
  <c r="R14" i="28"/>
  <c r="R15" i="28"/>
  <c r="R16" i="28"/>
  <c r="R17" i="28"/>
  <c r="R18" i="28"/>
  <c r="R19" i="28"/>
  <c r="R20" i="28"/>
  <c r="R21" i="28"/>
  <c r="R22" i="28"/>
  <c r="R23" i="28"/>
  <c r="R24" i="28"/>
  <c r="R25" i="28"/>
  <c r="R26" i="28"/>
  <c r="R27" i="28"/>
  <c r="R28" i="28"/>
  <c r="R29" i="28"/>
  <c r="R30" i="28"/>
  <c r="R31" i="28"/>
  <c r="R32" i="28"/>
  <c r="R33" i="28"/>
  <c r="R34" i="28"/>
  <c r="R35" i="28"/>
  <c r="R36" i="28"/>
  <c r="R37" i="28"/>
  <c r="R38" i="28"/>
  <c r="R39" i="28"/>
  <c r="R40" i="28"/>
  <c r="R41" i="28"/>
  <c r="R42" i="28"/>
  <c r="R43" i="28"/>
  <c r="R44" i="28"/>
  <c r="R45" i="28"/>
  <c r="R46" i="28"/>
  <c r="R47" i="28"/>
  <c r="R48" i="28"/>
  <c r="R49" i="28"/>
  <c r="R1" i="28"/>
  <c r="S2" i="28"/>
  <c r="S3" i="28"/>
  <c r="S4" i="28"/>
  <c r="S5" i="28"/>
  <c r="S6" i="28"/>
  <c r="S7" i="28"/>
  <c r="S8" i="28"/>
  <c r="S9" i="28"/>
  <c r="S10" i="28"/>
  <c r="S11" i="28"/>
  <c r="S12" i="28"/>
  <c r="S13" i="28"/>
  <c r="S14" i="28"/>
  <c r="S15" i="28"/>
  <c r="S16" i="28"/>
  <c r="S17" i="28"/>
  <c r="S18" i="28"/>
  <c r="S19" i="28"/>
  <c r="S20" i="28"/>
  <c r="S21" i="28"/>
  <c r="S22" i="28"/>
  <c r="S23" i="28"/>
  <c r="S24" i="28"/>
  <c r="S25" i="28"/>
  <c r="S26" i="28"/>
  <c r="S27" i="28"/>
  <c r="S28" i="28"/>
  <c r="S29" i="28"/>
  <c r="S30" i="28"/>
  <c r="S31" i="28"/>
  <c r="S32" i="28"/>
  <c r="S33" i="28"/>
  <c r="S34" i="28"/>
  <c r="S35" i="28"/>
  <c r="S36" i="28"/>
  <c r="S37" i="28"/>
  <c r="S38" i="28"/>
  <c r="S39" i="28"/>
  <c r="S40" i="28"/>
  <c r="S41" i="28"/>
  <c r="S42" i="28"/>
  <c r="S43" i="28"/>
  <c r="S44" i="28"/>
  <c r="S45" i="28"/>
  <c r="S46" i="28"/>
  <c r="S47" i="28"/>
  <c r="S48" i="28"/>
  <c r="S49" i="28"/>
  <c r="S1" i="28"/>
  <c r="K69" i="154" l="1"/>
  <c r="U69" i="154" s="1"/>
  <c r="M69" i="155"/>
  <c r="K69" i="153"/>
  <c r="U69" i="153" s="1"/>
  <c r="W69" i="153" s="1"/>
  <c r="CM70" i="67"/>
  <c r="B30" i="34"/>
  <c r="B5" i="34"/>
  <c r="B27" i="34"/>
  <c r="B11" i="34"/>
  <c r="C32" i="34"/>
  <c r="C33" i="34"/>
  <c r="C37" i="34"/>
  <c r="B40" i="34"/>
  <c r="C41" i="34"/>
  <c r="B21" i="34"/>
  <c r="C35" i="34"/>
  <c r="B13" i="34"/>
  <c r="B29" i="34"/>
  <c r="B42" i="34"/>
  <c r="B43" i="34"/>
  <c r="B44" i="34"/>
  <c r="B45" i="34"/>
  <c r="B46" i="34"/>
  <c r="B3" i="34"/>
  <c r="B9" i="34"/>
  <c r="B19" i="34"/>
  <c r="B25" i="34"/>
  <c r="B34" i="34"/>
  <c r="B36" i="34"/>
  <c r="B38" i="34"/>
  <c r="C39" i="34"/>
  <c r="C23" i="34"/>
  <c r="B23" i="34"/>
  <c r="C31" i="34"/>
  <c r="B31" i="34"/>
  <c r="C15" i="34"/>
  <c r="B15" i="34"/>
  <c r="C7" i="34"/>
  <c r="B7" i="34"/>
  <c r="B17" i="34"/>
  <c r="B2" i="34"/>
  <c r="B6" i="34"/>
  <c r="B10" i="34"/>
  <c r="B14" i="34"/>
  <c r="B18" i="34"/>
  <c r="B22" i="34"/>
  <c r="B26" i="34"/>
  <c r="B4" i="34"/>
  <c r="B8" i="34"/>
  <c r="B12" i="34"/>
  <c r="B16" i="34"/>
  <c r="B20" i="34"/>
  <c r="B24" i="34"/>
  <c r="B28" i="34"/>
  <c r="O1" i="30"/>
  <c r="K70" i="154" l="1"/>
  <c r="U70" i="154" s="1"/>
  <c r="M70" i="155"/>
  <c r="K70" i="153"/>
  <c r="U70" i="153" s="1"/>
  <c r="W70" i="153" s="1"/>
  <c r="CM71" i="67"/>
  <c r="K71" i="154" l="1"/>
  <c r="U71" i="154" s="1"/>
  <c r="M71" i="155"/>
  <c r="K71" i="153"/>
  <c r="U71" i="153" s="1"/>
  <c r="W71" i="153" s="1"/>
  <c r="CM72" i="67"/>
  <c r="P68" i="34"/>
  <c r="P67" i="34"/>
  <c r="P66" i="34"/>
  <c r="P65" i="34"/>
  <c r="P64" i="34"/>
  <c r="P63" i="34"/>
  <c r="K72" i="154" l="1"/>
  <c r="U72" i="154" s="1"/>
  <c r="M72" i="155"/>
  <c r="K72" i="153"/>
  <c r="U72" i="153" s="1"/>
  <c r="W72" i="153" s="1"/>
  <c r="CM73" i="67"/>
  <c r="P69" i="34"/>
  <c r="P71" i="34"/>
  <c r="P73" i="34"/>
  <c r="P70" i="34"/>
  <c r="P72" i="34"/>
  <c r="P62" i="34"/>
  <c r="P47" i="28"/>
  <c r="W47" i="28" s="1"/>
  <c r="P43" i="28"/>
  <c r="W43" i="28" s="1"/>
  <c r="P41" i="28"/>
  <c r="W41" i="28" s="1"/>
  <c r="P39" i="28"/>
  <c r="W39" i="28" s="1"/>
  <c r="P37" i="28"/>
  <c r="W37" i="28" s="1"/>
  <c r="P35" i="28"/>
  <c r="W35" i="28" s="1"/>
  <c r="P23" i="28"/>
  <c r="W23" i="28" s="1"/>
  <c r="P21" i="28"/>
  <c r="W21" i="28" s="1"/>
  <c r="P19" i="28"/>
  <c r="W19" i="28" s="1"/>
  <c r="P17" i="28"/>
  <c r="W17" i="28" s="1"/>
  <c r="P11" i="28"/>
  <c r="W11" i="28" s="1"/>
  <c r="P9" i="28"/>
  <c r="W9" i="28" s="1"/>
  <c r="P61" i="28"/>
  <c r="P53" i="28"/>
  <c r="R60" i="28"/>
  <c r="S52" i="28"/>
  <c r="S60" i="28"/>
  <c r="N1" i="36"/>
  <c r="P60" i="28"/>
  <c r="P56" i="28"/>
  <c r="P52" i="28"/>
  <c r="R61" i="28"/>
  <c r="R57" i="28"/>
  <c r="R53" i="28"/>
  <c r="S53" i="28"/>
  <c r="S57" i="28"/>
  <c r="S61" i="28"/>
  <c r="P49" i="28"/>
  <c r="W49" i="28" s="1"/>
  <c r="P29" i="28"/>
  <c r="W29" i="28" s="1"/>
  <c r="P27" i="28"/>
  <c r="W27" i="28" s="1"/>
  <c r="P25" i="28"/>
  <c r="W25" i="28" s="1"/>
  <c r="P15" i="28"/>
  <c r="W15" i="28" s="1"/>
  <c r="P13" i="28"/>
  <c r="W13" i="28" s="1"/>
  <c r="P1" i="38"/>
  <c r="O1" i="36"/>
  <c r="P1" i="28"/>
  <c r="J1" i="32"/>
  <c r="P48" i="28"/>
  <c r="W48" i="28" s="1"/>
  <c r="P46" i="28"/>
  <c r="W46" i="28" s="1"/>
  <c r="P44" i="28"/>
  <c r="W44" i="28" s="1"/>
  <c r="P42" i="28"/>
  <c r="W42" i="28" s="1"/>
  <c r="P40" i="28"/>
  <c r="W40" i="28" s="1"/>
  <c r="P38" i="28"/>
  <c r="W38" i="28" s="1"/>
  <c r="P36" i="28"/>
  <c r="W36" i="28" s="1"/>
  <c r="P34" i="28"/>
  <c r="W34" i="28" s="1"/>
  <c r="P32" i="28"/>
  <c r="W32" i="28" s="1"/>
  <c r="P30" i="28"/>
  <c r="W30" i="28" s="1"/>
  <c r="P28" i="28"/>
  <c r="W28" i="28" s="1"/>
  <c r="P26" i="28"/>
  <c r="W26" i="28" s="1"/>
  <c r="P24" i="28"/>
  <c r="W24" i="28" s="1"/>
  <c r="P22" i="28"/>
  <c r="W22" i="28" s="1"/>
  <c r="P20" i="28"/>
  <c r="W20" i="28" s="1"/>
  <c r="P18" i="28"/>
  <c r="W18" i="28" s="1"/>
  <c r="P16" i="28"/>
  <c r="W16" i="28" s="1"/>
  <c r="P14" i="28"/>
  <c r="W14" i="28" s="1"/>
  <c r="P12" i="28"/>
  <c r="W12" i="28" s="1"/>
  <c r="P10" i="28"/>
  <c r="W10" i="28" s="1"/>
  <c r="P8" i="28"/>
  <c r="W8" i="28" s="1"/>
  <c r="P6" i="28"/>
  <c r="W6" i="28" s="1"/>
  <c r="P4" i="28"/>
  <c r="W4" i="28" s="1"/>
  <c r="P2" i="28"/>
  <c r="W2" i="28" s="1"/>
  <c r="N1" i="34"/>
  <c r="N1" i="30"/>
  <c r="P59" i="28"/>
  <c r="P55" i="28"/>
  <c r="P51" i="28"/>
  <c r="R58" i="28"/>
  <c r="R54" i="28"/>
  <c r="S50" i="28"/>
  <c r="S54" i="28"/>
  <c r="S58" i="28"/>
  <c r="P45" i="28"/>
  <c r="W45" i="28" s="1"/>
  <c r="P33" i="28"/>
  <c r="W33" i="28" s="1"/>
  <c r="P31" i="28"/>
  <c r="W31" i="28" s="1"/>
  <c r="P7" i="28"/>
  <c r="W7" i="28" s="1"/>
  <c r="P5" i="28"/>
  <c r="W5" i="28" s="1"/>
  <c r="P3" i="28"/>
  <c r="W3" i="28" s="1"/>
  <c r="P57" i="28"/>
  <c r="R56" i="28"/>
  <c r="R52" i="28"/>
  <c r="S56" i="28"/>
  <c r="O1" i="38"/>
  <c r="M1" i="34"/>
  <c r="O1" i="28"/>
  <c r="M1" i="30"/>
  <c r="P58" i="28"/>
  <c r="P54" i="28"/>
  <c r="P50" i="28"/>
  <c r="R50" i="28"/>
  <c r="R59" i="28"/>
  <c r="R55" i="28"/>
  <c r="R51" i="28"/>
  <c r="S51" i="28"/>
  <c r="S55" i="28"/>
  <c r="S59" i="28"/>
  <c r="P58" i="34"/>
  <c r="P50" i="34"/>
  <c r="P61" i="34"/>
  <c r="P57" i="34"/>
  <c r="P53" i="34"/>
  <c r="P54" i="34"/>
  <c r="P60" i="34"/>
  <c r="P56" i="34"/>
  <c r="P52" i="34"/>
  <c r="P59" i="34"/>
  <c r="P55" i="34"/>
  <c r="P51" i="34"/>
  <c r="W57" i="28" l="1"/>
  <c r="W53" i="28"/>
  <c r="W51" i="28"/>
  <c r="W56" i="28"/>
  <c r="W61" i="28"/>
  <c r="W55" i="28"/>
  <c r="W60" i="28"/>
  <c r="W59" i="28"/>
  <c r="W52" i="28"/>
  <c r="M73" i="155"/>
  <c r="K73" i="153"/>
  <c r="U73" i="153" s="1"/>
  <c r="W73" i="153" s="1"/>
  <c r="K73" i="154"/>
  <c r="U73" i="154" s="1"/>
  <c r="W50" i="28"/>
  <c r="W54" i="28"/>
  <c r="W58" i="28"/>
  <c r="CM74" i="67"/>
  <c r="R69" i="28"/>
  <c r="W69" i="28" s="1"/>
  <c r="R71" i="28"/>
  <c r="W71" i="28" s="1"/>
  <c r="R68" i="28"/>
  <c r="W68" i="28" s="1"/>
  <c r="R65" i="28"/>
  <c r="W65" i="28" s="1"/>
  <c r="R67" i="28"/>
  <c r="W67" i="28" s="1"/>
  <c r="R63" i="28"/>
  <c r="W63" i="28" s="1"/>
  <c r="R62" i="28"/>
  <c r="W62" i="28" s="1"/>
  <c r="R70" i="28"/>
  <c r="W70" i="28" s="1"/>
  <c r="R72" i="28"/>
  <c r="W72" i="28" s="1"/>
  <c r="R64" i="28"/>
  <c r="W64" i="28" s="1"/>
  <c r="R66" i="28"/>
  <c r="W66" i="28" s="1"/>
  <c r="R73" i="28"/>
  <c r="W73" i="28" s="1"/>
  <c r="Q56" i="34"/>
  <c r="Q51" i="34"/>
  <c r="Q54" i="34"/>
  <c r="Q57" i="34"/>
  <c r="Q59" i="34"/>
  <c r="Q55" i="34"/>
  <c r="Q50" i="34"/>
  <c r="Q52" i="34"/>
  <c r="Q58" i="34"/>
  <c r="Q53" i="34"/>
  <c r="Q61" i="34"/>
  <c r="Q60" i="34"/>
  <c r="V9" i="15" l="1"/>
  <c r="W9" i="15" s="1"/>
  <c r="V8" i="15"/>
  <c r="W8" i="15" s="1"/>
  <c r="V7" i="15"/>
  <c r="W7" i="15" s="1"/>
  <c r="M74" i="155"/>
  <c r="K74" i="154"/>
  <c r="U74" i="154" s="1"/>
  <c r="K74" i="153"/>
  <c r="U74" i="153" s="1"/>
  <c r="W74" i="153" s="1"/>
  <c r="V6" i="15"/>
  <c r="W6" i="15" s="1"/>
  <c r="V5" i="15"/>
  <c r="CM75" i="67"/>
  <c r="R76" i="28"/>
  <c r="W76" i="28" s="1"/>
  <c r="R85" i="28"/>
  <c r="W85" i="28" s="1"/>
  <c r="R75" i="28"/>
  <c r="W75" i="28" s="1"/>
  <c r="R79" i="28"/>
  <c r="W79" i="28" s="1"/>
  <c r="R84" i="28"/>
  <c r="W84" i="28" s="1"/>
  <c r="R81" i="28"/>
  <c r="W81" i="28" s="1"/>
  <c r="R80" i="28"/>
  <c r="W80" i="28" s="1"/>
  <c r="R74" i="28"/>
  <c r="W74" i="28" s="1"/>
  <c r="R78" i="28"/>
  <c r="W78" i="28" s="1"/>
  <c r="R83" i="28"/>
  <c r="W83" i="28" s="1"/>
  <c r="R77" i="28"/>
  <c r="W77" i="28" s="1"/>
  <c r="R82" i="28"/>
  <c r="W82" i="28" s="1"/>
  <c r="Q73" i="34"/>
  <c r="Q70" i="34"/>
  <c r="Q64" i="34"/>
  <c r="Q66" i="34"/>
  <c r="Q63" i="34"/>
  <c r="Q62" i="34"/>
  <c r="Q72" i="34"/>
  <c r="Q65" i="34"/>
  <c r="Q69" i="34"/>
  <c r="Q67" i="34"/>
  <c r="Q71" i="34"/>
  <c r="Q68" i="34"/>
  <c r="W5" i="15" l="1"/>
  <c r="M75" i="155"/>
  <c r="K75" i="153"/>
  <c r="U75" i="153" s="1"/>
  <c r="W75" i="153" s="1"/>
  <c r="K75" i="154"/>
  <c r="U75" i="154" s="1"/>
  <c r="CM76" i="67"/>
  <c r="R97" i="28"/>
  <c r="W97" i="28" s="1"/>
  <c r="R90" i="28"/>
  <c r="W90" i="28" s="1"/>
  <c r="R89" i="28"/>
  <c r="W89" i="28" s="1"/>
  <c r="R87" i="28"/>
  <c r="W87" i="28" s="1"/>
  <c r="R94" i="28"/>
  <c r="W94" i="28" s="1"/>
  <c r="R92" i="28"/>
  <c r="W92" i="28" s="1"/>
  <c r="R91" i="28"/>
  <c r="W91" i="28" s="1"/>
  <c r="R96" i="28"/>
  <c r="W96" i="28" s="1"/>
  <c r="R86" i="28"/>
  <c r="W86" i="28" s="1"/>
  <c r="R93" i="28"/>
  <c r="W93" i="28" s="1"/>
  <c r="R95" i="28"/>
  <c r="W95" i="28" s="1"/>
  <c r="R88" i="28"/>
  <c r="W88" i="28" s="1"/>
  <c r="AA33" i="4"/>
  <c r="Z33" i="4"/>
  <c r="DH33" i="4"/>
  <c r="DG33" i="4"/>
  <c r="CT33" i="4"/>
  <c r="CS33" i="4"/>
  <c r="K76" i="154" l="1"/>
  <c r="U76" i="154" s="1"/>
  <c r="M76" i="155"/>
  <c r="K76" i="153"/>
  <c r="U76" i="153" s="1"/>
  <c r="W76" i="153" s="1"/>
  <c r="CM77" i="67"/>
  <c r="AP42" i="4"/>
  <c r="BD41" i="4"/>
  <c r="BD42" i="4"/>
  <c r="BD39" i="4"/>
  <c r="BD43" i="4"/>
  <c r="BD38" i="4"/>
  <c r="BD37" i="4"/>
  <c r="BD36" i="4"/>
  <c r="BD45" i="4"/>
  <c r="BD40" i="4"/>
  <c r="BD35" i="4"/>
  <c r="BD44" i="4"/>
  <c r="CV15" i="4"/>
  <c r="CU15" i="4"/>
  <c r="CQ15" i="4"/>
  <c r="CY15" i="4"/>
  <c r="CT15" i="4"/>
  <c r="CO15" i="4"/>
  <c r="CX15" i="4"/>
  <c r="CS15" i="4"/>
  <c r="CR15" i="4"/>
  <c r="CP15" i="4"/>
  <c r="CW15" i="4"/>
  <c r="CE15" i="4"/>
  <c r="CC15" i="4"/>
  <c r="CB15" i="4"/>
  <c r="CI15" i="4"/>
  <c r="CA15" i="4"/>
  <c r="BZ15" i="4"/>
  <c r="CE34" i="4" s="1"/>
  <c r="CK15" i="4"/>
  <c r="CH15" i="4"/>
  <c r="CJ15" i="4"/>
  <c r="CG15" i="4"/>
  <c r="CD15" i="4"/>
  <c r="CF15" i="4"/>
  <c r="M77" i="155" l="1"/>
  <c r="K77" i="153"/>
  <c r="U77" i="153" s="1"/>
  <c r="W77" i="153" s="1"/>
  <c r="K77" i="154"/>
  <c r="U77" i="154" s="1"/>
  <c r="CM78" i="67"/>
  <c r="AV27" i="4"/>
  <c r="R132" i="38"/>
  <c r="R130" i="38"/>
  <c r="R133" i="38"/>
  <c r="R127" i="38"/>
  <c r="R129" i="38"/>
  <c r="R128" i="38"/>
  <c r="R131" i="38"/>
  <c r="DG42" i="4"/>
  <c r="DG41" i="4"/>
  <c r="DH45" i="4"/>
  <c r="DG39" i="4"/>
  <c r="DH41" i="4"/>
  <c r="DG44" i="4"/>
  <c r="DH36" i="4"/>
  <c r="DH37" i="4"/>
  <c r="DH38" i="4"/>
  <c r="DH39" i="4"/>
  <c r="DH40" i="4"/>
  <c r="DH44" i="4"/>
  <c r="DG45" i="4"/>
  <c r="DG35" i="4"/>
  <c r="DG37" i="4"/>
  <c r="DH35" i="4"/>
  <c r="DH42" i="4"/>
  <c r="DH43" i="4"/>
  <c r="DG38" i="4"/>
  <c r="DG43" i="4"/>
  <c r="DG40" i="4"/>
  <c r="DG36" i="4"/>
  <c r="DH34" i="4"/>
  <c r="DG34" i="4"/>
  <c r="CT41" i="4"/>
  <c r="CT42" i="4"/>
  <c r="CT44" i="4"/>
  <c r="CT40" i="4"/>
  <c r="CT45" i="4"/>
  <c r="CT35" i="4"/>
  <c r="CT37" i="4"/>
  <c r="CT39" i="4"/>
  <c r="CT36" i="4"/>
  <c r="CT43" i="4"/>
  <c r="CT38" i="4"/>
  <c r="CT34" i="4"/>
  <c r="CS44" i="4"/>
  <c r="CS35" i="4"/>
  <c r="CS39" i="4"/>
  <c r="CS37" i="4"/>
  <c r="CS41" i="4"/>
  <c r="CS42" i="4"/>
  <c r="CS36" i="4"/>
  <c r="CS40" i="4"/>
  <c r="CS43" i="4"/>
  <c r="CS38" i="4"/>
  <c r="CS45" i="4"/>
  <c r="CF37" i="4"/>
  <c r="F5" i="155" s="1"/>
  <c r="CF41" i="4"/>
  <c r="F9" i="155" s="1"/>
  <c r="CF38" i="4"/>
  <c r="F6" i="155" s="1"/>
  <c r="CF40" i="4"/>
  <c r="F8" i="155" s="1"/>
  <c r="CF35" i="4"/>
  <c r="F3" i="155" s="1"/>
  <c r="CF42" i="4"/>
  <c r="F10" i="155" s="1"/>
  <c r="CF36" i="4"/>
  <c r="F4" i="155" s="1"/>
  <c r="CF39" i="4"/>
  <c r="F7" i="155" s="1"/>
  <c r="CF43" i="4"/>
  <c r="F11" i="155" s="1"/>
  <c r="CF44" i="4"/>
  <c r="F12" i="155" s="1"/>
  <c r="CF45" i="4"/>
  <c r="F13" i="155" s="1"/>
  <c r="CF34" i="4"/>
  <c r="F2" i="155" s="1"/>
  <c r="CE40" i="4"/>
  <c r="CE38" i="4"/>
  <c r="CE41" i="4"/>
  <c r="CE43" i="4"/>
  <c r="CE36" i="4"/>
  <c r="CE37" i="4"/>
  <c r="CE39" i="4"/>
  <c r="CE44" i="4"/>
  <c r="CE42" i="4"/>
  <c r="CE45" i="4"/>
  <c r="CE35" i="4"/>
  <c r="BR44" i="4"/>
  <c r="BQ42" i="4"/>
  <c r="BR36" i="4"/>
  <c r="BR43" i="4"/>
  <c r="BQ36" i="4"/>
  <c r="BQ35" i="4"/>
  <c r="BQ41" i="4"/>
  <c r="BR39" i="4"/>
  <c r="BQ38" i="4"/>
  <c r="BR35" i="4"/>
  <c r="BQ37" i="4"/>
  <c r="BR37" i="4"/>
  <c r="BR41" i="4"/>
  <c r="BR40" i="4"/>
  <c r="BQ40" i="4"/>
  <c r="BR45" i="4"/>
  <c r="BR38" i="4"/>
  <c r="BQ44" i="4"/>
  <c r="BQ43" i="4"/>
  <c r="BQ39" i="4"/>
  <c r="BQ45" i="4"/>
  <c r="BR42" i="4"/>
  <c r="BR34" i="4"/>
  <c r="BQ34" i="4"/>
  <c r="BC37" i="4"/>
  <c r="BC40" i="4"/>
  <c r="BC41" i="4"/>
  <c r="BC39" i="4"/>
  <c r="BC45" i="4"/>
  <c r="BC38" i="4"/>
  <c r="BC42" i="4"/>
  <c r="BC35" i="4"/>
  <c r="BC44" i="4"/>
  <c r="BC36" i="4"/>
  <c r="BC43" i="4"/>
  <c r="BD34" i="4"/>
  <c r="BC34" i="4"/>
  <c r="AP38" i="4"/>
  <c r="AP41" i="4"/>
  <c r="AP45" i="4"/>
  <c r="AP36" i="4"/>
  <c r="AO35" i="4"/>
  <c r="AO42" i="4"/>
  <c r="AP39" i="4"/>
  <c r="AP35" i="4"/>
  <c r="AO37" i="4"/>
  <c r="AP40" i="4"/>
  <c r="AO40" i="4"/>
  <c r="AO43" i="4"/>
  <c r="AP37" i="4"/>
  <c r="AO41" i="4"/>
  <c r="AO39" i="4"/>
  <c r="AO38" i="4"/>
  <c r="AO44" i="4"/>
  <c r="AP43" i="4"/>
  <c r="AO36" i="4"/>
  <c r="AO45" i="4"/>
  <c r="AP44" i="4"/>
  <c r="AA45" i="4"/>
  <c r="AA42" i="4"/>
  <c r="AA36" i="4"/>
  <c r="AA41" i="4"/>
  <c r="AA44" i="4"/>
  <c r="AA35" i="4"/>
  <c r="AA39" i="4"/>
  <c r="AA43" i="4"/>
  <c r="AA37" i="4"/>
  <c r="AA38" i="4"/>
  <c r="AA40" i="4"/>
  <c r="AA34" i="4"/>
  <c r="E5" i="154" l="1"/>
  <c r="E17" i="154" s="1"/>
  <c r="E5" i="155"/>
  <c r="E9" i="154"/>
  <c r="E21" i="154" s="1"/>
  <c r="E9" i="155"/>
  <c r="E6" i="154"/>
  <c r="E18" i="154" s="1"/>
  <c r="E6" i="155"/>
  <c r="E3" i="154"/>
  <c r="E15" i="154" s="1"/>
  <c r="E3" i="155"/>
  <c r="E13" i="154"/>
  <c r="E25" i="154" s="1"/>
  <c r="E13" i="155"/>
  <c r="E7" i="154"/>
  <c r="E19" i="154" s="1"/>
  <c r="E7" i="155"/>
  <c r="E4" i="154"/>
  <c r="E16" i="154" s="1"/>
  <c r="E4" i="155"/>
  <c r="E11" i="154"/>
  <c r="E23" i="154" s="1"/>
  <c r="E11" i="155"/>
  <c r="E12" i="154"/>
  <c r="E24" i="154" s="1"/>
  <c r="E12" i="155"/>
  <c r="E10" i="154"/>
  <c r="O10" i="154" s="1"/>
  <c r="E10" i="155"/>
  <c r="E8" i="154"/>
  <c r="E20" i="154" s="1"/>
  <c r="E8" i="155"/>
  <c r="E2" i="154"/>
  <c r="O2" i="154" s="1"/>
  <c r="E2" i="155"/>
  <c r="Q2" i="155" s="1"/>
  <c r="F3" i="154"/>
  <c r="F6" i="154"/>
  <c r="F5" i="154"/>
  <c r="F8" i="154"/>
  <c r="F9" i="154"/>
  <c r="F2" i="154"/>
  <c r="F14" i="154" s="1"/>
  <c r="F13" i="154"/>
  <c r="F12" i="154"/>
  <c r="F10" i="154"/>
  <c r="F11" i="154"/>
  <c r="F7" i="154"/>
  <c r="F4" i="154"/>
  <c r="F5" i="76"/>
  <c r="F4" i="76"/>
  <c r="E6" i="76"/>
  <c r="E6" i="77"/>
  <c r="F10" i="76"/>
  <c r="F10" i="77"/>
  <c r="F7" i="76"/>
  <c r="F7" i="77"/>
  <c r="F9" i="76"/>
  <c r="F9" i="77"/>
  <c r="E9" i="76"/>
  <c r="E9" i="77"/>
  <c r="E7" i="76"/>
  <c r="E7" i="77"/>
  <c r="E11" i="76"/>
  <c r="E11" i="77"/>
  <c r="F6" i="76"/>
  <c r="F6" i="77"/>
  <c r="F13" i="76"/>
  <c r="F13" i="77"/>
  <c r="E13" i="76"/>
  <c r="E13" i="77"/>
  <c r="E12" i="76"/>
  <c r="E12" i="77"/>
  <c r="F11" i="76"/>
  <c r="F11" i="77"/>
  <c r="E10" i="76"/>
  <c r="E10" i="77"/>
  <c r="F12" i="76"/>
  <c r="F12" i="77"/>
  <c r="E8" i="76"/>
  <c r="E8" i="77"/>
  <c r="F8" i="76"/>
  <c r="F8" i="77"/>
  <c r="E5" i="76"/>
  <c r="E5" i="77"/>
  <c r="E4" i="76"/>
  <c r="E4" i="77"/>
  <c r="E2" i="76"/>
  <c r="E2" i="77"/>
  <c r="E3" i="76"/>
  <c r="E3" i="77"/>
  <c r="E9" i="34"/>
  <c r="E9" i="36"/>
  <c r="N9" i="36" s="1"/>
  <c r="E4" i="34"/>
  <c r="E4" i="36"/>
  <c r="N4" i="36" s="1"/>
  <c r="E6" i="34"/>
  <c r="E6" i="36"/>
  <c r="N6" i="36" s="1"/>
  <c r="E7" i="34"/>
  <c r="E7" i="36"/>
  <c r="N7" i="36" s="1"/>
  <c r="E11" i="34"/>
  <c r="E11" i="36"/>
  <c r="N11" i="36" s="1"/>
  <c r="E10" i="34"/>
  <c r="E10" i="36"/>
  <c r="N10" i="36" s="1"/>
  <c r="E8" i="34"/>
  <c r="E8" i="36"/>
  <c r="N8" i="36" s="1"/>
  <c r="E5" i="34"/>
  <c r="E5" i="36"/>
  <c r="N5" i="36" s="1"/>
  <c r="E13" i="34"/>
  <c r="E13" i="36"/>
  <c r="N13" i="36" s="1"/>
  <c r="E12" i="34"/>
  <c r="E12" i="36"/>
  <c r="N12" i="36" s="1"/>
  <c r="E3" i="34"/>
  <c r="E3" i="36"/>
  <c r="N3" i="36" s="1"/>
  <c r="E2" i="34"/>
  <c r="E2" i="36"/>
  <c r="F10" i="34"/>
  <c r="F9" i="34"/>
  <c r="F5" i="34"/>
  <c r="F4" i="34"/>
  <c r="F6" i="34"/>
  <c r="F13" i="34"/>
  <c r="F3" i="34"/>
  <c r="F11" i="34"/>
  <c r="F7" i="34"/>
  <c r="F12" i="34"/>
  <c r="F8" i="34"/>
  <c r="K78" i="154"/>
  <c r="U78" i="154" s="1"/>
  <c r="M78" i="155"/>
  <c r="K78" i="153"/>
  <c r="U78" i="153" s="1"/>
  <c r="W78" i="153" s="1"/>
  <c r="E9" i="152"/>
  <c r="K9" i="152" s="1"/>
  <c r="E9" i="151"/>
  <c r="J9" i="151" s="1"/>
  <c r="M9" i="151" s="1"/>
  <c r="E5" i="152"/>
  <c r="K5" i="152" s="1"/>
  <c r="E5" i="151"/>
  <c r="J5" i="151" s="1"/>
  <c r="M5" i="151" s="1"/>
  <c r="E3" i="152"/>
  <c r="K3" i="152" s="1"/>
  <c r="E3" i="151"/>
  <c r="J3" i="151" s="1"/>
  <c r="M3" i="151" s="1"/>
  <c r="E7" i="152"/>
  <c r="K7" i="152" s="1"/>
  <c r="E7" i="151"/>
  <c r="J7" i="151" s="1"/>
  <c r="M7" i="151" s="1"/>
  <c r="E10" i="152"/>
  <c r="K10" i="152" s="1"/>
  <c r="E10" i="151"/>
  <c r="J10" i="151" s="1"/>
  <c r="M10" i="151" s="1"/>
  <c r="E8" i="151"/>
  <c r="J8" i="151" s="1"/>
  <c r="M8" i="151" s="1"/>
  <c r="E8" i="152"/>
  <c r="K8" i="152" s="1"/>
  <c r="E11" i="152"/>
  <c r="K11" i="152" s="1"/>
  <c r="E11" i="151"/>
  <c r="J11" i="151" s="1"/>
  <c r="M11" i="151" s="1"/>
  <c r="E12" i="152"/>
  <c r="K12" i="152" s="1"/>
  <c r="E12" i="151"/>
  <c r="J12" i="151" s="1"/>
  <c r="M12" i="151" s="1"/>
  <c r="E2" i="152"/>
  <c r="K2" i="152" s="1"/>
  <c r="E2" i="151"/>
  <c r="J2" i="151" s="1"/>
  <c r="M2" i="151" s="1"/>
  <c r="E4" i="152"/>
  <c r="K4" i="152" s="1"/>
  <c r="E4" i="151"/>
  <c r="J4" i="151" s="1"/>
  <c r="M4" i="151" s="1"/>
  <c r="E6" i="152"/>
  <c r="K6" i="152" s="1"/>
  <c r="E6" i="151"/>
  <c r="J6" i="151" s="1"/>
  <c r="M6" i="151" s="1"/>
  <c r="E13" i="152"/>
  <c r="K13" i="152" s="1"/>
  <c r="E13" i="151"/>
  <c r="J13" i="151" s="1"/>
  <c r="M13" i="151" s="1"/>
  <c r="F5" i="77"/>
  <c r="F3" i="76"/>
  <c r="F3" i="77"/>
  <c r="F4" i="77"/>
  <c r="F2" i="76"/>
  <c r="F2" i="77"/>
  <c r="Q2" i="77" s="1"/>
  <c r="F5" i="36"/>
  <c r="O5" i="36" s="1"/>
  <c r="F5" i="75"/>
  <c r="F9" i="36"/>
  <c r="O9" i="36" s="1"/>
  <c r="F9" i="75"/>
  <c r="F11" i="36"/>
  <c r="O11" i="36" s="1"/>
  <c r="F11" i="75"/>
  <c r="F6" i="36"/>
  <c r="O6" i="36" s="1"/>
  <c r="F6" i="75"/>
  <c r="F12" i="36"/>
  <c r="O12" i="36" s="1"/>
  <c r="F12" i="75"/>
  <c r="F13" i="36"/>
  <c r="O13" i="36" s="1"/>
  <c r="F13" i="75"/>
  <c r="F8" i="36"/>
  <c r="O8" i="36" s="1"/>
  <c r="F8" i="75"/>
  <c r="F3" i="36"/>
  <c r="O3" i="36" s="1"/>
  <c r="F3" i="75"/>
  <c r="F7" i="36"/>
  <c r="O7" i="36" s="1"/>
  <c r="F7" i="75"/>
  <c r="F10" i="36"/>
  <c r="O10" i="36" s="1"/>
  <c r="F10" i="75"/>
  <c r="F4" i="36"/>
  <c r="O4" i="36" s="1"/>
  <c r="F4" i="75"/>
  <c r="E10" i="75"/>
  <c r="Q10" i="75" s="1"/>
  <c r="E5" i="75"/>
  <c r="Q5" i="75" s="1"/>
  <c r="E13" i="75"/>
  <c r="Q13" i="75" s="1"/>
  <c r="E12" i="75"/>
  <c r="Q12" i="75" s="1"/>
  <c r="E9" i="75"/>
  <c r="Q9" i="75" s="1"/>
  <c r="E3" i="75"/>
  <c r="Q3" i="75" s="1"/>
  <c r="E4" i="75"/>
  <c r="Q4" i="75" s="1"/>
  <c r="E11" i="75"/>
  <c r="Q11" i="75" s="1"/>
  <c r="E8" i="75"/>
  <c r="Q8" i="75" s="1"/>
  <c r="E6" i="75"/>
  <c r="Q6" i="75" s="1"/>
  <c r="E7" i="75"/>
  <c r="Q7" i="75" s="1"/>
  <c r="F2" i="75"/>
  <c r="R2" i="75" s="1"/>
  <c r="F2" i="36"/>
  <c r="O2" i="36" s="1"/>
  <c r="E10" i="38"/>
  <c r="K10" i="38" s="1"/>
  <c r="U10" i="38" s="1"/>
  <c r="E3" i="38"/>
  <c r="K3" i="38" s="1"/>
  <c r="U3" i="38" s="1"/>
  <c r="E12" i="38"/>
  <c r="K12" i="38" s="1"/>
  <c r="U12" i="38" s="1"/>
  <c r="E7" i="38"/>
  <c r="K7" i="38" s="1"/>
  <c r="U7" i="38" s="1"/>
  <c r="E13" i="38"/>
  <c r="K13" i="38" s="1"/>
  <c r="U13" i="38" s="1"/>
  <c r="E4" i="38"/>
  <c r="K4" i="38" s="1"/>
  <c r="U4" i="38" s="1"/>
  <c r="E11" i="38"/>
  <c r="K11" i="38" s="1"/>
  <c r="U11" i="38" s="1"/>
  <c r="E8" i="38"/>
  <c r="K8" i="38" s="1"/>
  <c r="U8" i="38" s="1"/>
  <c r="E5" i="38"/>
  <c r="K5" i="38" s="1"/>
  <c r="U5" i="38" s="1"/>
  <c r="E6" i="38"/>
  <c r="K6" i="38" s="1"/>
  <c r="U6" i="38" s="1"/>
  <c r="E9" i="38"/>
  <c r="K9" i="38" s="1"/>
  <c r="U9" i="38" s="1"/>
  <c r="F8" i="38"/>
  <c r="F9" i="38"/>
  <c r="F5" i="38"/>
  <c r="F3" i="38"/>
  <c r="F7" i="38"/>
  <c r="F11" i="38"/>
  <c r="F2" i="38"/>
  <c r="F10" i="38"/>
  <c r="F6" i="38"/>
  <c r="F4" i="38"/>
  <c r="F13" i="38"/>
  <c r="F12" i="38"/>
  <c r="CM79" i="67"/>
  <c r="F2" i="34"/>
  <c r="AV14" i="4"/>
  <c r="AV28" i="4"/>
  <c r="O6" i="70"/>
  <c r="O11" i="70"/>
  <c r="O4" i="70"/>
  <c r="O5" i="70"/>
  <c r="O14" i="70"/>
  <c r="O8" i="70"/>
  <c r="O12" i="70"/>
  <c r="O13" i="70"/>
  <c r="O9" i="70"/>
  <c r="O7" i="70"/>
  <c r="O10" i="70"/>
  <c r="O12" i="154" l="1"/>
  <c r="E22" i="154"/>
  <c r="O22" i="154" s="1"/>
  <c r="O5" i="154"/>
  <c r="O9" i="154"/>
  <c r="O3" i="154"/>
  <c r="E23" i="155"/>
  <c r="Q11" i="155"/>
  <c r="E16" i="155"/>
  <c r="Q4" i="155"/>
  <c r="E19" i="155"/>
  <c r="Q7" i="155"/>
  <c r="E25" i="155"/>
  <c r="Q13" i="155"/>
  <c r="E15" i="155"/>
  <c r="Q3" i="155"/>
  <c r="E20" i="155"/>
  <c r="Q8" i="155"/>
  <c r="E18" i="155"/>
  <c r="Q6" i="155"/>
  <c r="E22" i="155"/>
  <c r="Q10" i="155"/>
  <c r="E21" i="155"/>
  <c r="Q9" i="155"/>
  <c r="E24" i="155"/>
  <c r="Q12" i="155"/>
  <c r="E17" i="155"/>
  <c r="Q5" i="155"/>
  <c r="E14" i="154"/>
  <c r="O14" i="154" s="1"/>
  <c r="E14" i="155"/>
  <c r="O8" i="154"/>
  <c r="O13" i="154"/>
  <c r="O6" i="154"/>
  <c r="O4" i="154"/>
  <c r="O7" i="154"/>
  <c r="O11" i="154"/>
  <c r="E29" i="154"/>
  <c r="O17" i="154"/>
  <c r="E31" i="154"/>
  <c r="O19" i="154"/>
  <c r="E35" i="154"/>
  <c r="O23" i="154"/>
  <c r="E28" i="154"/>
  <c r="O16" i="154"/>
  <c r="E32" i="154"/>
  <c r="O20" i="154"/>
  <c r="E37" i="154"/>
  <c r="O25" i="154"/>
  <c r="E36" i="154"/>
  <c r="O24" i="154"/>
  <c r="E27" i="154"/>
  <c r="O15" i="154"/>
  <c r="E30" i="154"/>
  <c r="O18" i="154"/>
  <c r="E33" i="154"/>
  <c r="O21" i="154"/>
  <c r="P2" i="154"/>
  <c r="W2" i="154" s="1"/>
  <c r="U3" i="36"/>
  <c r="U13" i="36"/>
  <c r="U7" i="36"/>
  <c r="U4" i="36"/>
  <c r="U8" i="36"/>
  <c r="U10" i="36"/>
  <c r="U6" i="36"/>
  <c r="U5" i="36"/>
  <c r="U11" i="36"/>
  <c r="U12" i="36"/>
  <c r="U9" i="36"/>
  <c r="K79" i="154"/>
  <c r="U79" i="154" s="1"/>
  <c r="M79" i="155"/>
  <c r="K79" i="153"/>
  <c r="U79" i="153" s="1"/>
  <c r="W79" i="153" s="1"/>
  <c r="P8" i="154"/>
  <c r="F20" i="154"/>
  <c r="R8" i="155"/>
  <c r="Y8" i="155" s="1"/>
  <c r="F20" i="155"/>
  <c r="F25" i="155"/>
  <c r="R13" i="155"/>
  <c r="Y13" i="155" s="1"/>
  <c r="P13" i="154"/>
  <c r="F25" i="154"/>
  <c r="P4" i="154"/>
  <c r="F16" i="154"/>
  <c r="R4" i="155"/>
  <c r="Y4" i="155" s="1"/>
  <c r="F16" i="155"/>
  <c r="P10" i="154"/>
  <c r="W10" i="154" s="1"/>
  <c r="F22" i="154"/>
  <c r="R10" i="155"/>
  <c r="Y10" i="155" s="1"/>
  <c r="F22" i="155"/>
  <c r="P12" i="154"/>
  <c r="F24" i="154"/>
  <c r="P7" i="154"/>
  <c r="F19" i="154"/>
  <c r="R12" i="155"/>
  <c r="Y12" i="155" s="1"/>
  <c r="F24" i="155"/>
  <c r="F19" i="155"/>
  <c r="R7" i="155"/>
  <c r="Y7" i="155" s="1"/>
  <c r="P6" i="154"/>
  <c r="F18" i="154"/>
  <c r="R6" i="155"/>
  <c r="Y6" i="155" s="1"/>
  <c r="F18" i="155"/>
  <c r="R2" i="155"/>
  <c r="Y2" i="155" s="1"/>
  <c r="F14" i="155"/>
  <c r="F23" i="155"/>
  <c r="R11" i="155"/>
  <c r="Y11" i="155" s="1"/>
  <c r="F15" i="155"/>
  <c r="R3" i="155"/>
  <c r="Y3" i="155" s="1"/>
  <c r="P11" i="154"/>
  <c r="F23" i="154"/>
  <c r="P3" i="154"/>
  <c r="F15" i="154"/>
  <c r="F17" i="155"/>
  <c r="R5" i="155"/>
  <c r="Y5" i="155" s="1"/>
  <c r="F21" i="155"/>
  <c r="R9" i="155"/>
  <c r="Y9" i="155" s="1"/>
  <c r="P5" i="154"/>
  <c r="F17" i="154"/>
  <c r="P9" i="154"/>
  <c r="F21" i="154"/>
  <c r="F16" i="77"/>
  <c r="Q4" i="77"/>
  <c r="E23" i="77"/>
  <c r="P11" i="77"/>
  <c r="E24" i="77"/>
  <c r="P12" i="77"/>
  <c r="E15" i="77"/>
  <c r="P3" i="77"/>
  <c r="E21" i="77"/>
  <c r="P9" i="77"/>
  <c r="F22" i="77"/>
  <c r="Q10" i="77"/>
  <c r="E25" i="77"/>
  <c r="P13" i="77"/>
  <c r="E16" i="77"/>
  <c r="P4" i="77"/>
  <c r="F17" i="77"/>
  <c r="Q5" i="77"/>
  <c r="E22" i="77"/>
  <c r="P10" i="77"/>
  <c r="F20" i="77"/>
  <c r="Q8" i="77"/>
  <c r="F25" i="77"/>
  <c r="Q13" i="77"/>
  <c r="F23" i="77"/>
  <c r="Q11" i="77"/>
  <c r="F21" i="77"/>
  <c r="Q9" i="77"/>
  <c r="E20" i="77"/>
  <c r="P8" i="77"/>
  <c r="E17" i="77"/>
  <c r="P5" i="77"/>
  <c r="F19" i="77"/>
  <c r="Q7" i="77"/>
  <c r="F24" i="77"/>
  <c r="Q12" i="77"/>
  <c r="E19" i="77"/>
  <c r="P7" i="77"/>
  <c r="F15" i="77"/>
  <c r="Q3" i="77"/>
  <c r="F18" i="77"/>
  <c r="Q6" i="77"/>
  <c r="E18" i="77"/>
  <c r="P6" i="77"/>
  <c r="E25" i="151"/>
  <c r="J25" i="151" s="1"/>
  <c r="M25" i="151" s="1"/>
  <c r="E25" i="152"/>
  <c r="K25" i="152" s="1"/>
  <c r="N13" i="152"/>
  <c r="E23" i="151"/>
  <c r="J23" i="151" s="1"/>
  <c r="M23" i="151" s="1"/>
  <c r="E23" i="152"/>
  <c r="K23" i="152" s="1"/>
  <c r="N11" i="152"/>
  <c r="E18" i="151"/>
  <c r="J18" i="151" s="1"/>
  <c r="M18" i="151" s="1"/>
  <c r="E19" i="151"/>
  <c r="J19" i="151" s="1"/>
  <c r="M19" i="151" s="1"/>
  <c r="E18" i="152"/>
  <c r="K18" i="152" s="1"/>
  <c r="N6" i="152"/>
  <c r="E19" i="152"/>
  <c r="K19" i="152" s="1"/>
  <c r="N7" i="152"/>
  <c r="E16" i="151"/>
  <c r="J16" i="151" s="1"/>
  <c r="M16" i="151" s="1"/>
  <c r="E20" i="152"/>
  <c r="K20" i="152" s="1"/>
  <c r="N8" i="152"/>
  <c r="E15" i="151"/>
  <c r="J15" i="151" s="1"/>
  <c r="M15" i="151" s="1"/>
  <c r="E16" i="152"/>
  <c r="K16" i="152" s="1"/>
  <c r="N4" i="152"/>
  <c r="E20" i="151"/>
  <c r="J20" i="151" s="1"/>
  <c r="M20" i="151" s="1"/>
  <c r="E15" i="152"/>
  <c r="K15" i="152" s="1"/>
  <c r="N3" i="152"/>
  <c r="E14" i="151"/>
  <c r="J14" i="151" s="1"/>
  <c r="M14" i="151" s="1"/>
  <c r="E17" i="151"/>
  <c r="J17" i="151" s="1"/>
  <c r="M17" i="151" s="1"/>
  <c r="E14" i="152"/>
  <c r="K14" i="152" s="1"/>
  <c r="N2" i="152"/>
  <c r="E17" i="152"/>
  <c r="K17" i="152" s="1"/>
  <c r="N5" i="152"/>
  <c r="E24" i="151"/>
  <c r="J24" i="151" s="1"/>
  <c r="M24" i="151" s="1"/>
  <c r="E22" i="151"/>
  <c r="J22" i="151" s="1"/>
  <c r="M22" i="151" s="1"/>
  <c r="E21" i="151"/>
  <c r="J21" i="151" s="1"/>
  <c r="M21" i="151" s="1"/>
  <c r="N12" i="152"/>
  <c r="E24" i="152"/>
  <c r="K24" i="152" s="1"/>
  <c r="N10" i="152"/>
  <c r="E22" i="152"/>
  <c r="K22" i="152" s="1"/>
  <c r="E21" i="152"/>
  <c r="K21" i="152" s="1"/>
  <c r="N9" i="152"/>
  <c r="F14" i="77"/>
  <c r="O10" i="38"/>
  <c r="O5" i="38"/>
  <c r="O3" i="38"/>
  <c r="O6" i="38"/>
  <c r="O7" i="38"/>
  <c r="O9" i="38"/>
  <c r="O13" i="38"/>
  <c r="O12" i="38"/>
  <c r="O8" i="38"/>
  <c r="O11" i="38"/>
  <c r="O4" i="38"/>
  <c r="R3" i="75"/>
  <c r="R9" i="75"/>
  <c r="R12" i="75"/>
  <c r="R8" i="75"/>
  <c r="R6" i="75"/>
  <c r="R7" i="75"/>
  <c r="R13" i="75"/>
  <c r="R11" i="75"/>
  <c r="R4" i="75"/>
  <c r="R10" i="75"/>
  <c r="R5" i="75"/>
  <c r="Y5" i="75" s="1"/>
  <c r="P10" i="38"/>
  <c r="L10" i="38"/>
  <c r="V10" i="38" s="1"/>
  <c r="P11" i="38"/>
  <c r="L11" i="38"/>
  <c r="V11" i="38" s="1"/>
  <c r="P7" i="38"/>
  <c r="L7" i="38"/>
  <c r="V7" i="38" s="1"/>
  <c r="P3" i="38"/>
  <c r="L3" i="38"/>
  <c r="V3" i="38" s="1"/>
  <c r="P12" i="38"/>
  <c r="L12" i="38"/>
  <c r="V12" i="38" s="1"/>
  <c r="P13" i="38"/>
  <c r="L13" i="38"/>
  <c r="V13" i="38" s="1"/>
  <c r="P5" i="38"/>
  <c r="L5" i="38"/>
  <c r="V5" i="38" s="1"/>
  <c r="P4" i="38"/>
  <c r="L4" i="38"/>
  <c r="V4" i="38" s="1"/>
  <c r="P9" i="38"/>
  <c r="L9" i="38"/>
  <c r="V9" i="38" s="1"/>
  <c r="P6" i="38"/>
  <c r="L6" i="38"/>
  <c r="V6" i="38" s="1"/>
  <c r="P8" i="38"/>
  <c r="L8" i="38"/>
  <c r="V8" i="38" s="1"/>
  <c r="P2" i="38"/>
  <c r="L2" i="38"/>
  <c r="V2" i="38" s="1"/>
  <c r="F20" i="38"/>
  <c r="L20" i="38" s="1"/>
  <c r="V20" i="38" s="1"/>
  <c r="F17" i="38"/>
  <c r="L17" i="38" s="1"/>
  <c r="V17" i="38" s="1"/>
  <c r="F15" i="38"/>
  <c r="E16" i="38"/>
  <c r="E15" i="38"/>
  <c r="F22" i="38"/>
  <c r="L22" i="38" s="1"/>
  <c r="V22" i="38" s="1"/>
  <c r="E23" i="38"/>
  <c r="K23" i="38" s="1"/>
  <c r="U23" i="38" s="1"/>
  <c r="E17" i="38"/>
  <c r="K17" i="38" s="1"/>
  <c r="U17" i="38" s="1"/>
  <c r="F19" i="38"/>
  <c r="L19" i="38" s="1"/>
  <c r="V19" i="38" s="1"/>
  <c r="F14" i="38"/>
  <c r="F21" i="38"/>
  <c r="L21" i="38" s="1"/>
  <c r="V21" i="38" s="1"/>
  <c r="E24" i="38"/>
  <c r="K24" i="38" s="1"/>
  <c r="U24" i="38" s="1"/>
  <c r="F23" i="38"/>
  <c r="L23" i="38" s="1"/>
  <c r="V23" i="38" s="1"/>
  <c r="E25" i="38"/>
  <c r="K25" i="38" s="1"/>
  <c r="U25" i="38" s="1"/>
  <c r="E20" i="38"/>
  <c r="K20" i="38" s="1"/>
  <c r="U20" i="38" s="1"/>
  <c r="F24" i="38"/>
  <c r="L24" i="38" s="1"/>
  <c r="V24" i="38" s="1"/>
  <c r="E21" i="38"/>
  <c r="K21" i="38" s="1"/>
  <c r="U21" i="38" s="1"/>
  <c r="E19" i="38"/>
  <c r="K19" i="38" s="1"/>
  <c r="U19" i="38" s="1"/>
  <c r="F18" i="38"/>
  <c r="L18" i="38" s="1"/>
  <c r="V18" i="38" s="1"/>
  <c r="F16" i="38"/>
  <c r="L16" i="38" s="1"/>
  <c r="V16" i="38" s="1"/>
  <c r="E18" i="38"/>
  <c r="K18" i="38" s="1"/>
  <c r="U18" i="38" s="1"/>
  <c r="E22" i="38"/>
  <c r="K22" i="38" s="1"/>
  <c r="U22" i="38" s="1"/>
  <c r="F25" i="38"/>
  <c r="L25" i="38" s="1"/>
  <c r="V25" i="38" s="1"/>
  <c r="E17" i="76"/>
  <c r="O5" i="76"/>
  <c r="F20" i="76"/>
  <c r="P8" i="76"/>
  <c r="F18" i="76"/>
  <c r="P6" i="76"/>
  <c r="F23" i="76"/>
  <c r="P11" i="76"/>
  <c r="E24" i="76"/>
  <c r="O12" i="76"/>
  <c r="E20" i="76"/>
  <c r="O8" i="76"/>
  <c r="E15" i="76"/>
  <c r="O3" i="76"/>
  <c r="F24" i="76"/>
  <c r="P12" i="76"/>
  <c r="F25" i="76"/>
  <c r="P13" i="76"/>
  <c r="E19" i="76"/>
  <c r="O7" i="76"/>
  <c r="F19" i="76"/>
  <c r="P7" i="76"/>
  <c r="F16" i="76"/>
  <c r="P4" i="76"/>
  <c r="E22" i="76"/>
  <c r="O10" i="76"/>
  <c r="E23" i="76"/>
  <c r="O11" i="76"/>
  <c r="F22" i="76"/>
  <c r="P10" i="76"/>
  <c r="F15" i="76"/>
  <c r="P3" i="76"/>
  <c r="E18" i="76"/>
  <c r="O6" i="76"/>
  <c r="F17" i="76"/>
  <c r="P5" i="76"/>
  <c r="E25" i="76"/>
  <c r="O13" i="76"/>
  <c r="E21" i="76"/>
  <c r="O9" i="76"/>
  <c r="E16" i="76"/>
  <c r="O4" i="76"/>
  <c r="F14" i="76"/>
  <c r="P2" i="76"/>
  <c r="F21" i="76"/>
  <c r="P9" i="76"/>
  <c r="F14" i="75"/>
  <c r="F24" i="75"/>
  <c r="F20" i="75"/>
  <c r="F23" i="75"/>
  <c r="F21" i="75"/>
  <c r="F18" i="75"/>
  <c r="E24" i="75"/>
  <c r="E22" i="75"/>
  <c r="E25" i="75"/>
  <c r="F19" i="75"/>
  <c r="F25" i="75"/>
  <c r="E23" i="75"/>
  <c r="E16" i="75"/>
  <c r="F16" i="75"/>
  <c r="E19" i="75"/>
  <c r="E17" i="75"/>
  <c r="F22" i="75"/>
  <c r="E20" i="75"/>
  <c r="F15" i="75"/>
  <c r="E15" i="75"/>
  <c r="E18" i="75"/>
  <c r="E21" i="75"/>
  <c r="F17" i="75"/>
  <c r="F15" i="36"/>
  <c r="O15" i="36" s="1"/>
  <c r="E21" i="36"/>
  <c r="N21" i="36" s="1"/>
  <c r="F20" i="36"/>
  <c r="O20" i="36" s="1"/>
  <c r="F19" i="36"/>
  <c r="O19" i="36" s="1"/>
  <c r="E22" i="36"/>
  <c r="N22" i="36" s="1"/>
  <c r="F16" i="36"/>
  <c r="O16" i="36" s="1"/>
  <c r="E15" i="36"/>
  <c r="N15" i="36" s="1"/>
  <c r="F25" i="36"/>
  <c r="O25" i="36" s="1"/>
  <c r="E16" i="36"/>
  <c r="N16" i="36" s="1"/>
  <c r="E19" i="36"/>
  <c r="N19" i="36" s="1"/>
  <c r="E20" i="36"/>
  <c r="N20" i="36" s="1"/>
  <c r="E23" i="36"/>
  <c r="N23" i="36" s="1"/>
  <c r="F23" i="36"/>
  <c r="O23" i="36" s="1"/>
  <c r="F22" i="36"/>
  <c r="O22" i="36" s="1"/>
  <c r="E25" i="36"/>
  <c r="N25" i="36" s="1"/>
  <c r="E18" i="36"/>
  <c r="N18" i="36" s="1"/>
  <c r="F24" i="36"/>
  <c r="O24" i="36" s="1"/>
  <c r="F21" i="36"/>
  <c r="O21" i="36" s="1"/>
  <c r="E17" i="36"/>
  <c r="N17" i="36" s="1"/>
  <c r="F17" i="36"/>
  <c r="O17" i="36" s="1"/>
  <c r="F18" i="36"/>
  <c r="O18" i="36" s="1"/>
  <c r="E24" i="36"/>
  <c r="N24" i="36" s="1"/>
  <c r="F14" i="36"/>
  <c r="O14" i="36" s="1"/>
  <c r="E22" i="34"/>
  <c r="M10" i="34"/>
  <c r="F21" i="34"/>
  <c r="N9" i="34"/>
  <c r="F17" i="34"/>
  <c r="N5" i="34"/>
  <c r="E24" i="34"/>
  <c r="M12" i="34"/>
  <c r="E20" i="34"/>
  <c r="M8" i="34"/>
  <c r="E15" i="34"/>
  <c r="M3" i="34"/>
  <c r="F22" i="34"/>
  <c r="N10" i="34"/>
  <c r="F20" i="34"/>
  <c r="N8" i="34"/>
  <c r="F25" i="34"/>
  <c r="N13" i="34"/>
  <c r="F19" i="34"/>
  <c r="N7" i="34"/>
  <c r="E19" i="34"/>
  <c r="M7" i="34"/>
  <c r="E23" i="34"/>
  <c r="M11" i="34"/>
  <c r="F24" i="34"/>
  <c r="N12" i="34"/>
  <c r="E21" i="34"/>
  <c r="M9" i="34"/>
  <c r="E16" i="34"/>
  <c r="M4" i="34"/>
  <c r="F23" i="34"/>
  <c r="N11" i="34"/>
  <c r="F14" i="34"/>
  <c r="N2" i="34"/>
  <c r="E25" i="34"/>
  <c r="M13" i="34"/>
  <c r="E18" i="34"/>
  <c r="M6" i="34"/>
  <c r="F16" i="34"/>
  <c r="N4" i="34"/>
  <c r="F18" i="34"/>
  <c r="N6" i="34"/>
  <c r="E17" i="34"/>
  <c r="M5" i="34"/>
  <c r="F15" i="34"/>
  <c r="N3" i="34"/>
  <c r="CM80" i="67"/>
  <c r="AP34" i="4"/>
  <c r="AV29" i="4"/>
  <c r="AO34" i="4"/>
  <c r="AV15" i="4"/>
  <c r="W12" i="154" l="1"/>
  <c r="E34" i="154"/>
  <c r="E46" i="154" s="1"/>
  <c r="W5" i="154"/>
  <c r="W9" i="154"/>
  <c r="W3" i="154"/>
  <c r="E26" i="154"/>
  <c r="O26" i="154" s="1"/>
  <c r="W6" i="154"/>
  <c r="W4" i="154"/>
  <c r="W13" i="154"/>
  <c r="W8" i="154"/>
  <c r="E34" i="155"/>
  <c r="Q22" i="155"/>
  <c r="E30" i="155"/>
  <c r="Q18" i="155"/>
  <c r="E32" i="155"/>
  <c r="Q20" i="155"/>
  <c r="E27" i="155"/>
  <c r="Q15" i="155"/>
  <c r="E26" i="155"/>
  <c r="Q14" i="155"/>
  <c r="E37" i="155"/>
  <c r="Q25" i="155"/>
  <c r="E29" i="155"/>
  <c r="Q17" i="155"/>
  <c r="E31" i="155"/>
  <c r="Q19" i="155"/>
  <c r="E36" i="155"/>
  <c r="Q24" i="155"/>
  <c r="E28" i="155"/>
  <c r="Q16" i="155"/>
  <c r="E33" i="155"/>
  <c r="Q21" i="155"/>
  <c r="E35" i="155"/>
  <c r="Q23" i="155"/>
  <c r="W11" i="154"/>
  <c r="W7" i="154"/>
  <c r="E49" i="154"/>
  <c r="O37" i="154"/>
  <c r="E44" i="154"/>
  <c r="O32" i="154"/>
  <c r="E40" i="154"/>
  <c r="O28" i="154"/>
  <c r="E45" i="154"/>
  <c r="O33" i="154"/>
  <c r="E47" i="154"/>
  <c r="O35" i="154"/>
  <c r="E42" i="154"/>
  <c r="O30" i="154"/>
  <c r="E43" i="154"/>
  <c r="O31" i="154"/>
  <c r="E39" i="154"/>
  <c r="O27" i="154"/>
  <c r="E48" i="154"/>
  <c r="O36" i="154"/>
  <c r="E41" i="154"/>
  <c r="O29" i="154"/>
  <c r="U16" i="36"/>
  <c r="U24" i="36"/>
  <c r="U22" i="36"/>
  <c r="U20" i="36"/>
  <c r="U19" i="36"/>
  <c r="U21" i="36"/>
  <c r="U25" i="36"/>
  <c r="U23" i="36"/>
  <c r="U15" i="36"/>
  <c r="U17" i="36"/>
  <c r="U18" i="36"/>
  <c r="M80" i="155"/>
  <c r="K80" i="153"/>
  <c r="U80" i="153" s="1"/>
  <c r="W80" i="153" s="1"/>
  <c r="K80" i="154"/>
  <c r="U80" i="154" s="1"/>
  <c r="AY48" i="17"/>
  <c r="BA48" i="17" s="1"/>
  <c r="AN48" i="17"/>
  <c r="P21" i="154"/>
  <c r="W21" i="154" s="1"/>
  <c r="F33" i="154"/>
  <c r="R14" i="155"/>
  <c r="Y14" i="155" s="1"/>
  <c r="F26" i="155"/>
  <c r="R22" i="155"/>
  <c r="Y22" i="155" s="1"/>
  <c r="F34" i="155"/>
  <c r="P17" i="154"/>
  <c r="W17" i="154" s="1"/>
  <c r="F29" i="154"/>
  <c r="R18" i="155"/>
  <c r="Y18" i="155" s="1"/>
  <c r="F30" i="155"/>
  <c r="P22" i="154"/>
  <c r="W22" i="154" s="1"/>
  <c r="F34" i="154"/>
  <c r="P18" i="154"/>
  <c r="W18" i="154" s="1"/>
  <c r="F30" i="154"/>
  <c r="R16" i="155"/>
  <c r="Y16" i="155" s="1"/>
  <c r="F28" i="155"/>
  <c r="F33" i="155"/>
  <c r="R21" i="155"/>
  <c r="Y21" i="155" s="1"/>
  <c r="P14" i="154"/>
  <c r="W14" i="154" s="1"/>
  <c r="F26" i="154"/>
  <c r="P16" i="154"/>
  <c r="W16" i="154" s="1"/>
  <c r="F28" i="154"/>
  <c r="F29" i="155"/>
  <c r="R17" i="155"/>
  <c r="Y17" i="155" s="1"/>
  <c r="P15" i="154"/>
  <c r="W15" i="154" s="1"/>
  <c r="F27" i="154"/>
  <c r="P25" i="154"/>
  <c r="W25" i="154" s="1"/>
  <c r="F37" i="154"/>
  <c r="F31" i="155"/>
  <c r="R19" i="155"/>
  <c r="Y19" i="155" s="1"/>
  <c r="P23" i="154"/>
  <c r="W23" i="154" s="1"/>
  <c r="F35" i="154"/>
  <c r="R24" i="155"/>
  <c r="Y24" i="155" s="1"/>
  <c r="F36" i="155"/>
  <c r="F37" i="155"/>
  <c r="R25" i="155"/>
  <c r="Y25" i="155" s="1"/>
  <c r="P19" i="154"/>
  <c r="W19" i="154" s="1"/>
  <c r="F31" i="154"/>
  <c r="R20" i="155"/>
  <c r="Y20" i="155" s="1"/>
  <c r="F32" i="155"/>
  <c r="F27" i="155"/>
  <c r="R15" i="155"/>
  <c r="Y15" i="155" s="1"/>
  <c r="P24" i="154"/>
  <c r="W24" i="154" s="1"/>
  <c r="F36" i="154"/>
  <c r="P20" i="154"/>
  <c r="W20" i="154" s="1"/>
  <c r="F32" i="154"/>
  <c r="F35" i="155"/>
  <c r="R23" i="155"/>
  <c r="Y23" i="155" s="1"/>
  <c r="E29" i="77"/>
  <c r="P17" i="77"/>
  <c r="E28" i="77"/>
  <c r="P16" i="77"/>
  <c r="E32" i="77"/>
  <c r="P20" i="77"/>
  <c r="E37" i="77"/>
  <c r="P25" i="77"/>
  <c r="E30" i="77"/>
  <c r="P18" i="77"/>
  <c r="F33" i="77"/>
  <c r="Q21" i="77"/>
  <c r="F34" i="77"/>
  <c r="Q22" i="77"/>
  <c r="F30" i="77"/>
  <c r="Q18" i="77"/>
  <c r="F35" i="77"/>
  <c r="Q23" i="77"/>
  <c r="E33" i="77"/>
  <c r="P21" i="77"/>
  <c r="F27" i="77"/>
  <c r="Q15" i="77"/>
  <c r="F37" i="77"/>
  <c r="Q25" i="77"/>
  <c r="E27" i="77"/>
  <c r="P15" i="77"/>
  <c r="E31" i="77"/>
  <c r="P19" i="77"/>
  <c r="F32" i="77"/>
  <c r="Q20" i="77"/>
  <c r="E36" i="77"/>
  <c r="P24" i="77"/>
  <c r="F36" i="77"/>
  <c r="Q24" i="77"/>
  <c r="E34" i="77"/>
  <c r="P22" i="77"/>
  <c r="E35" i="77"/>
  <c r="P23" i="77"/>
  <c r="F31" i="77"/>
  <c r="Q19" i="77"/>
  <c r="F29" i="77"/>
  <c r="Q17" i="77"/>
  <c r="F28" i="77"/>
  <c r="Q16" i="77"/>
  <c r="F26" i="77"/>
  <c r="Q14" i="77"/>
  <c r="N17" i="152"/>
  <c r="E29" i="152"/>
  <c r="K29" i="152" s="1"/>
  <c r="E28" i="152"/>
  <c r="K28" i="152" s="1"/>
  <c r="N16" i="152"/>
  <c r="E27" i="151"/>
  <c r="J27" i="151" s="1"/>
  <c r="M27" i="151" s="1"/>
  <c r="E35" i="152"/>
  <c r="K35" i="152" s="1"/>
  <c r="N23" i="152"/>
  <c r="N25" i="152"/>
  <c r="E37" i="152"/>
  <c r="K37" i="152" s="1"/>
  <c r="P2" i="77"/>
  <c r="W2" i="77" s="1"/>
  <c r="E33" i="152"/>
  <c r="K33" i="152" s="1"/>
  <c r="N21" i="152"/>
  <c r="E26" i="152"/>
  <c r="K26" i="152" s="1"/>
  <c r="N14" i="152"/>
  <c r="N20" i="152"/>
  <c r="E32" i="152"/>
  <c r="K32" i="152" s="1"/>
  <c r="E31" i="152"/>
  <c r="K31" i="152" s="1"/>
  <c r="N19" i="152"/>
  <c r="E34" i="152"/>
  <c r="K34" i="152" s="1"/>
  <c r="N22" i="152"/>
  <c r="E29" i="151"/>
  <c r="J29" i="151" s="1"/>
  <c r="M29" i="151" s="1"/>
  <c r="E28" i="151"/>
  <c r="J28" i="151" s="1"/>
  <c r="M28" i="151" s="1"/>
  <c r="N24" i="152"/>
  <c r="E36" i="152"/>
  <c r="K36" i="152" s="1"/>
  <c r="E37" i="151"/>
  <c r="J37" i="151" s="1"/>
  <c r="M37" i="151" s="1"/>
  <c r="E30" i="152"/>
  <c r="K30" i="152" s="1"/>
  <c r="N18" i="152"/>
  <c r="E35" i="151"/>
  <c r="J35" i="151" s="1"/>
  <c r="M35" i="151" s="1"/>
  <c r="E33" i="151"/>
  <c r="J33" i="151" s="1"/>
  <c r="M33" i="151" s="1"/>
  <c r="E26" i="151"/>
  <c r="J26" i="151" s="1"/>
  <c r="M26" i="151" s="1"/>
  <c r="E31" i="151"/>
  <c r="J31" i="151" s="1"/>
  <c r="M31" i="151" s="1"/>
  <c r="E34" i="151"/>
  <c r="J34" i="151" s="1"/>
  <c r="M34" i="151" s="1"/>
  <c r="E27" i="152"/>
  <c r="K27" i="152" s="1"/>
  <c r="N15" i="152"/>
  <c r="E32" i="151"/>
  <c r="J32" i="151" s="1"/>
  <c r="M32" i="151" s="1"/>
  <c r="E36" i="151"/>
  <c r="J36" i="151" s="1"/>
  <c r="M36" i="151" s="1"/>
  <c r="E30" i="151"/>
  <c r="J30" i="151" s="1"/>
  <c r="M30" i="151" s="1"/>
  <c r="N2" i="36"/>
  <c r="U2" i="36" s="1"/>
  <c r="O2" i="76"/>
  <c r="E2" i="75"/>
  <c r="Q2" i="75" s="1"/>
  <c r="E35" i="75"/>
  <c r="Q23" i="75"/>
  <c r="E36" i="75"/>
  <c r="Q24" i="75"/>
  <c r="E33" i="75"/>
  <c r="Q21" i="75"/>
  <c r="E37" i="75"/>
  <c r="Q25" i="75"/>
  <c r="E34" i="75"/>
  <c r="Q22" i="75"/>
  <c r="E32" i="75"/>
  <c r="Q20" i="75"/>
  <c r="E31" i="75"/>
  <c r="Q19" i="75"/>
  <c r="E30" i="75"/>
  <c r="Q18" i="75"/>
  <c r="E27" i="75"/>
  <c r="Q15" i="75"/>
  <c r="E29" i="75"/>
  <c r="Q17" i="75"/>
  <c r="E28" i="75"/>
  <c r="Q16" i="75"/>
  <c r="Y11" i="75"/>
  <c r="Y13" i="75"/>
  <c r="Y12" i="75"/>
  <c r="R17" i="75"/>
  <c r="R22" i="75"/>
  <c r="R14" i="75"/>
  <c r="R16" i="75"/>
  <c r="R19" i="75"/>
  <c r="R25" i="75"/>
  <c r="R18" i="75"/>
  <c r="R21" i="75"/>
  <c r="R23" i="75"/>
  <c r="R15" i="75"/>
  <c r="R20" i="75"/>
  <c r="R24" i="75"/>
  <c r="F26" i="75"/>
  <c r="F34" i="75"/>
  <c r="F29" i="75"/>
  <c r="F28" i="75"/>
  <c r="F30" i="75"/>
  <c r="F33" i="75"/>
  <c r="F27" i="75"/>
  <c r="F37" i="75"/>
  <c r="F32" i="75"/>
  <c r="F35" i="75"/>
  <c r="F31" i="75"/>
  <c r="F36" i="75"/>
  <c r="E2" i="38"/>
  <c r="O2" i="38" s="1"/>
  <c r="W8" i="38"/>
  <c r="W4" i="38"/>
  <c r="W5" i="38"/>
  <c r="W3" i="38"/>
  <c r="W13" i="38"/>
  <c r="W7" i="38"/>
  <c r="W6" i="38"/>
  <c r="W12" i="38"/>
  <c r="W11" i="38"/>
  <c r="W9" i="38"/>
  <c r="W10" i="38"/>
  <c r="O15" i="38"/>
  <c r="K15" i="38"/>
  <c r="U15" i="38" s="1"/>
  <c r="O16" i="38"/>
  <c r="K16" i="38"/>
  <c r="U16" i="38" s="1"/>
  <c r="P15" i="38"/>
  <c r="L15" i="38"/>
  <c r="V15" i="38" s="1"/>
  <c r="P14" i="38"/>
  <c r="L14" i="38"/>
  <c r="V14" i="38" s="1"/>
  <c r="F26" i="36"/>
  <c r="O26" i="36" s="1"/>
  <c r="F37" i="36"/>
  <c r="O37" i="36" s="1"/>
  <c r="E27" i="36"/>
  <c r="N27" i="36" s="1"/>
  <c r="F30" i="36"/>
  <c r="O30" i="36" s="1"/>
  <c r="F35" i="36"/>
  <c r="O35" i="36" s="1"/>
  <c r="F28" i="36"/>
  <c r="O28" i="36" s="1"/>
  <c r="F34" i="36"/>
  <c r="O34" i="36" s="1"/>
  <c r="F29" i="36"/>
  <c r="O29" i="36" s="1"/>
  <c r="E35" i="36"/>
  <c r="N35" i="36" s="1"/>
  <c r="E34" i="36"/>
  <c r="N34" i="36" s="1"/>
  <c r="F31" i="36"/>
  <c r="O31" i="36" s="1"/>
  <c r="E36" i="36"/>
  <c r="N36" i="36" s="1"/>
  <c r="F33" i="36"/>
  <c r="O33" i="36" s="1"/>
  <c r="E31" i="36"/>
  <c r="N31" i="36" s="1"/>
  <c r="F32" i="36"/>
  <c r="O32" i="36" s="1"/>
  <c r="F36" i="36"/>
  <c r="O36" i="36" s="1"/>
  <c r="E28" i="36"/>
  <c r="N28" i="36" s="1"/>
  <c r="E33" i="36"/>
  <c r="N33" i="36" s="1"/>
  <c r="E32" i="36"/>
  <c r="N32" i="36" s="1"/>
  <c r="E37" i="36"/>
  <c r="N37" i="36" s="1"/>
  <c r="E29" i="36"/>
  <c r="N29" i="36" s="1"/>
  <c r="E30" i="36"/>
  <c r="N30" i="36" s="1"/>
  <c r="F27" i="36"/>
  <c r="O27" i="36" s="1"/>
  <c r="CM81" i="67"/>
  <c r="O3" i="70"/>
  <c r="O34" i="154" l="1"/>
  <c r="E38" i="154"/>
  <c r="E50" i="154" s="1"/>
  <c r="AY6" i="17"/>
  <c r="E43" i="155"/>
  <c r="Q31" i="155"/>
  <c r="E41" i="155"/>
  <c r="Q29" i="155"/>
  <c r="E49" i="155"/>
  <c r="Q37" i="155"/>
  <c r="E38" i="155"/>
  <c r="Q26" i="155"/>
  <c r="E47" i="155"/>
  <c r="Q35" i="155"/>
  <c r="E39" i="155"/>
  <c r="Q27" i="155"/>
  <c r="E45" i="155"/>
  <c r="Q33" i="155"/>
  <c r="E44" i="155"/>
  <c r="Q32" i="155"/>
  <c r="E40" i="155"/>
  <c r="Q28" i="155"/>
  <c r="E42" i="155"/>
  <c r="Q30" i="155"/>
  <c r="E48" i="155"/>
  <c r="Q36" i="155"/>
  <c r="E46" i="155"/>
  <c r="Q34" i="155"/>
  <c r="E55" i="154"/>
  <c r="O43" i="154"/>
  <c r="E54" i="154"/>
  <c r="O42" i="154"/>
  <c r="E59" i="154"/>
  <c r="O47" i="154"/>
  <c r="E57" i="154"/>
  <c r="O45" i="154"/>
  <c r="E53" i="154"/>
  <c r="O41" i="154"/>
  <c r="E60" i="154"/>
  <c r="O48" i="154"/>
  <c r="E52" i="154"/>
  <c r="O40" i="154"/>
  <c r="E58" i="154"/>
  <c r="O46" i="154"/>
  <c r="E56" i="154"/>
  <c r="O44" i="154"/>
  <c r="E51" i="154"/>
  <c r="O39" i="154"/>
  <c r="E61" i="154"/>
  <c r="O49" i="154"/>
  <c r="U34" i="36"/>
  <c r="U31" i="36"/>
  <c r="U29" i="36"/>
  <c r="U28" i="36"/>
  <c r="U36" i="36"/>
  <c r="U37" i="36"/>
  <c r="U27" i="36"/>
  <c r="U30" i="36"/>
  <c r="U32" i="36"/>
  <c r="U33" i="36"/>
  <c r="U35" i="36"/>
  <c r="M81" i="155"/>
  <c r="K81" i="154"/>
  <c r="U81" i="154" s="1"/>
  <c r="K81" i="153"/>
  <c r="U81" i="153" s="1"/>
  <c r="W81" i="153" s="1"/>
  <c r="BC48" i="17"/>
  <c r="C7" i="74" s="1"/>
  <c r="AY49" i="17"/>
  <c r="BA49" i="17" s="1"/>
  <c r="AN49" i="17"/>
  <c r="AY7" i="17"/>
  <c r="P35" i="154"/>
  <c r="W35" i="154" s="1"/>
  <c r="F47" i="154"/>
  <c r="R28" i="155"/>
  <c r="Y28" i="155" s="1"/>
  <c r="F40" i="155"/>
  <c r="F47" i="155"/>
  <c r="R35" i="155"/>
  <c r="Y35" i="155" s="1"/>
  <c r="P32" i="154"/>
  <c r="W32" i="154" s="1"/>
  <c r="F44" i="154"/>
  <c r="P30" i="154"/>
  <c r="W30" i="154" s="1"/>
  <c r="F42" i="154"/>
  <c r="F43" i="155"/>
  <c r="R31" i="155"/>
  <c r="Y31" i="155" s="1"/>
  <c r="P36" i="154"/>
  <c r="W36" i="154" s="1"/>
  <c r="F48" i="154"/>
  <c r="P37" i="154"/>
  <c r="W37" i="154" s="1"/>
  <c r="F49" i="154"/>
  <c r="P34" i="154"/>
  <c r="F46" i="154"/>
  <c r="P27" i="154"/>
  <c r="W27" i="154" s="1"/>
  <c r="F39" i="154"/>
  <c r="R30" i="155"/>
  <c r="Y30" i="155" s="1"/>
  <c r="F42" i="155"/>
  <c r="F39" i="155"/>
  <c r="R27" i="155"/>
  <c r="Y27" i="155" s="1"/>
  <c r="R32" i="155"/>
  <c r="Y32" i="155" s="1"/>
  <c r="F44" i="155"/>
  <c r="P29" i="154"/>
  <c r="W29" i="154" s="1"/>
  <c r="F41" i="154"/>
  <c r="F41" i="155"/>
  <c r="R29" i="155"/>
  <c r="Y29" i="155" s="1"/>
  <c r="P31" i="154"/>
  <c r="W31" i="154" s="1"/>
  <c r="F43" i="154"/>
  <c r="P28" i="154"/>
  <c r="W28" i="154" s="1"/>
  <c r="F40" i="154"/>
  <c r="R34" i="155"/>
  <c r="Y34" i="155" s="1"/>
  <c r="F46" i="155"/>
  <c r="P26" i="154"/>
  <c r="W26" i="154" s="1"/>
  <c r="F38" i="154"/>
  <c r="R26" i="155"/>
  <c r="Y26" i="155" s="1"/>
  <c r="F38" i="155"/>
  <c r="F49" i="155"/>
  <c r="R37" i="155"/>
  <c r="Y37" i="155" s="1"/>
  <c r="R36" i="155"/>
  <c r="Y36" i="155" s="1"/>
  <c r="F48" i="155"/>
  <c r="P33" i="154"/>
  <c r="W33" i="154" s="1"/>
  <c r="F45" i="154"/>
  <c r="R33" i="155"/>
  <c r="Y33" i="155" s="1"/>
  <c r="F45" i="155"/>
  <c r="E48" i="77"/>
  <c r="P36" i="77"/>
  <c r="F42" i="77"/>
  <c r="Q30" i="77"/>
  <c r="F38" i="77"/>
  <c r="Q26" i="77"/>
  <c r="F44" i="77"/>
  <c r="Q32" i="77"/>
  <c r="F46" i="77"/>
  <c r="Q34" i="77"/>
  <c r="E43" i="77"/>
  <c r="P31" i="77"/>
  <c r="F41" i="77"/>
  <c r="Q29" i="77"/>
  <c r="E39" i="77"/>
  <c r="P27" i="77"/>
  <c r="E42" i="77"/>
  <c r="P30" i="77"/>
  <c r="F45" i="77"/>
  <c r="Q33" i="77"/>
  <c r="F43" i="77"/>
  <c r="Q31" i="77"/>
  <c r="F49" i="77"/>
  <c r="Q37" i="77"/>
  <c r="E49" i="77"/>
  <c r="P37" i="77"/>
  <c r="F40" i="77"/>
  <c r="Q28" i="77"/>
  <c r="E47" i="77"/>
  <c r="P35" i="77"/>
  <c r="F39" i="77"/>
  <c r="Q27" i="77"/>
  <c r="E44" i="77"/>
  <c r="P32" i="77"/>
  <c r="E46" i="77"/>
  <c r="P34" i="77"/>
  <c r="E45" i="77"/>
  <c r="P33" i="77"/>
  <c r="E40" i="77"/>
  <c r="P28" i="77"/>
  <c r="F48" i="77"/>
  <c r="Q36" i="77"/>
  <c r="F47" i="77"/>
  <c r="Q35" i="77"/>
  <c r="E41" i="77"/>
  <c r="P29" i="77"/>
  <c r="F38" i="36"/>
  <c r="O38" i="36" s="1"/>
  <c r="E14" i="36"/>
  <c r="N14" i="36" s="1"/>
  <c r="U14" i="36" s="1"/>
  <c r="E47" i="151"/>
  <c r="J47" i="151" s="1"/>
  <c r="M47" i="151" s="1"/>
  <c r="N26" i="152"/>
  <c r="E38" i="152"/>
  <c r="K38" i="152" s="1"/>
  <c r="E42" i="152"/>
  <c r="K42" i="152" s="1"/>
  <c r="N30" i="152"/>
  <c r="E40" i="151"/>
  <c r="J40" i="151" s="1"/>
  <c r="M40" i="151" s="1"/>
  <c r="E39" i="151"/>
  <c r="J39" i="151" s="1"/>
  <c r="M39" i="151" s="1"/>
  <c r="E43" i="151"/>
  <c r="J43" i="151" s="1"/>
  <c r="M43" i="151" s="1"/>
  <c r="E45" i="152"/>
  <c r="K45" i="152" s="1"/>
  <c r="N33" i="152"/>
  <c r="E41" i="151"/>
  <c r="J41" i="151" s="1"/>
  <c r="M41" i="151" s="1"/>
  <c r="AN6" i="17"/>
  <c r="E42" i="151"/>
  <c r="J42" i="151" s="1"/>
  <c r="M42" i="151" s="1"/>
  <c r="E38" i="151"/>
  <c r="J38" i="151" s="1"/>
  <c r="M38" i="151" s="1"/>
  <c r="E49" i="151"/>
  <c r="J49" i="151" s="1"/>
  <c r="M49" i="151" s="1"/>
  <c r="E48" i="151"/>
  <c r="J48" i="151" s="1"/>
  <c r="M48" i="151" s="1"/>
  <c r="E45" i="151"/>
  <c r="J45" i="151" s="1"/>
  <c r="M45" i="151" s="1"/>
  <c r="E39" i="152"/>
  <c r="K39" i="152" s="1"/>
  <c r="N27" i="152"/>
  <c r="N34" i="152"/>
  <c r="E46" i="152"/>
  <c r="K46" i="152" s="1"/>
  <c r="E14" i="77"/>
  <c r="E48" i="152"/>
  <c r="K48" i="152" s="1"/>
  <c r="N36" i="152"/>
  <c r="E46" i="151"/>
  <c r="J46" i="151" s="1"/>
  <c r="M46" i="151" s="1"/>
  <c r="E49" i="152"/>
  <c r="K49" i="152" s="1"/>
  <c r="N37" i="152"/>
  <c r="N28" i="152"/>
  <c r="E40" i="152"/>
  <c r="K40" i="152" s="1"/>
  <c r="E41" i="152"/>
  <c r="K41" i="152" s="1"/>
  <c r="N29" i="152"/>
  <c r="E43" i="152"/>
  <c r="K43" i="152" s="1"/>
  <c r="N31" i="152"/>
  <c r="N32" i="152"/>
  <c r="E44" i="152"/>
  <c r="K44" i="152" s="1"/>
  <c r="E47" i="152"/>
  <c r="K47" i="152" s="1"/>
  <c r="N35" i="152"/>
  <c r="E44" i="151"/>
  <c r="J44" i="151" s="1"/>
  <c r="M44" i="151" s="1"/>
  <c r="E14" i="76"/>
  <c r="E14" i="34"/>
  <c r="M2" i="34"/>
  <c r="E42" i="75"/>
  <c r="Q30" i="75"/>
  <c r="E43" i="75"/>
  <c r="Q31" i="75"/>
  <c r="E44" i="75"/>
  <c r="Q32" i="75"/>
  <c r="E46" i="75"/>
  <c r="Q34" i="75"/>
  <c r="E49" i="75"/>
  <c r="Q37" i="75"/>
  <c r="E45" i="75"/>
  <c r="Q33" i="75"/>
  <c r="E41" i="75"/>
  <c r="Q29" i="75"/>
  <c r="E48" i="75"/>
  <c r="Q36" i="75"/>
  <c r="E40" i="75"/>
  <c r="Q28" i="75"/>
  <c r="E39" i="75"/>
  <c r="Q27" i="75"/>
  <c r="E47" i="75"/>
  <c r="Q35" i="75"/>
  <c r="Y22" i="75"/>
  <c r="Y21" i="75"/>
  <c r="Y20" i="75"/>
  <c r="Y19" i="75"/>
  <c r="Y15" i="75"/>
  <c r="Y24" i="75"/>
  <c r="Y16" i="75"/>
  <c r="Y23" i="75"/>
  <c r="Y17" i="75"/>
  <c r="Y18" i="75"/>
  <c r="Y25" i="75"/>
  <c r="R36" i="75"/>
  <c r="R28" i="75"/>
  <c r="R31" i="75"/>
  <c r="R29" i="75"/>
  <c r="R35" i="75"/>
  <c r="R34" i="75"/>
  <c r="R32" i="75"/>
  <c r="R26" i="75"/>
  <c r="R33" i="75"/>
  <c r="R37" i="75"/>
  <c r="R27" i="75"/>
  <c r="R30" i="75"/>
  <c r="F49" i="75"/>
  <c r="F39" i="75"/>
  <c r="F45" i="75"/>
  <c r="F42" i="75"/>
  <c r="F48" i="75"/>
  <c r="F40" i="75"/>
  <c r="F41" i="75"/>
  <c r="F43" i="75"/>
  <c r="F47" i="75"/>
  <c r="F46" i="75"/>
  <c r="F44" i="75"/>
  <c r="F38" i="75"/>
  <c r="K2" i="38"/>
  <c r="U2" i="38" s="1"/>
  <c r="W2" i="38" s="1"/>
  <c r="E14" i="38"/>
  <c r="K14" i="38" s="1"/>
  <c r="U14" i="38" s="1"/>
  <c r="Y2" i="75"/>
  <c r="E14" i="75"/>
  <c r="Q14" i="75" s="1"/>
  <c r="Y14" i="75" s="1"/>
  <c r="W15" i="38"/>
  <c r="O15" i="70"/>
  <c r="P5" i="70" s="1"/>
  <c r="BE7" i="17"/>
  <c r="BL7" i="17" s="1"/>
  <c r="Y5" i="24"/>
  <c r="Y24" i="24" s="1"/>
  <c r="AA24" i="24" s="1"/>
  <c r="F40" i="36"/>
  <c r="O40" i="36" s="1"/>
  <c r="F47" i="36"/>
  <c r="O47" i="36" s="1"/>
  <c r="F41" i="36"/>
  <c r="O41" i="36" s="1"/>
  <c r="F46" i="36"/>
  <c r="O46" i="36" s="1"/>
  <c r="F45" i="36"/>
  <c r="O45" i="36" s="1"/>
  <c r="F42" i="36"/>
  <c r="O42" i="36" s="1"/>
  <c r="E48" i="36"/>
  <c r="N48" i="36" s="1"/>
  <c r="E39" i="36"/>
  <c r="N39" i="36" s="1"/>
  <c r="E44" i="36"/>
  <c r="N44" i="36" s="1"/>
  <c r="F43" i="36"/>
  <c r="O43" i="36" s="1"/>
  <c r="E45" i="36"/>
  <c r="N45" i="36" s="1"/>
  <c r="E46" i="36"/>
  <c r="N46" i="36" s="1"/>
  <c r="F49" i="36"/>
  <c r="O49" i="36" s="1"/>
  <c r="E47" i="36"/>
  <c r="N47" i="36" s="1"/>
  <c r="F48" i="36"/>
  <c r="O48" i="36" s="1"/>
  <c r="F44" i="36"/>
  <c r="O44" i="36" s="1"/>
  <c r="F39" i="36"/>
  <c r="O39" i="36" s="1"/>
  <c r="E42" i="36"/>
  <c r="N42" i="36" s="1"/>
  <c r="E43" i="36"/>
  <c r="N43" i="36" s="1"/>
  <c r="E41" i="36"/>
  <c r="N41" i="36" s="1"/>
  <c r="E49" i="36"/>
  <c r="N49" i="36" s="1"/>
  <c r="E40" i="36"/>
  <c r="N40" i="36" s="1"/>
  <c r="CM82" i="67"/>
  <c r="W34" i="154" l="1"/>
  <c r="AY8" i="17" s="1"/>
  <c r="O38" i="154"/>
  <c r="E56" i="155"/>
  <c r="Q44" i="155"/>
  <c r="E57" i="155"/>
  <c r="Q45" i="155"/>
  <c r="E51" i="155"/>
  <c r="Q39" i="155"/>
  <c r="E59" i="155"/>
  <c r="Q47" i="155"/>
  <c r="E58" i="155"/>
  <c r="Q46" i="155"/>
  <c r="E50" i="155"/>
  <c r="Q38" i="155"/>
  <c r="E60" i="155"/>
  <c r="Q48" i="155"/>
  <c r="E61" i="155"/>
  <c r="Q49" i="155"/>
  <c r="E54" i="155"/>
  <c r="Q42" i="155"/>
  <c r="E53" i="155"/>
  <c r="Q41" i="155"/>
  <c r="E52" i="155"/>
  <c r="Q40" i="155"/>
  <c r="E55" i="155"/>
  <c r="Q43" i="155"/>
  <c r="E64" i="154"/>
  <c r="O52" i="154"/>
  <c r="E72" i="154"/>
  <c r="O60" i="154"/>
  <c r="E62" i="154"/>
  <c r="O50" i="154"/>
  <c r="E65" i="154"/>
  <c r="O53" i="154"/>
  <c r="E73" i="154"/>
  <c r="O61" i="154"/>
  <c r="E69" i="154"/>
  <c r="O57" i="154"/>
  <c r="E63" i="154"/>
  <c r="O51" i="154"/>
  <c r="E71" i="154"/>
  <c r="O59" i="154"/>
  <c r="E68" i="154"/>
  <c r="O56" i="154"/>
  <c r="E66" i="154"/>
  <c r="O54" i="154"/>
  <c r="E70" i="154"/>
  <c r="O58" i="154"/>
  <c r="E67" i="154"/>
  <c r="O55" i="154"/>
  <c r="U49" i="36"/>
  <c r="U39" i="36"/>
  <c r="U48" i="36"/>
  <c r="U44" i="36"/>
  <c r="U40" i="36"/>
  <c r="U47" i="36"/>
  <c r="U45" i="36"/>
  <c r="U41" i="36"/>
  <c r="U46" i="36"/>
  <c r="U43" i="36"/>
  <c r="U42" i="36"/>
  <c r="BN7" i="17"/>
  <c r="BO7" i="17" s="1"/>
  <c r="AF6" i="24"/>
  <c r="D9" i="25"/>
  <c r="AF6" i="156"/>
  <c r="AH6" i="156" s="1"/>
  <c r="M82" i="155"/>
  <c r="K82" i="153"/>
  <c r="U82" i="153" s="1"/>
  <c r="W82" i="153" s="1"/>
  <c r="K82" i="154"/>
  <c r="U82" i="154" s="1"/>
  <c r="BC49" i="17"/>
  <c r="D7" i="74" s="1"/>
  <c r="AY50" i="17"/>
  <c r="BA50" i="17" s="1"/>
  <c r="AN50" i="17"/>
  <c r="G49" i="17"/>
  <c r="R45" i="155"/>
  <c r="Y45" i="155" s="1"/>
  <c r="F57" i="155"/>
  <c r="P43" i="154"/>
  <c r="W43" i="154" s="1"/>
  <c r="F55" i="154"/>
  <c r="P49" i="154"/>
  <c r="W49" i="154" s="1"/>
  <c r="F61" i="154"/>
  <c r="P45" i="154"/>
  <c r="W45" i="154" s="1"/>
  <c r="F57" i="154"/>
  <c r="P48" i="154"/>
  <c r="W48" i="154" s="1"/>
  <c r="F60" i="154"/>
  <c r="F53" i="155"/>
  <c r="R41" i="155"/>
  <c r="Y41" i="155" s="1"/>
  <c r="R48" i="155"/>
  <c r="Y48" i="155" s="1"/>
  <c r="F60" i="155"/>
  <c r="P41" i="154"/>
  <c r="W41" i="154" s="1"/>
  <c r="F53" i="154"/>
  <c r="F55" i="155"/>
  <c r="R43" i="155"/>
  <c r="Y43" i="155" s="1"/>
  <c r="R44" i="155"/>
  <c r="Y44" i="155" s="1"/>
  <c r="F56" i="155"/>
  <c r="P42" i="154"/>
  <c r="W42" i="154" s="1"/>
  <c r="F54" i="154"/>
  <c r="F61" i="155"/>
  <c r="R49" i="155"/>
  <c r="Y49" i="155" s="1"/>
  <c r="R38" i="155"/>
  <c r="Y38" i="155" s="1"/>
  <c r="F50" i="155"/>
  <c r="P44" i="154"/>
  <c r="W44" i="154" s="1"/>
  <c r="F56" i="154"/>
  <c r="R39" i="155"/>
  <c r="Y39" i="155" s="1"/>
  <c r="F51" i="155"/>
  <c r="P38" i="154"/>
  <c r="F50" i="154"/>
  <c r="R42" i="155"/>
  <c r="Y42" i="155" s="1"/>
  <c r="F54" i="155"/>
  <c r="F59" i="155"/>
  <c r="R47" i="155"/>
  <c r="Y47" i="155" s="1"/>
  <c r="R46" i="155"/>
  <c r="Y46" i="155" s="1"/>
  <c r="F58" i="155"/>
  <c r="P39" i="154"/>
  <c r="W39" i="154" s="1"/>
  <c r="F51" i="154"/>
  <c r="R40" i="155"/>
  <c r="Y40" i="155" s="1"/>
  <c r="F52" i="155"/>
  <c r="P40" i="154"/>
  <c r="W40" i="154" s="1"/>
  <c r="F52" i="154"/>
  <c r="P46" i="154"/>
  <c r="W46" i="154" s="1"/>
  <c r="F58" i="154"/>
  <c r="P47" i="154"/>
  <c r="W47" i="154" s="1"/>
  <c r="F59" i="154"/>
  <c r="E26" i="36"/>
  <c r="N26" i="36" s="1"/>
  <c r="U26" i="36" s="1"/>
  <c r="F51" i="77"/>
  <c r="Q39" i="77"/>
  <c r="E51" i="77"/>
  <c r="P39" i="77"/>
  <c r="E53" i="77"/>
  <c r="P41" i="77"/>
  <c r="E59" i="77"/>
  <c r="P47" i="77"/>
  <c r="F53" i="77"/>
  <c r="Q41" i="77"/>
  <c r="F59" i="77"/>
  <c r="Q47" i="77"/>
  <c r="F52" i="77"/>
  <c r="Q40" i="77"/>
  <c r="E55" i="77"/>
  <c r="P43" i="77"/>
  <c r="F60" i="77"/>
  <c r="Q48" i="77"/>
  <c r="E61" i="77"/>
  <c r="P49" i="77"/>
  <c r="F58" i="77"/>
  <c r="Q46" i="77"/>
  <c r="E52" i="77"/>
  <c r="P40" i="77"/>
  <c r="F61" i="77"/>
  <c r="Q49" i="77"/>
  <c r="F56" i="77"/>
  <c r="Q44" i="77"/>
  <c r="E57" i="77"/>
  <c r="P45" i="77"/>
  <c r="F55" i="77"/>
  <c r="Q43" i="77"/>
  <c r="F50" i="77"/>
  <c r="Q38" i="77"/>
  <c r="E58" i="77"/>
  <c r="P46" i="77"/>
  <c r="F57" i="77"/>
  <c r="Q45" i="77"/>
  <c r="F54" i="77"/>
  <c r="Q42" i="77"/>
  <c r="E56" i="77"/>
  <c r="P44" i="77"/>
  <c r="E54" i="77"/>
  <c r="P42" i="77"/>
  <c r="E60" i="77"/>
  <c r="P48" i="77"/>
  <c r="E26" i="77"/>
  <c r="P14" i="77"/>
  <c r="F50" i="36"/>
  <c r="O50" i="36" s="1"/>
  <c r="E52" i="151"/>
  <c r="J52" i="151" s="1"/>
  <c r="M52" i="151" s="1"/>
  <c r="E58" i="152"/>
  <c r="K58" i="152" s="1"/>
  <c r="N46" i="152"/>
  <c r="E61" i="151"/>
  <c r="J61" i="151" s="1"/>
  <c r="M61" i="151" s="1"/>
  <c r="N49" i="152"/>
  <c r="E61" i="152"/>
  <c r="K61" i="152" s="1"/>
  <c r="AN7" i="17"/>
  <c r="E50" i="151"/>
  <c r="J50" i="151" s="1"/>
  <c r="M50" i="151" s="1"/>
  <c r="E53" i="151"/>
  <c r="J53" i="151" s="1"/>
  <c r="M53" i="151" s="1"/>
  <c r="E54" i="152"/>
  <c r="K54" i="152" s="1"/>
  <c r="N42" i="152"/>
  <c r="E50" i="152"/>
  <c r="K50" i="152" s="1"/>
  <c r="N38" i="152"/>
  <c r="E55" i="152"/>
  <c r="K55" i="152" s="1"/>
  <c r="N43" i="152"/>
  <c r="E58" i="151"/>
  <c r="J58" i="151" s="1"/>
  <c r="M58" i="151" s="1"/>
  <c r="E51" i="152"/>
  <c r="K51" i="152" s="1"/>
  <c r="N39" i="152"/>
  <c r="E54" i="151"/>
  <c r="J54" i="151" s="1"/>
  <c r="M54" i="151" s="1"/>
  <c r="E56" i="151"/>
  <c r="J56" i="151" s="1"/>
  <c r="M56" i="151" s="1"/>
  <c r="E57" i="152"/>
  <c r="K57" i="152" s="1"/>
  <c r="N45" i="152"/>
  <c r="E59" i="151"/>
  <c r="J59" i="151" s="1"/>
  <c r="M59" i="151" s="1"/>
  <c r="N48" i="152"/>
  <c r="E60" i="152"/>
  <c r="K60" i="152" s="1"/>
  <c r="E57" i="151"/>
  <c r="J57" i="151" s="1"/>
  <c r="M57" i="151" s="1"/>
  <c r="E55" i="151"/>
  <c r="J55" i="151" s="1"/>
  <c r="M55" i="151" s="1"/>
  <c r="E53" i="152"/>
  <c r="K53" i="152" s="1"/>
  <c r="N41" i="152"/>
  <c r="E60" i="151"/>
  <c r="J60" i="151" s="1"/>
  <c r="M60" i="151" s="1"/>
  <c r="E59" i="152"/>
  <c r="K59" i="152" s="1"/>
  <c r="N47" i="152"/>
  <c r="E51" i="151"/>
  <c r="J51" i="151" s="1"/>
  <c r="M51" i="151" s="1"/>
  <c r="N44" i="152"/>
  <c r="E56" i="152"/>
  <c r="K56" i="152" s="1"/>
  <c r="E52" i="152"/>
  <c r="K52" i="152" s="1"/>
  <c r="N40" i="152"/>
  <c r="Y27" i="75"/>
  <c r="E60" i="75"/>
  <c r="Q48" i="75"/>
  <c r="E53" i="75"/>
  <c r="Q41" i="75"/>
  <c r="E57" i="75"/>
  <c r="Q45" i="75"/>
  <c r="E61" i="75"/>
  <c r="Q49" i="75"/>
  <c r="E58" i="75"/>
  <c r="Q46" i="75"/>
  <c r="E56" i="75"/>
  <c r="Q44" i="75"/>
  <c r="E51" i="75"/>
  <c r="Q39" i="75"/>
  <c r="E55" i="75"/>
  <c r="Q43" i="75"/>
  <c r="E59" i="75"/>
  <c r="Q47" i="75"/>
  <c r="E52" i="75"/>
  <c r="Q40" i="75"/>
  <c r="E54" i="75"/>
  <c r="Q42" i="75"/>
  <c r="Y37" i="75"/>
  <c r="Y29" i="75"/>
  <c r="Y30" i="75"/>
  <c r="Y31" i="75"/>
  <c r="Y28" i="75"/>
  <c r="Y36" i="75"/>
  <c r="Y33" i="75"/>
  <c r="Y34" i="75"/>
  <c r="Y32" i="75"/>
  <c r="R44" i="75"/>
  <c r="R45" i="75"/>
  <c r="R38" i="75"/>
  <c r="R46" i="75"/>
  <c r="R39" i="75"/>
  <c r="R49" i="75"/>
  <c r="R42" i="75"/>
  <c r="R47" i="75"/>
  <c r="R40" i="75"/>
  <c r="R43" i="75"/>
  <c r="R41" i="75"/>
  <c r="R48" i="75"/>
  <c r="F52" i="75"/>
  <c r="F60" i="75"/>
  <c r="O14" i="38"/>
  <c r="W14" i="38" s="1"/>
  <c r="F55" i="75"/>
  <c r="F53" i="75"/>
  <c r="F58" i="75"/>
  <c r="F51" i="75"/>
  <c r="F54" i="75"/>
  <c r="F57" i="75"/>
  <c r="F50" i="75"/>
  <c r="F56" i="75"/>
  <c r="F59" i="75"/>
  <c r="F61" i="75"/>
  <c r="E26" i="75"/>
  <c r="P12" i="70"/>
  <c r="P4" i="70"/>
  <c r="P6" i="70"/>
  <c r="P9" i="70"/>
  <c r="P13" i="70"/>
  <c r="P3" i="70"/>
  <c r="P7" i="70"/>
  <c r="P8" i="70"/>
  <c r="P14" i="70"/>
  <c r="P10" i="70"/>
  <c r="P11" i="70"/>
  <c r="BF7" i="17"/>
  <c r="BE8" i="17"/>
  <c r="BL8" i="17" s="1"/>
  <c r="F54" i="36"/>
  <c r="O54" i="36" s="1"/>
  <c r="E52" i="36"/>
  <c r="N52" i="36" s="1"/>
  <c r="E51" i="36"/>
  <c r="N51" i="36" s="1"/>
  <c r="F60" i="36"/>
  <c r="O60" i="36" s="1"/>
  <c r="E61" i="36"/>
  <c r="N61" i="36" s="1"/>
  <c r="E59" i="36"/>
  <c r="N59" i="36" s="1"/>
  <c r="E58" i="36"/>
  <c r="N58" i="36" s="1"/>
  <c r="F61" i="36"/>
  <c r="O61" i="36" s="1"/>
  <c r="F58" i="36"/>
  <c r="O58" i="36" s="1"/>
  <c r="E57" i="36"/>
  <c r="N57" i="36" s="1"/>
  <c r="F56" i="36"/>
  <c r="O56" i="36" s="1"/>
  <c r="E60" i="36"/>
  <c r="N60" i="36" s="1"/>
  <c r="F57" i="36"/>
  <c r="O57" i="36" s="1"/>
  <c r="E53" i="36"/>
  <c r="N53" i="36" s="1"/>
  <c r="E55" i="36"/>
  <c r="N55" i="36" s="1"/>
  <c r="F59" i="36"/>
  <c r="O59" i="36" s="1"/>
  <c r="F52" i="36"/>
  <c r="O52" i="36" s="1"/>
  <c r="F53" i="36"/>
  <c r="O53" i="36" s="1"/>
  <c r="E54" i="36"/>
  <c r="N54" i="36" s="1"/>
  <c r="F55" i="36"/>
  <c r="O55" i="36" s="1"/>
  <c r="F51" i="36"/>
  <c r="O51" i="36" s="1"/>
  <c r="E56" i="36"/>
  <c r="N56" i="36" s="1"/>
  <c r="CM83" i="67"/>
  <c r="W38" i="154" l="1"/>
  <c r="AY9" i="17" s="1"/>
  <c r="AF19" i="156"/>
  <c r="D9" i="74"/>
  <c r="E73" i="155"/>
  <c r="Q61" i="155"/>
  <c r="E72" i="155"/>
  <c r="Q60" i="155"/>
  <c r="E62" i="155"/>
  <c r="Q50" i="155"/>
  <c r="E70" i="155"/>
  <c r="Q58" i="155"/>
  <c r="E67" i="155"/>
  <c r="Q55" i="155"/>
  <c r="E71" i="155"/>
  <c r="Q59" i="155"/>
  <c r="E64" i="155"/>
  <c r="Q52" i="155"/>
  <c r="E63" i="155"/>
  <c r="Q51" i="155"/>
  <c r="E65" i="155"/>
  <c r="Q53" i="155"/>
  <c r="E69" i="155"/>
  <c r="Q57" i="155"/>
  <c r="E66" i="155"/>
  <c r="Q54" i="155"/>
  <c r="E68" i="155"/>
  <c r="Q56" i="155"/>
  <c r="E83" i="154"/>
  <c r="O71" i="154"/>
  <c r="E75" i="154"/>
  <c r="O63" i="154"/>
  <c r="E81" i="154"/>
  <c r="O69" i="154"/>
  <c r="E85" i="154"/>
  <c r="O73" i="154"/>
  <c r="E79" i="154"/>
  <c r="O67" i="154"/>
  <c r="E77" i="154"/>
  <c r="O65" i="154"/>
  <c r="E82" i="154"/>
  <c r="O70" i="154"/>
  <c r="E74" i="154"/>
  <c r="O62" i="154"/>
  <c r="E78" i="154"/>
  <c r="O66" i="154"/>
  <c r="E84" i="154"/>
  <c r="O72" i="154"/>
  <c r="E80" i="154"/>
  <c r="O68" i="154"/>
  <c r="E76" i="154"/>
  <c r="O64" i="154"/>
  <c r="AH9" i="25"/>
  <c r="D23" i="158" s="1"/>
  <c r="U58" i="36"/>
  <c r="U59" i="36"/>
  <c r="U54" i="36"/>
  <c r="U52" i="36"/>
  <c r="U60" i="36"/>
  <c r="U61" i="36"/>
  <c r="U56" i="36"/>
  <c r="U55" i="36"/>
  <c r="U53" i="36"/>
  <c r="U51" i="36"/>
  <c r="U57" i="36"/>
  <c r="M83" i="155"/>
  <c r="K83" i="153"/>
  <c r="U83" i="153" s="1"/>
  <c r="W83" i="153" s="1"/>
  <c r="K83" i="154"/>
  <c r="U83" i="154" s="1"/>
  <c r="BN8" i="17"/>
  <c r="AF7" i="156"/>
  <c r="AH7" i="156" s="1"/>
  <c r="AF7" i="24"/>
  <c r="E9" i="25"/>
  <c r="Y6" i="24"/>
  <c r="Y6" i="156"/>
  <c r="AA6" i="156" s="1"/>
  <c r="D8" i="25"/>
  <c r="BC50" i="17"/>
  <c r="E7" i="74" s="1"/>
  <c r="AY51" i="17"/>
  <c r="BA51" i="17" s="1"/>
  <c r="AN51" i="17"/>
  <c r="P59" i="154"/>
  <c r="W59" i="154" s="1"/>
  <c r="F71" i="154"/>
  <c r="P50" i="154"/>
  <c r="W50" i="154" s="1"/>
  <c r="F62" i="154"/>
  <c r="P53" i="154"/>
  <c r="W53" i="154" s="1"/>
  <c r="F65" i="154"/>
  <c r="P58" i="154"/>
  <c r="W58" i="154" s="1"/>
  <c r="F70" i="154"/>
  <c r="F63" i="155"/>
  <c r="R51" i="155"/>
  <c r="R60" i="155"/>
  <c r="F72" i="155"/>
  <c r="P52" i="154"/>
  <c r="W52" i="154" s="1"/>
  <c r="F64" i="154"/>
  <c r="P56" i="154"/>
  <c r="W56" i="154" s="1"/>
  <c r="F68" i="154"/>
  <c r="F65" i="155"/>
  <c r="R53" i="155"/>
  <c r="R52" i="155"/>
  <c r="F64" i="155"/>
  <c r="R50" i="155"/>
  <c r="F62" i="155"/>
  <c r="P60" i="154"/>
  <c r="W60" i="154" s="1"/>
  <c r="F72" i="154"/>
  <c r="P51" i="154"/>
  <c r="W51" i="154" s="1"/>
  <c r="F63" i="154"/>
  <c r="P57" i="154"/>
  <c r="W57" i="154" s="1"/>
  <c r="F69" i="154"/>
  <c r="F73" i="155"/>
  <c r="R61" i="155"/>
  <c r="R58" i="155"/>
  <c r="F70" i="155"/>
  <c r="P54" i="154"/>
  <c r="W54" i="154" s="1"/>
  <c r="F66" i="154"/>
  <c r="P61" i="154"/>
  <c r="W61" i="154" s="1"/>
  <c r="F73" i="154"/>
  <c r="R56" i="155"/>
  <c r="F68" i="155"/>
  <c r="P55" i="154"/>
  <c r="W55" i="154" s="1"/>
  <c r="F67" i="154"/>
  <c r="R59" i="155"/>
  <c r="F71" i="155"/>
  <c r="R54" i="155"/>
  <c r="F66" i="155"/>
  <c r="F69" i="155"/>
  <c r="R57" i="155"/>
  <c r="F67" i="155"/>
  <c r="R55" i="155"/>
  <c r="E38" i="36"/>
  <c r="N38" i="36" s="1"/>
  <c r="U38" i="36" s="1"/>
  <c r="E38" i="77"/>
  <c r="P26" i="77"/>
  <c r="F67" i="77"/>
  <c r="Q55" i="77"/>
  <c r="E67" i="77"/>
  <c r="P55" i="77"/>
  <c r="E72" i="77"/>
  <c r="P60" i="77"/>
  <c r="E69" i="77"/>
  <c r="P57" i="77"/>
  <c r="F64" i="77"/>
  <c r="Q52" i="77"/>
  <c r="E66" i="77"/>
  <c r="P54" i="77"/>
  <c r="F68" i="77"/>
  <c r="Q56" i="77"/>
  <c r="F71" i="77"/>
  <c r="Q59" i="77"/>
  <c r="E68" i="77"/>
  <c r="P56" i="77"/>
  <c r="F73" i="77"/>
  <c r="Q61" i="77"/>
  <c r="F65" i="77"/>
  <c r="Q53" i="77"/>
  <c r="F66" i="77"/>
  <c r="Q54" i="77"/>
  <c r="E64" i="77"/>
  <c r="P52" i="77"/>
  <c r="E71" i="77"/>
  <c r="P59" i="77"/>
  <c r="F69" i="77"/>
  <c r="Q57" i="77"/>
  <c r="F70" i="77"/>
  <c r="Q58" i="77"/>
  <c r="E65" i="77"/>
  <c r="P53" i="77"/>
  <c r="E70" i="77"/>
  <c r="P58" i="77"/>
  <c r="E73" i="77"/>
  <c r="P61" i="77"/>
  <c r="E63" i="77"/>
  <c r="P51" i="77"/>
  <c r="F62" i="77"/>
  <c r="Q50" i="77"/>
  <c r="F72" i="77"/>
  <c r="Q60" i="77"/>
  <c r="F63" i="77"/>
  <c r="Q51" i="77"/>
  <c r="F62" i="36"/>
  <c r="O62" i="36" s="1"/>
  <c r="E71" i="152"/>
  <c r="K71" i="152" s="1"/>
  <c r="N59" i="152"/>
  <c r="E66" i="151"/>
  <c r="J66" i="151" s="1"/>
  <c r="M66" i="151" s="1"/>
  <c r="E62" i="151"/>
  <c r="J62" i="151" s="1"/>
  <c r="M62" i="151" s="1"/>
  <c r="E69" i="151"/>
  <c r="J69" i="151" s="1"/>
  <c r="M69" i="151" s="1"/>
  <c r="E72" i="152"/>
  <c r="K72" i="152" s="1"/>
  <c r="N60" i="152"/>
  <c r="AN8" i="17"/>
  <c r="N56" i="152"/>
  <c r="E68" i="152"/>
  <c r="K68" i="152" s="1"/>
  <c r="E71" i="151"/>
  <c r="J71" i="151" s="1"/>
  <c r="M71" i="151" s="1"/>
  <c r="E63" i="152"/>
  <c r="K63" i="152" s="1"/>
  <c r="N51" i="152"/>
  <c r="E73" i="152"/>
  <c r="K73" i="152" s="1"/>
  <c r="N61" i="152"/>
  <c r="E72" i="151"/>
  <c r="J72" i="151" s="1"/>
  <c r="M72" i="151" s="1"/>
  <c r="E64" i="152"/>
  <c r="K64" i="152" s="1"/>
  <c r="N52" i="152"/>
  <c r="E65" i="152"/>
  <c r="K65" i="152" s="1"/>
  <c r="N53" i="152"/>
  <c r="E70" i="151"/>
  <c r="J70" i="151" s="1"/>
  <c r="M70" i="151" s="1"/>
  <c r="E69" i="152"/>
  <c r="K69" i="152" s="1"/>
  <c r="N57" i="152"/>
  <c r="E73" i="151"/>
  <c r="J73" i="151" s="1"/>
  <c r="M73" i="151" s="1"/>
  <c r="E67" i="152"/>
  <c r="K67" i="152" s="1"/>
  <c r="N55" i="152"/>
  <c r="E63" i="151"/>
  <c r="J63" i="151" s="1"/>
  <c r="M63" i="151" s="1"/>
  <c r="E68" i="151"/>
  <c r="J68" i="151" s="1"/>
  <c r="M68" i="151" s="1"/>
  <c r="E70" i="152"/>
  <c r="K70" i="152" s="1"/>
  <c r="N58" i="152"/>
  <c r="N50" i="152"/>
  <c r="E62" i="152"/>
  <c r="K62" i="152" s="1"/>
  <c r="E64" i="151"/>
  <c r="J64" i="151" s="1"/>
  <c r="M64" i="151" s="1"/>
  <c r="E66" i="152"/>
  <c r="K66" i="152" s="1"/>
  <c r="N54" i="152"/>
  <c r="E67" i="151"/>
  <c r="J67" i="151" s="1"/>
  <c r="M67" i="151" s="1"/>
  <c r="E65" i="151"/>
  <c r="J65" i="151" s="1"/>
  <c r="M65" i="151" s="1"/>
  <c r="E67" i="75"/>
  <c r="Q55" i="75"/>
  <c r="E63" i="75"/>
  <c r="Q51" i="75"/>
  <c r="E68" i="75"/>
  <c r="Q56" i="75"/>
  <c r="E70" i="75"/>
  <c r="Q58" i="75"/>
  <c r="E73" i="75"/>
  <c r="Q61" i="75"/>
  <c r="E69" i="75"/>
  <c r="Q57" i="75"/>
  <c r="E38" i="75"/>
  <c r="Q26" i="75"/>
  <c r="Y26" i="75" s="1"/>
  <c r="E64" i="75"/>
  <c r="Q52" i="75"/>
  <c r="E65" i="75"/>
  <c r="Q53" i="75"/>
  <c r="E66" i="75"/>
  <c r="Q54" i="75"/>
  <c r="E71" i="75"/>
  <c r="Q59" i="75"/>
  <c r="E72" i="75"/>
  <c r="Q60" i="75"/>
  <c r="Y45" i="75"/>
  <c r="Y39" i="75"/>
  <c r="Y40" i="75"/>
  <c r="Y48" i="75"/>
  <c r="Y46" i="75"/>
  <c r="Y41" i="75"/>
  <c r="Y43" i="75"/>
  <c r="Y47" i="75"/>
  <c r="Y42" i="75"/>
  <c r="Y49" i="75"/>
  <c r="R59" i="75"/>
  <c r="R61" i="75"/>
  <c r="R55" i="75"/>
  <c r="R53" i="75"/>
  <c r="R60" i="75"/>
  <c r="R50" i="75"/>
  <c r="R56" i="75"/>
  <c r="R52" i="75"/>
  <c r="R54" i="75"/>
  <c r="R51" i="75"/>
  <c r="R57" i="75"/>
  <c r="R58" i="75"/>
  <c r="F69" i="75"/>
  <c r="F63" i="75"/>
  <c r="F70" i="75"/>
  <c r="F66" i="75"/>
  <c r="F72" i="75"/>
  <c r="F73" i="75"/>
  <c r="F67" i="75"/>
  <c r="F68" i="75"/>
  <c r="F62" i="75"/>
  <c r="F65" i="75"/>
  <c r="F71" i="75"/>
  <c r="F64" i="75"/>
  <c r="Q3" i="70"/>
  <c r="Q10" i="70"/>
  <c r="P15" i="70"/>
  <c r="BE9" i="17"/>
  <c r="BL9" i="17" s="1"/>
  <c r="BF8" i="17"/>
  <c r="E70" i="36"/>
  <c r="N70" i="36" s="1"/>
  <c r="E67" i="36"/>
  <c r="N67" i="36" s="1"/>
  <c r="E65" i="36"/>
  <c r="N65" i="36" s="1"/>
  <c r="E73" i="36"/>
  <c r="N73" i="36" s="1"/>
  <c r="E63" i="36"/>
  <c r="N63" i="36" s="1"/>
  <c r="F71" i="36"/>
  <c r="O71" i="36" s="1"/>
  <c r="E71" i="36"/>
  <c r="N71" i="36" s="1"/>
  <c r="F69" i="36"/>
  <c r="O69" i="36" s="1"/>
  <c r="F63" i="36"/>
  <c r="O63" i="36" s="1"/>
  <c r="F67" i="36"/>
  <c r="O67" i="36" s="1"/>
  <c r="F72" i="36"/>
  <c r="O72" i="36" s="1"/>
  <c r="F65" i="36"/>
  <c r="O65" i="36" s="1"/>
  <c r="E66" i="36"/>
  <c r="N66" i="36" s="1"/>
  <c r="E69" i="36"/>
  <c r="N69" i="36" s="1"/>
  <c r="F70" i="36"/>
  <c r="O70" i="36" s="1"/>
  <c r="F66" i="36"/>
  <c r="O66" i="36" s="1"/>
  <c r="F73" i="36"/>
  <c r="O73" i="36" s="1"/>
  <c r="E68" i="36"/>
  <c r="N68" i="36" s="1"/>
  <c r="E72" i="36"/>
  <c r="N72" i="36" s="1"/>
  <c r="F68" i="36"/>
  <c r="O68" i="36" s="1"/>
  <c r="E64" i="36"/>
  <c r="N64" i="36" s="1"/>
  <c r="F64" i="36"/>
  <c r="O64" i="36" s="1"/>
  <c r="CM84" i="67"/>
  <c r="BO8" i="17" l="1"/>
  <c r="E75" i="155"/>
  <c r="Q63" i="155"/>
  <c r="E76" i="155"/>
  <c r="Q64" i="155"/>
  <c r="E83" i="155"/>
  <c r="Q71" i="155"/>
  <c r="E79" i="155"/>
  <c r="Q67" i="155"/>
  <c r="E80" i="155"/>
  <c r="Q68" i="155"/>
  <c r="E82" i="155"/>
  <c r="Q70" i="155"/>
  <c r="E78" i="155"/>
  <c r="Q66" i="155"/>
  <c r="E74" i="155"/>
  <c r="Q62" i="155"/>
  <c r="E81" i="155"/>
  <c r="Q69" i="155"/>
  <c r="E84" i="155"/>
  <c r="Q72" i="155"/>
  <c r="E77" i="155"/>
  <c r="Q65" i="155"/>
  <c r="E85" i="155"/>
  <c r="Q73" i="155"/>
  <c r="E86" i="154"/>
  <c r="O74" i="154"/>
  <c r="E94" i="154"/>
  <c r="O82" i="154"/>
  <c r="E89" i="154"/>
  <c r="O77" i="154"/>
  <c r="E91" i="154"/>
  <c r="O79" i="154"/>
  <c r="E88" i="154"/>
  <c r="O76" i="154"/>
  <c r="E97" i="154"/>
  <c r="O85" i="154"/>
  <c r="E92" i="154"/>
  <c r="O80" i="154"/>
  <c r="E93" i="154"/>
  <c r="O81" i="154"/>
  <c r="E96" i="154"/>
  <c r="O84" i="154"/>
  <c r="E87" i="154"/>
  <c r="O75" i="154"/>
  <c r="E90" i="154"/>
  <c r="O78" i="154"/>
  <c r="E95" i="154"/>
  <c r="O83" i="154"/>
  <c r="AI7" i="156"/>
  <c r="AH8" i="25"/>
  <c r="D22" i="158" s="1"/>
  <c r="AI9" i="25"/>
  <c r="E23" i="158" s="1"/>
  <c r="U72" i="36"/>
  <c r="U70" i="36"/>
  <c r="U71" i="36"/>
  <c r="U73" i="36"/>
  <c r="U65" i="36"/>
  <c r="U68" i="36"/>
  <c r="U67" i="36"/>
  <c r="U63" i="36"/>
  <c r="U64" i="36"/>
  <c r="U69" i="36"/>
  <c r="U66" i="36"/>
  <c r="Y7" i="24"/>
  <c r="Y7" i="156"/>
  <c r="AA7" i="156" s="1"/>
  <c r="E8" i="25"/>
  <c r="M84" i="155"/>
  <c r="K84" i="154"/>
  <c r="U84" i="154" s="1"/>
  <c r="K84" i="153"/>
  <c r="U84" i="153" s="1"/>
  <c r="W84" i="153" s="1"/>
  <c r="BN9" i="17"/>
  <c r="BO9" i="17" s="1"/>
  <c r="AF8" i="24"/>
  <c r="F9" i="25"/>
  <c r="AF8" i="156"/>
  <c r="AH8" i="156" s="1"/>
  <c r="BC51" i="17"/>
  <c r="F7" i="74" s="1"/>
  <c r="AN52" i="17"/>
  <c r="AY10" i="17"/>
  <c r="R70" i="155"/>
  <c r="F82" i="155"/>
  <c r="P68" i="154"/>
  <c r="W68" i="154" s="1"/>
  <c r="F80" i="154"/>
  <c r="F79" i="155"/>
  <c r="R67" i="155"/>
  <c r="P64" i="154"/>
  <c r="W64" i="154" s="1"/>
  <c r="F76" i="154"/>
  <c r="R66" i="155"/>
  <c r="F78" i="155"/>
  <c r="P69" i="154"/>
  <c r="W69" i="154" s="1"/>
  <c r="F81" i="154"/>
  <c r="R72" i="155"/>
  <c r="F84" i="155"/>
  <c r="F81" i="155"/>
  <c r="R69" i="155"/>
  <c r="R71" i="155"/>
  <c r="F83" i="155"/>
  <c r="P63" i="154"/>
  <c r="W63" i="154" s="1"/>
  <c r="F75" i="154"/>
  <c r="F85" i="155"/>
  <c r="R73" i="155"/>
  <c r="F75" i="155"/>
  <c r="R63" i="155"/>
  <c r="P67" i="154"/>
  <c r="W67" i="154" s="1"/>
  <c r="F79" i="154"/>
  <c r="F84" i="154"/>
  <c r="P72" i="154"/>
  <c r="W72" i="154" s="1"/>
  <c r="F82" i="154"/>
  <c r="P70" i="154"/>
  <c r="W70" i="154" s="1"/>
  <c r="P65" i="154"/>
  <c r="W65" i="154" s="1"/>
  <c r="F77" i="154"/>
  <c r="R68" i="155"/>
  <c r="F80" i="155"/>
  <c r="R62" i="155"/>
  <c r="F74" i="155"/>
  <c r="P73" i="154"/>
  <c r="W73" i="154" s="1"/>
  <c r="F85" i="154"/>
  <c r="R64" i="155"/>
  <c r="F76" i="155"/>
  <c r="P62" i="154"/>
  <c r="W62" i="154" s="1"/>
  <c r="F74" i="154"/>
  <c r="P66" i="154"/>
  <c r="W66" i="154" s="1"/>
  <c r="F78" i="154"/>
  <c r="P71" i="154"/>
  <c r="W71" i="154" s="1"/>
  <c r="F83" i="154"/>
  <c r="R65" i="155"/>
  <c r="F77" i="155"/>
  <c r="E50" i="36"/>
  <c r="N50" i="36" s="1"/>
  <c r="U50" i="36" s="1"/>
  <c r="F75" i="77"/>
  <c r="Q63" i="77"/>
  <c r="F81" i="77"/>
  <c r="Q69" i="77"/>
  <c r="F80" i="77"/>
  <c r="Q68" i="77"/>
  <c r="F84" i="77"/>
  <c r="Q72" i="77"/>
  <c r="E83" i="77"/>
  <c r="P71" i="77"/>
  <c r="E78" i="77"/>
  <c r="P66" i="77"/>
  <c r="F74" i="77"/>
  <c r="Q62" i="77"/>
  <c r="E76" i="77"/>
  <c r="P64" i="77"/>
  <c r="F76" i="77"/>
  <c r="Q64" i="77"/>
  <c r="E75" i="77"/>
  <c r="P63" i="77"/>
  <c r="E81" i="77"/>
  <c r="P69" i="77"/>
  <c r="F78" i="77"/>
  <c r="Q66" i="77"/>
  <c r="E85" i="77"/>
  <c r="P73" i="77"/>
  <c r="F77" i="77"/>
  <c r="Q65" i="77"/>
  <c r="E84" i="77"/>
  <c r="P72" i="77"/>
  <c r="E82" i="77"/>
  <c r="P70" i="77"/>
  <c r="F85" i="77"/>
  <c r="Q73" i="77"/>
  <c r="E79" i="77"/>
  <c r="P67" i="77"/>
  <c r="E77" i="77"/>
  <c r="P65" i="77"/>
  <c r="E80" i="77"/>
  <c r="P68" i="77"/>
  <c r="F79" i="77"/>
  <c r="Q67" i="77"/>
  <c r="F82" i="77"/>
  <c r="Q70" i="77"/>
  <c r="F83" i="77"/>
  <c r="Q71" i="77"/>
  <c r="E50" i="77"/>
  <c r="P38" i="77"/>
  <c r="F74" i="36"/>
  <c r="O74" i="36" s="1"/>
  <c r="E75" i="152"/>
  <c r="K75" i="152" s="1"/>
  <c r="E81" i="151"/>
  <c r="J81" i="151" s="1"/>
  <c r="M81" i="151" s="1"/>
  <c r="E75" i="151"/>
  <c r="J75" i="151" s="1"/>
  <c r="M75" i="151" s="1"/>
  <c r="E83" i="151"/>
  <c r="J83" i="151" s="1"/>
  <c r="M83" i="151" s="1"/>
  <c r="E74" i="151"/>
  <c r="J74" i="151" s="1"/>
  <c r="M74" i="151" s="1"/>
  <c r="E82" i="151"/>
  <c r="J82" i="151" s="1"/>
  <c r="M82" i="151" s="1"/>
  <c r="E79" i="152"/>
  <c r="K79" i="152" s="1"/>
  <c r="E80" i="152"/>
  <c r="K80" i="152" s="1"/>
  <c r="E74" i="152"/>
  <c r="K74" i="152" s="1"/>
  <c r="E77" i="152"/>
  <c r="K77" i="152" s="1"/>
  <c r="E77" i="151"/>
  <c r="J77" i="151" s="1"/>
  <c r="M77" i="151" s="1"/>
  <c r="E85" i="151"/>
  <c r="J85" i="151" s="1"/>
  <c r="M85" i="151" s="1"/>
  <c r="E76" i="152"/>
  <c r="K76" i="152" s="1"/>
  <c r="E78" i="151"/>
  <c r="J78" i="151" s="1"/>
  <c r="M78" i="151" s="1"/>
  <c r="E76" i="151"/>
  <c r="J76" i="151" s="1"/>
  <c r="M76" i="151" s="1"/>
  <c r="E82" i="152"/>
  <c r="K82" i="152" s="1"/>
  <c r="E83" i="152"/>
  <c r="K83" i="152" s="1"/>
  <c r="E78" i="152"/>
  <c r="K78" i="152" s="1"/>
  <c r="E80" i="151"/>
  <c r="J80" i="151" s="1"/>
  <c r="M80" i="151" s="1"/>
  <c r="E84" i="151"/>
  <c r="J84" i="151" s="1"/>
  <c r="M84" i="151" s="1"/>
  <c r="E79" i="151"/>
  <c r="J79" i="151" s="1"/>
  <c r="M79" i="151" s="1"/>
  <c r="AN9" i="17"/>
  <c r="E81" i="152"/>
  <c r="K81" i="152" s="1"/>
  <c r="E85" i="152"/>
  <c r="K85" i="152" s="1"/>
  <c r="E84" i="152"/>
  <c r="K84" i="152" s="1"/>
  <c r="E76" i="75"/>
  <c r="Q64" i="75"/>
  <c r="E50" i="75"/>
  <c r="Q38" i="75"/>
  <c r="Y38" i="75" s="1"/>
  <c r="E81" i="75"/>
  <c r="Q69" i="75"/>
  <c r="E85" i="75"/>
  <c r="E97" i="75" s="1"/>
  <c r="Q73" i="75"/>
  <c r="E82" i="75"/>
  <c r="Q70" i="75"/>
  <c r="E80" i="75"/>
  <c r="Q68" i="75"/>
  <c r="E78" i="75"/>
  <c r="Q66" i="75"/>
  <c r="E75" i="75"/>
  <c r="Q63" i="75"/>
  <c r="E84" i="75"/>
  <c r="Q72" i="75"/>
  <c r="E83" i="75"/>
  <c r="Q71" i="75"/>
  <c r="E77" i="75"/>
  <c r="Q65" i="75"/>
  <c r="E79" i="75"/>
  <c r="Q67" i="75"/>
  <c r="R64" i="75"/>
  <c r="R66" i="75"/>
  <c r="R70" i="75"/>
  <c r="R63" i="75"/>
  <c r="R62" i="75"/>
  <c r="R65" i="75"/>
  <c r="R68" i="75"/>
  <c r="R71" i="75"/>
  <c r="R73" i="75"/>
  <c r="R69" i="75"/>
  <c r="R67" i="75"/>
  <c r="R72" i="75"/>
  <c r="F85" i="75"/>
  <c r="F97" i="75" s="1"/>
  <c r="F79" i="75"/>
  <c r="F80" i="75"/>
  <c r="F76" i="75"/>
  <c r="F78" i="75"/>
  <c r="F82" i="75"/>
  <c r="F77" i="75"/>
  <c r="F75" i="75"/>
  <c r="F84" i="75"/>
  <c r="F83" i="75"/>
  <c r="F74" i="75"/>
  <c r="F81" i="75"/>
  <c r="BF9" i="17"/>
  <c r="BE10" i="17"/>
  <c r="BL10" i="17" s="1"/>
  <c r="F81" i="36"/>
  <c r="O81" i="36" s="1"/>
  <c r="F82" i="36"/>
  <c r="O82" i="36" s="1"/>
  <c r="F76" i="36"/>
  <c r="O76" i="36" s="1"/>
  <c r="E75" i="36"/>
  <c r="N75" i="36" s="1"/>
  <c r="F78" i="36"/>
  <c r="O78" i="36" s="1"/>
  <c r="E83" i="36"/>
  <c r="N83" i="36" s="1"/>
  <c r="F80" i="36"/>
  <c r="O80" i="36" s="1"/>
  <c r="F83" i="36"/>
  <c r="O83" i="36" s="1"/>
  <c r="E81" i="36"/>
  <c r="N81" i="36" s="1"/>
  <c r="F77" i="36"/>
  <c r="O77" i="36" s="1"/>
  <c r="E84" i="36"/>
  <c r="N84" i="36" s="1"/>
  <c r="E78" i="36"/>
  <c r="N78" i="36" s="1"/>
  <c r="E77" i="36"/>
  <c r="N77" i="36" s="1"/>
  <c r="E80" i="36"/>
  <c r="N80" i="36" s="1"/>
  <c r="E79" i="36"/>
  <c r="N79" i="36" s="1"/>
  <c r="F85" i="36"/>
  <c r="O85" i="36" s="1"/>
  <c r="F75" i="36"/>
  <c r="O75" i="36" s="1"/>
  <c r="E76" i="36"/>
  <c r="N76" i="36" s="1"/>
  <c r="E85" i="36"/>
  <c r="N85" i="36" s="1"/>
  <c r="F84" i="36"/>
  <c r="O84" i="36" s="1"/>
  <c r="F79" i="36"/>
  <c r="O79" i="36" s="1"/>
  <c r="E82" i="36"/>
  <c r="N82" i="36" s="1"/>
  <c r="CM85" i="67"/>
  <c r="O25" i="76"/>
  <c r="P25" i="76"/>
  <c r="O24" i="76"/>
  <c r="P22" i="76"/>
  <c r="P24" i="76"/>
  <c r="P23" i="76"/>
  <c r="O23" i="76"/>
  <c r="O22" i="76"/>
  <c r="AF21" i="156" l="1"/>
  <c r="F9" i="74"/>
  <c r="AF20" i="156"/>
  <c r="E9" i="74"/>
  <c r="E86" i="155"/>
  <c r="Q74" i="155"/>
  <c r="E90" i="155"/>
  <c r="Q78" i="155"/>
  <c r="E94" i="155"/>
  <c r="Q82" i="155"/>
  <c r="E92" i="155"/>
  <c r="Q80" i="155"/>
  <c r="E97" i="155"/>
  <c r="Q85" i="155"/>
  <c r="E91" i="155"/>
  <c r="Q79" i="155"/>
  <c r="E89" i="155"/>
  <c r="Q77" i="155"/>
  <c r="E95" i="155"/>
  <c r="Q83" i="155"/>
  <c r="E96" i="155"/>
  <c r="Q84" i="155"/>
  <c r="E88" i="155"/>
  <c r="Q76" i="155"/>
  <c r="E93" i="155"/>
  <c r="Q81" i="155"/>
  <c r="E87" i="155"/>
  <c r="Q75" i="155"/>
  <c r="E105" i="154"/>
  <c r="O93" i="154"/>
  <c r="E104" i="154"/>
  <c r="O92" i="154"/>
  <c r="E109" i="154"/>
  <c r="O97" i="154"/>
  <c r="E100" i="154"/>
  <c r="O88" i="154"/>
  <c r="E107" i="154"/>
  <c r="O95" i="154"/>
  <c r="E103" i="154"/>
  <c r="O91" i="154"/>
  <c r="E102" i="154"/>
  <c r="O90" i="154"/>
  <c r="E101" i="154"/>
  <c r="O89" i="154"/>
  <c r="E99" i="154"/>
  <c r="O87" i="154"/>
  <c r="E106" i="154"/>
  <c r="O94" i="154"/>
  <c r="E108" i="154"/>
  <c r="O96" i="154"/>
  <c r="E98" i="154"/>
  <c r="O86" i="154"/>
  <c r="AB7" i="156"/>
  <c r="E109" i="75"/>
  <c r="Q109" i="75" s="1"/>
  <c r="Q97" i="75"/>
  <c r="R97" i="75"/>
  <c r="F109" i="75"/>
  <c r="R109" i="75" s="1"/>
  <c r="AJ9" i="25"/>
  <c r="F23" i="158" s="1"/>
  <c r="AI8" i="25"/>
  <c r="E22" i="158" s="1"/>
  <c r="U81" i="36"/>
  <c r="U75" i="36"/>
  <c r="U85" i="36"/>
  <c r="U78" i="36"/>
  <c r="U84" i="36"/>
  <c r="U82" i="36"/>
  <c r="U77" i="36"/>
  <c r="U83" i="36"/>
  <c r="U76" i="36"/>
  <c r="U79" i="36"/>
  <c r="U80" i="36"/>
  <c r="K85" i="154"/>
  <c r="U85" i="154" s="1"/>
  <c r="M85" i="155"/>
  <c r="K85" i="153"/>
  <c r="U85" i="153" s="1"/>
  <c r="W85" i="153" s="1"/>
  <c r="AI8" i="156"/>
  <c r="BN10" i="17"/>
  <c r="BO10" i="17" s="1"/>
  <c r="AF9" i="156"/>
  <c r="AF9" i="24"/>
  <c r="AF23" i="24" s="1"/>
  <c r="G9" i="25"/>
  <c r="Y8" i="24"/>
  <c r="Y8" i="156"/>
  <c r="AA8" i="156" s="1"/>
  <c r="F8" i="25"/>
  <c r="AY11" i="17"/>
  <c r="E62" i="36"/>
  <c r="N62" i="36" s="1"/>
  <c r="U62" i="36" s="1"/>
  <c r="R77" i="155"/>
  <c r="F89" i="155"/>
  <c r="F101" i="155" s="1"/>
  <c r="R101" i="155" s="1"/>
  <c r="F89" i="154"/>
  <c r="F101" i="154" s="1"/>
  <c r="P101" i="154" s="1"/>
  <c r="P77" i="154"/>
  <c r="W77" i="154" s="1"/>
  <c r="F93" i="155"/>
  <c r="F105" i="155" s="1"/>
  <c r="R105" i="155" s="1"/>
  <c r="R81" i="155"/>
  <c r="P83" i="154"/>
  <c r="W83" i="154" s="1"/>
  <c r="F95" i="154"/>
  <c r="F107" i="154" s="1"/>
  <c r="P107" i="154" s="1"/>
  <c r="R84" i="155"/>
  <c r="F96" i="155"/>
  <c r="F108" i="155" s="1"/>
  <c r="R108" i="155" s="1"/>
  <c r="P82" i="154"/>
  <c r="W82" i="154" s="1"/>
  <c r="F94" i="154"/>
  <c r="F106" i="154" s="1"/>
  <c r="P106" i="154" s="1"/>
  <c r="P78" i="154"/>
  <c r="W78" i="154" s="1"/>
  <c r="F90" i="154"/>
  <c r="F102" i="154" s="1"/>
  <c r="P102" i="154" s="1"/>
  <c r="P81" i="154"/>
  <c r="W81" i="154" s="1"/>
  <c r="F93" i="154"/>
  <c r="F105" i="154" s="1"/>
  <c r="P105" i="154" s="1"/>
  <c r="P84" i="154"/>
  <c r="W84" i="154" s="1"/>
  <c r="F96" i="154"/>
  <c r="F108" i="154" s="1"/>
  <c r="P108" i="154" s="1"/>
  <c r="F86" i="154"/>
  <c r="F98" i="154" s="1"/>
  <c r="P98" i="154" s="1"/>
  <c r="P74" i="154"/>
  <c r="W74" i="154" s="1"/>
  <c r="F91" i="154"/>
  <c r="F103" i="154" s="1"/>
  <c r="P103" i="154" s="1"/>
  <c r="P79" i="154"/>
  <c r="W79" i="154" s="1"/>
  <c r="R78" i="155"/>
  <c r="F90" i="155"/>
  <c r="F102" i="155" s="1"/>
  <c r="R102" i="155" s="1"/>
  <c r="R76" i="155"/>
  <c r="F88" i="155"/>
  <c r="F100" i="155" s="1"/>
  <c r="R100" i="155" s="1"/>
  <c r="P76" i="154"/>
  <c r="W76" i="154" s="1"/>
  <c r="F88" i="154"/>
  <c r="F100" i="154" s="1"/>
  <c r="P100" i="154" s="1"/>
  <c r="F87" i="155"/>
  <c r="F99" i="155" s="1"/>
  <c r="R99" i="155" s="1"/>
  <c r="R75" i="155"/>
  <c r="F97" i="154"/>
  <c r="F109" i="154" s="1"/>
  <c r="P109" i="154" s="1"/>
  <c r="P85" i="154"/>
  <c r="F97" i="155"/>
  <c r="F109" i="155" s="1"/>
  <c r="R109" i="155" s="1"/>
  <c r="R85" i="155"/>
  <c r="F91" i="155"/>
  <c r="F103" i="155" s="1"/>
  <c r="R103" i="155" s="1"/>
  <c r="R79" i="155"/>
  <c r="R74" i="155"/>
  <c r="F86" i="155"/>
  <c r="F98" i="155" s="1"/>
  <c r="R98" i="155" s="1"/>
  <c r="F87" i="154"/>
  <c r="F99" i="154" s="1"/>
  <c r="P99" i="154" s="1"/>
  <c r="P75" i="154"/>
  <c r="W75" i="154" s="1"/>
  <c r="P80" i="154"/>
  <c r="W80" i="154" s="1"/>
  <c r="F92" i="154"/>
  <c r="F104" i="154" s="1"/>
  <c r="P104" i="154" s="1"/>
  <c r="R80" i="155"/>
  <c r="F92" i="155"/>
  <c r="F104" i="155" s="1"/>
  <c r="R104" i="155" s="1"/>
  <c r="F95" i="155"/>
  <c r="F107" i="155" s="1"/>
  <c r="R107" i="155" s="1"/>
  <c r="R83" i="155"/>
  <c r="R82" i="155"/>
  <c r="F94" i="155"/>
  <c r="F106" i="155" s="1"/>
  <c r="R106" i="155" s="1"/>
  <c r="E62" i="77"/>
  <c r="P50" i="77"/>
  <c r="E94" i="77"/>
  <c r="E106" i="77" s="1"/>
  <c r="P106" i="77" s="1"/>
  <c r="P82" i="77"/>
  <c r="E88" i="77"/>
  <c r="E100" i="77" s="1"/>
  <c r="P100" i="77" s="1"/>
  <c r="P76" i="77"/>
  <c r="F95" i="77"/>
  <c r="F107" i="77" s="1"/>
  <c r="Q107" i="77" s="1"/>
  <c r="Q83" i="77"/>
  <c r="E96" i="77"/>
  <c r="E108" i="77" s="1"/>
  <c r="P108" i="77" s="1"/>
  <c r="P84" i="77"/>
  <c r="F86" i="77"/>
  <c r="F98" i="77" s="1"/>
  <c r="Q98" i="77" s="1"/>
  <c r="Q74" i="77"/>
  <c r="F94" i="77"/>
  <c r="F106" i="77" s="1"/>
  <c r="Q106" i="77" s="1"/>
  <c r="Q82" i="77"/>
  <c r="F89" i="77"/>
  <c r="F101" i="77" s="1"/>
  <c r="Q101" i="77" s="1"/>
  <c r="Q77" i="77"/>
  <c r="E90" i="77"/>
  <c r="E102" i="77" s="1"/>
  <c r="P102" i="77" s="1"/>
  <c r="P78" i="77"/>
  <c r="F91" i="77"/>
  <c r="F103" i="77" s="1"/>
  <c r="Q103" i="77" s="1"/>
  <c r="Q79" i="77"/>
  <c r="E97" i="77"/>
  <c r="E109" i="77" s="1"/>
  <c r="P109" i="77" s="1"/>
  <c r="P85" i="77"/>
  <c r="E95" i="77"/>
  <c r="E107" i="77" s="1"/>
  <c r="P107" i="77" s="1"/>
  <c r="P83" i="77"/>
  <c r="E92" i="77"/>
  <c r="E104" i="77" s="1"/>
  <c r="P104" i="77" s="1"/>
  <c r="P80" i="77"/>
  <c r="F90" i="77"/>
  <c r="F102" i="77" s="1"/>
  <c r="Q102" i="77" s="1"/>
  <c r="Q78" i="77"/>
  <c r="F96" i="77"/>
  <c r="F108" i="77" s="1"/>
  <c r="Q108" i="77" s="1"/>
  <c r="Q84" i="77"/>
  <c r="E89" i="77"/>
  <c r="E101" i="77" s="1"/>
  <c r="P101" i="77" s="1"/>
  <c r="P77" i="77"/>
  <c r="E93" i="77"/>
  <c r="E105" i="77" s="1"/>
  <c r="P105" i="77" s="1"/>
  <c r="P81" i="77"/>
  <c r="F92" i="77"/>
  <c r="F104" i="77" s="1"/>
  <c r="Q104" i="77" s="1"/>
  <c r="Q80" i="77"/>
  <c r="E91" i="77"/>
  <c r="E103" i="77" s="1"/>
  <c r="P103" i="77" s="1"/>
  <c r="P79" i="77"/>
  <c r="E87" i="77"/>
  <c r="E99" i="77" s="1"/>
  <c r="P99" i="77" s="1"/>
  <c r="P75" i="77"/>
  <c r="F93" i="77"/>
  <c r="F105" i="77" s="1"/>
  <c r="Q105" i="77" s="1"/>
  <c r="Q81" i="77"/>
  <c r="F97" i="77"/>
  <c r="F109" i="77" s="1"/>
  <c r="Q109" i="77" s="1"/>
  <c r="Q85" i="77"/>
  <c r="F88" i="77"/>
  <c r="F100" i="77" s="1"/>
  <c r="Q100" i="77" s="1"/>
  <c r="Q76" i="77"/>
  <c r="F87" i="77"/>
  <c r="F99" i="77" s="1"/>
  <c r="Q99" i="77" s="1"/>
  <c r="Q75" i="77"/>
  <c r="F86" i="36"/>
  <c r="E91" i="152"/>
  <c r="E94" i="152"/>
  <c r="E94" i="151"/>
  <c r="E86" i="151"/>
  <c r="E95" i="151"/>
  <c r="E88" i="151"/>
  <c r="E88" i="152"/>
  <c r="E91" i="151"/>
  <c r="E87" i="151"/>
  <c r="E96" i="151"/>
  <c r="E97" i="151"/>
  <c r="E96" i="152"/>
  <c r="E92" i="151"/>
  <c r="E86" i="152"/>
  <c r="E97" i="152"/>
  <c r="E90" i="152"/>
  <c r="E93" i="151"/>
  <c r="AN10" i="17"/>
  <c r="E89" i="151"/>
  <c r="E90" i="151"/>
  <c r="E95" i="152"/>
  <c r="E93" i="152"/>
  <c r="E89" i="152"/>
  <c r="E92" i="152"/>
  <c r="E87" i="152"/>
  <c r="E87" i="75"/>
  <c r="E99" i="75" s="1"/>
  <c r="Q99" i="75" s="1"/>
  <c r="Q75" i="75"/>
  <c r="E90" i="75"/>
  <c r="E102" i="75" s="1"/>
  <c r="Q102" i="75" s="1"/>
  <c r="Q78" i="75"/>
  <c r="E92" i="75"/>
  <c r="E104" i="75" s="1"/>
  <c r="Q104" i="75" s="1"/>
  <c r="Q80" i="75"/>
  <c r="E94" i="75"/>
  <c r="E106" i="75" s="1"/>
  <c r="Q106" i="75" s="1"/>
  <c r="Q82" i="75"/>
  <c r="Q85" i="75"/>
  <c r="E93" i="75"/>
  <c r="E105" i="75" s="1"/>
  <c r="Q105" i="75" s="1"/>
  <c r="Q81" i="75"/>
  <c r="E95" i="75"/>
  <c r="E107" i="75" s="1"/>
  <c r="Q107" i="75" s="1"/>
  <c r="Q83" i="75"/>
  <c r="E62" i="75"/>
  <c r="Q50" i="75"/>
  <c r="E91" i="75"/>
  <c r="E103" i="75" s="1"/>
  <c r="Q103" i="75" s="1"/>
  <c r="Q79" i="75"/>
  <c r="E89" i="75"/>
  <c r="E101" i="75" s="1"/>
  <c r="Q101" i="75" s="1"/>
  <c r="Q77" i="75"/>
  <c r="E96" i="75"/>
  <c r="E108" i="75" s="1"/>
  <c r="Q108" i="75" s="1"/>
  <c r="Q84" i="75"/>
  <c r="E88" i="75"/>
  <c r="E100" i="75" s="1"/>
  <c r="Q100" i="75" s="1"/>
  <c r="Q76" i="75"/>
  <c r="R76" i="75"/>
  <c r="R74" i="75"/>
  <c r="R83" i="75"/>
  <c r="R79" i="75"/>
  <c r="R81" i="75"/>
  <c r="R85" i="75"/>
  <c r="R75" i="75"/>
  <c r="R77" i="75"/>
  <c r="R82" i="75"/>
  <c r="R80" i="75"/>
  <c r="R84" i="75"/>
  <c r="R78" i="75"/>
  <c r="F87" i="75"/>
  <c r="F99" i="75" s="1"/>
  <c r="R99" i="75" s="1"/>
  <c r="F89" i="75"/>
  <c r="F101" i="75" s="1"/>
  <c r="R101" i="75" s="1"/>
  <c r="F94" i="75"/>
  <c r="F106" i="75" s="1"/>
  <c r="R106" i="75" s="1"/>
  <c r="F86" i="75"/>
  <c r="F98" i="75" s="1"/>
  <c r="R98" i="75" s="1"/>
  <c r="F95" i="75"/>
  <c r="F107" i="75" s="1"/>
  <c r="R107" i="75" s="1"/>
  <c r="F91" i="75"/>
  <c r="F103" i="75" s="1"/>
  <c r="R103" i="75" s="1"/>
  <c r="F90" i="75"/>
  <c r="F102" i="75" s="1"/>
  <c r="R102" i="75" s="1"/>
  <c r="F93" i="75"/>
  <c r="F105" i="75" s="1"/>
  <c r="R105" i="75" s="1"/>
  <c r="F92" i="75"/>
  <c r="F104" i="75" s="1"/>
  <c r="R104" i="75" s="1"/>
  <c r="F88" i="75"/>
  <c r="F100" i="75" s="1"/>
  <c r="R100" i="75" s="1"/>
  <c r="F96" i="75"/>
  <c r="F108" i="75" s="1"/>
  <c r="R108" i="75" s="1"/>
  <c r="BF10" i="17"/>
  <c r="BE11" i="17"/>
  <c r="BL11" i="17" s="1"/>
  <c r="F90" i="36"/>
  <c r="E87" i="36"/>
  <c r="F95" i="36"/>
  <c r="F96" i="36"/>
  <c r="E90" i="36"/>
  <c r="F91" i="36"/>
  <c r="F92" i="36"/>
  <c r="F88" i="36"/>
  <c r="F97" i="36"/>
  <c r="E92" i="36"/>
  <c r="F94" i="36"/>
  <c r="E97" i="36"/>
  <c r="E91" i="36"/>
  <c r="E94" i="36"/>
  <c r="E95" i="36"/>
  <c r="E89" i="36"/>
  <c r="E93" i="36"/>
  <c r="F93" i="36"/>
  <c r="E96" i="36"/>
  <c r="E88" i="36"/>
  <c r="F89" i="36"/>
  <c r="F87" i="36"/>
  <c r="CM86" i="67"/>
  <c r="E34" i="76"/>
  <c r="O34" i="76" s="1"/>
  <c r="F36" i="76"/>
  <c r="P36" i="76" s="1"/>
  <c r="F37" i="76"/>
  <c r="P37" i="76" s="1"/>
  <c r="E36" i="76"/>
  <c r="O36" i="76" s="1"/>
  <c r="E37" i="76"/>
  <c r="O37" i="76" s="1"/>
  <c r="E35" i="76"/>
  <c r="O35" i="76" s="1"/>
  <c r="F34" i="76"/>
  <c r="P34" i="76" s="1"/>
  <c r="F35" i="76"/>
  <c r="P35" i="76" s="1"/>
  <c r="BR6" i="17"/>
  <c r="B6" i="24"/>
  <c r="AH9" i="156" l="1"/>
  <c r="AF31" i="156"/>
  <c r="AH31" i="156" s="1"/>
  <c r="AF22" i="156"/>
  <c r="G9" i="74"/>
  <c r="E107" i="155"/>
  <c r="Q95" i="155"/>
  <c r="E101" i="155"/>
  <c r="Q89" i="155"/>
  <c r="E103" i="155"/>
  <c r="Q91" i="155"/>
  <c r="E109" i="155"/>
  <c r="Q97" i="155"/>
  <c r="E99" i="155"/>
  <c r="Q87" i="155"/>
  <c r="E104" i="155"/>
  <c r="Q92" i="155"/>
  <c r="E105" i="155"/>
  <c r="Q93" i="155"/>
  <c r="E106" i="155"/>
  <c r="Q94" i="155"/>
  <c r="E100" i="155"/>
  <c r="Q88" i="155"/>
  <c r="E102" i="155"/>
  <c r="Q90" i="155"/>
  <c r="E108" i="155"/>
  <c r="Q96" i="155"/>
  <c r="E98" i="155"/>
  <c r="Q86" i="155"/>
  <c r="E113" i="154"/>
  <c r="O101" i="154"/>
  <c r="E114" i="154"/>
  <c r="O102" i="154"/>
  <c r="E115" i="154"/>
  <c r="O103" i="154"/>
  <c r="E119" i="154"/>
  <c r="O107" i="154"/>
  <c r="E110" i="154"/>
  <c r="O98" i="154"/>
  <c r="E112" i="154"/>
  <c r="O100" i="154"/>
  <c r="E120" i="154"/>
  <c r="O108" i="154"/>
  <c r="E121" i="154"/>
  <c r="O109" i="154"/>
  <c r="E118" i="154"/>
  <c r="O106" i="154"/>
  <c r="E116" i="154"/>
  <c r="O104" i="154"/>
  <c r="E111" i="154"/>
  <c r="O99" i="154"/>
  <c r="E117" i="154"/>
  <c r="O105" i="154"/>
  <c r="K6" i="24"/>
  <c r="L6" i="24" s="1"/>
  <c r="AL6" i="24"/>
  <c r="D32" i="25" s="1"/>
  <c r="AH32" i="25" s="1"/>
  <c r="D34" i="158" s="1"/>
  <c r="K86" i="152"/>
  <c r="E98" i="152"/>
  <c r="K98" i="152" s="1"/>
  <c r="K97" i="152"/>
  <c r="E109" i="152"/>
  <c r="K109" i="152" s="1"/>
  <c r="K87" i="152"/>
  <c r="E99" i="152"/>
  <c r="K99" i="152" s="1"/>
  <c r="K90" i="152"/>
  <c r="E102" i="152"/>
  <c r="K102" i="152" s="1"/>
  <c r="K96" i="152"/>
  <c r="E108" i="152"/>
  <c r="K108" i="152" s="1"/>
  <c r="K88" i="152"/>
  <c r="E100" i="152"/>
  <c r="K100" i="152" s="1"/>
  <c r="K93" i="152"/>
  <c r="E105" i="152"/>
  <c r="K105" i="152" s="1"/>
  <c r="K89" i="152"/>
  <c r="E101" i="152"/>
  <c r="K101" i="152" s="1"/>
  <c r="K95" i="152"/>
  <c r="E107" i="152"/>
  <c r="K107" i="152" s="1"/>
  <c r="K92" i="152"/>
  <c r="E104" i="152"/>
  <c r="K104" i="152" s="1"/>
  <c r="K94" i="152"/>
  <c r="E106" i="152"/>
  <c r="K106" i="152" s="1"/>
  <c r="K91" i="152"/>
  <c r="E103" i="152"/>
  <c r="K103" i="152" s="1"/>
  <c r="J93" i="151"/>
  <c r="M93" i="151" s="1"/>
  <c r="E105" i="151"/>
  <c r="J105" i="151" s="1"/>
  <c r="M105" i="151" s="1"/>
  <c r="J89" i="151"/>
  <c r="M89" i="151" s="1"/>
  <c r="E101" i="151"/>
  <c r="J101" i="151" s="1"/>
  <c r="M101" i="151" s="1"/>
  <c r="J92" i="151"/>
  <c r="M92" i="151" s="1"/>
  <c r="E104" i="151"/>
  <c r="J104" i="151" s="1"/>
  <c r="M104" i="151" s="1"/>
  <c r="J97" i="151"/>
  <c r="M97" i="151" s="1"/>
  <c r="E109" i="151"/>
  <c r="J109" i="151" s="1"/>
  <c r="M109" i="151" s="1"/>
  <c r="J94" i="151"/>
  <c r="M94" i="151" s="1"/>
  <c r="E106" i="151"/>
  <c r="J106" i="151" s="1"/>
  <c r="M106" i="151" s="1"/>
  <c r="J87" i="151"/>
  <c r="M87" i="151" s="1"/>
  <c r="E99" i="151"/>
  <c r="J99" i="151" s="1"/>
  <c r="M99" i="151" s="1"/>
  <c r="J91" i="151"/>
  <c r="M91" i="151" s="1"/>
  <c r="E103" i="151"/>
  <c r="J103" i="151" s="1"/>
  <c r="M103" i="151" s="1"/>
  <c r="J96" i="151"/>
  <c r="M96" i="151" s="1"/>
  <c r="E108" i="151"/>
  <c r="J108" i="151" s="1"/>
  <c r="M108" i="151" s="1"/>
  <c r="J88" i="151"/>
  <c r="M88" i="151" s="1"/>
  <c r="E100" i="151"/>
  <c r="J100" i="151" s="1"/>
  <c r="M100" i="151" s="1"/>
  <c r="J95" i="151"/>
  <c r="M95" i="151" s="1"/>
  <c r="E107" i="151"/>
  <c r="J107" i="151" s="1"/>
  <c r="M107" i="151" s="1"/>
  <c r="J90" i="151"/>
  <c r="M90" i="151" s="1"/>
  <c r="E102" i="151"/>
  <c r="J102" i="151" s="1"/>
  <c r="M102" i="151" s="1"/>
  <c r="J86" i="151"/>
  <c r="M86" i="151" s="1"/>
  <c r="E98" i="151"/>
  <c r="J98" i="151" s="1"/>
  <c r="M98" i="151" s="1"/>
  <c r="N91" i="36"/>
  <c r="E103" i="36"/>
  <c r="N103" i="36" s="1"/>
  <c r="O88" i="36"/>
  <c r="F100" i="36"/>
  <c r="O100" i="36" s="1"/>
  <c r="O92" i="36"/>
  <c r="F104" i="36"/>
  <c r="O104" i="36" s="1"/>
  <c r="O91" i="36"/>
  <c r="F103" i="36"/>
  <c r="O103" i="36" s="1"/>
  <c r="N90" i="36"/>
  <c r="E102" i="36"/>
  <c r="N102" i="36" s="1"/>
  <c r="O86" i="36"/>
  <c r="F98" i="36"/>
  <c r="O98" i="36" s="1"/>
  <c r="O87" i="36"/>
  <c r="F99" i="36"/>
  <c r="O99" i="36" s="1"/>
  <c r="O89" i="36"/>
  <c r="F101" i="36"/>
  <c r="O101" i="36" s="1"/>
  <c r="N88" i="36"/>
  <c r="E100" i="36"/>
  <c r="N100" i="36" s="1"/>
  <c r="O96" i="36"/>
  <c r="F108" i="36"/>
  <c r="O108" i="36" s="1"/>
  <c r="O95" i="36"/>
  <c r="F107" i="36"/>
  <c r="O107" i="36" s="1"/>
  <c r="O90" i="36"/>
  <c r="F102" i="36"/>
  <c r="O102" i="36" s="1"/>
  <c r="N87" i="36"/>
  <c r="E99" i="36"/>
  <c r="N99" i="36" s="1"/>
  <c r="N96" i="36"/>
  <c r="E108" i="36"/>
  <c r="N108" i="36" s="1"/>
  <c r="N89" i="36"/>
  <c r="E101" i="36"/>
  <c r="N101" i="36" s="1"/>
  <c r="N97" i="36"/>
  <c r="E109" i="36"/>
  <c r="N109" i="36" s="1"/>
  <c r="O93" i="36"/>
  <c r="F105" i="36"/>
  <c r="O105" i="36" s="1"/>
  <c r="N93" i="36"/>
  <c r="E105" i="36"/>
  <c r="N105" i="36" s="1"/>
  <c r="N95" i="36"/>
  <c r="E107" i="36"/>
  <c r="N107" i="36" s="1"/>
  <c r="N92" i="36"/>
  <c r="E104" i="36"/>
  <c r="N104" i="36" s="1"/>
  <c r="N94" i="36"/>
  <c r="E106" i="36"/>
  <c r="N106" i="36" s="1"/>
  <c r="O94" i="36"/>
  <c r="F106" i="36"/>
  <c r="O106" i="36" s="1"/>
  <c r="O97" i="36"/>
  <c r="F109" i="36"/>
  <c r="O109" i="36" s="1"/>
  <c r="W85" i="154"/>
  <c r="AY12" i="17" s="1"/>
  <c r="R6" i="24"/>
  <c r="D29" i="25" s="1"/>
  <c r="AH29" i="25" s="1"/>
  <c r="D31" i="158" s="1"/>
  <c r="Z6" i="24"/>
  <c r="D30" i="25" s="1"/>
  <c r="AH30" i="25" s="1"/>
  <c r="D32" i="158" s="1"/>
  <c r="AG6" i="24"/>
  <c r="D31" i="25" s="1"/>
  <c r="AH31" i="25" s="1"/>
  <c r="D33" i="158" s="1"/>
  <c r="AJ8" i="25"/>
  <c r="F22" i="158" s="1"/>
  <c r="AK9" i="25"/>
  <c r="G23" i="158" s="1"/>
  <c r="AB8" i="156"/>
  <c r="M86" i="155"/>
  <c r="K86" i="154"/>
  <c r="U86" i="154" s="1"/>
  <c r="K86" i="153"/>
  <c r="U86" i="153" s="1"/>
  <c r="W86" i="153" s="1"/>
  <c r="C10" i="25"/>
  <c r="BN11" i="17"/>
  <c r="BO11" i="17" s="1"/>
  <c r="AF10" i="156"/>
  <c r="AH10" i="156" s="1"/>
  <c r="AF10" i="24"/>
  <c r="H9" i="25"/>
  <c r="Y9" i="24"/>
  <c r="Y23" i="24" s="1"/>
  <c r="G8" i="25"/>
  <c r="Y9" i="156"/>
  <c r="AI9" i="156"/>
  <c r="E74" i="36"/>
  <c r="N74" i="36" s="1"/>
  <c r="U74" i="36" s="1"/>
  <c r="R94" i="155"/>
  <c r="P93" i="154"/>
  <c r="P97" i="154"/>
  <c r="P90" i="154"/>
  <c r="R95" i="155"/>
  <c r="R87" i="155"/>
  <c r="R92" i="155"/>
  <c r="P88" i="154"/>
  <c r="P94" i="154"/>
  <c r="P92" i="154"/>
  <c r="R88" i="155"/>
  <c r="R96" i="155"/>
  <c r="R90" i="155"/>
  <c r="P95" i="154"/>
  <c r="P87" i="154"/>
  <c r="R86" i="155"/>
  <c r="P91" i="154"/>
  <c r="R93" i="155"/>
  <c r="R91" i="155"/>
  <c r="P86" i="154"/>
  <c r="P89" i="154"/>
  <c r="P96" i="154"/>
  <c r="R89" i="155"/>
  <c r="R97" i="155"/>
  <c r="Q87" i="77"/>
  <c r="P89" i="77"/>
  <c r="Q89" i="77"/>
  <c r="Q97" i="77"/>
  <c r="Q88" i="77"/>
  <c r="Q96" i="77"/>
  <c r="Q94" i="77"/>
  <c r="Q86" i="77"/>
  <c r="Q93" i="77"/>
  <c r="P92" i="77"/>
  <c r="P96" i="77"/>
  <c r="P87" i="77"/>
  <c r="P95" i="77"/>
  <c r="Q95" i="77"/>
  <c r="P91" i="77"/>
  <c r="P97" i="77"/>
  <c r="P88" i="77"/>
  <c r="Q92" i="77"/>
  <c r="Q91" i="77"/>
  <c r="P94" i="77"/>
  <c r="Q90" i="77"/>
  <c r="P93" i="77"/>
  <c r="P90" i="77"/>
  <c r="E74" i="77"/>
  <c r="P62" i="77"/>
  <c r="AN11" i="17"/>
  <c r="D6" i="24"/>
  <c r="D27" i="25" s="1"/>
  <c r="E74" i="75"/>
  <c r="Q62" i="75"/>
  <c r="Q95" i="75"/>
  <c r="Q93" i="75"/>
  <c r="Q94" i="75"/>
  <c r="Q92" i="75"/>
  <c r="Q88" i="75"/>
  <c r="Q89" i="75"/>
  <c r="Q90" i="75"/>
  <c r="Q96" i="75"/>
  <c r="Q91" i="75"/>
  <c r="Q87" i="75"/>
  <c r="R86" i="75"/>
  <c r="R96" i="75"/>
  <c r="R94" i="75"/>
  <c r="R88" i="75"/>
  <c r="R89" i="75"/>
  <c r="R92" i="75"/>
  <c r="R87" i="75"/>
  <c r="R93" i="75"/>
  <c r="R90" i="75"/>
  <c r="R91" i="75"/>
  <c r="R95" i="75"/>
  <c r="BF11" i="17"/>
  <c r="BE12" i="17"/>
  <c r="CM87" i="67"/>
  <c r="F48" i="76"/>
  <c r="P48" i="76" s="1"/>
  <c r="F49" i="76"/>
  <c r="P49" i="76" s="1"/>
  <c r="E49" i="76"/>
  <c r="O49" i="76" s="1"/>
  <c r="F46" i="76"/>
  <c r="P46" i="76" s="1"/>
  <c r="E48" i="76"/>
  <c r="O48" i="76" s="1"/>
  <c r="F47" i="76"/>
  <c r="P47" i="76" s="1"/>
  <c r="E46" i="76"/>
  <c r="O46" i="76" s="1"/>
  <c r="E47" i="76"/>
  <c r="O47" i="76" s="1"/>
  <c r="BQ7" i="17"/>
  <c r="B7" i="24"/>
  <c r="D28" i="25" l="1"/>
  <c r="AH28" i="25" s="1"/>
  <c r="D30" i="158" s="1"/>
  <c r="AF23" i="156"/>
  <c r="H9" i="74"/>
  <c r="AA9" i="156"/>
  <c r="AB9" i="156" s="1"/>
  <c r="Y31" i="156"/>
  <c r="AA31" i="156" s="1"/>
  <c r="E118" i="155"/>
  <c r="Q118" i="155" s="1"/>
  <c r="Q106" i="155"/>
  <c r="E117" i="155"/>
  <c r="Q117" i="155" s="1"/>
  <c r="Q105" i="155"/>
  <c r="E116" i="155"/>
  <c r="Q116" i="155" s="1"/>
  <c r="Q104" i="155"/>
  <c r="E111" i="155"/>
  <c r="Q111" i="155" s="1"/>
  <c r="Q99" i="155"/>
  <c r="E110" i="155"/>
  <c r="Q110" i="155" s="1"/>
  <c r="Q98" i="155"/>
  <c r="E121" i="155"/>
  <c r="Q121" i="155" s="1"/>
  <c r="Q109" i="155"/>
  <c r="E120" i="155"/>
  <c r="Q120" i="155" s="1"/>
  <c r="Q108" i="155"/>
  <c r="E115" i="155"/>
  <c r="Q115" i="155" s="1"/>
  <c r="Q103" i="155"/>
  <c r="E114" i="155"/>
  <c r="Q114" i="155" s="1"/>
  <c r="Q102" i="155"/>
  <c r="E113" i="155"/>
  <c r="Q113" i="155" s="1"/>
  <c r="Q101" i="155"/>
  <c r="E112" i="155"/>
  <c r="Q112" i="155" s="1"/>
  <c r="Q100" i="155"/>
  <c r="E119" i="155"/>
  <c r="Q119" i="155" s="1"/>
  <c r="Q107" i="155"/>
  <c r="E133" i="154"/>
  <c r="O133" i="154" s="1"/>
  <c r="O121" i="154"/>
  <c r="E132" i="154"/>
  <c r="O132" i="154" s="1"/>
  <c r="O120" i="154"/>
  <c r="E124" i="154"/>
  <c r="O124" i="154" s="1"/>
  <c r="O112" i="154"/>
  <c r="E122" i="154"/>
  <c r="O122" i="154" s="1"/>
  <c r="O110" i="154"/>
  <c r="E129" i="154"/>
  <c r="O129" i="154" s="1"/>
  <c r="O117" i="154"/>
  <c r="E131" i="154"/>
  <c r="O131" i="154" s="1"/>
  <c r="O119" i="154"/>
  <c r="E123" i="154"/>
  <c r="O123" i="154" s="1"/>
  <c r="O111" i="154"/>
  <c r="E127" i="154"/>
  <c r="O127" i="154" s="1"/>
  <c r="O115" i="154"/>
  <c r="E128" i="154"/>
  <c r="O128" i="154" s="1"/>
  <c r="O116" i="154"/>
  <c r="E126" i="154"/>
  <c r="O126" i="154" s="1"/>
  <c r="O114" i="154"/>
  <c r="E130" i="154"/>
  <c r="O130" i="154" s="1"/>
  <c r="O118" i="154"/>
  <c r="E125" i="154"/>
  <c r="O125" i="154" s="1"/>
  <c r="O113" i="154"/>
  <c r="AL7" i="24"/>
  <c r="E32" i="25" s="1"/>
  <c r="AI32" i="25" s="1"/>
  <c r="E34" i="158" s="1"/>
  <c r="K7" i="24"/>
  <c r="L7" i="24" s="1"/>
  <c r="U95" i="36"/>
  <c r="AN14" i="17"/>
  <c r="U107" i="36"/>
  <c r="U96" i="36"/>
  <c r="U89" i="36"/>
  <c r="U87" i="36"/>
  <c r="U91" i="36"/>
  <c r="U93" i="36"/>
  <c r="U94" i="36"/>
  <c r="U90" i="36"/>
  <c r="U92" i="36"/>
  <c r="U104" i="36"/>
  <c r="U88" i="36"/>
  <c r="U105" i="36"/>
  <c r="U97" i="36"/>
  <c r="U101" i="36"/>
  <c r="U108" i="36"/>
  <c r="U102" i="36"/>
  <c r="U109" i="36"/>
  <c r="U106" i="36"/>
  <c r="U99" i="36"/>
  <c r="U100" i="36"/>
  <c r="U103" i="36"/>
  <c r="AH27" i="25"/>
  <c r="D7" i="24"/>
  <c r="E27" i="25" s="1"/>
  <c r="R7" i="24"/>
  <c r="E29" i="25" s="1"/>
  <c r="AI29" i="25" s="1"/>
  <c r="E31" i="158" s="1"/>
  <c r="Z7" i="24"/>
  <c r="E30" i="25" s="1"/>
  <c r="AI30" i="25" s="1"/>
  <c r="E32" i="158" s="1"/>
  <c r="AG7" i="24"/>
  <c r="E31" i="25" s="1"/>
  <c r="AI31" i="25" s="1"/>
  <c r="E33" i="158" s="1"/>
  <c r="W86" i="154"/>
  <c r="AK8" i="25"/>
  <c r="G22" i="158" s="1"/>
  <c r="AL9" i="25"/>
  <c r="H23" i="158" s="1"/>
  <c r="AG10" i="25"/>
  <c r="C24" i="158" s="1"/>
  <c r="AI10" i="156"/>
  <c r="Y10" i="24"/>
  <c r="H8" i="25"/>
  <c r="Y10" i="156"/>
  <c r="AA10" i="156" s="1"/>
  <c r="K87" i="154"/>
  <c r="U87" i="154" s="1"/>
  <c r="W87" i="154" s="1"/>
  <c r="M87" i="155"/>
  <c r="K87" i="153"/>
  <c r="U87" i="153" s="1"/>
  <c r="W87" i="153" s="1"/>
  <c r="E86" i="36"/>
  <c r="F110" i="155"/>
  <c r="R110" i="155" s="1"/>
  <c r="F112" i="154"/>
  <c r="F121" i="155"/>
  <c r="R121" i="155" s="1"/>
  <c r="F116" i="155"/>
  <c r="R116" i="155" s="1"/>
  <c r="F113" i="155"/>
  <c r="R113" i="155" s="1"/>
  <c r="F111" i="154"/>
  <c r="F120" i="154"/>
  <c r="F119" i="154"/>
  <c r="F111" i="155"/>
  <c r="R111" i="155" s="1"/>
  <c r="F114" i="155"/>
  <c r="R114" i="155" s="1"/>
  <c r="F113" i="154"/>
  <c r="F119" i="155"/>
  <c r="R119" i="155" s="1"/>
  <c r="F110" i="154"/>
  <c r="F114" i="154"/>
  <c r="F120" i="155"/>
  <c r="R120" i="155" s="1"/>
  <c r="F112" i="155"/>
  <c r="R112" i="155" s="1"/>
  <c r="F121" i="154"/>
  <c r="F115" i="155"/>
  <c r="R115" i="155" s="1"/>
  <c r="F116" i="154"/>
  <c r="F117" i="155"/>
  <c r="R117" i="155" s="1"/>
  <c r="F117" i="154"/>
  <c r="F115" i="154"/>
  <c r="F118" i="154"/>
  <c r="F118" i="155"/>
  <c r="R118" i="155" s="1"/>
  <c r="E86" i="77"/>
  <c r="E98" i="77" s="1"/>
  <c r="P98" i="77" s="1"/>
  <c r="P74" i="77"/>
  <c r="E121" i="77"/>
  <c r="P121" i="77" s="1"/>
  <c r="F110" i="77"/>
  <c r="Q110" i="77" s="1"/>
  <c r="E114" i="77"/>
  <c r="P114" i="77" s="1"/>
  <c r="E115" i="77"/>
  <c r="P115" i="77" s="1"/>
  <c r="F118" i="77"/>
  <c r="Q118" i="77" s="1"/>
  <c r="E117" i="77"/>
  <c r="P117" i="77" s="1"/>
  <c r="F119" i="77"/>
  <c r="Q119" i="77" s="1"/>
  <c r="F120" i="77"/>
  <c r="Q120" i="77" s="1"/>
  <c r="F114" i="77"/>
  <c r="Q114" i="77" s="1"/>
  <c r="E119" i="77"/>
  <c r="P119" i="77" s="1"/>
  <c r="F112" i="77"/>
  <c r="Q112" i="77" s="1"/>
  <c r="E118" i="77"/>
  <c r="P118" i="77" s="1"/>
  <c r="E111" i="77"/>
  <c r="P111" i="77" s="1"/>
  <c r="F121" i="77"/>
  <c r="Q121" i="77" s="1"/>
  <c r="F115" i="77"/>
  <c r="Q115" i="77" s="1"/>
  <c r="E120" i="77"/>
  <c r="P120" i="77" s="1"/>
  <c r="F113" i="77"/>
  <c r="Q113" i="77" s="1"/>
  <c r="E116" i="77"/>
  <c r="P116" i="77" s="1"/>
  <c r="F116" i="77"/>
  <c r="Q116" i="77" s="1"/>
  <c r="E113" i="77"/>
  <c r="P113" i="77" s="1"/>
  <c r="E112" i="77"/>
  <c r="P112" i="77" s="1"/>
  <c r="F117" i="77"/>
  <c r="Q117" i="77" s="1"/>
  <c r="F111" i="77"/>
  <c r="Q111" i="77" s="1"/>
  <c r="F110" i="36"/>
  <c r="O110" i="36" s="1"/>
  <c r="E118" i="151"/>
  <c r="J118" i="151" s="1"/>
  <c r="M118" i="151" s="1"/>
  <c r="E116" i="152"/>
  <c r="K116" i="152" s="1"/>
  <c r="N116" i="152" s="1"/>
  <c r="E121" i="152"/>
  <c r="K121" i="152" s="1"/>
  <c r="N121" i="152" s="1"/>
  <c r="E118" i="152"/>
  <c r="K118" i="152" s="1"/>
  <c r="N118" i="152" s="1"/>
  <c r="E110" i="151"/>
  <c r="J110" i="151" s="1"/>
  <c r="M110" i="151" s="1"/>
  <c r="E113" i="151"/>
  <c r="J113" i="151" s="1"/>
  <c r="M113" i="151" s="1"/>
  <c r="E115" i="152"/>
  <c r="K115" i="152" s="1"/>
  <c r="N115" i="152" s="1"/>
  <c r="E120" i="152"/>
  <c r="K120" i="152" s="1"/>
  <c r="N120" i="152" s="1"/>
  <c r="E111" i="151"/>
  <c r="J111" i="151" s="1"/>
  <c r="M111" i="151" s="1"/>
  <c r="E112" i="151"/>
  <c r="J112" i="151" s="1"/>
  <c r="M112" i="151" s="1"/>
  <c r="E121" i="151"/>
  <c r="J121" i="151" s="1"/>
  <c r="M121" i="151" s="1"/>
  <c r="E113" i="152"/>
  <c r="K113" i="152" s="1"/>
  <c r="N113" i="152" s="1"/>
  <c r="E110" i="152"/>
  <c r="K110" i="152" s="1"/>
  <c r="N110" i="152" s="1"/>
  <c r="E112" i="152"/>
  <c r="K112" i="152" s="1"/>
  <c r="N112" i="152" s="1"/>
  <c r="AN12" i="17"/>
  <c r="E120" i="151"/>
  <c r="J120" i="151" s="1"/>
  <c r="M120" i="151" s="1"/>
  <c r="E117" i="151"/>
  <c r="J117" i="151" s="1"/>
  <c r="M117" i="151" s="1"/>
  <c r="E114" i="152"/>
  <c r="K114" i="152" s="1"/>
  <c r="N114" i="152" s="1"/>
  <c r="E114" i="151"/>
  <c r="J114" i="151" s="1"/>
  <c r="M114" i="151" s="1"/>
  <c r="E119" i="152"/>
  <c r="K119" i="152" s="1"/>
  <c r="N119" i="152" s="1"/>
  <c r="E117" i="152"/>
  <c r="K117" i="152" s="1"/>
  <c r="N117" i="152" s="1"/>
  <c r="E111" i="152"/>
  <c r="K111" i="152" s="1"/>
  <c r="N111" i="152" s="1"/>
  <c r="E116" i="151"/>
  <c r="J116" i="151" s="1"/>
  <c r="M116" i="151" s="1"/>
  <c r="E119" i="151"/>
  <c r="J119" i="151" s="1"/>
  <c r="M119" i="151" s="1"/>
  <c r="E115" i="151"/>
  <c r="J115" i="151" s="1"/>
  <c r="M115" i="151" s="1"/>
  <c r="BE13" i="17"/>
  <c r="BL12" i="17"/>
  <c r="E113" i="75"/>
  <c r="E112" i="75"/>
  <c r="E116" i="75"/>
  <c r="Q116" i="75" s="1"/>
  <c r="E118" i="75"/>
  <c r="Q118" i="75" s="1"/>
  <c r="E111" i="75"/>
  <c r="E121" i="75"/>
  <c r="Q121" i="75" s="1"/>
  <c r="E117" i="75"/>
  <c r="Q117" i="75" s="1"/>
  <c r="E120" i="75"/>
  <c r="Q120" i="75" s="1"/>
  <c r="E119" i="75"/>
  <c r="Q119" i="75" s="1"/>
  <c r="E115" i="75"/>
  <c r="Q115" i="75" s="1"/>
  <c r="E114" i="75"/>
  <c r="E86" i="75"/>
  <c r="E98" i="75" s="1"/>
  <c r="Q98" i="75" s="1"/>
  <c r="Q74" i="75"/>
  <c r="F113" i="75"/>
  <c r="R113" i="75" s="1"/>
  <c r="F112" i="75"/>
  <c r="R112" i="75" s="1"/>
  <c r="F120" i="75"/>
  <c r="F121" i="75"/>
  <c r="F116" i="75"/>
  <c r="F111" i="75"/>
  <c r="R111" i="75" s="1"/>
  <c r="F115" i="75"/>
  <c r="F117" i="75"/>
  <c r="F119" i="75"/>
  <c r="F110" i="75"/>
  <c r="R110" i="75" s="1"/>
  <c r="F118" i="75"/>
  <c r="F114" i="75"/>
  <c r="R114" i="75" s="1"/>
  <c r="BQ8" i="17"/>
  <c r="BR7" i="17"/>
  <c r="BF12" i="17"/>
  <c r="F114" i="36"/>
  <c r="O114" i="36" s="1"/>
  <c r="E111" i="36"/>
  <c r="N111" i="36" s="1"/>
  <c r="F121" i="36"/>
  <c r="O121" i="36" s="1"/>
  <c r="F117" i="36"/>
  <c r="O117" i="36" s="1"/>
  <c r="E115" i="36"/>
  <c r="N115" i="36" s="1"/>
  <c r="E121" i="36"/>
  <c r="N121" i="36" s="1"/>
  <c r="E118" i="36"/>
  <c r="N118" i="36" s="1"/>
  <c r="E117" i="36"/>
  <c r="N117" i="36" s="1"/>
  <c r="E116" i="36"/>
  <c r="N116" i="36" s="1"/>
  <c r="F120" i="36"/>
  <c r="O120" i="36" s="1"/>
  <c r="F113" i="36"/>
  <c r="O113" i="36" s="1"/>
  <c r="F116" i="36"/>
  <c r="O116" i="36" s="1"/>
  <c r="E119" i="36"/>
  <c r="N119" i="36" s="1"/>
  <c r="F118" i="36"/>
  <c r="O118" i="36" s="1"/>
  <c r="F111" i="36"/>
  <c r="O111" i="36" s="1"/>
  <c r="E114" i="36"/>
  <c r="N114" i="36" s="1"/>
  <c r="F119" i="36"/>
  <c r="O119" i="36" s="1"/>
  <c r="F115" i="36"/>
  <c r="O115" i="36" s="1"/>
  <c r="E112" i="36"/>
  <c r="N112" i="36" s="1"/>
  <c r="E120" i="36"/>
  <c r="N120" i="36" s="1"/>
  <c r="E113" i="36"/>
  <c r="N113" i="36" s="1"/>
  <c r="F112" i="36"/>
  <c r="O112" i="36" s="1"/>
  <c r="CM88" i="67"/>
  <c r="E58" i="76"/>
  <c r="O58" i="76" s="1"/>
  <c r="E60" i="76"/>
  <c r="O60" i="76" s="1"/>
  <c r="E61" i="76"/>
  <c r="O61" i="76" s="1"/>
  <c r="F58" i="76"/>
  <c r="P58" i="76" s="1"/>
  <c r="F60" i="76"/>
  <c r="P60" i="76" s="1"/>
  <c r="E59" i="76"/>
  <c r="O59" i="76" s="1"/>
  <c r="F61" i="76"/>
  <c r="P61" i="76" s="1"/>
  <c r="F59" i="76"/>
  <c r="P59" i="76" s="1"/>
  <c r="B8" i="24"/>
  <c r="D29" i="158" l="1"/>
  <c r="AH33" i="25"/>
  <c r="W118" i="77"/>
  <c r="W116" i="77"/>
  <c r="W119" i="77"/>
  <c r="W121" i="77"/>
  <c r="W114" i="77"/>
  <c r="W120" i="77"/>
  <c r="W111" i="77"/>
  <c r="W117" i="77"/>
  <c r="W112" i="77"/>
  <c r="W113" i="77"/>
  <c r="W115" i="77"/>
  <c r="D33" i="25"/>
  <c r="D35" i="158"/>
  <c r="E127" i="155"/>
  <c r="Q127" i="155" s="1"/>
  <c r="E132" i="155"/>
  <c r="Q132" i="155" s="1"/>
  <c r="E133" i="155"/>
  <c r="Q133" i="155" s="1"/>
  <c r="E122" i="155"/>
  <c r="Q122" i="155" s="1"/>
  <c r="E131" i="155"/>
  <c r="Q131" i="155" s="1"/>
  <c r="E123" i="155"/>
  <c r="Q123" i="155" s="1"/>
  <c r="E124" i="155"/>
  <c r="Q124" i="155" s="1"/>
  <c r="E128" i="155"/>
  <c r="Q128" i="155" s="1"/>
  <c r="E125" i="155"/>
  <c r="Q125" i="155" s="1"/>
  <c r="E129" i="155"/>
  <c r="Q129" i="155" s="1"/>
  <c r="E126" i="155"/>
  <c r="Q126" i="155" s="1"/>
  <c r="E130" i="155"/>
  <c r="Q130" i="155" s="1"/>
  <c r="E28" i="25"/>
  <c r="AI28" i="25" s="1"/>
  <c r="E30" i="158" s="1"/>
  <c r="K8" i="24"/>
  <c r="L8" i="24" s="1"/>
  <c r="AL8" i="24"/>
  <c r="F32" i="25" s="1"/>
  <c r="AJ32" i="25" s="1"/>
  <c r="F34" i="158" s="1"/>
  <c r="N86" i="36"/>
  <c r="U86" i="36" s="1"/>
  <c r="E98" i="36"/>
  <c r="N98" i="36" s="1"/>
  <c r="U98" i="36" s="1"/>
  <c r="AC14" i="17" s="1"/>
  <c r="AI27" i="25"/>
  <c r="D8" i="24"/>
  <c r="F27" i="25" s="1"/>
  <c r="AG8" i="24"/>
  <c r="F31" i="25" s="1"/>
  <c r="AJ31" i="25" s="1"/>
  <c r="F33" i="158" s="1"/>
  <c r="Z8" i="24"/>
  <c r="F30" i="25" s="1"/>
  <c r="AJ30" i="25" s="1"/>
  <c r="F32" i="158" s="1"/>
  <c r="R8" i="24"/>
  <c r="F29" i="25" s="1"/>
  <c r="AJ29" i="25" s="1"/>
  <c r="F31" i="158" s="1"/>
  <c r="AL8" i="25"/>
  <c r="H22" i="158" s="1"/>
  <c r="U117" i="36"/>
  <c r="U112" i="36"/>
  <c r="U111" i="36"/>
  <c r="U114" i="36"/>
  <c r="U119" i="36"/>
  <c r="U116" i="36"/>
  <c r="U121" i="36"/>
  <c r="U115" i="36"/>
  <c r="U118" i="36"/>
  <c r="U113" i="36"/>
  <c r="U120" i="36"/>
  <c r="BN12" i="17"/>
  <c r="AF11" i="24"/>
  <c r="I9" i="25"/>
  <c r="AF11" i="156"/>
  <c r="AH11" i="156" s="1"/>
  <c r="Y11" i="24"/>
  <c r="I8" i="25"/>
  <c r="Y11" i="156"/>
  <c r="AA11" i="156" s="1"/>
  <c r="D10" i="25"/>
  <c r="M88" i="155"/>
  <c r="K88" i="154"/>
  <c r="U88" i="154" s="1"/>
  <c r="W88" i="154" s="1"/>
  <c r="K88" i="153"/>
  <c r="U88" i="153" s="1"/>
  <c r="W88" i="153" s="1"/>
  <c r="AB10" i="156"/>
  <c r="F130" i="155"/>
  <c r="F124" i="155"/>
  <c r="F131" i="154"/>
  <c r="P131" i="154" s="1"/>
  <c r="P119" i="154"/>
  <c r="F130" i="154"/>
  <c r="P130" i="154" s="1"/>
  <c r="P118" i="154"/>
  <c r="F132" i="155"/>
  <c r="P120" i="154"/>
  <c r="F132" i="154"/>
  <c r="P132" i="154" s="1"/>
  <c r="F126" i="154"/>
  <c r="P126" i="154" s="1"/>
  <c r="P114" i="154"/>
  <c r="P111" i="154"/>
  <c r="F123" i="154"/>
  <c r="P123" i="154" s="1"/>
  <c r="F127" i="154"/>
  <c r="P127" i="154" s="1"/>
  <c r="P115" i="154"/>
  <c r="F125" i="155"/>
  <c r="F122" i="154"/>
  <c r="P122" i="154" s="1"/>
  <c r="P110" i="154"/>
  <c r="F128" i="155"/>
  <c r="F129" i="155"/>
  <c r="F131" i="155"/>
  <c r="F125" i="154"/>
  <c r="P125" i="154" s="1"/>
  <c r="P113" i="154"/>
  <c r="P116" i="154"/>
  <c r="F128" i="154"/>
  <c r="P128" i="154" s="1"/>
  <c r="F133" i="155"/>
  <c r="F127" i="155"/>
  <c r="F126" i="155"/>
  <c r="P112" i="154"/>
  <c r="F124" i="154"/>
  <c r="P124" i="154" s="1"/>
  <c r="F133" i="154"/>
  <c r="P133" i="154" s="1"/>
  <c r="P121" i="154"/>
  <c r="P117" i="154"/>
  <c r="F129" i="154"/>
  <c r="P129" i="154" s="1"/>
  <c r="F123" i="155"/>
  <c r="F122" i="155"/>
  <c r="F123" i="77"/>
  <c r="Q123" i="77" s="1"/>
  <c r="F127" i="77"/>
  <c r="Q127" i="77" s="1"/>
  <c r="F131" i="77"/>
  <c r="Q131" i="77" s="1"/>
  <c r="F129" i="77"/>
  <c r="Q129" i="77" s="1"/>
  <c r="E129" i="77"/>
  <c r="P129" i="77" s="1"/>
  <c r="F133" i="77"/>
  <c r="Q133" i="77" s="1"/>
  <c r="F130" i="77"/>
  <c r="Q130" i="77" s="1"/>
  <c r="E127" i="77"/>
  <c r="P127" i="77" s="1"/>
  <c r="E125" i="77"/>
  <c r="P125" i="77" s="1"/>
  <c r="E130" i="77"/>
  <c r="P130" i="77" s="1"/>
  <c r="E124" i="77"/>
  <c r="P124" i="77" s="1"/>
  <c r="F128" i="77"/>
  <c r="Q128" i="77" s="1"/>
  <c r="F124" i="77"/>
  <c r="Q124" i="77" s="1"/>
  <c r="E126" i="77"/>
  <c r="P126" i="77" s="1"/>
  <c r="F122" i="77"/>
  <c r="Q122" i="77" s="1"/>
  <c r="E128" i="77"/>
  <c r="P128" i="77" s="1"/>
  <c r="E131" i="77"/>
  <c r="P131" i="77" s="1"/>
  <c r="E123" i="77"/>
  <c r="F125" i="77"/>
  <c r="Q125" i="77" s="1"/>
  <c r="E133" i="77"/>
  <c r="P133" i="77" s="1"/>
  <c r="F126" i="77"/>
  <c r="Q126" i="77" s="1"/>
  <c r="E132" i="77"/>
  <c r="P132" i="77" s="1"/>
  <c r="F132" i="77"/>
  <c r="Q132" i="77" s="1"/>
  <c r="P86" i="77"/>
  <c r="F124" i="36"/>
  <c r="O124" i="36" s="1"/>
  <c r="E125" i="36"/>
  <c r="N125" i="36" s="1"/>
  <c r="E124" i="36"/>
  <c r="N124" i="36" s="1"/>
  <c r="E123" i="36"/>
  <c r="N123" i="36" s="1"/>
  <c r="F126" i="36"/>
  <c r="O126" i="36" s="1"/>
  <c r="F125" i="36"/>
  <c r="O125" i="36" s="1"/>
  <c r="E126" i="36"/>
  <c r="N126" i="36" s="1"/>
  <c r="F123" i="36"/>
  <c r="O123" i="36" s="1"/>
  <c r="F122" i="36"/>
  <c r="O122" i="36" s="1"/>
  <c r="E123" i="152"/>
  <c r="K123" i="152" s="1"/>
  <c r="N123" i="152" s="1"/>
  <c r="AN13" i="17"/>
  <c r="E124" i="152"/>
  <c r="K124" i="152" s="1"/>
  <c r="N124" i="152" s="1"/>
  <c r="E123" i="151"/>
  <c r="J123" i="151" s="1"/>
  <c r="M123" i="151" s="1"/>
  <c r="E133" i="152"/>
  <c r="K133" i="152" s="1"/>
  <c r="N133" i="152" s="1"/>
  <c r="E129" i="151"/>
  <c r="J129" i="151" s="1"/>
  <c r="M129" i="151" s="1"/>
  <c r="E131" i="151"/>
  <c r="J131" i="151" s="1"/>
  <c r="M131" i="151" s="1"/>
  <c r="E122" i="152"/>
  <c r="K122" i="152" s="1"/>
  <c r="N122" i="152" s="1"/>
  <c r="E132" i="152"/>
  <c r="K132" i="152" s="1"/>
  <c r="N132" i="152" s="1"/>
  <c r="E125" i="152"/>
  <c r="K125" i="152" s="1"/>
  <c r="N125" i="152" s="1"/>
  <c r="E127" i="152"/>
  <c r="K127" i="152" s="1"/>
  <c r="N127" i="152" s="1"/>
  <c r="E128" i="152"/>
  <c r="K128" i="152" s="1"/>
  <c r="N128" i="152" s="1"/>
  <c r="E129" i="152"/>
  <c r="K129" i="152" s="1"/>
  <c r="N129" i="152" s="1"/>
  <c r="E126" i="151"/>
  <c r="J126" i="151" s="1"/>
  <c r="M126" i="151" s="1"/>
  <c r="E127" i="151"/>
  <c r="J127" i="151" s="1"/>
  <c r="M127" i="151" s="1"/>
  <c r="E125" i="151"/>
  <c r="J125" i="151" s="1"/>
  <c r="M125" i="151" s="1"/>
  <c r="E126" i="152"/>
  <c r="K126" i="152" s="1"/>
  <c r="N126" i="152" s="1"/>
  <c r="E133" i="151"/>
  <c r="J133" i="151" s="1"/>
  <c r="M133" i="151" s="1"/>
  <c r="E130" i="151"/>
  <c r="J130" i="151" s="1"/>
  <c r="M130" i="151" s="1"/>
  <c r="E128" i="151"/>
  <c r="J128" i="151" s="1"/>
  <c r="M128" i="151" s="1"/>
  <c r="E132" i="151"/>
  <c r="J132" i="151" s="1"/>
  <c r="M132" i="151" s="1"/>
  <c r="E124" i="151"/>
  <c r="J124" i="151" s="1"/>
  <c r="M124" i="151" s="1"/>
  <c r="E122" i="151"/>
  <c r="J122" i="151" s="1"/>
  <c r="M122" i="151" s="1"/>
  <c r="E131" i="152"/>
  <c r="K131" i="152" s="1"/>
  <c r="N131" i="152" s="1"/>
  <c r="E130" i="152"/>
  <c r="K130" i="152" s="1"/>
  <c r="N130" i="152" s="1"/>
  <c r="BF13" i="17"/>
  <c r="BL13" i="17"/>
  <c r="E123" i="75"/>
  <c r="Q111" i="75"/>
  <c r="E126" i="75"/>
  <c r="Q126" i="75" s="1"/>
  <c r="Q114" i="75"/>
  <c r="E124" i="75"/>
  <c r="Q124" i="75" s="1"/>
  <c r="Q112" i="75"/>
  <c r="E125" i="75"/>
  <c r="Q125" i="75" s="1"/>
  <c r="Q113" i="75"/>
  <c r="R119" i="75"/>
  <c r="R115" i="75"/>
  <c r="R116" i="75"/>
  <c r="R121" i="75"/>
  <c r="R118" i="75"/>
  <c r="R120" i="75"/>
  <c r="R117" i="75"/>
  <c r="Q86" i="75"/>
  <c r="F123" i="75"/>
  <c r="R123" i="75" s="1"/>
  <c r="F126" i="75"/>
  <c r="R126" i="75" s="1"/>
  <c r="F122" i="75"/>
  <c r="R122" i="75" s="1"/>
  <c r="F124" i="75"/>
  <c r="R124" i="75" s="1"/>
  <c r="F125" i="75"/>
  <c r="R125" i="75" s="1"/>
  <c r="BQ9" i="17"/>
  <c r="BR8" i="17"/>
  <c r="BE15" i="17"/>
  <c r="BE16" i="17" s="1"/>
  <c r="E133" i="36"/>
  <c r="N133" i="36" s="1"/>
  <c r="F130" i="36"/>
  <c r="O130" i="36" s="1"/>
  <c r="E129" i="36"/>
  <c r="N129" i="36" s="1"/>
  <c r="E127" i="36"/>
  <c r="N127" i="36" s="1"/>
  <c r="F129" i="36"/>
  <c r="O129" i="36" s="1"/>
  <c r="F133" i="36"/>
  <c r="O133" i="36" s="1"/>
  <c r="E130" i="36"/>
  <c r="N130" i="36" s="1"/>
  <c r="E132" i="36"/>
  <c r="N132" i="36" s="1"/>
  <c r="F128" i="36"/>
  <c r="O128" i="36" s="1"/>
  <c r="F132" i="36"/>
  <c r="O132" i="36" s="1"/>
  <c r="E131" i="36"/>
  <c r="N131" i="36" s="1"/>
  <c r="F127" i="36"/>
  <c r="O127" i="36" s="1"/>
  <c r="F131" i="36"/>
  <c r="O131" i="36" s="1"/>
  <c r="E128" i="36"/>
  <c r="N128" i="36" s="1"/>
  <c r="CM89" i="67"/>
  <c r="B9" i="24"/>
  <c r="F71" i="76"/>
  <c r="P71" i="76" s="1"/>
  <c r="F70" i="76"/>
  <c r="P70" i="76" s="1"/>
  <c r="E71" i="76"/>
  <c r="O71" i="76" s="1"/>
  <c r="E72" i="76"/>
  <c r="O72" i="76" s="1"/>
  <c r="F72" i="76"/>
  <c r="P72" i="76" s="1"/>
  <c r="E70" i="76"/>
  <c r="O70" i="76" s="1"/>
  <c r="F73" i="76"/>
  <c r="P73" i="76" s="1"/>
  <c r="E73" i="76"/>
  <c r="O73" i="76" s="1"/>
  <c r="AD6" i="23"/>
  <c r="AD7" i="23" s="1"/>
  <c r="AD8" i="23" s="1"/>
  <c r="E29" i="158" l="1"/>
  <c r="AI33" i="25"/>
  <c r="W127" i="77"/>
  <c r="W132" i="77"/>
  <c r="W133" i="77"/>
  <c r="W126" i="77"/>
  <c r="W124" i="77"/>
  <c r="W130" i="77"/>
  <c r="W125" i="77"/>
  <c r="W129" i="77"/>
  <c r="W131" i="77"/>
  <c r="W128" i="77"/>
  <c r="BO12" i="17"/>
  <c r="E33" i="25"/>
  <c r="E35" i="158"/>
  <c r="AB11" i="156"/>
  <c r="F28" i="25"/>
  <c r="AJ28" i="25" s="1"/>
  <c r="F30" i="158" s="1"/>
  <c r="AL9" i="24"/>
  <c r="G32" i="25" s="1"/>
  <c r="AK32" i="25" s="1"/>
  <c r="G34" i="158" s="1"/>
  <c r="K9" i="24"/>
  <c r="G28" i="25" s="1"/>
  <c r="AK28" i="25" s="1"/>
  <c r="G30" i="158" s="1"/>
  <c r="AJ27" i="25"/>
  <c r="Z9" i="24"/>
  <c r="AG9" i="24"/>
  <c r="R9" i="24"/>
  <c r="AM8" i="25"/>
  <c r="I22" i="158" s="1"/>
  <c r="AM9" i="25"/>
  <c r="I23" i="158" s="1"/>
  <c r="AH10" i="25"/>
  <c r="D24" i="158" s="1"/>
  <c r="U124" i="36"/>
  <c r="U126" i="36"/>
  <c r="U132" i="36"/>
  <c r="U128" i="36"/>
  <c r="U123" i="36"/>
  <c r="U131" i="36"/>
  <c r="U130" i="36"/>
  <c r="U127" i="36"/>
  <c r="U129" i="36"/>
  <c r="U125" i="36"/>
  <c r="U133" i="36"/>
  <c r="E10" i="25"/>
  <c r="M89" i="155"/>
  <c r="K89" i="154"/>
  <c r="U89" i="154" s="1"/>
  <c r="W89" i="154" s="1"/>
  <c r="K89" i="153"/>
  <c r="U89" i="153" s="1"/>
  <c r="W89" i="153" s="1"/>
  <c r="AI11" i="156"/>
  <c r="Y12" i="24"/>
  <c r="J8" i="25"/>
  <c r="Y12" i="156"/>
  <c r="BN13" i="17"/>
  <c r="BO13" i="17" s="1"/>
  <c r="J9" i="74" s="1"/>
  <c r="AF12" i="156"/>
  <c r="J9" i="25"/>
  <c r="AF12" i="24"/>
  <c r="E110" i="36"/>
  <c r="N110" i="36" s="1"/>
  <c r="U110" i="36" s="1"/>
  <c r="R123" i="155"/>
  <c r="R122" i="155"/>
  <c r="R131" i="155"/>
  <c r="R129" i="155"/>
  <c r="R132" i="155"/>
  <c r="R128" i="155"/>
  <c r="R126" i="155"/>
  <c r="R127" i="155"/>
  <c r="R125" i="155"/>
  <c r="R124" i="155"/>
  <c r="R133" i="155"/>
  <c r="R130" i="155"/>
  <c r="P123" i="77"/>
  <c r="W123" i="77" s="1"/>
  <c r="E110" i="77"/>
  <c r="P110" i="77" s="1"/>
  <c r="W110" i="77" s="1"/>
  <c r="D9" i="24"/>
  <c r="Q123" i="75"/>
  <c r="E110" i="75"/>
  <c r="BR9" i="17"/>
  <c r="BQ10" i="17"/>
  <c r="CM90" i="67"/>
  <c r="B10" i="24"/>
  <c r="V6" i="23"/>
  <c r="J6" i="23"/>
  <c r="E83" i="76"/>
  <c r="E95" i="76" s="1"/>
  <c r="E84" i="76"/>
  <c r="E96" i="76" s="1"/>
  <c r="F84" i="76"/>
  <c r="F96" i="76" s="1"/>
  <c r="F83" i="76"/>
  <c r="F95" i="76" s="1"/>
  <c r="E82" i="76"/>
  <c r="F85" i="76"/>
  <c r="F97" i="76" s="1"/>
  <c r="E85" i="76"/>
  <c r="E97" i="76" s="1"/>
  <c r="F82" i="76"/>
  <c r="AD9" i="23"/>
  <c r="F29" i="158" l="1"/>
  <c r="AJ33" i="25"/>
  <c r="BN16" i="17" a="1"/>
  <c r="BN16" i="17" s="1"/>
  <c r="BN15" i="17" s="1"/>
  <c r="AF24" i="156"/>
  <c r="I9" i="74"/>
  <c r="F33" i="25"/>
  <c r="F35" i="158"/>
  <c r="L9" i="24"/>
  <c r="K23" i="24"/>
  <c r="L23" i="24" s="1"/>
  <c r="G27" i="25"/>
  <c r="AK27" i="25" s="1"/>
  <c r="D23" i="24"/>
  <c r="G29" i="25"/>
  <c r="AK29" i="25" s="1"/>
  <c r="G31" i="158" s="1"/>
  <c r="R23" i="24"/>
  <c r="S23" i="24" s="1"/>
  <c r="G31" i="25"/>
  <c r="AK31" i="25" s="1"/>
  <c r="G33" i="158" s="1"/>
  <c r="AG23" i="24"/>
  <c r="AH23" i="24" s="1"/>
  <c r="G30" i="25"/>
  <c r="AK30" i="25" s="1"/>
  <c r="G32" i="158" s="1"/>
  <c r="Z23" i="24"/>
  <c r="AA23" i="24" s="1"/>
  <c r="K10" i="24"/>
  <c r="L10" i="24" s="1"/>
  <c r="AL10" i="24"/>
  <c r="H32" i="25" s="1"/>
  <c r="AL32" i="25" s="1"/>
  <c r="H34" i="158" s="1"/>
  <c r="E109" i="76"/>
  <c r="O109" i="76" s="1"/>
  <c r="O97" i="76"/>
  <c r="F107" i="76"/>
  <c r="P107" i="76" s="1"/>
  <c r="P95" i="76"/>
  <c r="F109" i="76"/>
  <c r="P109" i="76" s="1"/>
  <c r="P97" i="76"/>
  <c r="F108" i="76"/>
  <c r="P108" i="76" s="1"/>
  <c r="P96" i="76"/>
  <c r="E107" i="76"/>
  <c r="O107" i="76" s="1"/>
  <c r="O95" i="76"/>
  <c r="E108" i="76"/>
  <c r="O108" i="76" s="1"/>
  <c r="O96" i="76"/>
  <c r="O82" i="76"/>
  <c r="E94" i="76"/>
  <c r="P82" i="76"/>
  <c r="F94" i="76"/>
  <c r="P85" i="76"/>
  <c r="P83" i="76"/>
  <c r="P84" i="76"/>
  <c r="O84" i="76"/>
  <c r="O83" i="76"/>
  <c r="O85" i="76"/>
  <c r="D10" i="24"/>
  <c r="H27" i="25" s="1"/>
  <c r="AG10" i="24"/>
  <c r="H31" i="25" s="1"/>
  <c r="AL31" i="25" s="1"/>
  <c r="H33" i="158" s="1"/>
  <c r="R10" i="24"/>
  <c r="H29" i="25" s="1"/>
  <c r="AL29" i="25" s="1"/>
  <c r="H31" i="158" s="1"/>
  <c r="Z10" i="24"/>
  <c r="H30" i="25" s="1"/>
  <c r="AL30" i="25" s="1"/>
  <c r="H32" i="158" s="1"/>
  <c r="AN9" i="25"/>
  <c r="J23" i="158" s="1"/>
  <c r="AI10" i="25"/>
  <c r="E24" i="158" s="1"/>
  <c r="AN8" i="25"/>
  <c r="J22" i="158" s="1"/>
  <c r="AA12" i="156"/>
  <c r="AA27" i="156" s="1"/>
  <c r="M90" i="155"/>
  <c r="K90" i="154"/>
  <c r="U90" i="154" s="1"/>
  <c r="W90" i="154" s="1"/>
  <c r="K90" i="153"/>
  <c r="U90" i="153" s="1"/>
  <c r="W90" i="153" s="1"/>
  <c r="F10" i="25"/>
  <c r="AF17" i="24"/>
  <c r="AF25" i="156"/>
  <c r="AH12" i="156"/>
  <c r="AH27" i="156" s="1"/>
  <c r="E122" i="36"/>
  <c r="N122" i="36" s="1"/>
  <c r="U122" i="36" s="1"/>
  <c r="AC16" i="17" s="1"/>
  <c r="E122" i="77"/>
  <c r="AN58" i="17"/>
  <c r="AN57" i="17"/>
  <c r="AN15" i="17"/>
  <c r="E122" i="75"/>
  <c r="Q110" i="75"/>
  <c r="BR10" i="17"/>
  <c r="BQ11" i="17"/>
  <c r="CM91" i="67"/>
  <c r="B11" i="24"/>
  <c r="V7" i="23"/>
  <c r="J7" i="23"/>
  <c r="F6" i="23"/>
  <c r="AD10" i="23"/>
  <c r="AD11" i="23" s="1"/>
  <c r="AD12" i="23" s="1"/>
  <c r="G29" i="158" l="1"/>
  <c r="G35" i="158" s="1"/>
  <c r="AK33" i="25"/>
  <c r="AA28" i="156"/>
  <c r="AA26" i="156"/>
  <c r="AA25" i="156" s="1"/>
  <c r="AA24" i="156" s="1"/>
  <c r="AA23" i="156" s="1"/>
  <c r="AA22" i="156" s="1"/>
  <c r="AA21" i="156" s="1"/>
  <c r="AA20" i="156" s="1"/>
  <c r="AA19" i="156" s="1"/>
  <c r="AA18" i="156" s="1"/>
  <c r="AH28" i="156"/>
  <c r="AH26" i="156"/>
  <c r="AH25" i="156" s="1"/>
  <c r="AH24" i="156" s="1"/>
  <c r="AH23" i="156" s="1"/>
  <c r="AH22" i="156" s="1"/>
  <c r="AH21" i="156" s="1"/>
  <c r="AH20" i="156" s="1"/>
  <c r="AH19" i="156" s="1"/>
  <c r="AH18" i="156" s="1"/>
  <c r="AB13" i="156"/>
  <c r="H28" i="25"/>
  <c r="AL28" i="25" s="1"/>
  <c r="H30" i="158" s="1"/>
  <c r="AI13" i="156"/>
  <c r="G33" i="25"/>
  <c r="K11" i="24"/>
  <c r="L11" i="24" s="1"/>
  <c r="AL11" i="24"/>
  <c r="I32" i="25" s="1"/>
  <c r="AM32" i="25" s="1"/>
  <c r="I34" i="158" s="1"/>
  <c r="F106" i="76"/>
  <c r="P106" i="76" s="1"/>
  <c r="P94" i="76"/>
  <c r="E106" i="76"/>
  <c r="O106" i="76" s="1"/>
  <c r="O94" i="76"/>
  <c r="AL27" i="25"/>
  <c r="D11" i="24"/>
  <c r="I27" i="25" s="1"/>
  <c r="AG11" i="24"/>
  <c r="I31" i="25" s="1"/>
  <c r="AM31" i="25" s="1"/>
  <c r="I33" i="158" s="1"/>
  <c r="R11" i="24"/>
  <c r="I29" i="25" s="1"/>
  <c r="AM29" i="25" s="1"/>
  <c r="I31" i="158" s="1"/>
  <c r="Z11" i="24"/>
  <c r="I30" i="25" s="1"/>
  <c r="AM30" i="25" s="1"/>
  <c r="I32" i="158" s="1"/>
  <c r="AJ10" i="25"/>
  <c r="F24" i="158" s="1"/>
  <c r="AI12" i="156"/>
  <c r="M91" i="155"/>
  <c r="K91" i="154"/>
  <c r="U91" i="154" s="1"/>
  <c r="W91" i="154" s="1"/>
  <c r="K91" i="153"/>
  <c r="U91" i="153" s="1"/>
  <c r="W91" i="153" s="1"/>
  <c r="AB12" i="156"/>
  <c r="G10" i="25"/>
  <c r="AF26" i="156"/>
  <c r="AF18" i="24"/>
  <c r="P122" i="77"/>
  <c r="W122" i="77" s="1"/>
  <c r="AN16" i="17"/>
  <c r="BO16" i="17"/>
  <c r="BO15" i="17"/>
  <c r="L9" i="74" s="1"/>
  <c r="Q122" i="75"/>
  <c r="BR11" i="17"/>
  <c r="BQ12" i="17"/>
  <c r="BQ13" i="17" s="1"/>
  <c r="BR13" i="17" s="1"/>
  <c r="CM92" i="67"/>
  <c r="B12" i="24"/>
  <c r="V8" i="23"/>
  <c r="J8" i="23"/>
  <c r="F7" i="23"/>
  <c r="AD15" i="23"/>
  <c r="H29" i="158" l="1"/>
  <c r="AL33" i="25"/>
  <c r="AG25" i="156"/>
  <c r="J31" i="74" s="1"/>
  <c r="H35" i="158"/>
  <c r="H33" i="25"/>
  <c r="I28" i="25"/>
  <c r="AM28" i="25" s="1"/>
  <c r="I30" i="158" s="1"/>
  <c r="K12" i="24"/>
  <c r="L12" i="24" s="1"/>
  <c r="AL12" i="24"/>
  <c r="AM27" i="25"/>
  <c r="R12" i="24"/>
  <c r="Z12" i="24"/>
  <c r="AG12" i="24"/>
  <c r="AK10" i="25"/>
  <c r="G24" i="158" s="1"/>
  <c r="K23" i="158"/>
  <c r="K92" i="154"/>
  <c r="U92" i="154" s="1"/>
  <c r="W92" i="154" s="1"/>
  <c r="M92" i="155"/>
  <c r="K92" i="153"/>
  <c r="U92" i="153" s="1"/>
  <c r="W92" i="153" s="1"/>
  <c r="AB24" i="156"/>
  <c r="AB21" i="156"/>
  <c r="AB20" i="156"/>
  <c r="AB22" i="156"/>
  <c r="AB23" i="156"/>
  <c r="AB26" i="156"/>
  <c r="AB25" i="156"/>
  <c r="AB27" i="156"/>
  <c r="AB18" i="156"/>
  <c r="AB19" i="156"/>
  <c r="AB28" i="156"/>
  <c r="J10" i="25"/>
  <c r="H10" i="25"/>
  <c r="AF19" i="24"/>
  <c r="C27" i="73"/>
  <c r="E27" i="73" s="1"/>
  <c r="G27" i="73" s="1"/>
  <c r="M9" i="25"/>
  <c r="AF27" i="156"/>
  <c r="AF20" i="24"/>
  <c r="M9" i="74"/>
  <c r="C21" i="74" s="1"/>
  <c r="E21" i="74" s="1"/>
  <c r="AF28" i="156"/>
  <c r="H27" i="73"/>
  <c r="N9" i="25"/>
  <c r="AI18" i="156"/>
  <c r="AI19" i="156"/>
  <c r="AI23" i="156"/>
  <c r="AI26" i="156"/>
  <c r="AI25" i="156"/>
  <c r="AI28" i="156"/>
  <c r="AI20" i="156"/>
  <c r="AI22" i="156"/>
  <c r="AI27" i="156"/>
  <c r="AI21" i="156"/>
  <c r="AI24" i="156"/>
  <c r="D12" i="24"/>
  <c r="J27" i="25" s="1"/>
  <c r="BR12" i="17"/>
  <c r="F121" i="76"/>
  <c r="P121" i="76" s="1"/>
  <c r="E119" i="76"/>
  <c r="O119" i="76" s="1"/>
  <c r="F119" i="76"/>
  <c r="P119" i="76" s="1"/>
  <c r="E120" i="76"/>
  <c r="O120" i="76" s="1"/>
  <c r="E121" i="76"/>
  <c r="O121" i="76" s="1"/>
  <c r="E118" i="76"/>
  <c r="O118" i="76" s="1"/>
  <c r="F118" i="76"/>
  <c r="P118" i="76" s="1"/>
  <c r="F120" i="76"/>
  <c r="P120" i="76" s="1"/>
  <c r="CM93" i="67"/>
  <c r="V9" i="23"/>
  <c r="J9" i="23"/>
  <c r="F8" i="23"/>
  <c r="I29" i="158" l="1"/>
  <c r="I35" i="158" s="1"/>
  <c r="AM33" i="25"/>
  <c r="J28" i="25"/>
  <c r="AN28" i="25" s="1"/>
  <c r="J30" i="158" s="1"/>
  <c r="I33" i="25"/>
  <c r="M19" i="24"/>
  <c r="M18" i="24"/>
  <c r="M20" i="24"/>
  <c r="M17" i="24"/>
  <c r="L17" i="24"/>
  <c r="L18" i="24" s="1"/>
  <c r="L19" i="24" s="1"/>
  <c r="L20" i="24" s="1"/>
  <c r="M13" i="24"/>
  <c r="U121" i="76"/>
  <c r="AL18" i="24"/>
  <c r="J32" i="25"/>
  <c r="AN32" i="25" s="1"/>
  <c r="J34" i="158" s="1"/>
  <c r="U118" i="76"/>
  <c r="U120" i="76"/>
  <c r="U119" i="76"/>
  <c r="AN27" i="25"/>
  <c r="J30" i="25"/>
  <c r="AN30" i="25" s="1"/>
  <c r="J32" i="158" s="1"/>
  <c r="J31" i="25"/>
  <c r="AN31" i="25" s="1"/>
  <c r="J33" i="158" s="1"/>
  <c r="J29" i="25"/>
  <c r="AN29" i="25" s="1"/>
  <c r="J31" i="158" s="1"/>
  <c r="AP9" i="25"/>
  <c r="L23" i="158" s="1"/>
  <c r="AL10" i="25"/>
  <c r="H24" i="158" s="1"/>
  <c r="AQ9" i="25"/>
  <c r="M23" i="158" s="1"/>
  <c r="AN10" i="25"/>
  <c r="J24" i="158" s="1"/>
  <c r="C21" i="25"/>
  <c r="E21" i="25" s="1"/>
  <c r="H21" i="25" s="1"/>
  <c r="AG28" i="156"/>
  <c r="M31" i="74" s="1"/>
  <c r="C41" i="74" s="1"/>
  <c r="E41" i="74" s="1"/>
  <c r="D65" i="74" s="1"/>
  <c r="C65" i="74"/>
  <c r="H21" i="74"/>
  <c r="K93" i="154"/>
  <c r="U93" i="154" s="1"/>
  <c r="W93" i="154" s="1"/>
  <c r="K93" i="153"/>
  <c r="U93" i="153" s="1"/>
  <c r="W93" i="153" s="1"/>
  <c r="M93" i="155"/>
  <c r="AG24" i="156"/>
  <c r="I31" i="74" s="1"/>
  <c r="AG27" i="156"/>
  <c r="L31" i="74" s="1"/>
  <c r="I10" i="25"/>
  <c r="AG26" i="156"/>
  <c r="K31" i="74" s="1"/>
  <c r="AE5" i="23"/>
  <c r="W5" i="23"/>
  <c r="K5" i="23"/>
  <c r="C49" i="25" s="1"/>
  <c r="C41" i="158" s="1"/>
  <c r="G5" i="23"/>
  <c r="C48" i="25" s="1"/>
  <c r="C40" i="158" s="1"/>
  <c r="C5" i="23"/>
  <c r="C47" i="25" s="1"/>
  <c r="C39" i="158" s="1"/>
  <c r="BQ15" i="17"/>
  <c r="BQ16" i="17" s="1"/>
  <c r="CM94" i="67"/>
  <c r="V10" i="23"/>
  <c r="J10" i="23"/>
  <c r="F9" i="23"/>
  <c r="E130" i="76"/>
  <c r="E132" i="76"/>
  <c r="F131" i="76"/>
  <c r="F133" i="76"/>
  <c r="F130" i="76"/>
  <c r="E133" i="76"/>
  <c r="E131" i="76"/>
  <c r="F132" i="76"/>
  <c r="B6" i="23"/>
  <c r="J29" i="158" l="1"/>
  <c r="J35" i="158" s="1"/>
  <c r="AN33" i="25"/>
  <c r="AL19" i="24"/>
  <c r="L32" i="25"/>
  <c r="K34" i="158" s="1"/>
  <c r="J33" i="25"/>
  <c r="C9" i="158"/>
  <c r="AM10" i="25"/>
  <c r="I24" i="158" s="1"/>
  <c r="C65" i="25"/>
  <c r="K94" i="154"/>
  <c r="U94" i="154" s="1"/>
  <c r="W94" i="154" s="1"/>
  <c r="M94" i="155"/>
  <c r="K94" i="153"/>
  <c r="U94" i="153" s="1"/>
  <c r="W94" i="153" s="1"/>
  <c r="AG23" i="156"/>
  <c r="H31" i="74" s="1"/>
  <c r="BS6" i="17"/>
  <c r="C54" i="25"/>
  <c r="C46" i="158" s="1"/>
  <c r="BG6" i="17"/>
  <c r="C52" i="25"/>
  <c r="C44" i="158" s="1"/>
  <c r="K6" i="23"/>
  <c r="C6" i="23"/>
  <c r="G6" i="23"/>
  <c r="AE6" i="23"/>
  <c r="W6" i="23"/>
  <c r="CM95" i="67"/>
  <c r="V11" i="23"/>
  <c r="J11" i="23"/>
  <c r="F10" i="23"/>
  <c r="O132" i="76"/>
  <c r="P132" i="76"/>
  <c r="P133" i="76"/>
  <c r="P130" i="76"/>
  <c r="O130" i="76"/>
  <c r="P131" i="76"/>
  <c r="O133" i="76"/>
  <c r="O131" i="76"/>
  <c r="B7" i="23"/>
  <c r="AL20" i="24" l="1"/>
  <c r="N32" i="25" s="1"/>
  <c r="M32" i="25"/>
  <c r="AP32" i="25" s="1"/>
  <c r="L34" i="158" s="1"/>
  <c r="C47" i="158"/>
  <c r="C55" i="25"/>
  <c r="BG7" i="17"/>
  <c r="D52" i="25"/>
  <c r="D44" i="158" s="1"/>
  <c r="D52" i="74"/>
  <c r="BS7" i="17"/>
  <c r="D54" i="74"/>
  <c r="D54" i="25"/>
  <c r="D46" i="158" s="1"/>
  <c r="D49" i="25"/>
  <c r="D41" i="158" s="1"/>
  <c r="D49" i="74"/>
  <c r="D48" i="25"/>
  <c r="D40" i="158" s="1"/>
  <c r="D48" i="74"/>
  <c r="D47" i="25"/>
  <c r="D39" i="158" s="1"/>
  <c r="D47" i="74"/>
  <c r="K95" i="154"/>
  <c r="U95" i="154" s="1"/>
  <c r="W95" i="154" s="1"/>
  <c r="K95" i="153"/>
  <c r="U95" i="153" s="1"/>
  <c r="W95" i="153" s="1"/>
  <c r="M95" i="155"/>
  <c r="AG22" i="156"/>
  <c r="G31" i="74" s="1"/>
  <c r="AE7" i="23"/>
  <c r="W7" i="23"/>
  <c r="K7" i="23"/>
  <c r="C7" i="23"/>
  <c r="G7" i="23"/>
  <c r="CM96" i="67"/>
  <c r="V12" i="23"/>
  <c r="J12" i="23"/>
  <c r="F11" i="23"/>
  <c r="B8" i="23"/>
  <c r="C42" i="25" l="1"/>
  <c r="E42" i="25" s="1"/>
  <c r="D67" i="25" s="1"/>
  <c r="AQ32" i="25"/>
  <c r="M34" i="158" s="1"/>
  <c r="D47" i="158"/>
  <c r="D55" i="25"/>
  <c r="AG21" i="156"/>
  <c r="F31" i="74" s="1"/>
  <c r="M96" i="155"/>
  <c r="K96" i="153"/>
  <c r="U96" i="153" s="1"/>
  <c r="W96" i="153" s="1"/>
  <c r="K96" i="154"/>
  <c r="U96" i="154" s="1"/>
  <c r="W96" i="154" s="1"/>
  <c r="E49" i="25"/>
  <c r="E41" i="158" s="1"/>
  <c r="E49" i="74"/>
  <c r="E48" i="25"/>
  <c r="E40" i="158" s="1"/>
  <c r="E48" i="74"/>
  <c r="E47" i="74"/>
  <c r="E47" i="25"/>
  <c r="E39" i="158" s="1"/>
  <c r="BS8" i="17"/>
  <c r="E54" i="74"/>
  <c r="E54" i="25"/>
  <c r="E46" i="158" s="1"/>
  <c r="BG8" i="17"/>
  <c r="E52" i="25"/>
  <c r="E44" i="158" s="1"/>
  <c r="E52" i="74"/>
  <c r="B9" i="23"/>
  <c r="AE8" i="23"/>
  <c r="W8" i="23"/>
  <c r="K8" i="23"/>
  <c r="G8" i="23"/>
  <c r="C8" i="23"/>
  <c r="CM97" i="67"/>
  <c r="CM98" i="67" s="1"/>
  <c r="F12" i="23"/>
  <c r="D11" i="158" l="1"/>
  <c r="CM99" i="67"/>
  <c r="M98" i="155"/>
  <c r="K98" i="154"/>
  <c r="U98" i="154" s="1"/>
  <c r="W98" i="154" s="1"/>
  <c r="K98" i="153"/>
  <c r="U98" i="153" s="1"/>
  <c r="W98" i="153" s="1"/>
  <c r="E47" i="158"/>
  <c r="K97" i="154"/>
  <c r="K97" i="153"/>
  <c r="U97" i="153" s="1"/>
  <c r="W97" i="153" s="1"/>
  <c r="M97" i="155"/>
  <c r="F49" i="25"/>
  <c r="F41" i="158" s="1"/>
  <c r="F49" i="74"/>
  <c r="F47" i="74"/>
  <c r="F47" i="25"/>
  <c r="F39" i="158" s="1"/>
  <c r="BG9" i="17"/>
  <c r="F52" i="25"/>
  <c r="F44" i="158" s="1"/>
  <c r="F52" i="74"/>
  <c r="E55" i="25"/>
  <c r="F48" i="25"/>
  <c r="F40" i="158" s="1"/>
  <c r="F48" i="74"/>
  <c r="BS9" i="17"/>
  <c r="F54" i="25"/>
  <c r="F46" i="158" s="1"/>
  <c r="F54" i="74"/>
  <c r="AG20" i="156"/>
  <c r="E31" i="74" s="1"/>
  <c r="B10" i="23"/>
  <c r="W9" i="23"/>
  <c r="G9" i="23"/>
  <c r="C9" i="23"/>
  <c r="K9" i="23"/>
  <c r="AE9" i="23"/>
  <c r="CM100" i="67" l="1"/>
  <c r="K99" i="154"/>
  <c r="U99" i="154" s="1"/>
  <c r="W99" i="154" s="1"/>
  <c r="M99" i="155"/>
  <c r="K99" i="153"/>
  <c r="U99" i="153" s="1"/>
  <c r="W99" i="153" s="1"/>
  <c r="F47" i="158"/>
  <c r="G47" i="74"/>
  <c r="G47" i="25"/>
  <c r="G39" i="158" s="1"/>
  <c r="F55" i="25"/>
  <c r="V10" i="15"/>
  <c r="V11" i="15"/>
  <c r="V12" i="15"/>
  <c r="G49" i="74"/>
  <c r="G49" i="25"/>
  <c r="G41" i="158" s="1"/>
  <c r="BG10" i="17"/>
  <c r="G52" i="25"/>
  <c r="G44" i="158" s="1"/>
  <c r="G52" i="74"/>
  <c r="AB5" i="15"/>
  <c r="AB6" i="15"/>
  <c r="AC6" i="15" s="1"/>
  <c r="AB7" i="15"/>
  <c r="AC7" i="15" s="1"/>
  <c r="AB8" i="15"/>
  <c r="AC8" i="15" s="1"/>
  <c r="AB9" i="15"/>
  <c r="AB10" i="15"/>
  <c r="AB11" i="15"/>
  <c r="AB12" i="15"/>
  <c r="BS10" i="17"/>
  <c r="G54" i="25"/>
  <c r="G46" i="158" s="1"/>
  <c r="G54" i="74"/>
  <c r="G48" i="74"/>
  <c r="G48" i="25"/>
  <c r="G40" i="158" s="1"/>
  <c r="AG18" i="156"/>
  <c r="C31" i="74" s="1"/>
  <c r="AG19" i="156"/>
  <c r="D31" i="74" s="1"/>
  <c r="U97" i="154"/>
  <c r="W97" i="154" s="1"/>
  <c r="AE10" i="23"/>
  <c r="AF10" i="23" s="1"/>
  <c r="W10" i="23"/>
  <c r="K10" i="23"/>
  <c r="C10" i="23"/>
  <c r="G10" i="23"/>
  <c r="B11" i="23"/>
  <c r="V15" i="23"/>
  <c r="J15" i="23"/>
  <c r="V14" i="15" l="1"/>
  <c r="CM101" i="67"/>
  <c r="K100" i="153"/>
  <c r="U100" i="153" s="1"/>
  <c r="W100" i="153" s="1"/>
  <c r="M100" i="155"/>
  <c r="K100" i="154"/>
  <c r="U100" i="154" s="1"/>
  <c r="W100" i="154" s="1"/>
  <c r="AC5" i="15"/>
  <c r="G47" i="158"/>
  <c r="BG11" i="17"/>
  <c r="H52" i="25"/>
  <c r="H44" i="158" s="1"/>
  <c r="H52" i="74"/>
  <c r="H48" i="74"/>
  <c r="H48" i="25"/>
  <c r="H40" i="158" s="1"/>
  <c r="H47" i="74"/>
  <c r="H47" i="25"/>
  <c r="H39" i="158" s="1"/>
  <c r="G55" i="25"/>
  <c r="BS11" i="17"/>
  <c r="H54" i="25"/>
  <c r="H46" i="158" s="1"/>
  <c r="H54" i="74"/>
  <c r="H49" i="74"/>
  <c r="H49" i="25"/>
  <c r="H41" i="158" s="1"/>
  <c r="C11" i="23"/>
  <c r="W11" i="23"/>
  <c r="AE11" i="23"/>
  <c r="K11" i="23"/>
  <c r="G11" i="23"/>
  <c r="B12" i="23"/>
  <c r="F15" i="23"/>
  <c r="CM102" i="67" l="1"/>
  <c r="M101" i="155"/>
  <c r="K101" i="154"/>
  <c r="U101" i="154" s="1"/>
  <c r="W101" i="154" s="1"/>
  <c r="K101" i="153"/>
  <c r="U101" i="153" s="1"/>
  <c r="W101" i="153" s="1"/>
  <c r="H47" i="158"/>
  <c r="I48" i="74"/>
  <c r="I48" i="25"/>
  <c r="I40" i="158" s="1"/>
  <c r="I49" i="25"/>
  <c r="I41" i="158" s="1"/>
  <c r="I49" i="74"/>
  <c r="I47" i="74"/>
  <c r="I47" i="25"/>
  <c r="I39" i="158" s="1"/>
  <c r="BS12" i="17"/>
  <c r="I54" i="25"/>
  <c r="I46" i="158" s="1"/>
  <c r="I54" i="74"/>
  <c r="H55" i="25"/>
  <c r="BG12" i="17"/>
  <c r="I52" i="25"/>
  <c r="I44" i="158" s="1"/>
  <c r="I52" i="74"/>
  <c r="AE12" i="23"/>
  <c r="AF13" i="23" s="1"/>
  <c r="G12" i="23"/>
  <c r="H13" i="23" s="1"/>
  <c r="K12" i="23"/>
  <c r="L13" i="23" s="1"/>
  <c r="W12" i="23"/>
  <c r="X13" i="23" s="1"/>
  <c r="C12" i="23"/>
  <c r="D13" i="23" s="1"/>
  <c r="CM103" i="67" l="1"/>
  <c r="K102" i="154"/>
  <c r="U102" i="154" s="1"/>
  <c r="W102" i="154" s="1"/>
  <c r="M102" i="155"/>
  <c r="K102" i="153"/>
  <c r="U102" i="153" s="1"/>
  <c r="W102" i="153" s="1"/>
  <c r="I47" i="158"/>
  <c r="J47" i="74"/>
  <c r="J47" i="25"/>
  <c r="J39" i="158" s="1"/>
  <c r="J49" i="25"/>
  <c r="J41" i="158" s="1"/>
  <c r="J49" i="74"/>
  <c r="BG13" i="17"/>
  <c r="J52" i="74"/>
  <c r="J52" i="25"/>
  <c r="J44" i="158" s="1"/>
  <c r="I55" i="25"/>
  <c r="BS13" i="17"/>
  <c r="J54" i="25"/>
  <c r="J46" i="158" s="1"/>
  <c r="J54" i="74"/>
  <c r="J48" i="25"/>
  <c r="J40" i="158" s="1"/>
  <c r="J48" i="74"/>
  <c r="B14" i="23"/>
  <c r="CM104" i="67" l="1"/>
  <c r="M103" i="155"/>
  <c r="K103" i="154"/>
  <c r="U103" i="154" s="1"/>
  <c r="W103" i="154" s="1"/>
  <c r="K103" i="153"/>
  <c r="U103" i="153" s="1"/>
  <c r="W103" i="153" s="1"/>
  <c r="J47" i="158"/>
  <c r="J55" i="25"/>
  <c r="AC80" i="69"/>
  <c r="B15" i="23"/>
  <c r="CM105" i="67" l="1"/>
  <c r="K104" i="153"/>
  <c r="U104" i="153" s="1"/>
  <c r="W104" i="153" s="1"/>
  <c r="M104" i="155"/>
  <c r="K104" i="154"/>
  <c r="U104" i="154" s="1"/>
  <c r="W104" i="154" s="1"/>
  <c r="AC84" i="69"/>
  <c r="AC83" i="69"/>
  <c r="AC82" i="69"/>
  <c r="AC81" i="69"/>
  <c r="CM106" i="67" l="1"/>
  <c r="M105" i="155"/>
  <c r="K105" i="153"/>
  <c r="U105" i="153" s="1"/>
  <c r="W105" i="153" s="1"/>
  <c r="K105" i="154"/>
  <c r="U105" i="154" s="1"/>
  <c r="W105" i="154" s="1"/>
  <c r="Y6" i="17"/>
  <c r="Z6" i="17"/>
  <c r="N6" i="17"/>
  <c r="C4" i="25" s="1"/>
  <c r="O6" i="17"/>
  <c r="M7" i="17"/>
  <c r="X7" i="17"/>
  <c r="CM107" i="67" l="1"/>
  <c r="M106" i="155"/>
  <c r="K106" i="153"/>
  <c r="U106" i="153" s="1"/>
  <c r="W106" i="153" s="1"/>
  <c r="K106" i="154"/>
  <c r="U106" i="154" s="1"/>
  <c r="W106" i="154" s="1"/>
  <c r="AG4" i="25"/>
  <c r="C18" i="158" s="1"/>
  <c r="C5" i="25"/>
  <c r="C5" i="156"/>
  <c r="C5" i="24"/>
  <c r="C24" i="24" s="1"/>
  <c r="X8" i="17"/>
  <c r="Y7" i="17"/>
  <c r="Z7" i="17"/>
  <c r="M8" i="17"/>
  <c r="N7" i="17"/>
  <c r="D4" i="25" s="1"/>
  <c r="O7" i="17"/>
  <c r="CF33" i="4"/>
  <c r="CE33" i="4"/>
  <c r="BR33" i="4"/>
  <c r="BQ33" i="4"/>
  <c r="BD33" i="4"/>
  <c r="BC33" i="4"/>
  <c r="E5" i="156" l="1"/>
  <c r="C32" i="156"/>
  <c r="E32" i="156" s="1"/>
  <c r="CM108" i="67"/>
  <c r="M107" i="155"/>
  <c r="K107" i="153"/>
  <c r="U107" i="153" s="1"/>
  <c r="W107" i="153" s="1"/>
  <c r="K107" i="154"/>
  <c r="U107" i="154" s="1"/>
  <c r="W107" i="154" s="1"/>
  <c r="AH4" i="25"/>
  <c r="D18" i="158" s="1"/>
  <c r="AG5" i="25"/>
  <c r="C19" i="158" s="1"/>
  <c r="C6" i="156"/>
  <c r="E6" i="156" s="1"/>
  <c r="D5" i="25"/>
  <c r="C6" i="24"/>
  <c r="X9" i="17"/>
  <c r="Y8" i="17"/>
  <c r="M9" i="17"/>
  <c r="N8" i="17"/>
  <c r="E4" i="25" s="1"/>
  <c r="CM109" i="67" l="1"/>
  <c r="K108" i="154"/>
  <c r="U108" i="154" s="1"/>
  <c r="W108" i="154" s="1"/>
  <c r="M108" i="155"/>
  <c r="K108" i="153"/>
  <c r="U108" i="153" s="1"/>
  <c r="W108" i="153" s="1"/>
  <c r="AI4" i="25"/>
  <c r="E18" i="158" s="1"/>
  <c r="AH5" i="25"/>
  <c r="D19" i="158" s="1"/>
  <c r="E5" i="25"/>
  <c r="C7" i="156"/>
  <c r="E7" i="156" s="1"/>
  <c r="C7" i="24"/>
  <c r="Y9" i="17"/>
  <c r="X10" i="17"/>
  <c r="N9" i="17"/>
  <c r="F4" i="25" s="1"/>
  <c r="M10" i="17"/>
  <c r="K109" i="154" l="1"/>
  <c r="U109" i="154" s="1"/>
  <c r="W109" i="154" s="1"/>
  <c r="M109" i="155"/>
  <c r="K109" i="153"/>
  <c r="U109" i="153" s="1"/>
  <c r="W109" i="153" s="1"/>
  <c r="AJ4" i="25"/>
  <c r="F18" i="158" s="1"/>
  <c r="AI5" i="25"/>
  <c r="E19" i="158" s="1"/>
  <c r="C8" i="156"/>
  <c r="E8" i="156" s="1"/>
  <c r="F5" i="25"/>
  <c r="F7" i="156"/>
  <c r="C8" i="24"/>
  <c r="Y10" i="17"/>
  <c r="X11" i="17"/>
  <c r="N10" i="17"/>
  <c r="G4" i="25" s="1"/>
  <c r="M11" i="17"/>
  <c r="AB13" i="15" l="1"/>
  <c r="AK4" i="25"/>
  <c r="G18" i="158" s="1"/>
  <c r="AJ5" i="25"/>
  <c r="F19" i="158" s="1"/>
  <c r="G5" i="25"/>
  <c r="C9" i="156"/>
  <c r="M110" i="155"/>
  <c r="F8" i="156"/>
  <c r="C9" i="24"/>
  <c r="C23" i="24" s="1"/>
  <c r="Y11" i="17"/>
  <c r="X12" i="17"/>
  <c r="X13" i="17" s="1"/>
  <c r="N11" i="17"/>
  <c r="H4" i="25" s="1"/>
  <c r="M12" i="17"/>
  <c r="M13" i="17" s="1"/>
  <c r="E9" i="156" l="1"/>
  <c r="C31" i="156"/>
  <c r="E31" i="156" s="1"/>
  <c r="AB14" i="15"/>
  <c r="AK5" i="25"/>
  <c r="G19" i="158" s="1"/>
  <c r="AL4" i="25"/>
  <c r="H18" i="158" s="1"/>
  <c r="K110" i="154"/>
  <c r="F9" i="156"/>
  <c r="C10" i="156"/>
  <c r="E10" i="156" s="1"/>
  <c r="H5" i="25"/>
  <c r="M111" i="155"/>
  <c r="W110" i="155"/>
  <c r="Y110" i="155" s="1"/>
  <c r="C10" i="24"/>
  <c r="Y13" i="17"/>
  <c r="N13" i="17"/>
  <c r="J4" i="25" s="1"/>
  <c r="Y12" i="17"/>
  <c r="N12" i="17"/>
  <c r="I4" i="25" s="1"/>
  <c r="AM4" i="25" l="1"/>
  <c r="I18" i="158" s="1"/>
  <c r="AN4" i="25"/>
  <c r="J18" i="158" s="1"/>
  <c r="AL5" i="25"/>
  <c r="H19" i="158" s="1"/>
  <c r="C11" i="156"/>
  <c r="E11" i="156" s="1"/>
  <c r="I5" i="25"/>
  <c r="C12" i="156"/>
  <c r="J5" i="25"/>
  <c r="U110" i="154"/>
  <c r="W110" i="154" s="1"/>
  <c r="K111" i="154"/>
  <c r="M112" i="155"/>
  <c r="W111" i="155"/>
  <c r="Y111" i="155" s="1"/>
  <c r="F10" i="156"/>
  <c r="C11" i="24"/>
  <c r="C12" i="24"/>
  <c r="X15" i="17"/>
  <c r="X16" i="17" s="1"/>
  <c r="M15" i="17"/>
  <c r="M16" i="17" s="1"/>
  <c r="C6" i="17"/>
  <c r="C3" i="25" s="1"/>
  <c r="D6" i="17"/>
  <c r="B7" i="17"/>
  <c r="AN5" i="25" l="1"/>
  <c r="J19" i="158" s="1"/>
  <c r="AM5" i="25"/>
  <c r="I19" i="158" s="1"/>
  <c r="C11" i="25"/>
  <c r="AG3" i="25"/>
  <c r="E12" i="156"/>
  <c r="E27" i="156" s="1"/>
  <c r="U111" i="154"/>
  <c r="W111" i="154" s="1"/>
  <c r="K112" i="154"/>
  <c r="M113" i="155"/>
  <c r="W112" i="155"/>
  <c r="Y112" i="155" s="1"/>
  <c r="F11" i="156"/>
  <c r="B8" i="17"/>
  <c r="C7" i="17"/>
  <c r="D3" i="25" s="1"/>
  <c r="D7" i="17"/>
  <c r="C17" i="158" l="1"/>
  <c r="C25" i="158" s="1"/>
  <c r="AG11" i="25"/>
  <c r="E26" i="156"/>
  <c r="E25" i="156" s="1"/>
  <c r="E24" i="156" s="1"/>
  <c r="E23" i="156" s="1"/>
  <c r="E22" i="156" s="1"/>
  <c r="E21" i="156" s="1"/>
  <c r="E20" i="156" s="1"/>
  <c r="E19" i="156" s="1"/>
  <c r="E18" i="156" s="1"/>
  <c r="E28" i="156"/>
  <c r="F12" i="156"/>
  <c r="F13" i="156"/>
  <c r="F25" i="156"/>
  <c r="F21" i="156"/>
  <c r="F18" i="156"/>
  <c r="F28" i="156"/>
  <c r="F23" i="156"/>
  <c r="F27" i="156"/>
  <c r="F22" i="156"/>
  <c r="F19" i="156"/>
  <c r="D11" i="25"/>
  <c r="AH3" i="25"/>
  <c r="F26" i="156"/>
  <c r="U112" i="154"/>
  <c r="W112" i="154" s="1"/>
  <c r="K113" i="154"/>
  <c r="M114" i="155"/>
  <c r="W113" i="155"/>
  <c r="Y113" i="155" s="1"/>
  <c r="F20" i="156"/>
  <c r="F24" i="156"/>
  <c r="B9" i="17"/>
  <c r="C8" i="17"/>
  <c r="E3" i="25" s="1"/>
  <c r="O24" i="38"/>
  <c r="O21" i="38"/>
  <c r="O20" i="38"/>
  <c r="P21" i="38"/>
  <c r="P24" i="38"/>
  <c r="P18" i="38"/>
  <c r="P25" i="38"/>
  <c r="P20" i="38"/>
  <c r="P23" i="38"/>
  <c r="O19" i="38"/>
  <c r="O18" i="38"/>
  <c r="P19" i="38"/>
  <c r="P22" i="38"/>
  <c r="O22" i="38"/>
  <c r="O25" i="38"/>
  <c r="O23" i="38"/>
  <c r="D17" i="158" l="1"/>
  <c r="D25" i="158" s="1"/>
  <c r="AH11" i="25"/>
  <c r="E11" i="25"/>
  <c r="AI3" i="25"/>
  <c r="M115" i="155"/>
  <c r="W114" i="155"/>
  <c r="Y114" i="155" s="1"/>
  <c r="K114" i="154"/>
  <c r="U113" i="154"/>
  <c r="W113" i="154" s="1"/>
  <c r="W19" i="38"/>
  <c r="W18" i="38"/>
  <c r="W22" i="38"/>
  <c r="W24" i="38"/>
  <c r="W20" i="38"/>
  <c r="W21" i="38"/>
  <c r="W23" i="38"/>
  <c r="W25" i="38"/>
  <c r="C9" i="17"/>
  <c r="F3" i="25" s="1"/>
  <c r="B10" i="17"/>
  <c r="E36" i="38"/>
  <c r="E33" i="38"/>
  <c r="E32" i="38"/>
  <c r="F33" i="38"/>
  <c r="E31" i="38"/>
  <c r="F37" i="38"/>
  <c r="F36" i="38"/>
  <c r="F30" i="38"/>
  <c r="F35" i="38"/>
  <c r="F32" i="38"/>
  <c r="E30" i="38"/>
  <c r="F31" i="38"/>
  <c r="F34" i="38"/>
  <c r="E37" i="38"/>
  <c r="E34" i="38"/>
  <c r="E35" i="38"/>
  <c r="E17" i="158" l="1"/>
  <c r="E25" i="158" s="1"/>
  <c r="AI11" i="25"/>
  <c r="F11" i="25"/>
  <c r="AJ3" i="25"/>
  <c r="M116" i="155"/>
  <c r="W115" i="155"/>
  <c r="Y115" i="155" s="1"/>
  <c r="K115" i="154"/>
  <c r="U114" i="154"/>
  <c r="W114" i="154" s="1"/>
  <c r="O33" i="38"/>
  <c r="K33" i="38"/>
  <c r="U33" i="38" s="1"/>
  <c r="O35" i="38"/>
  <c r="K35" i="38"/>
  <c r="U35" i="38" s="1"/>
  <c r="O34" i="38"/>
  <c r="K34" i="38"/>
  <c r="U34" i="38" s="1"/>
  <c r="O37" i="38"/>
  <c r="K37" i="38"/>
  <c r="U37" i="38" s="1"/>
  <c r="P30" i="38"/>
  <c r="L30" i="38"/>
  <c r="V30" i="38" s="1"/>
  <c r="P36" i="38"/>
  <c r="L36" i="38"/>
  <c r="V36" i="38" s="1"/>
  <c r="P37" i="38"/>
  <c r="L37" i="38"/>
  <c r="V37" i="38" s="1"/>
  <c r="P33" i="38"/>
  <c r="L33" i="38"/>
  <c r="V33" i="38" s="1"/>
  <c r="O32" i="38"/>
  <c r="K32" i="38"/>
  <c r="U32" i="38" s="1"/>
  <c r="O36" i="38"/>
  <c r="K36" i="38"/>
  <c r="U36" i="38" s="1"/>
  <c r="P34" i="38"/>
  <c r="L34" i="38"/>
  <c r="V34" i="38" s="1"/>
  <c r="P31" i="38"/>
  <c r="L31" i="38"/>
  <c r="V31" i="38" s="1"/>
  <c r="O30" i="38"/>
  <c r="K30" i="38"/>
  <c r="U30" i="38" s="1"/>
  <c r="P32" i="38"/>
  <c r="L32" i="38"/>
  <c r="V32" i="38" s="1"/>
  <c r="P35" i="38"/>
  <c r="L35" i="38"/>
  <c r="V35" i="38" s="1"/>
  <c r="O31" i="38"/>
  <c r="K31" i="38"/>
  <c r="U31" i="38" s="1"/>
  <c r="C10" i="17"/>
  <c r="G3" i="25" s="1"/>
  <c r="B11" i="17"/>
  <c r="E48" i="38"/>
  <c r="E45" i="38"/>
  <c r="E44" i="38"/>
  <c r="F45" i="38"/>
  <c r="E43" i="38"/>
  <c r="E42" i="38"/>
  <c r="F42" i="38"/>
  <c r="F49" i="38"/>
  <c r="F48" i="38"/>
  <c r="F44" i="38"/>
  <c r="F47" i="38"/>
  <c r="E47" i="38"/>
  <c r="E46" i="38"/>
  <c r="F43" i="38"/>
  <c r="F46" i="38"/>
  <c r="E49" i="38"/>
  <c r="F17" i="158" l="1"/>
  <c r="F25" i="158" s="1"/>
  <c r="AJ11" i="25"/>
  <c r="G11" i="25"/>
  <c r="AK3" i="25"/>
  <c r="K116" i="154"/>
  <c r="U115" i="154"/>
  <c r="W115" i="154" s="1"/>
  <c r="M117" i="155"/>
  <c r="W116" i="155"/>
  <c r="Y116" i="155" s="1"/>
  <c r="W30" i="38"/>
  <c r="W34" i="38"/>
  <c r="W36" i="38"/>
  <c r="W35" i="38"/>
  <c r="W31" i="38"/>
  <c r="W37" i="38"/>
  <c r="W32" i="38"/>
  <c r="W33" i="38"/>
  <c r="O49" i="38"/>
  <c r="K49" i="38"/>
  <c r="U49" i="38" s="1"/>
  <c r="O46" i="38"/>
  <c r="K46" i="38"/>
  <c r="U46" i="38" s="1"/>
  <c r="O44" i="38"/>
  <c r="K44" i="38"/>
  <c r="U44" i="38" s="1"/>
  <c r="P43" i="38"/>
  <c r="L43" i="38"/>
  <c r="V43" i="38" s="1"/>
  <c r="P44" i="38"/>
  <c r="L44" i="38"/>
  <c r="V44" i="38" s="1"/>
  <c r="P45" i="38"/>
  <c r="L45" i="38"/>
  <c r="V45" i="38" s="1"/>
  <c r="O45" i="38"/>
  <c r="K45" i="38"/>
  <c r="U45" i="38" s="1"/>
  <c r="O48" i="38"/>
  <c r="K48" i="38"/>
  <c r="U48" i="38" s="1"/>
  <c r="P46" i="38"/>
  <c r="L46" i="38"/>
  <c r="V46" i="38" s="1"/>
  <c r="P49" i="38"/>
  <c r="L49" i="38"/>
  <c r="V49" i="38" s="1"/>
  <c r="P42" i="38"/>
  <c r="L42" i="38"/>
  <c r="V42" i="38" s="1"/>
  <c r="O42" i="38"/>
  <c r="K42" i="38"/>
  <c r="U42" i="38" s="1"/>
  <c r="O47" i="38"/>
  <c r="K47" i="38"/>
  <c r="U47" i="38" s="1"/>
  <c r="P47" i="38"/>
  <c r="L47" i="38"/>
  <c r="V47" i="38" s="1"/>
  <c r="P48" i="38"/>
  <c r="L48" i="38"/>
  <c r="V48" i="38" s="1"/>
  <c r="O43" i="38"/>
  <c r="K43" i="38"/>
  <c r="U43" i="38" s="1"/>
  <c r="C11" i="17"/>
  <c r="H3" i="25" s="1"/>
  <c r="B12" i="17"/>
  <c r="B13" i="17" s="1"/>
  <c r="E60" i="38"/>
  <c r="E57" i="38"/>
  <c r="E56" i="38"/>
  <c r="F57" i="38"/>
  <c r="E55" i="38"/>
  <c r="E54" i="38"/>
  <c r="F60" i="38"/>
  <c r="F54" i="38"/>
  <c r="F61" i="38"/>
  <c r="F56" i="38"/>
  <c r="F59" i="38"/>
  <c r="F58" i="38"/>
  <c r="F55" i="38"/>
  <c r="E59" i="38"/>
  <c r="E58" i="38"/>
  <c r="E61" i="38"/>
  <c r="G17" i="158" l="1"/>
  <c r="G25" i="158" s="1"/>
  <c r="AK11" i="25"/>
  <c r="H11" i="25"/>
  <c r="AL3" i="25"/>
  <c r="M118" i="155"/>
  <c r="W117" i="155"/>
  <c r="Y117" i="155" s="1"/>
  <c r="K117" i="154"/>
  <c r="U116" i="154"/>
  <c r="W116" i="154" s="1"/>
  <c r="W44" i="38"/>
  <c r="W46" i="38"/>
  <c r="W43" i="38"/>
  <c r="W42" i="38"/>
  <c r="W45" i="38"/>
  <c r="W49" i="38"/>
  <c r="W48" i="38"/>
  <c r="W47" i="38"/>
  <c r="O57" i="38"/>
  <c r="K57" i="38"/>
  <c r="U57" i="38" s="1"/>
  <c r="O61" i="38"/>
  <c r="K61" i="38"/>
  <c r="U61" i="38" s="1"/>
  <c r="P57" i="38"/>
  <c r="L57" i="38"/>
  <c r="V57" i="38" s="1"/>
  <c r="P58" i="38"/>
  <c r="L58" i="38"/>
  <c r="V58" i="38" s="1"/>
  <c r="O56" i="38"/>
  <c r="K56" i="38"/>
  <c r="U56" i="38" s="1"/>
  <c r="O60" i="38"/>
  <c r="K60" i="38"/>
  <c r="U60" i="38" s="1"/>
  <c r="O58" i="38"/>
  <c r="K58" i="38"/>
  <c r="U58" i="38" s="1"/>
  <c r="O59" i="38"/>
  <c r="K59" i="38"/>
  <c r="U59" i="38" s="1"/>
  <c r="P56" i="38"/>
  <c r="L56" i="38"/>
  <c r="V56" i="38" s="1"/>
  <c r="P61" i="38"/>
  <c r="L61" i="38"/>
  <c r="V61" i="38" s="1"/>
  <c r="P54" i="38"/>
  <c r="L54" i="38"/>
  <c r="V54" i="38" s="1"/>
  <c r="O54" i="38"/>
  <c r="K54" i="38"/>
  <c r="U54" i="38" s="1"/>
  <c r="P55" i="38"/>
  <c r="L55" i="38"/>
  <c r="V55" i="38" s="1"/>
  <c r="P59" i="38"/>
  <c r="L59" i="38"/>
  <c r="V59" i="38" s="1"/>
  <c r="P60" i="38"/>
  <c r="L60" i="38"/>
  <c r="V60" i="38" s="1"/>
  <c r="O55" i="38"/>
  <c r="K55" i="38"/>
  <c r="U55" i="38" s="1"/>
  <c r="C12" i="17"/>
  <c r="I3" i="25" s="1"/>
  <c r="E70" i="38"/>
  <c r="K70" i="38" s="1"/>
  <c r="U70" i="38" s="1"/>
  <c r="F67" i="38"/>
  <c r="L67" i="38" s="1"/>
  <c r="V67" i="38" s="1"/>
  <c r="F69" i="38"/>
  <c r="L69" i="38" s="1"/>
  <c r="V69" i="38" s="1"/>
  <c r="E67" i="38"/>
  <c r="K67" i="38" s="1"/>
  <c r="U67" i="38" s="1"/>
  <c r="E71" i="38"/>
  <c r="K71" i="38" s="1"/>
  <c r="U71" i="38" s="1"/>
  <c r="E68" i="38"/>
  <c r="K68" i="38" s="1"/>
  <c r="U68" i="38" s="1"/>
  <c r="E72" i="38"/>
  <c r="K72" i="38" s="1"/>
  <c r="U72" i="38" s="1"/>
  <c r="F70" i="38"/>
  <c r="L70" i="38" s="1"/>
  <c r="V70" i="38" s="1"/>
  <c r="F71" i="38"/>
  <c r="L71" i="38" s="1"/>
  <c r="V71" i="38" s="1"/>
  <c r="F68" i="38"/>
  <c r="L68" i="38" s="1"/>
  <c r="V68" i="38" s="1"/>
  <c r="F73" i="38"/>
  <c r="L73" i="38" s="1"/>
  <c r="V73" i="38" s="1"/>
  <c r="F66" i="38"/>
  <c r="L66" i="38" s="1"/>
  <c r="V66" i="38" s="1"/>
  <c r="E69" i="38"/>
  <c r="K69" i="38" s="1"/>
  <c r="U69" i="38" s="1"/>
  <c r="F72" i="38"/>
  <c r="L72" i="38" s="1"/>
  <c r="V72" i="38" s="1"/>
  <c r="E73" i="38"/>
  <c r="K73" i="38" s="1"/>
  <c r="U73" i="38" s="1"/>
  <c r="E66" i="38"/>
  <c r="K66" i="38" s="1"/>
  <c r="U66" i="38" s="1"/>
  <c r="H17" i="158" l="1"/>
  <c r="H25" i="158" s="1"/>
  <c r="AL11" i="25"/>
  <c r="I11" i="25"/>
  <c r="AM3" i="25"/>
  <c r="K118" i="154"/>
  <c r="U117" i="154"/>
  <c r="W117" i="154" s="1"/>
  <c r="M119" i="155"/>
  <c r="W118" i="155"/>
  <c r="Y118" i="155" s="1"/>
  <c r="W59" i="38"/>
  <c r="W60" i="38"/>
  <c r="W54" i="38"/>
  <c r="W61" i="38"/>
  <c r="W57" i="38"/>
  <c r="W55" i="38"/>
  <c r="W58" i="38"/>
  <c r="W56" i="38"/>
  <c r="B15" i="17"/>
  <c r="B16" i="17" s="1"/>
  <c r="C13" i="17"/>
  <c r="J3" i="25" s="1"/>
  <c r="O69" i="38"/>
  <c r="O70" i="38"/>
  <c r="P68" i="38"/>
  <c r="P73" i="38"/>
  <c r="P71" i="38"/>
  <c r="P70" i="38"/>
  <c r="O72" i="38"/>
  <c r="O66" i="38"/>
  <c r="O68" i="38"/>
  <c r="O73" i="38"/>
  <c r="O71" i="38"/>
  <c r="O67" i="38"/>
  <c r="P66" i="38"/>
  <c r="P69" i="38"/>
  <c r="P72" i="38"/>
  <c r="P67" i="38"/>
  <c r="E78" i="38"/>
  <c r="K78" i="38" s="1"/>
  <c r="U78" i="38" s="1"/>
  <c r="E80" i="38"/>
  <c r="K80" i="38" s="1"/>
  <c r="U80" i="38" s="1"/>
  <c r="E85" i="38"/>
  <c r="K85" i="38" s="1"/>
  <c r="U85" i="38" s="1"/>
  <c r="F85" i="38"/>
  <c r="L85" i="38" s="1"/>
  <c r="V85" i="38" s="1"/>
  <c r="F80" i="38"/>
  <c r="L80" i="38" s="1"/>
  <c r="V80" i="38" s="1"/>
  <c r="E83" i="38"/>
  <c r="K83" i="38" s="1"/>
  <c r="U83" i="38" s="1"/>
  <c r="E79" i="38"/>
  <c r="K79" i="38" s="1"/>
  <c r="U79" i="38" s="1"/>
  <c r="F84" i="38"/>
  <c r="L84" i="38" s="1"/>
  <c r="V84" i="38" s="1"/>
  <c r="F83" i="38"/>
  <c r="L83" i="38" s="1"/>
  <c r="V83" i="38" s="1"/>
  <c r="F81" i="38"/>
  <c r="L81" i="38" s="1"/>
  <c r="V81" i="38" s="1"/>
  <c r="F82" i="38"/>
  <c r="L82" i="38" s="1"/>
  <c r="V82" i="38" s="1"/>
  <c r="F79" i="38"/>
  <c r="L79" i="38" s="1"/>
  <c r="V79" i="38" s="1"/>
  <c r="E81" i="38"/>
  <c r="K81" i="38" s="1"/>
  <c r="U81" i="38" s="1"/>
  <c r="E82" i="38"/>
  <c r="K82" i="38" s="1"/>
  <c r="U82" i="38" s="1"/>
  <c r="F78" i="38"/>
  <c r="L78" i="38" s="1"/>
  <c r="V78" i="38" s="1"/>
  <c r="E84" i="38"/>
  <c r="K84" i="38" s="1"/>
  <c r="U84" i="38" s="1"/>
  <c r="I17" i="158" l="1"/>
  <c r="I25" i="158" s="1"/>
  <c r="AM11" i="25"/>
  <c r="AN3" i="25"/>
  <c r="M120" i="155"/>
  <c r="W119" i="155"/>
  <c r="Y119" i="155" s="1"/>
  <c r="U118" i="154"/>
  <c r="W118" i="154" s="1"/>
  <c r="K119" i="154"/>
  <c r="W70" i="38"/>
  <c r="W71" i="38"/>
  <c r="W69" i="38"/>
  <c r="W67" i="38"/>
  <c r="W72" i="38"/>
  <c r="W73" i="38"/>
  <c r="W68" i="38"/>
  <c r="W66" i="38"/>
  <c r="O81" i="38"/>
  <c r="O80" i="38"/>
  <c r="P79" i="38"/>
  <c r="P82" i="38"/>
  <c r="O78" i="38"/>
  <c r="P81" i="38"/>
  <c r="P83" i="38"/>
  <c r="P84" i="38"/>
  <c r="O79" i="38"/>
  <c r="O83" i="38"/>
  <c r="P80" i="38"/>
  <c r="O84" i="38"/>
  <c r="P78" i="38"/>
  <c r="O82" i="38"/>
  <c r="P85" i="38"/>
  <c r="O85" i="38"/>
  <c r="E95" i="38"/>
  <c r="F93" i="38"/>
  <c r="E96" i="38"/>
  <c r="F92" i="38"/>
  <c r="F90" i="38"/>
  <c r="F95" i="38"/>
  <c r="F96" i="38"/>
  <c r="F97" i="38"/>
  <c r="E94" i="38"/>
  <c r="E91" i="38"/>
  <c r="E93" i="38"/>
  <c r="E97" i="38"/>
  <c r="E92" i="38"/>
  <c r="F91" i="38"/>
  <c r="F94" i="38"/>
  <c r="E90" i="38"/>
  <c r="J17" i="158" l="1"/>
  <c r="K92" i="38"/>
  <c r="U92" i="38" s="1"/>
  <c r="E104" i="38"/>
  <c r="L93" i="38"/>
  <c r="V93" i="38" s="1"/>
  <c r="F105" i="38"/>
  <c r="K90" i="38"/>
  <c r="U90" i="38" s="1"/>
  <c r="E102" i="38"/>
  <c r="L94" i="38"/>
  <c r="V94" i="38" s="1"/>
  <c r="F106" i="38"/>
  <c r="L97" i="38"/>
  <c r="V97" i="38" s="1"/>
  <c r="F109" i="38"/>
  <c r="K95" i="38"/>
  <c r="U95" i="38" s="1"/>
  <c r="E107" i="38"/>
  <c r="L91" i="38"/>
  <c r="V91" i="38" s="1"/>
  <c r="F103" i="38"/>
  <c r="K97" i="38"/>
  <c r="U97" i="38" s="1"/>
  <c r="E109" i="38"/>
  <c r="K93" i="38"/>
  <c r="U93" i="38" s="1"/>
  <c r="E105" i="38"/>
  <c r="K91" i="38"/>
  <c r="U91" i="38" s="1"/>
  <c r="E103" i="38"/>
  <c r="K94" i="38"/>
  <c r="U94" i="38" s="1"/>
  <c r="E106" i="38"/>
  <c r="L96" i="38"/>
  <c r="V96" i="38" s="1"/>
  <c r="F108" i="38"/>
  <c r="L95" i="38"/>
  <c r="V95" i="38" s="1"/>
  <c r="F107" i="38"/>
  <c r="L90" i="38"/>
  <c r="V90" i="38" s="1"/>
  <c r="F102" i="38"/>
  <c r="L92" i="38"/>
  <c r="V92" i="38" s="1"/>
  <c r="F104" i="38"/>
  <c r="K96" i="38"/>
  <c r="U96" i="38" s="1"/>
  <c r="E108" i="38"/>
  <c r="U119" i="154"/>
  <c r="W119" i="154" s="1"/>
  <c r="K120" i="154"/>
  <c r="W78" i="38"/>
  <c r="M121" i="155"/>
  <c r="W120" i="155"/>
  <c r="Y120" i="155" s="1"/>
  <c r="W80" i="38"/>
  <c r="W79" i="38"/>
  <c r="W85" i="38"/>
  <c r="W81" i="38"/>
  <c r="W82" i="38"/>
  <c r="W84" i="38"/>
  <c r="W83" i="38"/>
  <c r="O97" i="38"/>
  <c r="O91" i="38"/>
  <c r="O94" i="38"/>
  <c r="P97" i="38"/>
  <c r="P96" i="38"/>
  <c r="O90" i="38"/>
  <c r="P95" i="38"/>
  <c r="P90" i="38"/>
  <c r="O93" i="38"/>
  <c r="P94" i="38"/>
  <c r="P92" i="38"/>
  <c r="O96" i="38"/>
  <c r="P93" i="38"/>
  <c r="P91" i="38"/>
  <c r="O92" i="38"/>
  <c r="O95" i="38"/>
  <c r="K109" i="38" l="1"/>
  <c r="U109" i="38" s="1"/>
  <c r="O109" i="38"/>
  <c r="K108" i="38"/>
  <c r="U108" i="38" s="1"/>
  <c r="O108" i="38"/>
  <c r="P103" i="38"/>
  <c r="L103" i="38"/>
  <c r="V103" i="38" s="1"/>
  <c r="L107" i="38"/>
  <c r="V107" i="38" s="1"/>
  <c r="P107" i="38"/>
  <c r="L109" i="38"/>
  <c r="V109" i="38" s="1"/>
  <c r="P109" i="38"/>
  <c r="P104" i="38"/>
  <c r="L104" i="38"/>
  <c r="V104" i="38" s="1"/>
  <c r="L102" i="38"/>
  <c r="V102" i="38" s="1"/>
  <c r="P102" i="38"/>
  <c r="O103" i="38"/>
  <c r="K103" i="38"/>
  <c r="U103" i="38" s="1"/>
  <c r="K105" i="38"/>
  <c r="U105" i="38" s="1"/>
  <c r="O105" i="38"/>
  <c r="K104" i="38"/>
  <c r="U104" i="38" s="1"/>
  <c r="O104" i="38"/>
  <c r="K107" i="38"/>
  <c r="U107" i="38" s="1"/>
  <c r="O107" i="38"/>
  <c r="L108" i="38"/>
  <c r="V108" i="38" s="1"/>
  <c r="P108" i="38"/>
  <c r="L106" i="38"/>
  <c r="V106" i="38" s="1"/>
  <c r="P106" i="38"/>
  <c r="K106" i="38"/>
  <c r="U106" i="38" s="1"/>
  <c r="O106" i="38"/>
  <c r="K102" i="38"/>
  <c r="U102" i="38" s="1"/>
  <c r="O102" i="38"/>
  <c r="P105" i="38"/>
  <c r="L105" i="38"/>
  <c r="V105" i="38" s="1"/>
  <c r="U120" i="154"/>
  <c r="W120" i="154" s="1"/>
  <c r="K121" i="154"/>
  <c r="M122" i="155"/>
  <c r="W121" i="155"/>
  <c r="Y121" i="155" s="1"/>
  <c r="W91" i="38"/>
  <c r="W92" i="38"/>
  <c r="W93" i="38"/>
  <c r="W97" i="38"/>
  <c r="W94" i="38"/>
  <c r="W96" i="38"/>
  <c r="W90" i="38"/>
  <c r="W95" i="38"/>
  <c r="E115" i="38"/>
  <c r="F118" i="38"/>
  <c r="E117" i="38"/>
  <c r="E118" i="38"/>
  <c r="E116" i="38"/>
  <c r="F114" i="38"/>
  <c r="E120" i="38"/>
  <c r="F120" i="38"/>
  <c r="F117" i="38"/>
  <c r="F121" i="38"/>
  <c r="E121" i="38"/>
  <c r="F115" i="38"/>
  <c r="F116" i="38"/>
  <c r="E119" i="38"/>
  <c r="E114" i="38"/>
  <c r="F119" i="38"/>
  <c r="P49" i="34"/>
  <c r="P45" i="34"/>
  <c r="P41" i="34"/>
  <c r="P37" i="34"/>
  <c r="P33" i="34"/>
  <c r="P29" i="34"/>
  <c r="P25" i="34"/>
  <c r="P21" i="34"/>
  <c r="P17" i="34"/>
  <c r="P13" i="34"/>
  <c r="P9" i="34"/>
  <c r="P5" i="34"/>
  <c r="P46" i="34"/>
  <c r="P42" i="34"/>
  <c r="P38" i="34"/>
  <c r="P34" i="34"/>
  <c r="P30" i="34"/>
  <c r="P26" i="34"/>
  <c r="P22" i="34"/>
  <c r="P18" i="34"/>
  <c r="P14" i="34"/>
  <c r="P10" i="34"/>
  <c r="P6" i="34"/>
  <c r="P2" i="34"/>
  <c r="P1" i="34"/>
  <c r="P47" i="34"/>
  <c r="P43" i="34"/>
  <c r="P39" i="34"/>
  <c r="P35" i="34"/>
  <c r="P31" i="34"/>
  <c r="P27" i="34"/>
  <c r="P23" i="34"/>
  <c r="P19" i="34"/>
  <c r="P15" i="34"/>
  <c r="P11" i="34"/>
  <c r="P7" i="34"/>
  <c r="P3" i="34"/>
  <c r="Q1" i="38"/>
  <c r="Q1" i="28"/>
  <c r="P48" i="34"/>
  <c r="P44" i="34"/>
  <c r="P40" i="34"/>
  <c r="P36" i="34"/>
  <c r="P32" i="34"/>
  <c r="P28" i="34"/>
  <c r="P24" i="34"/>
  <c r="P20" i="34"/>
  <c r="P16" i="34"/>
  <c r="P12" i="34"/>
  <c r="P8" i="34"/>
  <c r="P4" i="34"/>
  <c r="E130" i="38" l="1"/>
  <c r="K130" i="38" s="1"/>
  <c r="U130" i="38" s="1"/>
  <c r="K118" i="38"/>
  <c r="E127" i="38"/>
  <c r="K127" i="38" s="1"/>
  <c r="U127" i="38" s="1"/>
  <c r="K115" i="38"/>
  <c r="U115" i="38" s="1"/>
  <c r="F130" i="38"/>
  <c r="L130" i="38" s="1"/>
  <c r="V130" i="38" s="1"/>
  <c r="L118" i="38"/>
  <c r="V118" i="38" s="1"/>
  <c r="F131" i="38"/>
  <c r="L131" i="38" s="1"/>
  <c r="V131" i="38" s="1"/>
  <c r="L119" i="38"/>
  <c r="V119" i="38" s="1"/>
  <c r="F128" i="38"/>
  <c r="L128" i="38" s="1"/>
  <c r="V128" i="38" s="1"/>
  <c r="L116" i="38"/>
  <c r="V116" i="38" s="1"/>
  <c r="F132" i="38"/>
  <c r="L132" i="38" s="1"/>
  <c r="V132" i="38" s="1"/>
  <c r="L120" i="38"/>
  <c r="V120" i="38" s="1"/>
  <c r="F129" i="38"/>
  <c r="L129" i="38" s="1"/>
  <c r="V129" i="38" s="1"/>
  <c r="L117" i="38"/>
  <c r="V117" i="38" s="1"/>
  <c r="E132" i="38"/>
  <c r="K132" i="38" s="1"/>
  <c r="U132" i="38" s="1"/>
  <c r="K120" i="38"/>
  <c r="U120" i="38" s="1"/>
  <c r="F133" i="38"/>
  <c r="L133" i="38" s="1"/>
  <c r="V133" i="38" s="1"/>
  <c r="L121" i="38"/>
  <c r="L114" i="38"/>
  <c r="V114" i="38" s="1"/>
  <c r="E129" i="38"/>
  <c r="K129" i="38" s="1"/>
  <c r="U129" i="38" s="1"/>
  <c r="K117" i="38"/>
  <c r="U117" i="38" s="1"/>
  <c r="K114" i="38"/>
  <c r="U114" i="38" s="1"/>
  <c r="E131" i="38"/>
  <c r="K131" i="38" s="1"/>
  <c r="U131" i="38" s="1"/>
  <c r="K119" i="38"/>
  <c r="U119" i="38" s="1"/>
  <c r="F127" i="38"/>
  <c r="L127" i="38" s="1"/>
  <c r="V127" i="38" s="1"/>
  <c r="L115" i="38"/>
  <c r="V115" i="38" s="1"/>
  <c r="E133" i="38"/>
  <c r="K133" i="38" s="1"/>
  <c r="U133" i="38" s="1"/>
  <c r="K121" i="38"/>
  <c r="U121" i="38" s="1"/>
  <c r="E128" i="38"/>
  <c r="K128" i="38" s="1"/>
  <c r="U128" i="38" s="1"/>
  <c r="K116" i="38"/>
  <c r="U116" i="38" s="1"/>
  <c r="W106" i="38"/>
  <c r="W103" i="38"/>
  <c r="W108" i="38"/>
  <c r="W107" i="38"/>
  <c r="W104" i="38"/>
  <c r="W105" i="38"/>
  <c r="W109" i="38"/>
  <c r="W102" i="38"/>
  <c r="M123" i="155"/>
  <c r="W122" i="155"/>
  <c r="Y122" i="155" s="1"/>
  <c r="U121" i="154"/>
  <c r="W121" i="154" s="1"/>
  <c r="K122" i="154"/>
  <c r="P119" i="38"/>
  <c r="O120" i="38"/>
  <c r="O119" i="38"/>
  <c r="O117" i="38"/>
  <c r="P120" i="38"/>
  <c r="O116" i="38"/>
  <c r="P115" i="38"/>
  <c r="O121" i="38"/>
  <c r="F126" i="38"/>
  <c r="L126" i="38" s="1"/>
  <c r="P114" i="38"/>
  <c r="P121" i="38"/>
  <c r="V121" i="38"/>
  <c r="P118" i="38"/>
  <c r="P116" i="38"/>
  <c r="E126" i="38"/>
  <c r="K126" i="38" s="1"/>
  <c r="O118" i="38"/>
  <c r="U118" i="38"/>
  <c r="O114" i="38"/>
  <c r="P117" i="38"/>
  <c r="O115" i="38"/>
  <c r="K123" i="154" l="1"/>
  <c r="U122" i="154"/>
  <c r="W122" i="154" s="1"/>
  <c r="M124" i="155"/>
  <c r="W123" i="155"/>
  <c r="Y123" i="155" s="1"/>
  <c r="O126" i="38"/>
  <c r="U126" i="38"/>
  <c r="P126" i="38"/>
  <c r="V126" i="38"/>
  <c r="P131" i="38"/>
  <c r="P130" i="38"/>
  <c r="O133" i="38"/>
  <c r="P132" i="38"/>
  <c r="P133" i="38"/>
  <c r="O131" i="38"/>
  <c r="O132" i="38"/>
  <c r="P127" i="38"/>
  <c r="O130" i="38"/>
  <c r="O127" i="38"/>
  <c r="O129" i="38"/>
  <c r="O128" i="38"/>
  <c r="P129" i="38"/>
  <c r="P128" i="38"/>
  <c r="M125" i="155" l="1"/>
  <c r="W124" i="155"/>
  <c r="Y124" i="155" s="1"/>
  <c r="K124" i="154"/>
  <c r="U123" i="154"/>
  <c r="W123" i="154" s="1"/>
  <c r="K125" i="154" l="1"/>
  <c r="U124" i="154"/>
  <c r="W124" i="154" s="1"/>
  <c r="M126" i="155"/>
  <c r="W125" i="155"/>
  <c r="Y125" i="155" s="1"/>
  <c r="C47" i="74"/>
  <c r="AH6" i="24"/>
  <c r="C52" i="74"/>
  <c r="C49" i="74"/>
  <c r="BH7" i="17"/>
  <c r="C54" i="74"/>
  <c r="C48" i="74"/>
  <c r="H10" i="23"/>
  <c r="H14" i="23" s="1"/>
  <c r="D10" i="23"/>
  <c r="L10" i="23"/>
  <c r="W47" i="77"/>
  <c r="W46" i="77"/>
  <c r="W33" i="77"/>
  <c r="W37" i="77"/>
  <c r="W34" i="77"/>
  <c r="W11" i="77"/>
  <c r="W25" i="77"/>
  <c r="W24" i="77"/>
  <c r="W23" i="77"/>
  <c r="W10" i="77"/>
  <c r="W12" i="77"/>
  <c r="W13" i="77"/>
  <c r="W9" i="77"/>
  <c r="W35" i="77"/>
  <c r="W48" i="77"/>
  <c r="W21" i="77"/>
  <c r="W22" i="77"/>
  <c r="W49" i="77"/>
  <c r="U10" i="76"/>
  <c r="U46" i="76"/>
  <c r="U34" i="76"/>
  <c r="U12" i="76"/>
  <c r="U48" i="76"/>
  <c r="U37" i="76"/>
  <c r="U22" i="76"/>
  <c r="U35" i="76"/>
  <c r="U25" i="76"/>
  <c r="U11" i="76"/>
  <c r="U23" i="76"/>
  <c r="U36" i="76"/>
  <c r="U24" i="76"/>
  <c r="U47" i="76"/>
  <c r="U13" i="76"/>
  <c r="U49" i="76"/>
  <c r="H12" i="23"/>
  <c r="H11" i="23"/>
  <c r="D11" i="23"/>
  <c r="AH8" i="24"/>
  <c r="X12" i="23"/>
  <c r="AF11" i="23"/>
  <c r="AH9" i="24"/>
  <c r="L11" i="23"/>
  <c r="X11" i="23"/>
  <c r="D12" i="23"/>
  <c r="X10" i="23"/>
  <c r="L12" i="23"/>
  <c r="AH7" i="24"/>
  <c r="AF12" i="23"/>
  <c r="W231" i="4"/>
  <c r="W238" i="4"/>
  <c r="W225" i="4"/>
  <c r="W209" i="4"/>
  <c r="W224" i="4"/>
  <c r="W236" i="4"/>
  <c r="W219" i="4"/>
  <c r="W199" i="4"/>
  <c r="W237" i="4"/>
  <c r="D9" i="23"/>
  <c r="W222" i="4"/>
  <c r="W208" i="4"/>
  <c r="W227" i="4"/>
  <c r="W217" i="4"/>
  <c r="W205" i="4"/>
  <c r="W197" i="4"/>
  <c r="W235" i="4"/>
  <c r="W216" i="4"/>
  <c r="W239" i="4"/>
  <c r="W212" i="4"/>
  <c r="W240" i="4"/>
  <c r="W223" i="4"/>
  <c r="W215" i="4"/>
  <c r="W207" i="4"/>
  <c r="W214" i="4"/>
  <c r="X9" i="23"/>
  <c r="W204" i="4"/>
  <c r="W233" i="4"/>
  <c r="W198" i="4"/>
  <c r="W234" i="4"/>
  <c r="W201" i="4"/>
  <c r="W200" i="4"/>
  <c r="W229" i="4"/>
  <c r="W211" i="4"/>
  <c r="W203" i="4"/>
  <c r="H9" i="23"/>
  <c r="W228" i="4"/>
  <c r="W210" i="4"/>
  <c r="W221" i="4"/>
  <c r="W213" i="4"/>
  <c r="W196" i="4"/>
  <c r="W195" i="4"/>
  <c r="W226" i="4"/>
  <c r="W202" i="4"/>
  <c r="AF9" i="23"/>
  <c r="L9" i="23"/>
  <c r="W241" i="4"/>
  <c r="AD7" i="17"/>
  <c r="D8" i="23"/>
  <c r="H7" i="23"/>
  <c r="X7" i="23"/>
  <c r="X6" i="23"/>
  <c r="X8" i="23"/>
  <c r="AF7" i="23"/>
  <c r="L6" i="23"/>
  <c r="D6" i="23"/>
  <c r="H6" i="17"/>
  <c r="H7" i="17"/>
  <c r="H8" i="23"/>
  <c r="D7" i="23"/>
  <c r="H6" i="23"/>
  <c r="AD6" i="17"/>
  <c r="AF8" i="23"/>
  <c r="L8" i="23"/>
  <c r="L7" i="23"/>
  <c r="AF6" i="23"/>
  <c r="X14" i="23" l="1"/>
  <c r="X15" i="23" s="1"/>
  <c r="L14" i="23"/>
  <c r="K14" i="23" s="1"/>
  <c r="D14" i="23"/>
  <c r="D15" i="23" s="1"/>
  <c r="AF14" i="23"/>
  <c r="AF15" i="23" s="1"/>
  <c r="H15" i="23"/>
  <c r="G14" i="23"/>
  <c r="M127" i="155"/>
  <c r="W126" i="155"/>
  <c r="Y126" i="155" s="1"/>
  <c r="AI9" i="24"/>
  <c r="K126" i="154"/>
  <c r="U125" i="154"/>
  <c r="W125" i="154" s="1"/>
  <c r="AI8" i="24"/>
  <c r="AH10" i="24"/>
  <c r="AI10" i="24" s="1"/>
  <c r="BT6" i="17"/>
  <c r="BU6" i="17" s="1"/>
  <c r="C10" i="74" s="1"/>
  <c r="BH6" i="17"/>
  <c r="BT7" i="17"/>
  <c r="BH10" i="17"/>
  <c r="BT11" i="17"/>
  <c r="BU11" i="17" s="1"/>
  <c r="H10" i="74" s="1"/>
  <c r="BH11" i="17"/>
  <c r="BT8" i="17"/>
  <c r="BU8" i="17" s="1"/>
  <c r="E10" i="74" s="1"/>
  <c r="BH9" i="17"/>
  <c r="BH8" i="17"/>
  <c r="P49" i="17"/>
  <c r="H49" i="17"/>
  <c r="H51" i="17"/>
  <c r="AA8" i="24"/>
  <c r="AA7" i="24"/>
  <c r="AA6" i="24"/>
  <c r="AA11" i="24"/>
  <c r="AA5" i="24"/>
  <c r="AA10" i="24"/>
  <c r="AA12" i="24"/>
  <c r="E6" i="24"/>
  <c r="E8" i="24"/>
  <c r="E7" i="24"/>
  <c r="E10" i="24"/>
  <c r="E12" i="24"/>
  <c r="E11" i="24"/>
  <c r="H55" i="74"/>
  <c r="J55" i="74"/>
  <c r="F55" i="74"/>
  <c r="D55" i="74"/>
  <c r="E55" i="74"/>
  <c r="G55" i="74"/>
  <c r="I55" i="74"/>
  <c r="C55" i="74"/>
  <c r="E51" i="17"/>
  <c r="S49" i="17"/>
  <c r="E49" i="17"/>
  <c r="S50" i="17"/>
  <c r="P50" i="17"/>
  <c r="H48" i="17"/>
  <c r="E48" i="17"/>
  <c r="AD49" i="17"/>
  <c r="AA49" i="17"/>
  <c r="S48" i="17"/>
  <c r="P48" i="17"/>
  <c r="H50" i="17"/>
  <c r="E50" i="17"/>
  <c r="AD50" i="17"/>
  <c r="AA50" i="17"/>
  <c r="AD48" i="17"/>
  <c r="AA48" i="17"/>
  <c r="AD51" i="17"/>
  <c r="AA51" i="17"/>
  <c r="S51" i="17"/>
  <c r="P51" i="17"/>
  <c r="E24" i="24"/>
  <c r="E23" i="24"/>
  <c r="W206" i="4"/>
  <c r="W230" i="4"/>
  <c r="W218" i="4"/>
  <c r="BI7" i="17"/>
  <c r="E9" i="24"/>
  <c r="E5" i="24"/>
  <c r="W194" i="4"/>
  <c r="AA9" i="24"/>
  <c r="AA7" i="17"/>
  <c r="AA6" i="17"/>
  <c r="E7" i="17"/>
  <c r="S6" i="17"/>
  <c r="P6" i="17"/>
  <c r="E6" i="17"/>
  <c r="S7" i="17"/>
  <c r="P7" i="17"/>
  <c r="AE14" i="23" l="1"/>
  <c r="AE48" i="23" s="1"/>
  <c r="W14" i="23"/>
  <c r="W48" i="23" s="1"/>
  <c r="L15" i="23"/>
  <c r="K15" i="23"/>
  <c r="AA17" i="24"/>
  <c r="AA18" i="24" s="1"/>
  <c r="AA19" i="24" s="1"/>
  <c r="AA20" i="24" s="1"/>
  <c r="C14" i="23"/>
  <c r="C48" i="23" s="1"/>
  <c r="Y19" i="156"/>
  <c r="Z19" i="156" s="1"/>
  <c r="D30" i="74" s="1"/>
  <c r="D8" i="74"/>
  <c r="E17" i="24"/>
  <c r="E18" i="24" s="1"/>
  <c r="E19" i="24" s="1"/>
  <c r="E20" i="24" s="1"/>
  <c r="G48" i="23"/>
  <c r="D22" i="70"/>
  <c r="F13" i="24"/>
  <c r="AB13" i="24"/>
  <c r="F18" i="24"/>
  <c r="F19" i="24"/>
  <c r="F20" i="24"/>
  <c r="F17" i="24"/>
  <c r="AB8" i="24"/>
  <c r="K48" i="74"/>
  <c r="K48" i="25"/>
  <c r="K40" i="158" s="1"/>
  <c r="K54" i="25"/>
  <c r="K46" i="158" s="1"/>
  <c r="K54" i="74"/>
  <c r="K52" i="74"/>
  <c r="K52" i="25"/>
  <c r="K44" i="158" s="1"/>
  <c r="K47" i="25"/>
  <c r="K39" i="158" s="1"/>
  <c r="K47" i="74"/>
  <c r="U126" i="154"/>
  <c r="W126" i="154" s="1"/>
  <c r="K127" i="154"/>
  <c r="AB11" i="24"/>
  <c r="M128" i="155"/>
  <c r="W127" i="155"/>
  <c r="Y127" i="155" s="1"/>
  <c r="AB7" i="24"/>
  <c r="AB12" i="24"/>
  <c r="AB10" i="24"/>
  <c r="AB9" i="24"/>
  <c r="AH5" i="24"/>
  <c r="C22" i="70"/>
  <c r="C27" i="70" s="1"/>
  <c r="BH12" i="17"/>
  <c r="BI12" i="17" s="1"/>
  <c r="F8" i="24"/>
  <c r="BU7" i="17"/>
  <c r="D10" i="74" s="1"/>
  <c r="BI11" i="17"/>
  <c r="F12" i="24"/>
  <c r="C6" i="15"/>
  <c r="I5" i="15"/>
  <c r="C5" i="15"/>
  <c r="I6" i="15"/>
  <c r="F9" i="24"/>
  <c r="F11" i="24"/>
  <c r="F10" i="24"/>
  <c r="F7" i="24"/>
  <c r="BI8" i="17"/>
  <c r="BI6" i="17"/>
  <c r="Y20" i="156" l="1"/>
  <c r="Z20" i="156" s="1"/>
  <c r="E30" i="74" s="1"/>
  <c r="E8" i="74"/>
  <c r="Y23" i="156"/>
  <c r="Z23" i="156" s="1"/>
  <c r="H30" i="74" s="1"/>
  <c r="H8" i="74"/>
  <c r="Y24" i="156"/>
  <c r="Z24" i="156" s="1"/>
  <c r="I30" i="74" s="1"/>
  <c r="I8" i="74"/>
  <c r="Y18" i="156"/>
  <c r="Z18" i="156" s="1"/>
  <c r="C30" i="74" s="1"/>
  <c r="C8" i="74"/>
  <c r="AB18" i="24"/>
  <c r="AB19" i="24"/>
  <c r="AB20" i="24"/>
  <c r="AB17" i="24"/>
  <c r="M129" i="155"/>
  <c r="W128" i="155"/>
  <c r="Y128" i="155" s="1"/>
  <c r="U127" i="154"/>
  <c r="W127" i="154" s="1"/>
  <c r="K128" i="154"/>
  <c r="L48" i="74"/>
  <c r="L48" i="25"/>
  <c r="L40" i="158" s="1"/>
  <c r="AI7" i="24"/>
  <c r="C26" i="70"/>
  <c r="C28" i="70" s="1"/>
  <c r="C30" i="70" s="1"/>
  <c r="C39" i="70" s="1"/>
  <c r="D40" i="70" s="1"/>
  <c r="BT12" i="17"/>
  <c r="AH11" i="24"/>
  <c r="G15" i="23"/>
  <c r="E22" i="70" s="1"/>
  <c r="C11" i="70"/>
  <c r="BT9" i="17"/>
  <c r="BI9" i="17"/>
  <c r="Y21" i="156" l="1"/>
  <c r="Z21" i="156" s="1"/>
  <c r="F30" i="74" s="1"/>
  <c r="F8" i="74"/>
  <c r="BU12" i="17"/>
  <c r="I10" i="74" s="1"/>
  <c r="C41" i="70"/>
  <c r="C42" i="70" s="1"/>
  <c r="L52" i="74"/>
  <c r="L52" i="25"/>
  <c r="L44" i="158" s="1"/>
  <c r="BS15" i="17"/>
  <c r="L54" i="25"/>
  <c r="L46" i="158" s="1"/>
  <c r="L54" i="74"/>
  <c r="L47" i="25"/>
  <c r="L39" i="158" s="1"/>
  <c r="L47" i="74"/>
  <c r="AE15" i="23"/>
  <c r="U128" i="154"/>
  <c r="W128" i="154" s="1"/>
  <c r="K129" i="154"/>
  <c r="M48" i="74"/>
  <c r="E60" i="74" s="1"/>
  <c r="M48" i="25"/>
  <c r="M130" i="155"/>
  <c r="W129" i="155"/>
  <c r="Y129" i="155" s="1"/>
  <c r="AI11" i="24"/>
  <c r="W15" i="23"/>
  <c r="BH13" i="17"/>
  <c r="BG15" i="17"/>
  <c r="BT13" i="17"/>
  <c r="BU13" i="17" s="1"/>
  <c r="J10" i="74" s="1"/>
  <c r="AH12" i="24"/>
  <c r="AI13" i="24" s="1"/>
  <c r="C16" i="70"/>
  <c r="C15" i="70"/>
  <c r="C15" i="23"/>
  <c r="D11" i="70"/>
  <c r="BU9" i="17"/>
  <c r="F10" i="74" s="1"/>
  <c r="BT10" i="17"/>
  <c r="BI10" i="17"/>
  <c r="AH17" i="24" l="1"/>
  <c r="AH18" i="24" s="1"/>
  <c r="AH19" i="24" s="1"/>
  <c r="AH20" i="24" s="1"/>
  <c r="BT16" i="17" a="1"/>
  <c r="BT16" i="17" s="1"/>
  <c r="BT15" i="17" a="1"/>
  <c r="BT15" i="17" s="1"/>
  <c r="Y22" i="156"/>
  <c r="Z22" i="156" s="1"/>
  <c r="G30" i="74" s="1"/>
  <c r="G8" i="74"/>
  <c r="E60" i="25"/>
  <c r="M40" i="158"/>
  <c r="E4" i="158" s="1"/>
  <c r="U129" i="154"/>
  <c r="W129" i="154" s="1"/>
  <c r="K130" i="154"/>
  <c r="BS16" i="17"/>
  <c r="M54" i="25"/>
  <c r="M54" i="74"/>
  <c r="E66" i="74" s="1"/>
  <c r="M47" i="25"/>
  <c r="M39" i="158" s="1"/>
  <c r="M47" i="74"/>
  <c r="E59" i="74" s="1"/>
  <c r="BG16" i="17"/>
  <c r="M52" i="74"/>
  <c r="E64" i="74" s="1"/>
  <c r="M52" i="25"/>
  <c r="M131" i="155"/>
  <c r="W130" i="155"/>
  <c r="Y130" i="155" s="1"/>
  <c r="AI12" i="24"/>
  <c r="AI18" i="24" s="1"/>
  <c r="C17" i="70"/>
  <c r="C19" i="70" s="1"/>
  <c r="C35" i="70" s="1"/>
  <c r="C37" i="70" s="1"/>
  <c r="C38" i="70" s="1"/>
  <c r="D12" i="70"/>
  <c r="D15" i="70" s="1"/>
  <c r="BI13" i="17"/>
  <c r="J8" i="74" s="1"/>
  <c r="BU10" i="17"/>
  <c r="G10" i="74" s="1"/>
  <c r="E3" i="158" l="1"/>
  <c r="AI19" i="24"/>
  <c r="AI17" i="24"/>
  <c r="AI20" i="24"/>
  <c r="E64" i="25"/>
  <c r="M44" i="158"/>
  <c r="E8" i="158" s="1"/>
  <c r="E66" i="25"/>
  <c r="M46" i="158"/>
  <c r="E10" i="158" s="1"/>
  <c r="BU16" i="17"/>
  <c r="N10" i="25" s="1"/>
  <c r="D36" i="70"/>
  <c r="Y25" i="156"/>
  <c r="Z25" i="156" s="1"/>
  <c r="J30" i="74" s="1"/>
  <c r="D16" i="70"/>
  <c r="D17" i="70" s="1"/>
  <c r="D19" i="70" s="1"/>
  <c r="D35" i="70" s="1"/>
  <c r="E36" i="70" s="1"/>
  <c r="M132" i="155"/>
  <c r="W131" i="155"/>
  <c r="Y131" i="155" s="1"/>
  <c r="E59" i="25"/>
  <c r="U130" i="154"/>
  <c r="W130" i="154" s="1"/>
  <c r="K131" i="154"/>
  <c r="BH15" i="17"/>
  <c r="Y17" i="24"/>
  <c r="Z17" i="24" s="1"/>
  <c r="AG17" i="24"/>
  <c r="M10" i="74" l="1"/>
  <c r="C22" i="74" s="1"/>
  <c r="AQ10" i="25"/>
  <c r="M24" i="158" s="1"/>
  <c r="C22" i="25"/>
  <c r="E22" i="25" s="1"/>
  <c r="C66" i="25" s="1"/>
  <c r="U131" i="154"/>
  <c r="W131" i="154" s="1"/>
  <c r="K132" i="154"/>
  <c r="M133" i="155"/>
  <c r="W133" i="155" s="1"/>
  <c r="Y133" i="155" s="1"/>
  <c r="W132" i="155"/>
  <c r="Y132" i="155" s="1"/>
  <c r="D37" i="70"/>
  <c r="D38" i="70" s="1"/>
  <c r="C47" i="70" s="1"/>
  <c r="C53" i="70" s="1"/>
  <c r="BH16" i="17"/>
  <c r="AG18" i="24"/>
  <c r="L31" i="25" s="1"/>
  <c r="K33" i="158" s="1"/>
  <c r="C10" i="158" l="1"/>
  <c r="H22" i="25"/>
  <c r="AY57" i="17"/>
  <c r="AY58" i="17"/>
  <c r="U132" i="154"/>
  <c r="W132" i="154" s="1"/>
  <c r="K133" i="154"/>
  <c r="U133" i="154" s="1"/>
  <c r="W133" i="154" s="1"/>
  <c r="AY14" i="17" s="1"/>
  <c r="BI16" i="17"/>
  <c r="AG19" i="24"/>
  <c r="M31" i="25" s="1"/>
  <c r="AP31" i="25" s="1"/>
  <c r="L33" i="158" s="1"/>
  <c r="AG20" i="24"/>
  <c r="N31" i="25" s="1"/>
  <c r="AQ31" i="25" s="1"/>
  <c r="M33" i="158" s="1"/>
  <c r="D9" i="158" l="1"/>
  <c r="C41" i="25"/>
  <c r="E41" i="25" s="1"/>
  <c r="D65" i="25" s="1"/>
  <c r="AY13" i="17"/>
  <c r="AY15" i="17"/>
  <c r="AY16" i="17"/>
  <c r="Y20" i="24"/>
  <c r="M8" i="74"/>
  <c r="C20" i="74" s="1"/>
  <c r="E20" i="74" s="1"/>
  <c r="Y28" i="156"/>
  <c r="Z28" i="156" s="1"/>
  <c r="M30" i="74" s="1"/>
  <c r="C40" i="74" s="1"/>
  <c r="E40" i="74" s="1"/>
  <c r="N8" i="25"/>
  <c r="AQ8" i="25" l="1"/>
  <c r="M22" i="158" s="1"/>
  <c r="C20" i="25"/>
  <c r="E20" i="25" s="1"/>
  <c r="C64" i="25" s="1"/>
  <c r="C8" i="158" l="1"/>
  <c r="H20" i="25"/>
  <c r="G18" i="23" l="1"/>
  <c r="H18" i="23" s="1"/>
  <c r="C18" i="23"/>
  <c r="D18" i="23" s="1"/>
  <c r="C49" i="23" l="1"/>
  <c r="I110" i="75"/>
  <c r="S110" i="75" s="1"/>
  <c r="G110" i="38"/>
  <c r="Q110" i="38" s="1"/>
  <c r="G49" i="23"/>
  <c r="H48" i="23"/>
  <c r="K18" i="23"/>
  <c r="AE18" i="23"/>
  <c r="AF18" i="23" s="1"/>
  <c r="L18" i="23" l="1"/>
  <c r="AE49" i="23"/>
  <c r="AF48" i="23"/>
  <c r="G50" i="23"/>
  <c r="H49" i="23"/>
  <c r="C50" i="23"/>
  <c r="I111" i="75"/>
  <c r="S111" i="75" s="1"/>
  <c r="G111" i="38"/>
  <c r="Q111" i="38" s="1"/>
  <c r="W18" i="23"/>
  <c r="X18" i="23" s="1"/>
  <c r="D23" i="70"/>
  <c r="D27" i="70" s="1"/>
  <c r="K49" i="25" l="1"/>
  <c r="K49" i="74"/>
  <c r="K55" i="74" s="1"/>
  <c r="C51" i="23"/>
  <c r="I112" i="75"/>
  <c r="S112" i="75" s="1"/>
  <c r="G112" i="38"/>
  <c r="Q112" i="38" s="1"/>
  <c r="G51" i="23"/>
  <c r="H50" i="23"/>
  <c r="AE50" i="23"/>
  <c r="AF49" i="23"/>
  <c r="W49" i="23"/>
  <c r="X48" i="23"/>
  <c r="D26" i="70"/>
  <c r="D28" i="70" s="1"/>
  <c r="D30" i="70" s="1"/>
  <c r="D39" i="70" s="1"/>
  <c r="K55" i="25" l="1"/>
  <c r="K41" i="158"/>
  <c r="X49" i="23"/>
  <c r="W50" i="23"/>
  <c r="AE51" i="23"/>
  <c r="AF50" i="23"/>
  <c r="G52" i="23"/>
  <c r="H51" i="23"/>
  <c r="C52" i="23"/>
  <c r="I113" i="75"/>
  <c r="S113" i="75" s="1"/>
  <c r="G113" i="38"/>
  <c r="Q113" i="38" s="1"/>
  <c r="D41" i="70"/>
  <c r="E40" i="70"/>
  <c r="K47" i="158" l="1"/>
  <c r="H52" i="23"/>
  <c r="G53" i="23"/>
  <c r="W51" i="23"/>
  <c r="X50" i="23"/>
  <c r="C53" i="23"/>
  <c r="I114" i="75"/>
  <c r="S114" i="75" s="1"/>
  <c r="G114" i="38"/>
  <c r="Q114" i="38" s="1"/>
  <c r="W114" i="38" s="1"/>
  <c r="AE52" i="23"/>
  <c r="AF51" i="23"/>
  <c r="D42" i="70"/>
  <c r="C48" i="70" s="1"/>
  <c r="C54" i="70" s="1"/>
  <c r="AE53" i="23" l="1"/>
  <c r="AF52" i="23"/>
  <c r="C54" i="23"/>
  <c r="I115" i="75"/>
  <c r="S115" i="75" s="1"/>
  <c r="G115" i="38"/>
  <c r="Q115" i="38" s="1"/>
  <c r="W115" i="38" s="1"/>
  <c r="G54" i="23"/>
  <c r="H53" i="23"/>
  <c r="W52" i="23"/>
  <c r="X51" i="23"/>
  <c r="R127" i="76"/>
  <c r="P127" i="34"/>
  <c r="Q127" i="34"/>
  <c r="X52" i="23" l="1"/>
  <c r="W53" i="23"/>
  <c r="G55" i="23"/>
  <c r="H54" i="23"/>
  <c r="C55" i="23"/>
  <c r="I116" i="75"/>
  <c r="S116" i="75" s="1"/>
  <c r="G116" i="38"/>
  <c r="Q116" i="38" s="1"/>
  <c r="W116" i="38" s="1"/>
  <c r="AE54" i="23"/>
  <c r="AF53" i="23"/>
  <c r="R128" i="76"/>
  <c r="P128" i="34"/>
  <c r="Q128" i="34"/>
  <c r="AE55" i="23" l="1"/>
  <c r="AF54" i="23"/>
  <c r="W54" i="23"/>
  <c r="X53" i="23"/>
  <c r="C56" i="23"/>
  <c r="I117" i="75"/>
  <c r="S117" i="75" s="1"/>
  <c r="G117" i="38"/>
  <c r="Q117" i="38" s="1"/>
  <c r="W117" i="38" s="1"/>
  <c r="G56" i="23"/>
  <c r="H55" i="23"/>
  <c r="R129" i="76"/>
  <c r="P129" i="34"/>
  <c r="Q129" i="34"/>
  <c r="X54" i="23" l="1"/>
  <c r="W55" i="23"/>
  <c r="C57" i="23"/>
  <c r="I118" i="75"/>
  <c r="S118" i="75" s="1"/>
  <c r="G118" i="38"/>
  <c r="Q118" i="38" s="1"/>
  <c r="W118" i="38" s="1"/>
  <c r="H56" i="23"/>
  <c r="G57" i="23"/>
  <c r="AF55" i="23"/>
  <c r="AE56" i="23"/>
  <c r="R130" i="76"/>
  <c r="U130" i="76" s="1"/>
  <c r="P130" i="34"/>
  <c r="Q130" i="34"/>
  <c r="C58" i="23" l="1"/>
  <c r="I119" i="75"/>
  <c r="S119" i="75" s="1"/>
  <c r="G119" i="38"/>
  <c r="Q119" i="38" s="1"/>
  <c r="W119" i="38" s="1"/>
  <c r="X55" i="23"/>
  <c r="W56" i="23"/>
  <c r="AF56" i="23"/>
  <c r="AE57" i="23"/>
  <c r="G58" i="23"/>
  <c r="H57" i="23"/>
  <c r="R131" i="76"/>
  <c r="U131" i="76" s="1"/>
  <c r="P131" i="34"/>
  <c r="Q131" i="34"/>
  <c r="X56" i="23" l="1"/>
  <c r="W57" i="23"/>
  <c r="G59" i="23"/>
  <c r="G60" i="23" s="1"/>
  <c r="H58" i="23"/>
  <c r="AE58" i="23"/>
  <c r="AF57" i="23"/>
  <c r="C59" i="23"/>
  <c r="G120" i="38"/>
  <c r="Q120" i="38" s="1"/>
  <c r="W120" i="38" s="1"/>
  <c r="I120" i="75"/>
  <c r="S120" i="75" s="1"/>
  <c r="R132" i="76"/>
  <c r="U132" i="76" s="1"/>
  <c r="P132" i="34"/>
  <c r="Q132" i="34"/>
  <c r="C60" i="23" l="1"/>
  <c r="G121" i="38"/>
  <c r="Q121" i="38" s="1"/>
  <c r="W121" i="38" s="1"/>
  <c r="I121" i="75"/>
  <c r="S121" i="75" s="1"/>
  <c r="C19" i="23"/>
  <c r="D19" i="23" s="1"/>
  <c r="AE59" i="23"/>
  <c r="AF58" i="23"/>
  <c r="H59" i="23"/>
  <c r="G19" i="23"/>
  <c r="X57" i="23"/>
  <c r="W58" i="23"/>
  <c r="R133" i="76"/>
  <c r="U133" i="76" s="1"/>
  <c r="P133" i="34"/>
  <c r="Q133" i="34"/>
  <c r="X58" i="23" l="1"/>
  <c r="W59" i="23"/>
  <c r="H19" i="23"/>
  <c r="G61" i="23"/>
  <c r="H60" i="23"/>
  <c r="AE60" i="23"/>
  <c r="AF59" i="23"/>
  <c r="AE19" i="23"/>
  <c r="C61" i="23"/>
  <c r="G122" i="38"/>
  <c r="Q122" i="38" s="1"/>
  <c r="I122" i="75"/>
  <c r="S122" i="75" s="1"/>
  <c r="Y122" i="75" s="1"/>
  <c r="D60" i="23"/>
  <c r="AE61" i="23" l="1"/>
  <c r="AF60" i="23"/>
  <c r="G62" i="23"/>
  <c r="H61" i="23"/>
  <c r="W60" i="23"/>
  <c r="X59" i="23"/>
  <c r="W19" i="23"/>
  <c r="X19" i="23" s="1"/>
  <c r="C62" i="23"/>
  <c r="G123" i="38"/>
  <c r="Q123" i="38" s="1"/>
  <c r="I123" i="75"/>
  <c r="S123" i="75" s="1"/>
  <c r="Y123" i="75" s="1"/>
  <c r="D61" i="23"/>
  <c r="AF19" i="23"/>
  <c r="E11" i="70"/>
  <c r="E12" i="70" s="1"/>
  <c r="E23" i="70"/>
  <c r="E27" i="70" s="1"/>
  <c r="AE62" i="23" l="1"/>
  <c r="AF61" i="23"/>
  <c r="C63" i="23"/>
  <c r="G124" i="38"/>
  <c r="Q124" i="38" s="1"/>
  <c r="I124" i="75"/>
  <c r="S124" i="75" s="1"/>
  <c r="Y124" i="75" s="1"/>
  <c r="D62" i="23"/>
  <c r="W61" i="23"/>
  <c r="X60" i="23"/>
  <c r="G63" i="23"/>
  <c r="H62" i="23"/>
  <c r="E16" i="70"/>
  <c r="E26" i="70"/>
  <c r="E28" i="70" s="1"/>
  <c r="E30" i="70" s="1"/>
  <c r="E39" i="70" s="1"/>
  <c r="H63" i="23" l="1"/>
  <c r="G64" i="23"/>
  <c r="C64" i="23"/>
  <c r="I125" i="75"/>
  <c r="S125" i="75" s="1"/>
  <c r="Y125" i="75" s="1"/>
  <c r="G125" i="38"/>
  <c r="Q125" i="38" s="1"/>
  <c r="D63" i="23"/>
  <c r="W62" i="23"/>
  <c r="X61" i="23"/>
  <c r="AE63" i="23"/>
  <c r="AF62" i="23"/>
  <c r="E15" i="70"/>
  <c r="E17" i="70" s="1"/>
  <c r="E19" i="70" s="1"/>
  <c r="E35" i="70" s="1"/>
  <c r="E37" i="70" s="1"/>
  <c r="E38" i="70" s="1"/>
  <c r="D47" i="70" s="1"/>
  <c r="D53" i="70" s="1"/>
  <c r="E41" i="70"/>
  <c r="F10" i="71" l="1"/>
  <c r="E10" i="71"/>
  <c r="AF63" i="23"/>
  <c r="AE64" i="23"/>
  <c r="X62" i="23"/>
  <c r="W63" i="23"/>
  <c r="I126" i="75"/>
  <c r="S126" i="75" s="1"/>
  <c r="Y126" i="75" s="1"/>
  <c r="G126" i="38"/>
  <c r="Q126" i="38" s="1"/>
  <c r="W126" i="38" s="1"/>
  <c r="C65" i="23"/>
  <c r="D64" i="23"/>
  <c r="G65" i="23"/>
  <c r="H64" i="23"/>
  <c r="E42" i="70"/>
  <c r="D48" i="70" s="1"/>
  <c r="G66" i="23" l="1"/>
  <c r="H65" i="23"/>
  <c r="X63" i="23"/>
  <c r="W64" i="23"/>
  <c r="AE65" i="23"/>
  <c r="AF64" i="23"/>
  <c r="I127" i="75"/>
  <c r="S127" i="75" s="1"/>
  <c r="G127" i="38"/>
  <c r="Q127" i="38" s="1"/>
  <c r="W127" i="38" s="1"/>
  <c r="C66" i="23"/>
  <c r="D65" i="23"/>
  <c r="D48" i="23"/>
  <c r="I128" i="75" l="1"/>
  <c r="S128" i="75" s="1"/>
  <c r="G128" i="38"/>
  <c r="Q128" i="38" s="1"/>
  <c r="W128" i="38" s="1"/>
  <c r="D66" i="23"/>
  <c r="C67" i="23"/>
  <c r="AE66" i="23"/>
  <c r="AF65" i="23"/>
  <c r="X64" i="23"/>
  <c r="W65" i="23"/>
  <c r="G67" i="23"/>
  <c r="H66" i="23"/>
  <c r="D49" i="23"/>
  <c r="Y18" i="24" l="1"/>
  <c r="Z18" i="24" s="1"/>
  <c r="L30" i="25" s="1"/>
  <c r="K32" i="158" s="1"/>
  <c r="Y26" i="156"/>
  <c r="Z26" i="156" s="1"/>
  <c r="K30" i="74" s="1"/>
  <c r="G68" i="23"/>
  <c r="H67" i="23"/>
  <c r="X65" i="23"/>
  <c r="W66" i="23"/>
  <c r="AE67" i="23"/>
  <c r="AF66" i="23"/>
  <c r="I129" i="75"/>
  <c r="S129" i="75" s="1"/>
  <c r="G129" i="38"/>
  <c r="Q129" i="38" s="1"/>
  <c r="W129" i="38" s="1"/>
  <c r="C68" i="23"/>
  <c r="D67" i="23"/>
  <c r="D50" i="23"/>
  <c r="K22" i="158" l="1"/>
  <c r="I130" i="75"/>
  <c r="S130" i="75" s="1"/>
  <c r="G130" i="38"/>
  <c r="Q130" i="38" s="1"/>
  <c r="W130" i="38" s="1"/>
  <c r="C69" i="23"/>
  <c r="D68" i="23"/>
  <c r="AE68" i="23"/>
  <c r="AF67" i="23"/>
  <c r="X66" i="23"/>
  <c r="W67" i="23"/>
  <c r="H68" i="23"/>
  <c r="G69" i="23"/>
  <c r="D51" i="23"/>
  <c r="G70" i="23" l="1"/>
  <c r="H69" i="23"/>
  <c r="I131" i="75"/>
  <c r="S131" i="75" s="1"/>
  <c r="G131" i="38"/>
  <c r="Q131" i="38" s="1"/>
  <c r="W131" i="38" s="1"/>
  <c r="C70" i="23"/>
  <c r="D69" i="23"/>
  <c r="AE69" i="23"/>
  <c r="AF68" i="23"/>
  <c r="X67" i="23"/>
  <c r="W68" i="23"/>
  <c r="D52" i="23"/>
  <c r="K24" i="158" l="1"/>
  <c r="X68" i="23"/>
  <c r="W69" i="23"/>
  <c r="AE70" i="23"/>
  <c r="AF69" i="23"/>
  <c r="I132" i="75"/>
  <c r="S132" i="75" s="1"/>
  <c r="G132" i="38"/>
  <c r="Q132" i="38" s="1"/>
  <c r="W132" i="38" s="1"/>
  <c r="C71" i="23"/>
  <c r="D70" i="23"/>
  <c r="G71" i="23"/>
  <c r="H70" i="23"/>
  <c r="D53" i="23"/>
  <c r="H71" i="23" l="1"/>
  <c r="G20" i="23"/>
  <c r="I133" i="75"/>
  <c r="S133" i="75" s="1"/>
  <c r="G133" i="38"/>
  <c r="Q133" i="38" s="1"/>
  <c r="W133" i="38" s="1"/>
  <c r="D71" i="23"/>
  <c r="C20" i="23"/>
  <c r="C22" i="23" s="1"/>
  <c r="AF70" i="23"/>
  <c r="AE71" i="23"/>
  <c r="W70" i="23"/>
  <c r="X69" i="23"/>
  <c r="D54" i="23"/>
  <c r="X70" i="23" l="1"/>
  <c r="W71" i="23"/>
  <c r="AF71" i="23"/>
  <c r="AE20" i="23"/>
  <c r="H20" i="23"/>
  <c r="G22" i="23"/>
  <c r="D55" i="23"/>
  <c r="AF20" i="23" l="1"/>
  <c r="AE22" i="23"/>
  <c r="W20" i="23"/>
  <c r="X71" i="23"/>
  <c r="D56" i="23"/>
  <c r="X20" i="23" l="1"/>
  <c r="W22" i="23"/>
  <c r="D57" i="23"/>
  <c r="D58" i="23" l="1"/>
  <c r="D49" i="70" l="1"/>
  <c r="D59" i="23"/>
  <c r="D20" i="23"/>
  <c r="C49" i="70" l="1"/>
  <c r="E11" i="71"/>
  <c r="E15" i="71" s="1"/>
  <c r="D54" i="70"/>
  <c r="BI15" i="17"/>
  <c r="L8" i="74" s="1"/>
  <c r="Y19" i="24" l="1"/>
  <c r="Z19" i="24" s="1"/>
  <c r="M30" i="25" s="1"/>
  <c r="AP30" i="25" s="1"/>
  <c r="C26" i="73"/>
  <c r="E26" i="73" s="1"/>
  <c r="G26" i="73" s="1"/>
  <c r="M8" i="25"/>
  <c r="Y27" i="156"/>
  <c r="Z27" i="156" s="1"/>
  <c r="L30" i="74" s="1"/>
  <c r="D55" i="70"/>
  <c r="F11" i="71"/>
  <c r="C55" i="70"/>
  <c r="Z20" i="24"/>
  <c r="N30" i="25" s="1"/>
  <c r="AQ30" i="25" s="1"/>
  <c r="H26" i="73"/>
  <c r="J26" i="73" s="1"/>
  <c r="L26" i="73" s="1"/>
  <c r="F15" i="71" l="1"/>
  <c r="M32" i="158"/>
  <c r="L32" i="158"/>
  <c r="AP8" i="25"/>
  <c r="L22" i="158" s="1"/>
  <c r="C40" i="25"/>
  <c r="E40" i="25" s="1"/>
  <c r="D64" i="25" s="1"/>
  <c r="BU15" i="17"/>
  <c r="L10" i="74" s="1"/>
  <c r="D8" i="158" l="1"/>
  <c r="M10" i="25"/>
  <c r="C64" i="74"/>
  <c r="AP10" i="25" l="1"/>
  <c r="L24" i="158" s="1"/>
  <c r="E22" i="74"/>
  <c r="H20" i="74"/>
  <c r="D64" i="74"/>
  <c r="H22" i="74" l="1"/>
  <c r="C66" i="74"/>
  <c r="O2" i="34" l="1"/>
  <c r="S2" i="34" s="1"/>
  <c r="X2" i="28" l="1"/>
  <c r="T2" i="30"/>
  <c r="O3" i="34"/>
  <c r="S3" i="34" s="1"/>
  <c r="X3" i="28" l="1"/>
  <c r="N2" i="32"/>
  <c r="O4" i="34"/>
  <c r="S4" i="34" s="1"/>
  <c r="U2" i="30"/>
  <c r="Y2" i="28"/>
  <c r="O2" i="32" l="1"/>
  <c r="Y3" i="28"/>
  <c r="T3" i="30"/>
  <c r="N3" i="32"/>
  <c r="O5" i="34"/>
  <c r="S5" i="34" s="1"/>
  <c r="X4" i="28"/>
  <c r="T4" i="30"/>
  <c r="U3" i="30" l="1"/>
  <c r="O3" i="32"/>
  <c r="N4" i="32"/>
  <c r="Y4" i="28"/>
  <c r="X5" i="28"/>
  <c r="U4" i="30"/>
  <c r="O6" i="34"/>
  <c r="S6" i="34" s="1"/>
  <c r="T5" i="30"/>
  <c r="O4" i="32" l="1"/>
  <c r="N5" i="32"/>
  <c r="T6" i="30"/>
  <c r="U5" i="30"/>
  <c r="X6" i="28"/>
  <c r="O7" i="34"/>
  <c r="S7" i="34" s="1"/>
  <c r="Y5" i="28"/>
  <c r="O5" i="32" l="1"/>
  <c r="X7" i="28"/>
  <c r="N6" i="32"/>
  <c r="Y6" i="28"/>
  <c r="O8" i="34"/>
  <c r="S8" i="34" s="1"/>
  <c r="T7" i="30"/>
  <c r="U6" i="30"/>
  <c r="O6" i="32" l="1"/>
  <c r="Y7" i="28"/>
  <c r="T8" i="30"/>
  <c r="N7" i="32"/>
  <c r="U7" i="30"/>
  <c r="X8" i="28"/>
  <c r="O9" i="34"/>
  <c r="S9" i="34" s="1"/>
  <c r="U8" i="30" l="1"/>
  <c r="O7" i="32"/>
  <c r="X9" i="28"/>
  <c r="N8" i="32"/>
  <c r="O10" i="34"/>
  <c r="S10" i="34" s="1"/>
  <c r="T9" i="30"/>
  <c r="Y8" i="28"/>
  <c r="O8" i="32" l="1"/>
  <c r="Y9" i="28"/>
  <c r="X10" i="28"/>
  <c r="T10" i="30"/>
  <c r="N9" i="32"/>
  <c r="O11" i="34"/>
  <c r="S11" i="34" s="1"/>
  <c r="U9" i="30"/>
  <c r="O9" i="32" l="1"/>
  <c r="Y10" i="28"/>
  <c r="U10" i="30"/>
  <c r="T11" i="30"/>
  <c r="X11" i="28"/>
  <c r="N10" i="32"/>
  <c r="O12" i="34"/>
  <c r="S12" i="34" s="1"/>
  <c r="O10" i="32" l="1"/>
  <c r="Y11" i="28"/>
  <c r="U11" i="30"/>
  <c r="T12" i="30"/>
  <c r="X12" i="28"/>
  <c r="N11" i="32"/>
  <c r="O13" i="34"/>
  <c r="S13" i="34" s="1"/>
  <c r="O11" i="32" l="1"/>
  <c r="Y12" i="28"/>
  <c r="U12" i="30"/>
  <c r="X13" i="28"/>
  <c r="T13" i="30"/>
  <c r="N12" i="32"/>
  <c r="O14" i="34"/>
  <c r="Y13" i="28" l="1"/>
  <c r="O12" i="32"/>
  <c r="U13" i="30"/>
  <c r="N13" i="32"/>
  <c r="T14" i="30"/>
  <c r="X14" i="28"/>
  <c r="O15" i="34"/>
  <c r="O13" i="32" l="1"/>
  <c r="X15" i="28"/>
  <c r="N14" i="32"/>
  <c r="O16" i="34"/>
  <c r="Y14" i="28"/>
  <c r="U14" i="30"/>
  <c r="O14" i="32" l="1"/>
  <c r="Y15" i="28"/>
  <c r="T15" i="30"/>
  <c r="N15" i="32"/>
  <c r="T16" i="30"/>
  <c r="O17" i="34"/>
  <c r="X16" i="28"/>
  <c r="U15" i="30" l="1"/>
  <c r="O15" i="32"/>
  <c r="U16" i="30"/>
  <c r="X17" i="28"/>
  <c r="N16" i="32"/>
  <c r="T17" i="30"/>
  <c r="Y16" i="28"/>
  <c r="O18" i="34"/>
  <c r="Y17" i="28" l="1"/>
  <c r="O16" i="32"/>
  <c r="N17" i="32"/>
  <c r="U17" i="30"/>
  <c r="T18" i="30"/>
  <c r="X18" i="28"/>
  <c r="O19" i="34"/>
  <c r="O17" i="32" l="1"/>
  <c r="U18" i="30"/>
  <c r="X19" i="28"/>
  <c r="T19" i="30"/>
  <c r="N18" i="32"/>
  <c r="Y18" i="28"/>
  <c r="O20" i="34"/>
  <c r="U19" i="30" l="1"/>
  <c r="O18" i="32"/>
  <c r="Y19" i="28"/>
  <c r="N19" i="32"/>
  <c r="X20" i="28"/>
  <c r="O21" i="34"/>
  <c r="T20" i="30"/>
  <c r="O19" i="32" l="1"/>
  <c r="T21" i="30"/>
  <c r="X21" i="28"/>
  <c r="N20" i="32"/>
  <c r="U20" i="30"/>
  <c r="O22" i="34"/>
  <c r="Y20" i="28"/>
  <c r="U21" i="30" l="1"/>
  <c r="O20" i="32"/>
  <c r="Y21" i="28"/>
  <c r="T22" i="30"/>
  <c r="N21" i="32"/>
  <c r="X22" i="28"/>
  <c r="O23" i="34"/>
  <c r="U22" i="30" l="1"/>
  <c r="O21" i="32"/>
  <c r="T23" i="30"/>
  <c r="X23" i="28"/>
  <c r="N22" i="32"/>
  <c r="O24" i="34"/>
  <c r="Y22" i="28"/>
  <c r="Y23" i="28" l="1"/>
  <c r="U23" i="30"/>
  <c r="O22" i="32"/>
  <c r="X24" i="28"/>
  <c r="T24" i="30"/>
  <c r="N23" i="32"/>
  <c r="O25" i="34"/>
  <c r="Y24" i="28" l="1"/>
  <c r="U24" i="30"/>
  <c r="O23" i="32"/>
  <c r="T25" i="30"/>
  <c r="X25" i="28"/>
  <c r="N24" i="32"/>
  <c r="O26" i="34"/>
  <c r="Y25" i="28" l="1"/>
  <c r="U25" i="30"/>
  <c r="O24" i="32"/>
  <c r="N25" i="32"/>
  <c r="T26" i="30"/>
  <c r="X26" i="28"/>
  <c r="O27" i="34"/>
  <c r="O25" i="32" l="1"/>
  <c r="X27" i="28"/>
  <c r="Y27" i="28" s="1"/>
  <c r="N26" i="32"/>
  <c r="U26" i="30"/>
  <c r="Y26" i="28"/>
  <c r="O28" i="34"/>
  <c r="O26" i="32" l="1"/>
  <c r="T27" i="30"/>
  <c r="N27" i="32"/>
  <c r="O29" i="34"/>
  <c r="X28" i="28"/>
  <c r="U27" i="30" l="1"/>
  <c r="O27" i="32"/>
  <c r="X29" i="28"/>
  <c r="N28" i="32"/>
  <c r="T29" i="30"/>
  <c r="O30" i="34"/>
  <c r="Y28" i="28"/>
  <c r="Y29" i="28" l="1"/>
  <c r="O28" i="32"/>
  <c r="N29" i="32"/>
  <c r="T30" i="30"/>
  <c r="U29" i="30"/>
  <c r="X30" i="28"/>
  <c r="O31" i="34"/>
  <c r="U30" i="30" l="1"/>
  <c r="O29" i="32"/>
  <c r="X31" i="28"/>
  <c r="Y31" i="28" s="1"/>
  <c r="N30" i="32"/>
  <c r="T31" i="30"/>
  <c r="Y30" i="28"/>
  <c r="O32" i="34"/>
  <c r="O30" i="32" l="1"/>
  <c r="N31" i="32"/>
  <c r="T32" i="30"/>
  <c r="X32" i="28"/>
  <c r="O33" i="34"/>
  <c r="U31" i="30"/>
  <c r="U32" i="30" l="1"/>
  <c r="O31" i="32"/>
  <c r="T33" i="30"/>
  <c r="N32" i="32"/>
  <c r="X33" i="28"/>
  <c r="Y33" i="28" s="1"/>
  <c r="O34" i="34"/>
  <c r="Y32" i="28"/>
  <c r="U33" i="30" l="1"/>
  <c r="O32" i="32"/>
  <c r="T34" i="30"/>
  <c r="N33" i="32"/>
  <c r="X34" i="28"/>
  <c r="O35" i="34"/>
  <c r="U34" i="30" l="1"/>
  <c r="O33" i="32"/>
  <c r="T35" i="30"/>
  <c r="N34" i="32"/>
  <c r="O36" i="34"/>
  <c r="Y34" i="28"/>
  <c r="U35" i="30" l="1"/>
  <c r="O34" i="32"/>
  <c r="X36" i="28"/>
  <c r="T36" i="30"/>
  <c r="N35" i="32"/>
  <c r="O37" i="34"/>
  <c r="Y36" i="28" l="1"/>
  <c r="U36" i="30"/>
  <c r="O35" i="32"/>
  <c r="T37" i="30"/>
  <c r="X37" i="28"/>
  <c r="O38" i="34"/>
  <c r="Y37" i="28" l="1"/>
  <c r="U37" i="30"/>
  <c r="N37" i="32"/>
  <c r="T38" i="30"/>
  <c r="X38" i="28"/>
  <c r="O39" i="34"/>
  <c r="O37" i="32" l="1"/>
  <c r="X39" i="28"/>
  <c r="Y39" i="28" s="1"/>
  <c r="N38" i="32"/>
  <c r="O40" i="34"/>
  <c r="Y38" i="28"/>
  <c r="U38" i="30"/>
  <c r="O38" i="32" l="1"/>
  <c r="T39" i="30"/>
  <c r="X40" i="28"/>
  <c r="N39" i="32"/>
  <c r="O41" i="34"/>
  <c r="U39" i="30" l="1"/>
  <c r="O39" i="32"/>
  <c r="Y40" i="28"/>
  <c r="N40" i="32"/>
  <c r="T41" i="30"/>
  <c r="U41" i="30" s="1"/>
  <c r="X41" i="28"/>
  <c r="O42" i="34"/>
  <c r="O40" i="32" l="1"/>
  <c r="X42" i="28"/>
  <c r="N41" i="32"/>
  <c r="T42" i="30"/>
  <c r="U42" i="30" s="1"/>
  <c r="O43" i="34"/>
  <c r="Y41" i="28"/>
  <c r="O41" i="32" l="1"/>
  <c r="Y42" i="28"/>
  <c r="X43" i="28"/>
  <c r="Y43" i="28" s="1"/>
  <c r="N42" i="32"/>
  <c r="T43" i="30"/>
  <c r="O44" i="34"/>
  <c r="O42" i="32" l="1"/>
  <c r="N43" i="32"/>
  <c r="O45" i="34"/>
  <c r="U43" i="30"/>
  <c r="T44" i="30"/>
  <c r="U44" i="30" l="1"/>
  <c r="O43" i="32"/>
  <c r="X45" i="28"/>
  <c r="Y45" i="28" s="1"/>
  <c r="N44" i="32"/>
  <c r="T45" i="30"/>
  <c r="O46" i="34"/>
  <c r="O44" i="32" l="1"/>
  <c r="T46" i="30"/>
  <c r="X46" i="28"/>
  <c r="Y46" i="28" s="1"/>
  <c r="O47" i="34"/>
  <c r="U45" i="30"/>
  <c r="U46" i="30" l="1"/>
  <c r="T47" i="30"/>
  <c r="X47" i="28"/>
  <c r="Y47" i="28" s="1"/>
  <c r="N46" i="32"/>
  <c r="O48" i="34"/>
  <c r="U47" i="30" l="1"/>
  <c r="O46" i="32"/>
  <c r="X48" i="28"/>
  <c r="Y48" i="28" s="1"/>
  <c r="T48" i="30"/>
  <c r="N47" i="32"/>
  <c r="O49" i="34"/>
  <c r="U48" i="30" l="1"/>
  <c r="O47" i="32"/>
  <c r="T49" i="30"/>
  <c r="X49" i="28"/>
  <c r="N48" i="32"/>
  <c r="O48" i="32" s="1"/>
  <c r="O50" i="34"/>
  <c r="Y49" i="28" l="1"/>
  <c r="U49" i="30"/>
  <c r="N49" i="32"/>
  <c r="O51" i="34"/>
  <c r="O49" i="32" l="1"/>
  <c r="O52" i="34"/>
  <c r="O53" i="34" l="1"/>
  <c r="O54" i="34" l="1"/>
  <c r="O55" i="34" l="1"/>
  <c r="O56" i="34" l="1"/>
  <c r="O57" i="34" l="1"/>
  <c r="O58" i="34" l="1"/>
  <c r="O59" i="34" l="1"/>
  <c r="O60" i="34" l="1"/>
  <c r="J5" i="15" l="1"/>
  <c r="J6" i="15"/>
  <c r="J7" i="15"/>
  <c r="J8" i="15"/>
  <c r="J9" i="15"/>
  <c r="O61" i="34"/>
  <c r="D5" i="15"/>
  <c r="D6" i="15"/>
  <c r="D7" i="15"/>
  <c r="D8" i="15"/>
  <c r="D9" i="15"/>
  <c r="E6" i="15" l="1"/>
  <c r="E5" i="15"/>
  <c r="O62" i="34"/>
  <c r="Q6" i="15" l="1"/>
  <c r="Q5" i="15"/>
  <c r="O63" i="34"/>
  <c r="O64" i="34" l="1"/>
  <c r="O65" i="34" l="1"/>
  <c r="O66" i="34" l="1"/>
  <c r="O67" i="34" l="1"/>
  <c r="O68" i="34" l="1"/>
  <c r="O69" i="34" l="1"/>
  <c r="O70" i="34" l="1"/>
  <c r="O71" i="34" l="1"/>
  <c r="O72" i="34" l="1"/>
  <c r="O73" i="34" l="1"/>
  <c r="K5" i="15" l="1"/>
  <c r="K6" i="15"/>
  <c r="J10" i="15" l="1"/>
  <c r="J11" i="15"/>
  <c r="J12" i="15"/>
  <c r="D10" i="15"/>
  <c r="D11" i="15"/>
  <c r="D12" i="15"/>
  <c r="D14" i="15" l="1"/>
  <c r="J14" i="15"/>
  <c r="O127" i="34"/>
  <c r="O128" i="34" l="1"/>
  <c r="O129" i="34" l="1"/>
  <c r="O130" i="34" l="1"/>
  <c r="O131" i="34" l="1"/>
  <c r="O132" i="34" l="1"/>
  <c r="O133" i="34" l="1"/>
  <c r="V50" i="72" l="1"/>
  <c r="V49" i="72"/>
  <c r="V48" i="72"/>
  <c r="I9" i="73" s="1"/>
  <c r="V46" i="72"/>
  <c r="I7" i="73" s="1"/>
  <c r="H69" i="72"/>
  <c r="H72" i="72" s="1"/>
  <c r="V18" i="72"/>
  <c r="E87" i="148" l="1"/>
  <c r="T48" i="72"/>
  <c r="T47" i="72"/>
  <c r="T46" i="72"/>
  <c r="D87" i="148"/>
  <c r="I8" i="73"/>
  <c r="K8" i="73" s="1"/>
  <c r="G87" i="148"/>
  <c r="I11" i="73"/>
  <c r="K11" i="73" s="1"/>
  <c r="F87" i="148"/>
  <c r="I10" i="73"/>
  <c r="K10" i="73" s="1"/>
  <c r="C87" i="148"/>
  <c r="Q18" i="72"/>
  <c r="Q49" i="72"/>
  <c r="F62" i="148" s="1"/>
  <c r="Q50" i="72"/>
  <c r="G62" i="148" s="1"/>
  <c r="T18" i="72"/>
  <c r="T49" i="72"/>
  <c r="T50" i="72"/>
  <c r="P34" i="72"/>
  <c r="P38" i="72" s="1"/>
  <c r="P49" i="72"/>
  <c r="P50" i="72"/>
  <c r="U18" i="72"/>
  <c r="U49" i="72"/>
  <c r="U50" i="72"/>
  <c r="R18" i="72"/>
  <c r="R49" i="72"/>
  <c r="F69" i="148" s="1"/>
  <c r="R50" i="72"/>
  <c r="G69" i="148" s="1"/>
  <c r="S49" i="72"/>
  <c r="S50" i="72"/>
  <c r="V52" i="72"/>
  <c r="V34" i="72"/>
  <c r="E69" i="72"/>
  <c r="E72" i="72" s="1"/>
  <c r="S18" i="72"/>
  <c r="P18" i="72"/>
  <c r="U34" i="72"/>
  <c r="G69" i="72"/>
  <c r="G72" i="72" s="1"/>
  <c r="F69" i="72"/>
  <c r="F72" i="72" s="1"/>
  <c r="T34" i="72"/>
  <c r="D69" i="72"/>
  <c r="R34" i="72"/>
  <c r="Q34" i="72"/>
  <c r="S34" i="72"/>
  <c r="F80" i="148" l="1"/>
  <c r="C10" i="73"/>
  <c r="E10" i="73" s="1"/>
  <c r="G80" i="148"/>
  <c r="C11" i="73"/>
  <c r="E11" i="73" s="1"/>
  <c r="G75" i="148"/>
  <c r="G76" i="148" s="1"/>
  <c r="G84" i="148"/>
  <c r="G85" i="148" s="1"/>
  <c r="F11" i="73"/>
  <c r="H11" i="73" s="1"/>
  <c r="F75" i="148"/>
  <c r="F76" i="148" s="1"/>
  <c r="F84" i="148"/>
  <c r="F85" i="148" s="1"/>
  <c r="F10" i="73"/>
  <c r="H10" i="73" s="1"/>
  <c r="G81" i="148"/>
  <c r="G82" i="148"/>
  <c r="F81" i="148"/>
  <c r="F82" i="148"/>
  <c r="G70" i="148"/>
  <c r="G71" i="148"/>
  <c r="G72" i="148"/>
  <c r="G73" i="148"/>
  <c r="F70" i="148"/>
  <c r="F71" i="148"/>
  <c r="F72" i="148"/>
  <c r="F73" i="148"/>
  <c r="G63" i="148"/>
  <c r="G64" i="148"/>
  <c r="G65" i="148"/>
  <c r="G66" i="148"/>
  <c r="G67" i="148"/>
  <c r="F63" i="148"/>
  <c r="F64" i="148"/>
  <c r="F65" i="148"/>
  <c r="F66" i="148"/>
  <c r="F67" i="148"/>
  <c r="S42" i="72"/>
  <c r="S41" i="72"/>
  <c r="Q41" i="72"/>
  <c r="Q42" i="72"/>
  <c r="T42" i="72"/>
  <c r="T41" i="72"/>
  <c r="U41" i="72"/>
  <c r="U42" i="72"/>
  <c r="R42" i="72"/>
  <c r="R41" i="72"/>
  <c r="P40" i="72"/>
  <c r="P41" i="72"/>
  <c r="P39" i="72"/>
  <c r="P42" i="72"/>
  <c r="V41" i="72"/>
  <c r="V42" i="72"/>
  <c r="V38" i="72"/>
  <c r="V40" i="72"/>
  <c r="V39" i="72"/>
  <c r="J69" i="72"/>
  <c r="D72" i="72"/>
  <c r="O10" i="73" l="1"/>
  <c r="P28" i="148"/>
  <c r="M11" i="73"/>
  <c r="O11" i="73"/>
  <c r="N11" i="73"/>
  <c r="M10" i="73"/>
  <c r="N10" i="73"/>
  <c r="D24" i="73" s="1"/>
  <c r="G78" i="148"/>
  <c r="D25" i="73"/>
  <c r="G77" i="148"/>
  <c r="F78" i="148"/>
  <c r="P30" i="148" s="1"/>
  <c r="AO16" i="17" s="1"/>
  <c r="AO58" i="17" s="1"/>
  <c r="F77" i="148"/>
  <c r="P29" i="148" s="1"/>
  <c r="AO15" i="17" s="1"/>
  <c r="AO57" i="17" s="1"/>
  <c r="P17" i="148"/>
  <c r="J72" i="72"/>
  <c r="R87" i="72"/>
  <c r="R90" i="72" s="1"/>
  <c r="S87" i="72"/>
  <c r="S90" i="72" s="1"/>
  <c r="Q87" i="72"/>
  <c r="V44" i="72"/>
  <c r="P87" i="72"/>
  <c r="O87" i="72"/>
  <c r="U87" i="72" l="1"/>
  <c r="D19" i="74"/>
  <c r="D19" i="25"/>
  <c r="I25" i="73"/>
  <c r="D18" i="74"/>
  <c r="I24" i="73"/>
  <c r="D18" i="25"/>
  <c r="W5" i="77"/>
  <c r="W4" i="77"/>
  <c r="U7" i="76"/>
  <c r="W6" i="77"/>
  <c r="U6" i="76"/>
  <c r="W8" i="77"/>
  <c r="W3" i="77"/>
  <c r="W7" i="77"/>
  <c r="U2" i="76"/>
  <c r="U8" i="76"/>
  <c r="P21" i="76"/>
  <c r="F33" i="76"/>
  <c r="P19" i="76"/>
  <c r="F31" i="76"/>
  <c r="O17" i="76"/>
  <c r="E29" i="76"/>
  <c r="O18" i="76"/>
  <c r="E30" i="76"/>
  <c r="O19" i="76"/>
  <c r="E31" i="76"/>
  <c r="P18" i="76"/>
  <c r="F30" i="76"/>
  <c r="O14" i="76"/>
  <c r="E26" i="76"/>
  <c r="O21" i="76"/>
  <c r="E33" i="76"/>
  <c r="O16" i="76"/>
  <c r="E28" i="76"/>
  <c r="U5" i="76"/>
  <c r="O15" i="76"/>
  <c r="E27" i="76"/>
  <c r="P14" i="76"/>
  <c r="F26" i="76"/>
  <c r="U4" i="76"/>
  <c r="P16" i="76"/>
  <c r="F28" i="76"/>
  <c r="P15" i="76"/>
  <c r="F27" i="76"/>
  <c r="U3" i="76"/>
  <c r="P20" i="76"/>
  <c r="F32" i="76"/>
  <c r="U9" i="76"/>
  <c r="O20" i="76"/>
  <c r="E32" i="76"/>
  <c r="P17" i="76"/>
  <c r="F29" i="76"/>
  <c r="Y7" i="75"/>
  <c r="Y6" i="75"/>
  <c r="Y8" i="75"/>
  <c r="Y4" i="75"/>
  <c r="Y9" i="75"/>
  <c r="Y10" i="75"/>
  <c r="Y3" i="75"/>
  <c r="E33" i="34"/>
  <c r="M21" i="34"/>
  <c r="E35" i="34"/>
  <c r="M23" i="34"/>
  <c r="E36" i="34"/>
  <c r="M24" i="34"/>
  <c r="E37" i="34"/>
  <c r="M25" i="34"/>
  <c r="E34" i="34"/>
  <c r="M22" i="34"/>
  <c r="F29" i="34"/>
  <c r="N17" i="34"/>
  <c r="E27" i="34"/>
  <c r="M15" i="34"/>
  <c r="E30" i="34"/>
  <c r="M18" i="34"/>
  <c r="E31" i="34"/>
  <c r="M19" i="34"/>
  <c r="E28" i="34"/>
  <c r="M16" i="34"/>
  <c r="F26" i="34"/>
  <c r="N14" i="34"/>
  <c r="F28" i="34"/>
  <c r="N16" i="34"/>
  <c r="E32" i="34"/>
  <c r="M20" i="34"/>
  <c r="E26" i="34"/>
  <c r="M14" i="34"/>
  <c r="E29" i="34"/>
  <c r="M17" i="34"/>
  <c r="F27" i="34"/>
  <c r="N15" i="34"/>
  <c r="O17" i="38"/>
  <c r="E29" i="38"/>
  <c r="K29" i="38" s="1"/>
  <c r="U29" i="38" s="1"/>
  <c r="E27" i="38"/>
  <c r="K27" i="38" s="1"/>
  <c r="U27" i="38" s="1"/>
  <c r="E28" i="38"/>
  <c r="K28" i="38" s="1"/>
  <c r="U28" i="38" s="1"/>
  <c r="E26" i="38"/>
  <c r="S14" i="34" l="1"/>
  <c r="S16" i="34"/>
  <c r="S15" i="34"/>
  <c r="S17" i="34"/>
  <c r="G48" i="17"/>
  <c r="AP48" i="17"/>
  <c r="O26" i="38"/>
  <c r="K26" i="38"/>
  <c r="U26" i="38" s="1"/>
  <c r="W20" i="77"/>
  <c r="U19" i="76"/>
  <c r="W16" i="77"/>
  <c r="W14" i="77"/>
  <c r="W17" i="77"/>
  <c r="W18" i="77"/>
  <c r="W19" i="77"/>
  <c r="W15" i="77"/>
  <c r="AC48" i="17"/>
  <c r="U14" i="76"/>
  <c r="U21" i="76"/>
  <c r="R48" i="17"/>
  <c r="P28" i="76"/>
  <c r="F40" i="76"/>
  <c r="P29" i="76"/>
  <c r="F41" i="76"/>
  <c r="U18" i="76"/>
  <c r="P27" i="76"/>
  <c r="F39" i="76"/>
  <c r="O31" i="76"/>
  <c r="E43" i="76"/>
  <c r="P26" i="76"/>
  <c r="F38" i="76"/>
  <c r="O29" i="76"/>
  <c r="E41" i="76"/>
  <c r="O32" i="76"/>
  <c r="E44" i="76"/>
  <c r="U15" i="76"/>
  <c r="U17" i="76"/>
  <c r="O33" i="76"/>
  <c r="E45" i="76"/>
  <c r="P30" i="76"/>
  <c r="F42" i="76"/>
  <c r="O30" i="76"/>
  <c r="E42" i="76"/>
  <c r="O27" i="76"/>
  <c r="E39" i="76"/>
  <c r="U20" i="76"/>
  <c r="P31" i="76"/>
  <c r="F43" i="76"/>
  <c r="O28" i="76"/>
  <c r="E40" i="76"/>
  <c r="O26" i="76"/>
  <c r="E38" i="76"/>
  <c r="U16" i="76"/>
  <c r="P33" i="76"/>
  <c r="F45" i="76"/>
  <c r="P32" i="76"/>
  <c r="F44" i="76"/>
  <c r="E49" i="34"/>
  <c r="M37" i="34"/>
  <c r="F36" i="34"/>
  <c r="N24" i="34"/>
  <c r="S24" i="34" s="1"/>
  <c r="F37" i="34"/>
  <c r="N25" i="34"/>
  <c r="S25" i="34" s="1"/>
  <c r="E48" i="34"/>
  <c r="M36" i="34"/>
  <c r="F33" i="34"/>
  <c r="N21" i="34"/>
  <c r="S21" i="34" s="1"/>
  <c r="E45" i="34"/>
  <c r="M33" i="34"/>
  <c r="E46" i="34"/>
  <c r="M34" i="34"/>
  <c r="E47" i="34"/>
  <c r="M35" i="34"/>
  <c r="F35" i="34"/>
  <c r="N23" i="34"/>
  <c r="S23" i="34" s="1"/>
  <c r="F34" i="34"/>
  <c r="N22" i="34"/>
  <c r="S22" i="34" s="1"/>
  <c r="F40" i="34"/>
  <c r="N28" i="34"/>
  <c r="E40" i="34"/>
  <c r="M28" i="34"/>
  <c r="F38" i="34"/>
  <c r="N26" i="34"/>
  <c r="E38" i="34"/>
  <c r="M26" i="34"/>
  <c r="E42" i="34"/>
  <c r="M30" i="34"/>
  <c r="F32" i="34"/>
  <c r="N20" i="34"/>
  <c r="S20" i="34" s="1"/>
  <c r="E43" i="34"/>
  <c r="M31" i="34"/>
  <c r="F39" i="34"/>
  <c r="N27" i="34"/>
  <c r="E39" i="34"/>
  <c r="M27" i="34"/>
  <c r="E41" i="34"/>
  <c r="M29" i="34"/>
  <c r="F31" i="34"/>
  <c r="N19" i="34"/>
  <c r="S19" i="34" s="1"/>
  <c r="F41" i="34"/>
  <c r="N29" i="34"/>
  <c r="F30" i="34"/>
  <c r="N18" i="34"/>
  <c r="S18" i="34" s="1"/>
  <c r="E44" i="34"/>
  <c r="M32" i="34"/>
  <c r="O27" i="38"/>
  <c r="E39" i="38"/>
  <c r="K39" i="38" s="1"/>
  <c r="U39" i="38" s="1"/>
  <c r="P17" i="38"/>
  <c r="W17" i="38" s="1"/>
  <c r="F29" i="38"/>
  <c r="L29" i="38" s="1"/>
  <c r="V29" i="38" s="1"/>
  <c r="F27" i="38"/>
  <c r="L27" i="38" s="1"/>
  <c r="V27" i="38" s="1"/>
  <c r="F26" i="38"/>
  <c r="L26" i="38" s="1"/>
  <c r="V26" i="38" s="1"/>
  <c r="P16" i="38"/>
  <c r="W16" i="38" s="1"/>
  <c r="F28" i="38"/>
  <c r="L28" i="38" s="1"/>
  <c r="V28" i="38" s="1"/>
  <c r="E38" i="38"/>
  <c r="K38" i="38" s="1"/>
  <c r="U38" i="38" s="1"/>
  <c r="O29" i="38"/>
  <c r="E41" i="38"/>
  <c r="K41" i="38" s="1"/>
  <c r="U41" i="38" s="1"/>
  <c r="O28" i="38"/>
  <c r="E40" i="38"/>
  <c r="K40" i="38" s="1"/>
  <c r="U40" i="38" s="1"/>
  <c r="S28" i="34" l="1"/>
  <c r="S27" i="34"/>
  <c r="S26" i="34"/>
  <c r="S29" i="34"/>
  <c r="AR48" i="17"/>
  <c r="C6" i="74" s="1"/>
  <c r="AP49" i="17"/>
  <c r="BA6" i="17"/>
  <c r="AP6" i="17"/>
  <c r="J18" i="156" s="1"/>
  <c r="K18" i="156" s="1"/>
  <c r="AC49" i="17"/>
  <c r="U30" i="76"/>
  <c r="W27" i="77"/>
  <c r="U29" i="76"/>
  <c r="W29" i="77"/>
  <c r="U27" i="76"/>
  <c r="W28" i="77"/>
  <c r="AE48" i="17"/>
  <c r="W30" i="77"/>
  <c r="W26" i="77"/>
  <c r="R49" i="17"/>
  <c r="W32" i="77"/>
  <c r="W31" i="77"/>
  <c r="T48" i="17"/>
  <c r="U32" i="76"/>
  <c r="P45" i="76"/>
  <c r="F57" i="76"/>
  <c r="P42" i="76"/>
  <c r="F54" i="76"/>
  <c r="O42" i="76"/>
  <c r="E54" i="76"/>
  <c r="P39" i="76"/>
  <c r="F51" i="76"/>
  <c r="O45" i="76"/>
  <c r="E57" i="76"/>
  <c r="O43" i="76"/>
  <c r="E55" i="76"/>
  <c r="U31" i="76"/>
  <c r="U33" i="76"/>
  <c r="P40" i="76"/>
  <c r="F52" i="76"/>
  <c r="O41" i="76"/>
  <c r="E53" i="76"/>
  <c r="P38" i="76"/>
  <c r="F50" i="76"/>
  <c r="O39" i="76"/>
  <c r="E51" i="76"/>
  <c r="O38" i="76"/>
  <c r="E50" i="76"/>
  <c r="P43" i="76"/>
  <c r="F55" i="76"/>
  <c r="P44" i="76"/>
  <c r="F56" i="76"/>
  <c r="U26" i="76"/>
  <c r="P41" i="76"/>
  <c r="F53" i="76"/>
  <c r="O40" i="76"/>
  <c r="E52" i="76"/>
  <c r="O44" i="76"/>
  <c r="E56" i="76"/>
  <c r="I48" i="17"/>
  <c r="F47" i="34"/>
  <c r="N35" i="34"/>
  <c r="S35" i="34" s="1"/>
  <c r="E59" i="34"/>
  <c r="M47" i="34"/>
  <c r="F48" i="34"/>
  <c r="N36" i="34"/>
  <c r="S36" i="34" s="1"/>
  <c r="E57" i="34"/>
  <c r="M45" i="34"/>
  <c r="E61" i="34"/>
  <c r="M49" i="34"/>
  <c r="F45" i="34"/>
  <c r="N33" i="34"/>
  <c r="S33" i="34" s="1"/>
  <c r="F46" i="34"/>
  <c r="N34" i="34"/>
  <c r="S34" i="34" s="1"/>
  <c r="F49" i="34"/>
  <c r="N37" i="34"/>
  <c r="S37" i="34" s="1"/>
  <c r="E58" i="34"/>
  <c r="M46" i="34"/>
  <c r="E60" i="34"/>
  <c r="M48" i="34"/>
  <c r="F44" i="34"/>
  <c r="N32" i="34"/>
  <c r="S32" i="34" s="1"/>
  <c r="F53" i="34"/>
  <c r="N41" i="34"/>
  <c r="E54" i="34"/>
  <c r="M42" i="34"/>
  <c r="E50" i="34"/>
  <c r="M38" i="34"/>
  <c r="E53" i="34"/>
  <c r="M41" i="34"/>
  <c r="F51" i="34"/>
  <c r="N39" i="34"/>
  <c r="F43" i="34"/>
  <c r="N31" i="34"/>
  <c r="S31" i="34" s="1"/>
  <c r="E52" i="34"/>
  <c r="M40" i="34"/>
  <c r="F42" i="34"/>
  <c r="N30" i="34"/>
  <c r="S30" i="34" s="1"/>
  <c r="E55" i="34"/>
  <c r="M43" i="34"/>
  <c r="E51" i="34"/>
  <c r="M39" i="34"/>
  <c r="F50" i="34"/>
  <c r="N38" i="34"/>
  <c r="E56" i="34"/>
  <c r="M44" i="34"/>
  <c r="F52" i="34"/>
  <c r="N40" i="34"/>
  <c r="O38" i="38"/>
  <c r="E50" i="38"/>
  <c r="K50" i="38" s="1"/>
  <c r="U50" i="38" s="1"/>
  <c r="P28" i="38"/>
  <c r="W28" i="38" s="1"/>
  <c r="F40" i="38"/>
  <c r="L40" i="38" s="1"/>
  <c r="V40" i="38" s="1"/>
  <c r="P26" i="38"/>
  <c r="W26" i="38" s="1"/>
  <c r="F38" i="38"/>
  <c r="L38" i="38" s="1"/>
  <c r="V38" i="38" s="1"/>
  <c r="O41" i="38"/>
  <c r="E53" i="38"/>
  <c r="K53" i="38" s="1"/>
  <c r="U53" i="38" s="1"/>
  <c r="P27" i="38"/>
  <c r="W27" i="38" s="1"/>
  <c r="F39" i="38"/>
  <c r="L39" i="38" s="1"/>
  <c r="V39" i="38" s="1"/>
  <c r="P29" i="38"/>
  <c r="W29" i="38" s="1"/>
  <c r="F41" i="38"/>
  <c r="L41" i="38" s="1"/>
  <c r="V41" i="38" s="1"/>
  <c r="O40" i="38"/>
  <c r="E52" i="38"/>
  <c r="K52" i="38" s="1"/>
  <c r="U52" i="38" s="1"/>
  <c r="O39" i="38"/>
  <c r="E51" i="38"/>
  <c r="K51" i="38" s="1"/>
  <c r="U51" i="38" s="1"/>
  <c r="S41" i="34" l="1"/>
  <c r="S38" i="34"/>
  <c r="S39" i="34"/>
  <c r="S40" i="34"/>
  <c r="AR49" i="17"/>
  <c r="D6" i="74" s="1"/>
  <c r="O18" i="156"/>
  <c r="C28" i="74"/>
  <c r="BC6" i="17"/>
  <c r="Q18" i="156"/>
  <c r="R18" i="156" s="1"/>
  <c r="S5" i="24"/>
  <c r="AR6" i="17"/>
  <c r="BA7" i="17"/>
  <c r="AP7" i="17"/>
  <c r="J19" i="156" s="1"/>
  <c r="K19" i="156" s="1"/>
  <c r="K48" i="17"/>
  <c r="V48" i="17"/>
  <c r="C4" i="74" s="1"/>
  <c r="T49" i="17"/>
  <c r="W39" i="77"/>
  <c r="AE49" i="17"/>
  <c r="U38" i="76"/>
  <c r="W38" i="77"/>
  <c r="U41" i="76"/>
  <c r="W43" i="77"/>
  <c r="W40" i="77"/>
  <c r="W41" i="77"/>
  <c r="W42" i="77"/>
  <c r="W44" i="77"/>
  <c r="AG48" i="17"/>
  <c r="U45" i="76"/>
  <c r="U43" i="76"/>
  <c r="U39" i="76"/>
  <c r="O56" i="76"/>
  <c r="E68" i="76"/>
  <c r="O53" i="76"/>
  <c r="E65" i="76"/>
  <c r="U42" i="76"/>
  <c r="O52" i="76"/>
  <c r="E64" i="76"/>
  <c r="P52" i="76"/>
  <c r="F64" i="76"/>
  <c r="O55" i="76"/>
  <c r="E67" i="76"/>
  <c r="P51" i="76"/>
  <c r="F63" i="76"/>
  <c r="P50" i="76"/>
  <c r="F62" i="76"/>
  <c r="P54" i="76"/>
  <c r="F66" i="76"/>
  <c r="P57" i="76"/>
  <c r="F69" i="76"/>
  <c r="O51" i="76"/>
  <c r="E63" i="76"/>
  <c r="P53" i="76"/>
  <c r="F65" i="76"/>
  <c r="P55" i="76"/>
  <c r="F67" i="76"/>
  <c r="O57" i="76"/>
  <c r="E69" i="76"/>
  <c r="O54" i="76"/>
  <c r="E66" i="76"/>
  <c r="O50" i="76"/>
  <c r="E62" i="76"/>
  <c r="U44" i="76"/>
  <c r="P56" i="76"/>
  <c r="F68" i="76"/>
  <c r="I49" i="17"/>
  <c r="F57" i="34"/>
  <c r="N45" i="34"/>
  <c r="S45" i="34" s="1"/>
  <c r="E72" i="34"/>
  <c r="E84" i="34" s="1"/>
  <c r="M60" i="34"/>
  <c r="F60" i="34"/>
  <c r="N48" i="34"/>
  <c r="S48" i="34" s="1"/>
  <c r="E70" i="34"/>
  <c r="E82" i="34" s="1"/>
  <c r="M58" i="34"/>
  <c r="E71" i="34"/>
  <c r="E83" i="34" s="1"/>
  <c r="M59" i="34"/>
  <c r="E69" i="34"/>
  <c r="E81" i="34" s="1"/>
  <c r="M57" i="34"/>
  <c r="F61" i="34"/>
  <c r="N49" i="34"/>
  <c r="S49" i="34" s="1"/>
  <c r="E73" i="34"/>
  <c r="E85" i="34" s="1"/>
  <c r="M61" i="34"/>
  <c r="F58" i="34"/>
  <c r="N46" i="34"/>
  <c r="S46" i="34" s="1"/>
  <c r="F59" i="34"/>
  <c r="N47" i="34"/>
  <c r="S47" i="34" s="1"/>
  <c r="R6" i="17"/>
  <c r="T6" i="17" s="1"/>
  <c r="V6" i="17" s="1"/>
  <c r="E66" i="34"/>
  <c r="E78" i="34" s="1"/>
  <c r="M54" i="34"/>
  <c r="F62" i="34"/>
  <c r="F74" i="34" s="1"/>
  <c r="N50" i="34"/>
  <c r="E67" i="34"/>
  <c r="E79" i="34" s="1"/>
  <c r="M55" i="34"/>
  <c r="F65" i="34"/>
  <c r="F77" i="34" s="1"/>
  <c r="N53" i="34"/>
  <c r="F55" i="34"/>
  <c r="N43" i="34"/>
  <c r="S43" i="34" s="1"/>
  <c r="E62" i="34"/>
  <c r="E74" i="34" s="1"/>
  <c r="M50" i="34"/>
  <c r="F54" i="34"/>
  <c r="N42" i="34"/>
  <c r="S42" i="34" s="1"/>
  <c r="E68" i="34"/>
  <c r="E80" i="34" s="1"/>
  <c r="M56" i="34"/>
  <c r="F63" i="34"/>
  <c r="F75" i="34" s="1"/>
  <c r="N51" i="34"/>
  <c r="E65" i="34"/>
  <c r="E77" i="34" s="1"/>
  <c r="M53" i="34"/>
  <c r="E63" i="34"/>
  <c r="E75" i="34" s="1"/>
  <c r="M51" i="34"/>
  <c r="F56" i="34"/>
  <c r="N44" i="34"/>
  <c r="S44" i="34" s="1"/>
  <c r="F64" i="34"/>
  <c r="F76" i="34" s="1"/>
  <c r="N52" i="34"/>
  <c r="E64" i="34"/>
  <c r="E76" i="34" s="1"/>
  <c r="M52" i="34"/>
  <c r="P39" i="38"/>
  <c r="W39" i="38" s="1"/>
  <c r="F51" i="38"/>
  <c r="L51" i="38" s="1"/>
  <c r="V51" i="38" s="1"/>
  <c r="P38" i="38"/>
  <c r="W38" i="38" s="1"/>
  <c r="F50" i="38"/>
  <c r="L50" i="38" s="1"/>
  <c r="V50" i="38" s="1"/>
  <c r="P40" i="38"/>
  <c r="W40" i="38" s="1"/>
  <c r="F52" i="38"/>
  <c r="L52" i="38" s="1"/>
  <c r="V52" i="38" s="1"/>
  <c r="G6" i="17"/>
  <c r="I6" i="17" s="1"/>
  <c r="K6" i="17" s="1"/>
  <c r="O51" i="38"/>
  <c r="E63" i="38"/>
  <c r="K63" i="38" s="1"/>
  <c r="U63" i="38" s="1"/>
  <c r="O53" i="38"/>
  <c r="E65" i="38"/>
  <c r="K65" i="38" s="1"/>
  <c r="U65" i="38" s="1"/>
  <c r="O50" i="38"/>
  <c r="E62" i="38"/>
  <c r="K62" i="38" s="1"/>
  <c r="U62" i="38" s="1"/>
  <c r="O52" i="38"/>
  <c r="E64" i="38"/>
  <c r="K64" i="38" s="1"/>
  <c r="U64" i="38" s="1"/>
  <c r="P41" i="38"/>
  <c r="W41" i="38" s="1"/>
  <c r="F53" i="38"/>
  <c r="L53" i="38" s="1"/>
  <c r="V53" i="38" s="1"/>
  <c r="C5" i="74" l="1"/>
  <c r="C3" i="74"/>
  <c r="S50" i="34"/>
  <c r="S52" i="34"/>
  <c r="S51" i="34"/>
  <c r="S53" i="34"/>
  <c r="D28" i="74"/>
  <c r="V18" i="156"/>
  <c r="C29" i="74"/>
  <c r="O19" i="156"/>
  <c r="BC7" i="17"/>
  <c r="S6" i="24" s="1"/>
  <c r="Q19" i="156"/>
  <c r="R19" i="156" s="1"/>
  <c r="BA8" i="17"/>
  <c r="AR7" i="17"/>
  <c r="AP8" i="17"/>
  <c r="J20" i="156" s="1"/>
  <c r="K20" i="156" s="1"/>
  <c r="F89" i="34"/>
  <c r="F101" i="34" s="1"/>
  <c r="N101" i="34" s="1"/>
  <c r="N77" i="34"/>
  <c r="M75" i="34"/>
  <c r="E87" i="34"/>
  <c r="E99" i="34" s="1"/>
  <c r="M99" i="34" s="1"/>
  <c r="E91" i="34"/>
  <c r="E103" i="34" s="1"/>
  <c r="M103" i="34" s="1"/>
  <c r="M79" i="34"/>
  <c r="F86" i="34"/>
  <c r="F98" i="34" s="1"/>
  <c r="N98" i="34" s="1"/>
  <c r="N74" i="34"/>
  <c r="M77" i="34"/>
  <c r="E89" i="34"/>
  <c r="E101" i="34" s="1"/>
  <c r="M101" i="34" s="1"/>
  <c r="M81" i="34"/>
  <c r="E93" i="34"/>
  <c r="E105" i="34" s="1"/>
  <c r="M105" i="34" s="1"/>
  <c r="E92" i="34"/>
  <c r="E104" i="34" s="1"/>
  <c r="M104" i="34" s="1"/>
  <c r="M80" i="34"/>
  <c r="M78" i="34"/>
  <c r="E90" i="34"/>
  <c r="E102" i="34" s="1"/>
  <c r="M102" i="34" s="1"/>
  <c r="M82" i="34"/>
  <c r="E94" i="34"/>
  <c r="E106" i="34" s="1"/>
  <c r="M106" i="34" s="1"/>
  <c r="N75" i="34"/>
  <c r="F87" i="34"/>
  <c r="F99" i="34" s="1"/>
  <c r="N99" i="34" s="1"/>
  <c r="M83" i="34"/>
  <c r="E95" i="34"/>
  <c r="E107" i="34" s="1"/>
  <c r="M107" i="34" s="1"/>
  <c r="M74" i="34"/>
  <c r="E86" i="34"/>
  <c r="E98" i="34" s="1"/>
  <c r="M98" i="34" s="1"/>
  <c r="E96" i="34"/>
  <c r="E108" i="34" s="1"/>
  <c r="M108" i="34" s="1"/>
  <c r="M84" i="34"/>
  <c r="N76" i="34"/>
  <c r="F88" i="34"/>
  <c r="F100" i="34" s="1"/>
  <c r="N100" i="34" s="1"/>
  <c r="E88" i="34"/>
  <c r="E100" i="34" s="1"/>
  <c r="M100" i="34" s="1"/>
  <c r="M76" i="34"/>
  <c r="E97" i="34"/>
  <c r="E109" i="34" s="1"/>
  <c r="M109" i="34" s="1"/>
  <c r="M85" i="34"/>
  <c r="K49" i="17"/>
  <c r="V49" i="17"/>
  <c r="D4" i="74" s="1"/>
  <c r="AG49" i="17"/>
  <c r="D5" i="74" s="1"/>
  <c r="O67" i="76"/>
  <c r="E79" i="76"/>
  <c r="E91" i="76" s="1"/>
  <c r="O64" i="76"/>
  <c r="E76" i="76"/>
  <c r="E88" i="76" s="1"/>
  <c r="P69" i="76"/>
  <c r="F81" i="76"/>
  <c r="F93" i="76" s="1"/>
  <c r="P66" i="76"/>
  <c r="F78" i="76"/>
  <c r="F90" i="76" s="1"/>
  <c r="P67" i="76"/>
  <c r="F79" i="76"/>
  <c r="F91" i="76" s="1"/>
  <c r="P64" i="76"/>
  <c r="F76" i="76"/>
  <c r="F88" i="76" s="1"/>
  <c r="O65" i="76"/>
  <c r="E77" i="76"/>
  <c r="E89" i="76" s="1"/>
  <c r="O66" i="76"/>
  <c r="E78" i="76"/>
  <c r="E90" i="76" s="1"/>
  <c r="P62" i="76"/>
  <c r="F74" i="76"/>
  <c r="P65" i="76"/>
  <c r="F77" i="76"/>
  <c r="F89" i="76" s="1"/>
  <c r="O62" i="76"/>
  <c r="E74" i="76"/>
  <c r="O68" i="76"/>
  <c r="E80" i="76"/>
  <c r="E92" i="76" s="1"/>
  <c r="P68" i="76"/>
  <c r="F80" i="76"/>
  <c r="F92" i="76" s="1"/>
  <c r="O63" i="76"/>
  <c r="E75" i="76"/>
  <c r="O69" i="76"/>
  <c r="E81" i="76"/>
  <c r="E93" i="76" s="1"/>
  <c r="P63" i="76"/>
  <c r="F75" i="76"/>
  <c r="AC6" i="17"/>
  <c r="AE6" i="17" s="1"/>
  <c r="C18" i="156" s="1"/>
  <c r="D18" i="156" s="1"/>
  <c r="M69" i="34"/>
  <c r="F71" i="34"/>
  <c r="F83" i="34" s="1"/>
  <c r="N59" i="34"/>
  <c r="S59" i="34" s="1"/>
  <c r="F70" i="34"/>
  <c r="F82" i="34" s="1"/>
  <c r="N58" i="34"/>
  <c r="S58" i="34" s="1"/>
  <c r="F72" i="34"/>
  <c r="F84" i="34" s="1"/>
  <c r="N60" i="34"/>
  <c r="S60" i="34" s="1"/>
  <c r="F73" i="34"/>
  <c r="F85" i="34" s="1"/>
  <c r="N61" i="34"/>
  <c r="S61" i="34" s="1"/>
  <c r="M71" i="34"/>
  <c r="M73" i="34"/>
  <c r="M72" i="34"/>
  <c r="M70" i="34"/>
  <c r="F69" i="34"/>
  <c r="F81" i="34" s="1"/>
  <c r="N57" i="34"/>
  <c r="S57" i="34" s="1"/>
  <c r="M67" i="34"/>
  <c r="M63" i="34"/>
  <c r="N63" i="34"/>
  <c r="N62" i="34"/>
  <c r="M65" i="34"/>
  <c r="F67" i="34"/>
  <c r="F79" i="34" s="1"/>
  <c r="N55" i="34"/>
  <c r="S55" i="34" s="1"/>
  <c r="M68" i="34"/>
  <c r="F68" i="34"/>
  <c r="F80" i="34" s="1"/>
  <c r="N56" i="34"/>
  <c r="S56" i="34" s="1"/>
  <c r="R7" i="17"/>
  <c r="T7" i="17" s="1"/>
  <c r="V7" i="17" s="1"/>
  <c r="F66" i="34"/>
  <c r="F78" i="34" s="1"/>
  <c r="N54" i="34"/>
  <c r="S54" i="34" s="1"/>
  <c r="M62" i="34"/>
  <c r="N64" i="34"/>
  <c r="N65" i="34"/>
  <c r="M64" i="34"/>
  <c r="M66" i="34"/>
  <c r="G7" i="17"/>
  <c r="I7" i="17" s="1"/>
  <c r="K7" i="17" s="1"/>
  <c r="P50" i="38"/>
  <c r="W50" i="38" s="1"/>
  <c r="F62" i="38"/>
  <c r="L62" i="38" s="1"/>
  <c r="V62" i="38" s="1"/>
  <c r="O64" i="38"/>
  <c r="E76" i="38"/>
  <c r="K76" i="38" s="1"/>
  <c r="U76" i="38" s="1"/>
  <c r="P51" i="38"/>
  <c r="W51" i="38" s="1"/>
  <c r="F63" i="38"/>
  <c r="L63" i="38" s="1"/>
  <c r="V63" i="38" s="1"/>
  <c r="O65" i="38"/>
  <c r="E77" i="38"/>
  <c r="K77" i="38" s="1"/>
  <c r="U77" i="38" s="1"/>
  <c r="O63" i="38"/>
  <c r="E75" i="38"/>
  <c r="K75" i="38" s="1"/>
  <c r="U75" i="38" s="1"/>
  <c r="P52" i="38"/>
  <c r="W52" i="38" s="1"/>
  <c r="F64" i="38"/>
  <c r="L64" i="38" s="1"/>
  <c r="V64" i="38" s="1"/>
  <c r="P53" i="38"/>
  <c r="W53" i="38" s="1"/>
  <c r="F65" i="38"/>
  <c r="L65" i="38" s="1"/>
  <c r="V65" i="38" s="1"/>
  <c r="O62" i="38"/>
  <c r="E74" i="38"/>
  <c r="K74" i="38" s="1"/>
  <c r="U74" i="38" s="1"/>
  <c r="C11" i="74" l="1"/>
  <c r="D3" i="74"/>
  <c r="D11" i="74" s="1"/>
  <c r="S101" i="34"/>
  <c r="F100" i="76"/>
  <c r="P100" i="76" s="1"/>
  <c r="P88" i="76"/>
  <c r="F104" i="76"/>
  <c r="P104" i="76" s="1"/>
  <c r="P92" i="76"/>
  <c r="F103" i="76"/>
  <c r="P103" i="76" s="1"/>
  <c r="P91" i="76"/>
  <c r="E104" i="76"/>
  <c r="O104" i="76" s="1"/>
  <c r="O92" i="76"/>
  <c r="F102" i="76"/>
  <c r="P102" i="76" s="1"/>
  <c r="P90" i="76"/>
  <c r="F105" i="76"/>
  <c r="P105" i="76" s="1"/>
  <c r="P93" i="76"/>
  <c r="E100" i="76"/>
  <c r="O100" i="76" s="1"/>
  <c r="O88" i="76"/>
  <c r="F101" i="76"/>
  <c r="P101" i="76" s="1"/>
  <c r="P89" i="76"/>
  <c r="E102" i="76"/>
  <c r="O102" i="76" s="1"/>
  <c r="O90" i="76"/>
  <c r="E105" i="76"/>
  <c r="O105" i="76" s="1"/>
  <c r="O93" i="76"/>
  <c r="E101" i="76"/>
  <c r="O101" i="76" s="1"/>
  <c r="O89" i="76"/>
  <c r="E103" i="76"/>
  <c r="O103" i="76" s="1"/>
  <c r="O91" i="76"/>
  <c r="S98" i="34"/>
  <c r="S100" i="34"/>
  <c r="S99" i="34"/>
  <c r="S77" i="34"/>
  <c r="S64" i="34"/>
  <c r="S62" i="34"/>
  <c r="S76" i="34"/>
  <c r="S74" i="34"/>
  <c r="S63" i="34"/>
  <c r="S65" i="34"/>
  <c r="S75" i="34"/>
  <c r="E28" i="74"/>
  <c r="D29" i="74"/>
  <c r="H18" i="156"/>
  <c r="C27" i="74"/>
  <c r="C33" i="74" s="1"/>
  <c r="O20" i="156"/>
  <c r="V19" i="156"/>
  <c r="BC8" i="17"/>
  <c r="S7" i="24" s="1"/>
  <c r="Q20" i="156"/>
  <c r="R20" i="156" s="1"/>
  <c r="BA9" i="17"/>
  <c r="AR8" i="17"/>
  <c r="AP9" i="17"/>
  <c r="J21" i="156" s="1"/>
  <c r="M90" i="34"/>
  <c r="M97" i="34"/>
  <c r="F90" i="34"/>
  <c r="F102" i="34" s="1"/>
  <c r="N102" i="34" s="1"/>
  <c r="S102" i="34" s="1"/>
  <c r="N78" i="34"/>
  <c r="S78" i="34" s="1"/>
  <c r="M88" i="34"/>
  <c r="M92" i="34"/>
  <c r="N88" i="34"/>
  <c r="M93" i="34"/>
  <c r="N85" i="34"/>
  <c r="S85" i="34" s="1"/>
  <c r="F97" i="34"/>
  <c r="F109" i="34" s="1"/>
  <c r="N109" i="34" s="1"/>
  <c r="S109" i="34" s="1"/>
  <c r="M89" i="34"/>
  <c r="N84" i="34"/>
  <c r="S84" i="34" s="1"/>
  <c r="F96" i="34"/>
  <c r="F108" i="34" s="1"/>
  <c r="N108" i="34" s="1"/>
  <c r="S108" i="34" s="1"/>
  <c r="M96" i="34"/>
  <c r="M86" i="34"/>
  <c r="F94" i="34"/>
  <c r="F106" i="34" s="1"/>
  <c r="N106" i="34" s="1"/>
  <c r="S106" i="34" s="1"/>
  <c r="N82" i="34"/>
  <c r="S82" i="34" s="1"/>
  <c r="N86" i="34"/>
  <c r="M95" i="34"/>
  <c r="M91" i="34"/>
  <c r="N87" i="34"/>
  <c r="M87" i="34"/>
  <c r="N80" i="34"/>
  <c r="S80" i="34" s="1"/>
  <c r="F92" i="34"/>
  <c r="F104" i="34" s="1"/>
  <c r="N104" i="34" s="1"/>
  <c r="S104" i="34" s="1"/>
  <c r="N83" i="34"/>
  <c r="S83" i="34" s="1"/>
  <c r="F95" i="34"/>
  <c r="F107" i="34" s="1"/>
  <c r="N107" i="34" s="1"/>
  <c r="S107" i="34" s="1"/>
  <c r="N79" i="34"/>
  <c r="S79" i="34" s="1"/>
  <c r="F91" i="34"/>
  <c r="F103" i="34" s="1"/>
  <c r="N103" i="34" s="1"/>
  <c r="S103" i="34" s="1"/>
  <c r="N81" i="34"/>
  <c r="S81" i="34" s="1"/>
  <c r="F93" i="34"/>
  <c r="F105" i="34" s="1"/>
  <c r="N105" i="34" s="1"/>
  <c r="S105" i="34" s="1"/>
  <c r="M94" i="34"/>
  <c r="N89" i="34"/>
  <c r="O75" i="76"/>
  <c r="E87" i="76"/>
  <c r="E99" i="76" s="1"/>
  <c r="O99" i="76" s="1"/>
  <c r="O78" i="76"/>
  <c r="P81" i="76"/>
  <c r="P74" i="76"/>
  <c r="F86" i="76"/>
  <c r="F98" i="76" s="1"/>
  <c r="P98" i="76" s="1"/>
  <c r="O77" i="76"/>
  <c r="O81" i="76"/>
  <c r="P80" i="76"/>
  <c r="O76" i="76"/>
  <c r="O79" i="76"/>
  <c r="P79" i="76"/>
  <c r="P75" i="76"/>
  <c r="F87" i="76"/>
  <c r="F99" i="76" s="1"/>
  <c r="P99" i="76" s="1"/>
  <c r="O80" i="76"/>
  <c r="P76" i="76"/>
  <c r="P77" i="76"/>
  <c r="P78" i="76"/>
  <c r="O74" i="76"/>
  <c r="E86" i="76"/>
  <c r="E98" i="76" s="1"/>
  <c r="O98" i="76" s="1"/>
  <c r="AC7" i="17"/>
  <c r="AE7" i="17" s="1"/>
  <c r="AG6" i="17"/>
  <c r="N72" i="34"/>
  <c r="S72" i="34" s="1"/>
  <c r="N69" i="34"/>
  <c r="S69" i="34" s="1"/>
  <c r="N70" i="34"/>
  <c r="S70" i="34" s="1"/>
  <c r="N71" i="34"/>
  <c r="S71" i="34" s="1"/>
  <c r="N73" i="34"/>
  <c r="S73" i="34" s="1"/>
  <c r="N66" i="34"/>
  <c r="S66" i="34" s="1"/>
  <c r="N67" i="34"/>
  <c r="S67" i="34" s="1"/>
  <c r="R8" i="17"/>
  <c r="N68" i="34"/>
  <c r="S68" i="34" s="1"/>
  <c r="G8" i="17"/>
  <c r="P62" i="38"/>
  <c r="W62" i="38" s="1"/>
  <c r="F74" i="38"/>
  <c r="L74" i="38" s="1"/>
  <c r="V74" i="38" s="1"/>
  <c r="F77" i="38"/>
  <c r="L77" i="38" s="1"/>
  <c r="V77" i="38" s="1"/>
  <c r="P65" i="38"/>
  <c r="W65" i="38" s="1"/>
  <c r="E87" i="38"/>
  <c r="O75" i="38"/>
  <c r="E88" i="38"/>
  <c r="O76" i="38"/>
  <c r="E86" i="38"/>
  <c r="O74" i="38"/>
  <c r="P63" i="38"/>
  <c r="W63" i="38" s="1"/>
  <c r="F75" i="38"/>
  <c r="L75" i="38" s="1"/>
  <c r="V75" i="38" s="1"/>
  <c r="E89" i="38"/>
  <c r="O77" i="38"/>
  <c r="P64" i="38"/>
  <c r="W64" i="38" s="1"/>
  <c r="F76" i="38"/>
  <c r="L76" i="38" s="1"/>
  <c r="V76" i="38" s="1"/>
  <c r="K21" i="156" l="1"/>
  <c r="O21" i="156" s="1"/>
  <c r="R14" i="17"/>
  <c r="K89" i="38"/>
  <c r="U89" i="38" s="1"/>
  <c r="E101" i="38"/>
  <c r="K86" i="38"/>
  <c r="U86" i="38" s="1"/>
  <c r="E98" i="38"/>
  <c r="K88" i="38"/>
  <c r="U88" i="38" s="1"/>
  <c r="E100" i="38"/>
  <c r="K87" i="38"/>
  <c r="U87" i="38" s="1"/>
  <c r="E99" i="38"/>
  <c r="S89" i="34"/>
  <c r="S86" i="34"/>
  <c r="S88" i="34"/>
  <c r="S87" i="34"/>
  <c r="T7" i="24"/>
  <c r="E29" i="74"/>
  <c r="V20" i="156"/>
  <c r="BC9" i="17"/>
  <c r="S8" i="24" s="1"/>
  <c r="Q21" i="156"/>
  <c r="AG7" i="17"/>
  <c r="C19" i="156"/>
  <c r="D19" i="156" s="1"/>
  <c r="AR9" i="17"/>
  <c r="AP10" i="17"/>
  <c r="J22" i="156" s="1"/>
  <c r="K22" i="156" s="1"/>
  <c r="N95" i="34"/>
  <c r="S95" i="34" s="1"/>
  <c r="F112" i="34"/>
  <c r="N94" i="34"/>
  <c r="S94" i="34" s="1"/>
  <c r="N92" i="34"/>
  <c r="S92" i="34" s="1"/>
  <c r="E110" i="34"/>
  <c r="E116" i="34"/>
  <c r="M116" i="34" s="1"/>
  <c r="E120" i="34"/>
  <c r="M120" i="34" s="1"/>
  <c r="E112" i="34"/>
  <c r="E111" i="34"/>
  <c r="F113" i="34"/>
  <c r="F111" i="34"/>
  <c r="N96" i="34"/>
  <c r="S96" i="34" s="1"/>
  <c r="E115" i="34"/>
  <c r="M115" i="34" s="1"/>
  <c r="E113" i="34"/>
  <c r="N90" i="34"/>
  <c r="S90" i="34" s="1"/>
  <c r="E118" i="34"/>
  <c r="M118" i="34" s="1"/>
  <c r="E121" i="34"/>
  <c r="M121" i="34" s="1"/>
  <c r="E119" i="34"/>
  <c r="M119" i="34" s="1"/>
  <c r="N97" i="34"/>
  <c r="S97" i="34" s="1"/>
  <c r="N93" i="34"/>
  <c r="S93" i="34" s="1"/>
  <c r="N91" i="34"/>
  <c r="S91" i="34" s="1"/>
  <c r="E114" i="34"/>
  <c r="F110" i="34"/>
  <c r="E117" i="34"/>
  <c r="M117" i="34" s="1"/>
  <c r="O87" i="76"/>
  <c r="O86" i="76"/>
  <c r="P87" i="76"/>
  <c r="P86" i="76"/>
  <c r="AC8" i="17"/>
  <c r="R9" i="17"/>
  <c r="O86" i="38"/>
  <c r="O88" i="38"/>
  <c r="P76" i="38"/>
  <c r="W76" i="38" s="1"/>
  <c r="F88" i="38"/>
  <c r="G9" i="17"/>
  <c r="P74" i="38"/>
  <c r="W74" i="38" s="1"/>
  <c r="F86" i="38"/>
  <c r="F87" i="38"/>
  <c r="P75" i="38"/>
  <c r="W75" i="38" s="1"/>
  <c r="O87" i="38"/>
  <c r="F89" i="38"/>
  <c r="P77" i="38"/>
  <c r="W77" i="38" s="1"/>
  <c r="O89" i="38"/>
  <c r="F28" i="74" l="1"/>
  <c r="R21" i="156"/>
  <c r="F29" i="74" s="1"/>
  <c r="L86" i="38"/>
  <c r="V86" i="38" s="1"/>
  <c r="F98" i="38"/>
  <c r="K99" i="38"/>
  <c r="U99" i="38" s="1"/>
  <c r="O99" i="38"/>
  <c r="K100" i="38"/>
  <c r="U100" i="38" s="1"/>
  <c r="O100" i="38"/>
  <c r="L89" i="38"/>
  <c r="V89" i="38" s="1"/>
  <c r="F101" i="38"/>
  <c r="K98" i="38"/>
  <c r="U98" i="38" s="1"/>
  <c r="O98" i="38"/>
  <c r="O101" i="38"/>
  <c r="K101" i="38"/>
  <c r="U101" i="38" s="1"/>
  <c r="L88" i="38"/>
  <c r="V88" i="38" s="1"/>
  <c r="F100" i="38"/>
  <c r="L87" i="38"/>
  <c r="V87" i="38" s="1"/>
  <c r="F99" i="38"/>
  <c r="T8" i="24"/>
  <c r="G28" i="74"/>
  <c r="D27" i="74"/>
  <c r="D33" i="74" s="1"/>
  <c r="O22" i="156"/>
  <c r="H19" i="156"/>
  <c r="AR10" i="17"/>
  <c r="F117" i="76"/>
  <c r="P117" i="76" s="1"/>
  <c r="F116" i="76"/>
  <c r="P116" i="76" s="1"/>
  <c r="E117" i="76"/>
  <c r="O117" i="76" s="1"/>
  <c r="E116" i="76"/>
  <c r="O116" i="76" s="1"/>
  <c r="F117" i="34"/>
  <c r="N117" i="34" s="1"/>
  <c r="S117" i="34" s="1"/>
  <c r="M113" i="34"/>
  <c r="E125" i="34"/>
  <c r="M125" i="34" s="1"/>
  <c r="F121" i="34"/>
  <c r="N121" i="34" s="1"/>
  <c r="S121" i="34" s="1"/>
  <c r="F120" i="34"/>
  <c r="N120" i="34" s="1"/>
  <c r="S120" i="34" s="1"/>
  <c r="E122" i="34"/>
  <c r="M122" i="34" s="1"/>
  <c r="M110" i="34"/>
  <c r="F123" i="34"/>
  <c r="N123" i="34" s="1"/>
  <c r="N111" i="34"/>
  <c r="N110" i="34"/>
  <c r="F122" i="34"/>
  <c r="N122" i="34" s="1"/>
  <c r="N113" i="34"/>
  <c r="F125" i="34"/>
  <c r="N125" i="34" s="1"/>
  <c r="F116" i="34"/>
  <c r="N116" i="34" s="1"/>
  <c r="S116" i="34" s="1"/>
  <c r="F118" i="34"/>
  <c r="N118" i="34" s="1"/>
  <c r="S118" i="34" s="1"/>
  <c r="M114" i="34"/>
  <c r="E126" i="34"/>
  <c r="M126" i="34" s="1"/>
  <c r="F114" i="34"/>
  <c r="M111" i="34"/>
  <c r="E123" i="34"/>
  <c r="M123" i="34" s="1"/>
  <c r="F124" i="34"/>
  <c r="N124" i="34" s="1"/>
  <c r="N112" i="34"/>
  <c r="F119" i="34"/>
  <c r="N119" i="34" s="1"/>
  <c r="S119" i="34" s="1"/>
  <c r="F115" i="34"/>
  <c r="N115" i="34" s="1"/>
  <c r="S115" i="34" s="1"/>
  <c r="M112" i="34"/>
  <c r="E124" i="34"/>
  <c r="M124" i="34" s="1"/>
  <c r="E111" i="76"/>
  <c r="E115" i="76"/>
  <c r="O115" i="76" s="1"/>
  <c r="F110" i="76"/>
  <c r="E114" i="76"/>
  <c r="F115" i="76"/>
  <c r="P115" i="76" s="1"/>
  <c r="E112" i="76"/>
  <c r="E113" i="76"/>
  <c r="E110" i="76"/>
  <c r="F113" i="76"/>
  <c r="F114" i="76"/>
  <c r="F111" i="76"/>
  <c r="F112" i="76"/>
  <c r="Y120" i="75"/>
  <c r="Y119" i="75"/>
  <c r="Y121" i="75"/>
  <c r="Y117" i="75"/>
  <c r="Y116" i="75"/>
  <c r="Y118" i="75"/>
  <c r="AC9" i="17"/>
  <c r="R10" i="17"/>
  <c r="G10" i="17"/>
  <c r="E113" i="38"/>
  <c r="K113" i="38" s="1"/>
  <c r="P89" i="38"/>
  <c r="E110" i="38"/>
  <c r="P88" i="38"/>
  <c r="E111" i="38"/>
  <c r="K111" i="38" s="1"/>
  <c r="P87" i="38"/>
  <c r="P86" i="38"/>
  <c r="E112" i="38"/>
  <c r="K112" i="38" s="1"/>
  <c r="V21" i="156" l="1"/>
  <c r="W86" i="38"/>
  <c r="U117" i="76"/>
  <c r="U116" i="76"/>
  <c r="U115" i="76"/>
  <c r="W87" i="38"/>
  <c r="L99" i="38"/>
  <c r="V99" i="38" s="1"/>
  <c r="P99" i="38"/>
  <c r="L100" i="38"/>
  <c r="V100" i="38" s="1"/>
  <c r="P100" i="38"/>
  <c r="L101" i="38"/>
  <c r="V101" i="38" s="1"/>
  <c r="P101" i="38"/>
  <c r="W88" i="38"/>
  <c r="W89" i="38"/>
  <c r="L98" i="38"/>
  <c r="V98" i="38" s="1"/>
  <c r="P98" i="38"/>
  <c r="S125" i="34"/>
  <c r="S124" i="34"/>
  <c r="S112" i="34"/>
  <c r="S113" i="34"/>
  <c r="S111" i="34"/>
  <c r="S122" i="34"/>
  <c r="S123" i="34"/>
  <c r="S110" i="34"/>
  <c r="F122" i="76"/>
  <c r="P122" i="76" s="1"/>
  <c r="P110" i="76"/>
  <c r="E123" i="76"/>
  <c r="O123" i="76" s="1"/>
  <c r="O111" i="76"/>
  <c r="F124" i="76"/>
  <c r="P124" i="76" s="1"/>
  <c r="P112" i="76"/>
  <c r="F126" i="76"/>
  <c r="P126" i="76" s="1"/>
  <c r="P114" i="76"/>
  <c r="F123" i="76"/>
  <c r="P123" i="76" s="1"/>
  <c r="P111" i="76"/>
  <c r="F125" i="76"/>
  <c r="P125" i="76" s="1"/>
  <c r="P113" i="76"/>
  <c r="E124" i="76"/>
  <c r="O124" i="76" s="1"/>
  <c r="O112" i="76"/>
  <c r="E122" i="76"/>
  <c r="O122" i="76" s="1"/>
  <c r="O110" i="76"/>
  <c r="E125" i="76"/>
  <c r="O125" i="76" s="1"/>
  <c r="O113" i="76"/>
  <c r="E126" i="76"/>
  <c r="O126" i="76" s="1"/>
  <c r="O114" i="76"/>
  <c r="E123" i="38"/>
  <c r="K123" i="38" s="1"/>
  <c r="U111" i="38"/>
  <c r="E125" i="38"/>
  <c r="K125" i="38" s="1"/>
  <c r="U113" i="38"/>
  <c r="E122" i="38"/>
  <c r="K122" i="38" s="1"/>
  <c r="K110" i="38"/>
  <c r="U110" i="38" s="1"/>
  <c r="E124" i="38"/>
  <c r="K124" i="38" s="1"/>
  <c r="U112" i="38"/>
  <c r="N114" i="34"/>
  <c r="S114" i="34" s="1"/>
  <c r="F126" i="34"/>
  <c r="N126" i="34" s="1"/>
  <c r="S126" i="34" s="1"/>
  <c r="F128" i="76"/>
  <c r="E127" i="76"/>
  <c r="F129" i="76"/>
  <c r="F127" i="76"/>
  <c r="E129" i="76"/>
  <c r="E128" i="76"/>
  <c r="F132" i="75"/>
  <c r="R132" i="75" s="1"/>
  <c r="F128" i="75"/>
  <c r="R128" i="75" s="1"/>
  <c r="F131" i="75"/>
  <c r="R131" i="75" s="1"/>
  <c r="F127" i="75"/>
  <c r="R127" i="75" s="1"/>
  <c r="F133" i="75"/>
  <c r="R133" i="75" s="1"/>
  <c r="AC10" i="17"/>
  <c r="F129" i="75"/>
  <c r="R129" i="75" s="1"/>
  <c r="F130" i="75"/>
  <c r="R130" i="75" s="1"/>
  <c r="E129" i="34"/>
  <c r="E131" i="34"/>
  <c r="E132" i="34"/>
  <c r="E133" i="34"/>
  <c r="E130" i="34"/>
  <c r="E127" i="34"/>
  <c r="E128" i="34"/>
  <c r="R11" i="17"/>
  <c r="O111" i="38"/>
  <c r="F112" i="38"/>
  <c r="L112" i="38" s="1"/>
  <c r="O110" i="38"/>
  <c r="O112" i="38"/>
  <c r="F113" i="38"/>
  <c r="L113" i="38" s="1"/>
  <c r="O113" i="38"/>
  <c r="F110" i="38"/>
  <c r="G11" i="17"/>
  <c r="F111" i="38"/>
  <c r="L111" i="38" s="1"/>
  <c r="U113" i="76" l="1"/>
  <c r="U114" i="76"/>
  <c r="U123" i="76"/>
  <c r="U126" i="76"/>
  <c r="U111" i="76"/>
  <c r="U112" i="76"/>
  <c r="U125" i="76"/>
  <c r="U110" i="76"/>
  <c r="U122" i="76"/>
  <c r="U124" i="76"/>
  <c r="W99" i="38"/>
  <c r="W100" i="38"/>
  <c r="W101" i="38"/>
  <c r="W98" i="38"/>
  <c r="F122" i="38"/>
  <c r="L122" i="38" s="1"/>
  <c r="L110" i="38"/>
  <c r="V110" i="38" s="1"/>
  <c r="F124" i="38"/>
  <c r="L124" i="38" s="1"/>
  <c r="V112" i="38"/>
  <c r="O124" i="38"/>
  <c r="U124" i="38"/>
  <c r="O122" i="38"/>
  <c r="U122" i="38"/>
  <c r="O125" i="38"/>
  <c r="U125" i="38"/>
  <c r="F125" i="38"/>
  <c r="L125" i="38" s="1"/>
  <c r="V113" i="38"/>
  <c r="F123" i="38"/>
  <c r="L123" i="38" s="1"/>
  <c r="V111" i="38"/>
  <c r="O123" i="38"/>
  <c r="U123" i="38"/>
  <c r="P129" i="76"/>
  <c r="O129" i="76"/>
  <c r="P128" i="76"/>
  <c r="P127" i="76"/>
  <c r="O128" i="76"/>
  <c r="O127" i="76"/>
  <c r="Y111" i="75"/>
  <c r="E132" i="75"/>
  <c r="Q132" i="75" s="1"/>
  <c r="Y132" i="75" s="1"/>
  <c r="E131" i="75"/>
  <c r="Q131" i="75" s="1"/>
  <c r="Y131" i="75" s="1"/>
  <c r="E133" i="75"/>
  <c r="Q133" i="75" s="1"/>
  <c r="Y133" i="75" s="1"/>
  <c r="Y114" i="75"/>
  <c r="Y113" i="75"/>
  <c r="Y110" i="75"/>
  <c r="E129" i="75"/>
  <c r="Q129" i="75" s="1"/>
  <c r="Y129" i="75" s="1"/>
  <c r="Y115" i="75"/>
  <c r="E127" i="75"/>
  <c r="Q127" i="75" s="1"/>
  <c r="Y127" i="75" s="1"/>
  <c r="E130" i="75"/>
  <c r="Q130" i="75" s="1"/>
  <c r="Y130" i="75" s="1"/>
  <c r="E128" i="75"/>
  <c r="Q128" i="75" s="1"/>
  <c r="Y128" i="75" s="1"/>
  <c r="Y112" i="75"/>
  <c r="AC11" i="17"/>
  <c r="M133" i="34"/>
  <c r="F132" i="34"/>
  <c r="M131" i="34"/>
  <c r="F133" i="34"/>
  <c r="M130" i="34"/>
  <c r="F130" i="34"/>
  <c r="M132" i="34"/>
  <c r="F131" i="34"/>
  <c r="F129" i="34"/>
  <c r="M129" i="34"/>
  <c r="M127" i="34"/>
  <c r="R12" i="17"/>
  <c r="M128" i="34"/>
  <c r="F127" i="34"/>
  <c r="F128" i="34"/>
  <c r="G12" i="17"/>
  <c r="P112" i="38"/>
  <c r="P113" i="38"/>
  <c r="P111" i="38"/>
  <c r="P110" i="38"/>
  <c r="G14" i="17" l="1"/>
  <c r="U129" i="76"/>
  <c r="U127" i="76"/>
  <c r="U128" i="76"/>
  <c r="G58" i="17"/>
  <c r="G57" i="17"/>
  <c r="W110" i="38"/>
  <c r="W111" i="38"/>
  <c r="W113" i="38"/>
  <c r="W112" i="38"/>
  <c r="P123" i="38"/>
  <c r="V123" i="38"/>
  <c r="P125" i="38"/>
  <c r="V125" i="38"/>
  <c r="P124" i="38"/>
  <c r="V124" i="38"/>
  <c r="P122" i="38"/>
  <c r="V122" i="38"/>
  <c r="R13" i="17"/>
  <c r="G13" i="17"/>
  <c r="AC12" i="17"/>
  <c r="N129" i="34"/>
  <c r="S129" i="34" s="1"/>
  <c r="N132" i="34"/>
  <c r="S132" i="34" s="1"/>
  <c r="N131" i="34"/>
  <c r="S131" i="34" s="1"/>
  <c r="N130" i="34"/>
  <c r="S130" i="34" s="1"/>
  <c r="N133" i="34"/>
  <c r="S133" i="34" s="1"/>
  <c r="N128" i="34"/>
  <c r="S128" i="34" s="1"/>
  <c r="N127" i="34"/>
  <c r="S127" i="34" s="1"/>
  <c r="R16" i="17" l="1"/>
  <c r="AP16" i="17"/>
  <c r="AE16" i="17"/>
  <c r="W124" i="38"/>
  <c r="W122" i="38"/>
  <c r="W125" i="38"/>
  <c r="W123" i="38"/>
  <c r="AC13" i="17"/>
  <c r="R15" i="17"/>
  <c r="G15" i="17"/>
  <c r="J28" i="156" l="1"/>
  <c r="K28" i="156" s="1"/>
  <c r="H24" i="73"/>
  <c r="J24" i="73" s="1"/>
  <c r="J20" i="24"/>
  <c r="AP15" i="17"/>
  <c r="C24" i="73" s="1"/>
  <c r="E24" i="73" s="1"/>
  <c r="G16" i="17"/>
  <c r="AC15" i="17"/>
  <c r="J27" i="156" l="1"/>
  <c r="K27" i="156" s="1"/>
  <c r="J19" i="24"/>
  <c r="M20" i="69"/>
  <c r="N20" i="69" s="1"/>
  <c r="M27" i="69"/>
  <c r="M15" i="69"/>
  <c r="N15" i="69" l="1"/>
  <c r="N23" i="69"/>
  <c r="N38" i="69"/>
  <c r="M23" i="69"/>
  <c r="M38" i="69"/>
  <c r="X33" i="69"/>
  <c r="X56" i="69"/>
  <c r="X59" i="69" s="1"/>
  <c r="X46" i="69"/>
  <c r="X49" i="69" s="1"/>
  <c r="X51" i="69"/>
  <c r="X54" i="69" s="1"/>
  <c r="M37" i="69"/>
  <c r="M25" i="69"/>
  <c r="M126" i="69" s="1"/>
  <c r="X65" i="69"/>
  <c r="M17" i="69"/>
  <c r="M22" i="69"/>
  <c r="M18" i="69"/>
  <c r="M124" i="69" l="1"/>
  <c r="M127" i="69"/>
  <c r="M125" i="69"/>
  <c r="M123" i="69"/>
  <c r="N18" i="69"/>
  <c r="N37" i="69"/>
  <c r="M28" i="69"/>
  <c r="M84" i="69" s="1"/>
  <c r="N25" i="69"/>
  <c r="N126" i="69" s="1"/>
  <c r="M81" i="69"/>
  <c r="M110" i="69" s="1"/>
  <c r="M82" i="69"/>
  <c r="M83" i="69"/>
  <c r="M39" i="69"/>
  <c r="X43" i="69"/>
  <c r="X64" i="69" s="1"/>
  <c r="M80" i="69" l="1"/>
  <c r="N125" i="69"/>
  <c r="N124" i="69"/>
  <c r="N127" i="69"/>
  <c r="N123" i="69"/>
  <c r="M91" i="69"/>
  <c r="M132" i="69" s="1"/>
  <c r="M137" i="69" s="1"/>
  <c r="M113" i="69"/>
  <c r="N28" i="69"/>
  <c r="N84" i="69" s="1"/>
  <c r="N39" i="69"/>
  <c r="M90" i="69"/>
  <c r="M131" i="69" s="1"/>
  <c r="M112" i="69"/>
  <c r="M119" i="69" s="1"/>
  <c r="M109" i="69"/>
  <c r="M85" i="69"/>
  <c r="M89" i="69"/>
  <c r="M130" i="69" s="1"/>
  <c r="M135" i="69" s="1"/>
  <c r="M111" i="69"/>
  <c r="M117" i="69"/>
  <c r="P38" i="69"/>
  <c r="P37" i="69"/>
  <c r="M120" i="69" l="1"/>
  <c r="N103" i="69"/>
  <c r="M116" i="69"/>
  <c r="N104" i="69"/>
  <c r="N105" i="69"/>
  <c r="M118" i="69"/>
  <c r="M136" i="69"/>
  <c r="Q38" i="69"/>
  <c r="P39" i="69"/>
  <c r="Q37" i="69"/>
  <c r="N82" i="69" l="1"/>
  <c r="N99" i="69"/>
  <c r="Q39" i="69"/>
  <c r="R38" i="69"/>
  <c r="N83" i="69"/>
  <c r="R37" i="69"/>
  <c r="N90" i="69" l="1"/>
  <c r="N131" i="69" s="1"/>
  <c r="N112" i="69"/>
  <c r="N80" i="69"/>
  <c r="N81" i="69"/>
  <c r="N110" i="69" s="1"/>
  <c r="N89" i="69"/>
  <c r="N130" i="69" s="1"/>
  <c r="N111" i="69"/>
  <c r="S38" i="69"/>
  <c r="R39" i="69"/>
  <c r="S37" i="69"/>
  <c r="N117" i="69" l="1"/>
  <c r="N119" i="69"/>
  <c r="N118" i="69"/>
  <c r="N135" i="69"/>
  <c r="N91" i="69"/>
  <c r="N132" i="69" s="1"/>
  <c r="N113" i="69"/>
  <c r="N109" i="69"/>
  <c r="N85" i="69"/>
  <c r="N136" i="69"/>
  <c r="T38" i="69"/>
  <c r="S39" i="69"/>
  <c r="T37" i="69"/>
  <c r="N137" i="69" l="1"/>
  <c r="N116" i="69"/>
  <c r="N120" i="69"/>
  <c r="K20" i="158"/>
  <c r="T39" i="69"/>
  <c r="U38" i="69"/>
  <c r="U37" i="69"/>
  <c r="V38" i="69" l="1"/>
  <c r="U39" i="69"/>
  <c r="V37" i="69"/>
  <c r="V39" i="69" l="1"/>
  <c r="W38" i="69"/>
  <c r="W37" i="69"/>
  <c r="X38" i="69" l="1"/>
  <c r="W39" i="69"/>
  <c r="X37" i="69"/>
  <c r="X39" i="69" l="1"/>
  <c r="S38" i="72" l="1"/>
  <c r="U38" i="72"/>
  <c r="Q38" i="72"/>
  <c r="R38" i="72"/>
  <c r="O85" i="72"/>
  <c r="O90" i="72" s="1"/>
  <c r="T38" i="72"/>
  <c r="S46" i="72"/>
  <c r="R46" i="72"/>
  <c r="C69" i="148" s="1"/>
  <c r="U46" i="72"/>
  <c r="F7" i="73" s="1"/>
  <c r="Q46" i="72"/>
  <c r="C62" i="148" s="1"/>
  <c r="C7" i="73"/>
  <c r="P46" i="72"/>
  <c r="E7" i="73" l="1"/>
  <c r="C75" i="148"/>
  <c r="C78" i="148" s="1"/>
  <c r="C84" i="148"/>
  <c r="C85" i="148" s="1"/>
  <c r="K87" i="148"/>
  <c r="C76" i="148"/>
  <c r="C77" i="148"/>
  <c r="C71" i="148"/>
  <c r="C72" i="148"/>
  <c r="C73" i="148"/>
  <c r="C70" i="148"/>
  <c r="C67" i="148"/>
  <c r="C64" i="148"/>
  <c r="C65" i="148"/>
  <c r="C66" i="148"/>
  <c r="C63" i="148"/>
  <c r="C54" i="148"/>
  <c r="C80" i="148"/>
  <c r="M7" i="73" l="1"/>
  <c r="C60" i="148"/>
  <c r="M11" i="148"/>
  <c r="C82" i="148"/>
  <c r="M30" i="148" s="1"/>
  <c r="C81" i="148"/>
  <c r="C58" i="148"/>
  <c r="C56" i="148"/>
  <c r="M13" i="148" s="1"/>
  <c r="C55" i="148"/>
  <c r="M12" i="148" s="1"/>
  <c r="C57" i="148"/>
  <c r="C59" i="148"/>
  <c r="K7" i="73"/>
  <c r="O7" i="73" s="1"/>
  <c r="H7" i="73"/>
  <c r="N7" i="73" s="1"/>
  <c r="M17" i="148" l="1"/>
  <c r="M29" i="148"/>
  <c r="H16" i="17"/>
  <c r="M41" i="148"/>
  <c r="M16" i="148"/>
  <c r="M42" i="148"/>
  <c r="E64" i="67" s="1"/>
  <c r="M43" i="148"/>
  <c r="E76" i="67" s="1"/>
  <c r="M14" i="148"/>
  <c r="D15" i="74" l="1"/>
  <c r="D15" i="25"/>
  <c r="I16" i="17"/>
  <c r="H58" i="17"/>
  <c r="M47" i="148"/>
  <c r="E63" i="67"/>
  <c r="E70" i="67"/>
  <c r="E69" i="67"/>
  <c r="E68" i="67"/>
  <c r="E67" i="67"/>
  <c r="E82" i="67"/>
  <c r="E74" i="67"/>
  <c r="E72" i="67"/>
  <c r="E75" i="67"/>
  <c r="E62" i="67"/>
  <c r="E73" i="67"/>
  <c r="E85" i="67"/>
  <c r="E84" i="67"/>
  <c r="E71" i="67"/>
  <c r="E83" i="67"/>
  <c r="E81" i="67"/>
  <c r="E56" i="67"/>
  <c r="F56" i="67" s="1"/>
  <c r="E57" i="67"/>
  <c r="F57" i="67" s="1"/>
  <c r="E60" i="67"/>
  <c r="F60" i="67" s="1"/>
  <c r="E61" i="67"/>
  <c r="F61" i="67" s="1"/>
  <c r="E50" i="67"/>
  <c r="F50" i="67" s="1"/>
  <c r="E59" i="67"/>
  <c r="F59" i="67" s="1"/>
  <c r="E51" i="67"/>
  <c r="F51" i="67" s="1"/>
  <c r="E52" i="67"/>
  <c r="F52" i="67" s="1"/>
  <c r="E53" i="67"/>
  <c r="F53" i="67" s="1"/>
  <c r="E58" i="67"/>
  <c r="F58" i="67" s="1"/>
  <c r="E54" i="67"/>
  <c r="F54" i="67" s="1"/>
  <c r="E55" i="67"/>
  <c r="F55" i="67" s="1"/>
  <c r="E80" i="67"/>
  <c r="E79" i="67"/>
  <c r="E66" i="67"/>
  <c r="E78" i="67"/>
  <c r="E65" i="67"/>
  <c r="E77" i="67"/>
  <c r="F35" i="67"/>
  <c r="D8" i="17"/>
  <c r="F44" i="67"/>
  <c r="D9" i="17"/>
  <c r="M44" i="148"/>
  <c r="M15" i="148"/>
  <c r="D53" i="17" l="1"/>
  <c r="H53" i="17" s="1"/>
  <c r="D52" i="17"/>
  <c r="H52" i="17" s="1"/>
  <c r="E87" i="67"/>
  <c r="E91" i="67"/>
  <c r="E88" i="67"/>
  <c r="E89" i="67"/>
  <c r="E90" i="67"/>
  <c r="E92" i="67"/>
  <c r="E86" i="67"/>
  <c r="E93" i="67"/>
  <c r="E94" i="67"/>
  <c r="E95" i="67"/>
  <c r="E96" i="67"/>
  <c r="E97" i="67"/>
  <c r="D35" i="38"/>
  <c r="D35" i="28"/>
  <c r="C7" i="15" s="1"/>
  <c r="ED35" i="67"/>
  <c r="R227" i="4"/>
  <c r="DO227" i="4"/>
  <c r="D35" i="75"/>
  <c r="EB35" i="67"/>
  <c r="EC35" i="67" s="1"/>
  <c r="H8" i="17"/>
  <c r="I8" i="17" s="1"/>
  <c r="K8" i="17" s="1"/>
  <c r="E8" i="17"/>
  <c r="H9" i="17"/>
  <c r="I9" i="17" s="1"/>
  <c r="K9" i="17" s="1"/>
  <c r="E9" i="17"/>
  <c r="R236" i="4"/>
  <c r="DO236" i="4"/>
  <c r="D44" i="75"/>
  <c r="D44" i="38"/>
  <c r="D44" i="28"/>
  <c r="C8" i="15" s="1"/>
  <c r="E8" i="15" s="1"/>
  <c r="EB44" i="67"/>
  <c r="EC44" i="67" s="1"/>
  <c r="ED44" i="67"/>
  <c r="ED54" i="67"/>
  <c r="R246" i="4"/>
  <c r="EB54" i="67"/>
  <c r="EC54" i="67" s="1"/>
  <c r="DO246" i="4"/>
  <c r="D54" i="75"/>
  <c r="Y54" i="75" s="1"/>
  <c r="D54" i="38"/>
  <c r="D54" i="28"/>
  <c r="X54" i="28" s="1"/>
  <c r="Y54" i="28" s="1"/>
  <c r="D50" i="38"/>
  <c r="D50" i="28"/>
  <c r="X50" i="28" s="1"/>
  <c r="Y50" i="28" s="1"/>
  <c r="ED50" i="67"/>
  <c r="DO242" i="4"/>
  <c r="EB50" i="67"/>
  <c r="EC50" i="67" s="1"/>
  <c r="R242" i="4"/>
  <c r="D50" i="75"/>
  <c r="Y50" i="75" s="1"/>
  <c r="ED58" i="67"/>
  <c r="EB58" i="67"/>
  <c r="EC58" i="67" s="1"/>
  <c r="DO250" i="4"/>
  <c r="R250" i="4"/>
  <c r="D58" i="75"/>
  <c r="Y58" i="75" s="1"/>
  <c r="D58" i="38"/>
  <c r="D58" i="28"/>
  <c r="X58" i="28" s="1"/>
  <c r="Y58" i="28" s="1"/>
  <c r="F66" i="67"/>
  <c r="F70" i="67"/>
  <c r="F73" i="67"/>
  <c r="F63" i="67"/>
  <c r="F67" i="67"/>
  <c r="F71" i="67"/>
  <c r="F64" i="67"/>
  <c r="F68" i="67"/>
  <c r="F72" i="67"/>
  <c r="F65" i="67"/>
  <c r="F69" i="67"/>
  <c r="F62" i="67"/>
  <c r="D53" i="28"/>
  <c r="X53" i="28" s="1"/>
  <c r="Y53" i="28" s="1"/>
  <c r="EB53" i="67"/>
  <c r="EC53" i="67" s="1"/>
  <c r="ED53" i="67"/>
  <c r="DO245" i="4"/>
  <c r="R245" i="4"/>
  <c r="D53" i="75"/>
  <c r="Y53" i="75" s="1"/>
  <c r="D53" i="38"/>
  <c r="EB60" i="67"/>
  <c r="EC60" i="67" s="1"/>
  <c r="ED60" i="67"/>
  <c r="R252" i="4"/>
  <c r="DO252" i="4"/>
  <c r="D60" i="75"/>
  <c r="Y60" i="75" s="1"/>
  <c r="D60" i="38"/>
  <c r="D60" i="28"/>
  <c r="X60" i="28" s="1"/>
  <c r="Y60" i="28" s="1"/>
  <c r="EB56" i="67"/>
  <c r="EC56" i="67" s="1"/>
  <c r="D56" i="28"/>
  <c r="X56" i="28" s="1"/>
  <c r="Y56" i="28" s="1"/>
  <c r="ED56" i="67"/>
  <c r="R248" i="4"/>
  <c r="DO248" i="4"/>
  <c r="D56" i="75"/>
  <c r="Y56" i="75" s="1"/>
  <c r="D56" i="38"/>
  <c r="EB57" i="67"/>
  <c r="EC57" i="67" s="1"/>
  <c r="D57" i="75"/>
  <c r="Y57" i="75" s="1"/>
  <c r="D57" i="38"/>
  <c r="D57" i="28"/>
  <c r="X57" i="28" s="1"/>
  <c r="Y57" i="28" s="1"/>
  <c r="ED57" i="67"/>
  <c r="DO249" i="4"/>
  <c r="R249" i="4"/>
  <c r="ED52" i="67"/>
  <c r="DO244" i="4"/>
  <c r="R244" i="4"/>
  <c r="EB52" i="67"/>
  <c r="EC52" i="67" s="1"/>
  <c r="D52" i="75"/>
  <c r="Y52" i="75" s="1"/>
  <c r="D52" i="38"/>
  <c r="D52" i="28"/>
  <c r="X52" i="28" s="1"/>
  <c r="Y52" i="28" s="1"/>
  <c r="D55" i="28"/>
  <c r="X55" i="28" s="1"/>
  <c r="Y55" i="28" s="1"/>
  <c r="ED55" i="67"/>
  <c r="EB55" i="67"/>
  <c r="EC55" i="67" s="1"/>
  <c r="R247" i="4"/>
  <c r="DO247" i="4"/>
  <c r="D55" i="75"/>
  <c r="Y55" i="75" s="1"/>
  <c r="D55" i="38"/>
  <c r="ED61" i="67"/>
  <c r="EB61" i="67"/>
  <c r="EC61" i="67" s="1"/>
  <c r="R253" i="4"/>
  <c r="DO253" i="4"/>
  <c r="D61" i="75"/>
  <c r="Y61" i="75" s="1"/>
  <c r="D61" i="38"/>
  <c r="D61" i="28"/>
  <c r="X61" i="28" s="1"/>
  <c r="Y61" i="28" s="1"/>
  <c r="R251" i="4"/>
  <c r="DO251" i="4"/>
  <c r="D59" i="75"/>
  <c r="Y59" i="75" s="1"/>
  <c r="D59" i="38"/>
  <c r="D59" i="28"/>
  <c r="X59" i="28" s="1"/>
  <c r="Y59" i="28" s="1"/>
  <c r="EB59" i="67"/>
  <c r="EC59" i="67" s="1"/>
  <c r="ED59" i="67"/>
  <c r="EB51" i="67"/>
  <c r="EC51" i="67" s="1"/>
  <c r="ED51" i="67"/>
  <c r="R243" i="4"/>
  <c r="DO243" i="4"/>
  <c r="D51" i="75"/>
  <c r="Y51" i="75" s="1"/>
  <c r="D51" i="38"/>
  <c r="D51" i="28"/>
  <c r="X51" i="28" s="1"/>
  <c r="Y51" i="28" s="1"/>
  <c r="D54" i="17"/>
  <c r="D10" i="17"/>
  <c r="M45" i="148"/>
  <c r="E53" i="17" l="1"/>
  <c r="E103" i="67"/>
  <c r="F103" i="67" s="1"/>
  <c r="E104" i="67"/>
  <c r="F104" i="67" s="1"/>
  <c r="E101" i="67"/>
  <c r="F101" i="67" s="1"/>
  <c r="E106" i="67"/>
  <c r="F106" i="67" s="1"/>
  <c r="E102" i="67"/>
  <c r="F102" i="67" s="1"/>
  <c r="E108" i="67"/>
  <c r="F108" i="67" s="1"/>
  <c r="E100" i="67"/>
  <c r="F100" i="67" s="1"/>
  <c r="E98" i="67"/>
  <c r="E107" i="67"/>
  <c r="F107" i="67" s="1"/>
  <c r="E109" i="67"/>
  <c r="F109" i="67" s="1"/>
  <c r="E105" i="67"/>
  <c r="F105" i="67" s="1"/>
  <c r="E99" i="67"/>
  <c r="F99" i="67" s="1"/>
  <c r="D55" i="17"/>
  <c r="E7" i="15"/>
  <c r="E52" i="17"/>
  <c r="G52" i="17"/>
  <c r="I52" i="17" s="1"/>
  <c r="Y44" i="75"/>
  <c r="G51" i="17" s="1"/>
  <c r="I51" i="17" s="1"/>
  <c r="Y35" i="75"/>
  <c r="G50" i="17" s="1"/>
  <c r="I50" i="17" s="1"/>
  <c r="C9" i="15"/>
  <c r="E9" i="15" s="1"/>
  <c r="X35" i="28"/>
  <c r="X44" i="28"/>
  <c r="Y44" i="28" s="1"/>
  <c r="EB69" i="67"/>
  <c r="EC69" i="67" s="1"/>
  <c r="ED69" i="67"/>
  <c r="D69" i="75"/>
  <c r="Y69" i="75" s="1"/>
  <c r="DO261" i="4"/>
  <c r="R261" i="4"/>
  <c r="D69" i="38"/>
  <c r="D69" i="28"/>
  <c r="X69" i="28" s="1"/>
  <c r="Y69" i="28" s="1"/>
  <c r="DO257" i="4"/>
  <c r="R257" i="4"/>
  <c r="D65" i="75"/>
  <c r="Y65" i="75" s="1"/>
  <c r="D65" i="38"/>
  <c r="D65" i="28"/>
  <c r="X65" i="28" s="1"/>
  <c r="Y65" i="28" s="1"/>
  <c r="EB65" i="67"/>
  <c r="EC65" i="67" s="1"/>
  <c r="ED65" i="67"/>
  <c r="R264" i="4"/>
  <c r="DO264" i="4"/>
  <c r="D72" i="75"/>
  <c r="Y72" i="75" s="1"/>
  <c r="D72" i="38"/>
  <c r="D72" i="28"/>
  <c r="X72" i="28" s="1"/>
  <c r="Y72" i="28" s="1"/>
  <c r="EB72" i="67"/>
  <c r="EC72" i="67" s="1"/>
  <c r="ED72" i="67"/>
  <c r="DO260" i="4"/>
  <c r="R260" i="4"/>
  <c r="D68" i="75"/>
  <c r="Y68" i="75" s="1"/>
  <c r="D68" i="38"/>
  <c r="D68" i="28"/>
  <c r="X68" i="28" s="1"/>
  <c r="Y68" i="28" s="1"/>
  <c r="ED68" i="67"/>
  <c r="EB68" i="67"/>
  <c r="EC68" i="67" s="1"/>
  <c r="DO256" i="4"/>
  <c r="R256" i="4"/>
  <c r="D64" i="38"/>
  <c r="ED64" i="67"/>
  <c r="D64" i="75"/>
  <c r="Y64" i="75" s="1"/>
  <c r="D64" i="28"/>
  <c r="X64" i="28" s="1"/>
  <c r="Y64" i="28" s="1"/>
  <c r="EB64" i="67"/>
  <c r="EC64" i="67" s="1"/>
  <c r="DO263" i="4"/>
  <c r="D71" i="75"/>
  <c r="Y71" i="75" s="1"/>
  <c r="D71" i="38"/>
  <c r="D71" i="28"/>
  <c r="X71" i="28" s="1"/>
  <c r="Y71" i="28" s="1"/>
  <c r="ED71" i="67"/>
  <c r="EB71" i="67"/>
  <c r="EC71" i="67" s="1"/>
  <c r="R263" i="4"/>
  <c r="R259" i="4"/>
  <c r="DO259" i="4"/>
  <c r="D67" i="75"/>
  <c r="Y67" i="75" s="1"/>
  <c r="ED67" i="67"/>
  <c r="D67" i="38"/>
  <c r="D67" i="28"/>
  <c r="X67" i="28" s="1"/>
  <c r="Y67" i="28" s="1"/>
  <c r="EB67" i="67"/>
  <c r="EC67" i="67" s="1"/>
  <c r="DO255" i="4"/>
  <c r="R255" i="4"/>
  <c r="D63" i="75"/>
  <c r="Y63" i="75" s="1"/>
  <c r="D63" i="38"/>
  <c r="D63" i="28"/>
  <c r="X63" i="28" s="1"/>
  <c r="Y63" i="28" s="1"/>
  <c r="ED63" i="67"/>
  <c r="EB63" i="67"/>
  <c r="EC63" i="67" s="1"/>
  <c r="D73" i="38"/>
  <c r="D73" i="28"/>
  <c r="X73" i="28" s="1"/>
  <c r="Y73" i="28" s="1"/>
  <c r="EB73" i="67"/>
  <c r="EC73" i="67" s="1"/>
  <c r="DO265" i="4"/>
  <c r="R265" i="4"/>
  <c r="D73" i="75"/>
  <c r="Y73" i="75" s="1"/>
  <c r="ED73" i="67"/>
  <c r="F79" i="67"/>
  <c r="F80" i="67"/>
  <c r="F81" i="67"/>
  <c r="F74" i="67"/>
  <c r="D74" i="38" s="1"/>
  <c r="F83" i="67"/>
  <c r="F76" i="67"/>
  <c r="F77" i="67"/>
  <c r="F85" i="67"/>
  <c r="F84" i="67"/>
  <c r="F78" i="67"/>
  <c r="F82" i="67"/>
  <c r="F75" i="67"/>
  <c r="D70" i="38"/>
  <c r="D70" i="28"/>
  <c r="X70" i="28" s="1"/>
  <c r="Y70" i="28" s="1"/>
  <c r="ED70" i="67"/>
  <c r="R262" i="4"/>
  <c r="DO262" i="4"/>
  <c r="D70" i="75"/>
  <c r="Y70" i="75" s="1"/>
  <c r="EB70" i="67"/>
  <c r="EC70" i="67" s="1"/>
  <c r="DO258" i="4"/>
  <c r="R258" i="4"/>
  <c r="D66" i="75"/>
  <c r="Y66" i="75" s="1"/>
  <c r="D66" i="38"/>
  <c r="D66" i="28"/>
  <c r="X66" i="28" s="1"/>
  <c r="Y66" i="28" s="1"/>
  <c r="EB66" i="67"/>
  <c r="EC66" i="67" s="1"/>
  <c r="ED66" i="67"/>
  <c r="ED62" i="67"/>
  <c r="D62" i="75"/>
  <c r="Y62" i="75" s="1"/>
  <c r="DO254" i="4"/>
  <c r="R254" i="4"/>
  <c r="EB62" i="67"/>
  <c r="EC62" i="67" s="1"/>
  <c r="D62" i="38"/>
  <c r="D62" i="28"/>
  <c r="X62" i="28" s="1"/>
  <c r="Y62" i="28" s="1"/>
  <c r="M46" i="148"/>
  <c r="H10" i="17"/>
  <c r="I10" i="17" s="1"/>
  <c r="K10" i="17" s="1"/>
  <c r="E10" i="17"/>
  <c r="E54" i="17"/>
  <c r="H54" i="17"/>
  <c r="D11" i="17"/>
  <c r="D99" i="28" l="1"/>
  <c r="X99" i="28" s="1"/>
  <c r="Y99" i="28" s="1"/>
  <c r="EB99" i="67"/>
  <c r="EC99" i="67" s="1"/>
  <c r="D99" i="75"/>
  <c r="Y99" i="75" s="1"/>
  <c r="D99" i="38"/>
  <c r="ED99" i="67"/>
  <c r="D105" i="75"/>
  <c r="Y105" i="75" s="1"/>
  <c r="D105" i="28"/>
  <c r="X105" i="28" s="1"/>
  <c r="Y105" i="28" s="1"/>
  <c r="D105" i="38"/>
  <c r="EB105" i="67"/>
  <c r="EC105" i="67" s="1"/>
  <c r="ED105" i="67"/>
  <c r="EB109" i="67"/>
  <c r="EC109" i="67" s="1"/>
  <c r="D109" i="75"/>
  <c r="Y109" i="75" s="1"/>
  <c r="D109" i="28"/>
  <c r="X109" i="28" s="1"/>
  <c r="Y109" i="28" s="1"/>
  <c r="D109" i="38"/>
  <c r="ED109" i="67"/>
  <c r="D107" i="38"/>
  <c r="D107" i="28"/>
  <c r="X107" i="28" s="1"/>
  <c r="Y107" i="28" s="1"/>
  <c r="EB107" i="67"/>
  <c r="EC107" i="67" s="1"/>
  <c r="D107" i="75"/>
  <c r="Y107" i="75" s="1"/>
  <c r="ED107" i="67"/>
  <c r="F98" i="67"/>
  <c r="D14" i="17"/>
  <c r="D56" i="17"/>
  <c r="D100" i="38"/>
  <c r="D100" i="75"/>
  <c r="Y100" i="75" s="1"/>
  <c r="EB100" i="67"/>
  <c r="EC100" i="67" s="1"/>
  <c r="D100" i="28"/>
  <c r="X100" i="28" s="1"/>
  <c r="Y100" i="28" s="1"/>
  <c r="ED100" i="67"/>
  <c r="D108" i="28"/>
  <c r="X108" i="28" s="1"/>
  <c r="Y108" i="28" s="1"/>
  <c r="EB108" i="67"/>
  <c r="EC108" i="67" s="1"/>
  <c r="D108" i="75"/>
  <c r="Y108" i="75" s="1"/>
  <c r="D108" i="38"/>
  <c r="ED108" i="67"/>
  <c r="EB102" i="67"/>
  <c r="EC102" i="67" s="1"/>
  <c r="D102" i="75"/>
  <c r="Y102" i="75" s="1"/>
  <c r="D102" i="28"/>
  <c r="X102" i="28" s="1"/>
  <c r="Y102" i="28" s="1"/>
  <c r="D102" i="38"/>
  <c r="ED102" i="67"/>
  <c r="D106" i="38"/>
  <c r="D106" i="75"/>
  <c r="Y106" i="75" s="1"/>
  <c r="D106" i="28"/>
  <c r="X106" i="28" s="1"/>
  <c r="Y106" i="28" s="1"/>
  <c r="EB106" i="67"/>
  <c r="EC106" i="67" s="1"/>
  <c r="ED106" i="67"/>
  <c r="D101" i="38"/>
  <c r="D101" i="75"/>
  <c r="Y101" i="75" s="1"/>
  <c r="EB101" i="67"/>
  <c r="EC101" i="67" s="1"/>
  <c r="D101" i="28"/>
  <c r="X101" i="28" s="1"/>
  <c r="Y101" i="28" s="1"/>
  <c r="ED101" i="67"/>
  <c r="D104" i="38"/>
  <c r="EB104" i="67"/>
  <c r="EC104" i="67" s="1"/>
  <c r="D104" i="28"/>
  <c r="X104" i="28" s="1"/>
  <c r="Y104" i="28" s="1"/>
  <c r="D104" i="75"/>
  <c r="Y104" i="75" s="1"/>
  <c r="ED104" i="67"/>
  <c r="D103" i="38"/>
  <c r="EB103" i="67"/>
  <c r="EC103" i="67" s="1"/>
  <c r="D103" i="28"/>
  <c r="X103" i="28" s="1"/>
  <c r="Y103" i="28" s="1"/>
  <c r="D103" i="75"/>
  <c r="Y103" i="75" s="1"/>
  <c r="ED103" i="67"/>
  <c r="Y35" i="28"/>
  <c r="E55" i="17"/>
  <c r="H55" i="17"/>
  <c r="K50" i="17"/>
  <c r="K51" i="17"/>
  <c r="G53" i="17"/>
  <c r="I53" i="17" s="1"/>
  <c r="C10" i="15"/>
  <c r="E10" i="15" s="1"/>
  <c r="K52" i="17"/>
  <c r="G3" i="74" s="1"/>
  <c r="R266" i="4"/>
  <c r="D74" i="28"/>
  <c r="X74" i="28" s="1"/>
  <c r="Y74" i="28" s="1"/>
  <c r="DO266" i="4"/>
  <c r="D74" i="75"/>
  <c r="ED79" i="67"/>
  <c r="D79" i="28"/>
  <c r="X79" i="28" s="1"/>
  <c r="Y79" i="28" s="1"/>
  <c r="D79" i="75"/>
  <c r="Y79" i="75" s="1"/>
  <c r="EB79" i="67"/>
  <c r="EC79" i="67" s="1"/>
  <c r="D79" i="38"/>
  <c r="R271" i="4"/>
  <c r="DO271" i="4"/>
  <c r="D75" i="38"/>
  <c r="D75" i="75"/>
  <c r="Y75" i="75" s="1"/>
  <c r="D75" i="28"/>
  <c r="X75" i="28" s="1"/>
  <c r="Y75" i="28" s="1"/>
  <c r="EB75" i="67"/>
  <c r="EC75" i="67" s="1"/>
  <c r="ED75" i="67"/>
  <c r="DO267" i="4"/>
  <c r="R267" i="4"/>
  <c r="EB82" i="67"/>
  <c r="EC82" i="67" s="1"/>
  <c r="DO274" i="4"/>
  <c r="D82" i="75"/>
  <c r="Y82" i="75" s="1"/>
  <c r="D82" i="28"/>
  <c r="X82" i="28" s="1"/>
  <c r="Y82" i="28" s="1"/>
  <c r="D82" i="38"/>
  <c r="ED82" i="67"/>
  <c r="R274" i="4"/>
  <c r="D78" i="75"/>
  <c r="Y78" i="75" s="1"/>
  <c r="ED78" i="67"/>
  <c r="D78" i="28"/>
  <c r="X78" i="28" s="1"/>
  <c r="Y78" i="28" s="1"/>
  <c r="EB78" i="67"/>
  <c r="EC78" i="67" s="1"/>
  <c r="R270" i="4"/>
  <c r="DO270" i="4"/>
  <c r="D78" i="38"/>
  <c r="EB84" i="67"/>
  <c r="EC84" i="67" s="1"/>
  <c r="D84" i="75"/>
  <c r="Y84" i="75" s="1"/>
  <c r="ED84" i="67"/>
  <c r="R276" i="4"/>
  <c r="DO276" i="4"/>
  <c r="D84" i="38"/>
  <c r="D84" i="28"/>
  <c r="X84" i="28" s="1"/>
  <c r="Y84" i="28" s="1"/>
  <c r="F87" i="67"/>
  <c r="F91" i="67"/>
  <c r="F92" i="67"/>
  <c r="F95" i="67"/>
  <c r="F96" i="67"/>
  <c r="F88" i="67"/>
  <c r="F89" i="67"/>
  <c r="F97" i="67"/>
  <c r="D97" i="75" s="1"/>
  <c r="Y97" i="75" s="1"/>
  <c r="F93" i="67"/>
  <c r="F86" i="67"/>
  <c r="R278" i="4" s="1"/>
  <c r="F90" i="67"/>
  <c r="F94" i="67"/>
  <c r="EB85" i="67"/>
  <c r="EC85" i="67" s="1"/>
  <c r="D85" i="75"/>
  <c r="Y85" i="75" s="1"/>
  <c r="D85" i="28"/>
  <c r="X85" i="28" s="1"/>
  <c r="Y85" i="28" s="1"/>
  <c r="D85" i="38"/>
  <c r="DO277" i="4"/>
  <c r="ED85" i="67"/>
  <c r="R277" i="4"/>
  <c r="EB74" i="67"/>
  <c r="EC74" i="67" s="1"/>
  <c r="DO269" i="4"/>
  <c r="EB77" i="67"/>
  <c r="EC77" i="67" s="1"/>
  <c r="D77" i="28"/>
  <c r="X77" i="28" s="1"/>
  <c r="Y77" i="28" s="1"/>
  <c r="D77" i="75"/>
  <c r="Y77" i="75" s="1"/>
  <c r="ED77" i="67"/>
  <c r="D77" i="38"/>
  <c r="R269" i="4"/>
  <c r="R268" i="4"/>
  <c r="DO268" i="4"/>
  <c r="EB76" i="67"/>
  <c r="EC76" i="67" s="1"/>
  <c r="D76" i="38"/>
  <c r="D76" i="75"/>
  <c r="Y76" i="75" s="1"/>
  <c r="ED76" i="67"/>
  <c r="D76" i="28"/>
  <c r="X76" i="28" s="1"/>
  <c r="Y76" i="28" s="1"/>
  <c r="ED83" i="67"/>
  <c r="R275" i="4"/>
  <c r="D83" i="28"/>
  <c r="X83" i="28" s="1"/>
  <c r="Y83" i="28" s="1"/>
  <c r="D83" i="75"/>
  <c r="Y83" i="75" s="1"/>
  <c r="EB83" i="67"/>
  <c r="EC83" i="67" s="1"/>
  <c r="D83" i="38"/>
  <c r="DO275" i="4"/>
  <c r="ED74" i="67"/>
  <c r="R273" i="4"/>
  <c r="DO273" i="4"/>
  <c r="EB81" i="67"/>
  <c r="EC81" i="67" s="1"/>
  <c r="D81" i="75"/>
  <c r="Y81" i="75" s="1"/>
  <c r="D81" i="28"/>
  <c r="X81" i="28" s="1"/>
  <c r="Y81" i="28" s="1"/>
  <c r="D81" i="38"/>
  <c r="ED81" i="67"/>
  <c r="R272" i="4"/>
  <c r="ED80" i="67"/>
  <c r="D80" i="75"/>
  <c r="Y80" i="75" s="1"/>
  <c r="EB80" i="67"/>
  <c r="EC80" i="67" s="1"/>
  <c r="D80" i="28"/>
  <c r="X80" i="28" s="1"/>
  <c r="Y80" i="28" s="1"/>
  <c r="DO272" i="4"/>
  <c r="D80" i="38"/>
  <c r="DO301" i="4"/>
  <c r="R301" i="4"/>
  <c r="R299" i="4"/>
  <c r="DO299" i="4"/>
  <c r="D12" i="17"/>
  <c r="DO291" i="4"/>
  <c r="R291" i="4"/>
  <c r="R295" i="4"/>
  <c r="DO295" i="4"/>
  <c r="E11" i="17"/>
  <c r="H11" i="17"/>
  <c r="I11" i="17" s="1"/>
  <c r="K11" i="17" s="1"/>
  <c r="R292" i="4"/>
  <c r="DO292" i="4"/>
  <c r="DO300" i="4"/>
  <c r="R300" i="4"/>
  <c r="R296" i="4"/>
  <c r="DO296" i="4"/>
  <c r="DO293" i="4"/>
  <c r="R293" i="4"/>
  <c r="DO297" i="4"/>
  <c r="R297" i="4"/>
  <c r="DO294" i="4"/>
  <c r="R294" i="4"/>
  <c r="DO298" i="4"/>
  <c r="R298" i="4"/>
  <c r="H56" i="17" l="1"/>
  <c r="E56" i="17"/>
  <c r="H14" i="17"/>
  <c r="I14" i="17" s="1"/>
  <c r="K14" i="17" s="1"/>
  <c r="E14" i="17"/>
  <c r="D98" i="75"/>
  <c r="Y98" i="75" s="1"/>
  <c r="G56" i="17" s="1"/>
  <c r="I56" i="17" s="1"/>
  <c r="K56" i="17" s="1"/>
  <c r="D98" i="38"/>
  <c r="EB98" i="67"/>
  <c r="EC98" i="67" s="1"/>
  <c r="D98" i="28"/>
  <c r="ED98" i="67"/>
  <c r="F3" i="74"/>
  <c r="E3" i="74"/>
  <c r="K53" i="17"/>
  <c r="H3" i="74" s="1"/>
  <c r="Y74" i="75"/>
  <c r="G54" i="17" s="1"/>
  <c r="I54" i="17" s="1"/>
  <c r="C11" i="15"/>
  <c r="E11" i="15" s="1"/>
  <c r="D86" i="38"/>
  <c r="DO278" i="4"/>
  <c r="D86" i="75"/>
  <c r="D86" i="28"/>
  <c r="X86" i="28" s="1"/>
  <c r="Y86" i="28" s="1"/>
  <c r="ED86" i="67"/>
  <c r="EB86" i="67"/>
  <c r="EC86" i="67" s="1"/>
  <c r="D94" i="75"/>
  <c r="Y94" i="75" s="1"/>
  <c r="EB94" i="67"/>
  <c r="EC94" i="67" s="1"/>
  <c r="D94" i="28"/>
  <c r="X94" i="28" s="1"/>
  <c r="Y94" i="28" s="1"/>
  <c r="DO286" i="4"/>
  <c r="D94" i="38"/>
  <c r="R286" i="4"/>
  <c r="ED94" i="67"/>
  <c r="DO282" i="4"/>
  <c r="ED90" i="67"/>
  <c r="D90" i="28"/>
  <c r="X90" i="28" s="1"/>
  <c r="Y90" i="28" s="1"/>
  <c r="EB90" i="67"/>
  <c r="EC90" i="67" s="1"/>
  <c r="D90" i="75"/>
  <c r="Y90" i="75" s="1"/>
  <c r="D90" i="38"/>
  <c r="R282" i="4"/>
  <c r="D93" i="75"/>
  <c r="Y93" i="75" s="1"/>
  <c r="ED93" i="67"/>
  <c r="R285" i="4"/>
  <c r="EB93" i="67"/>
  <c r="EC93" i="67" s="1"/>
  <c r="D93" i="28"/>
  <c r="X93" i="28" s="1"/>
  <c r="Y93" i="28" s="1"/>
  <c r="D93" i="38"/>
  <c r="DO285" i="4"/>
  <c r="R289" i="4"/>
  <c r="ED97" i="67"/>
  <c r="D97" i="28"/>
  <c r="X97" i="28" s="1"/>
  <c r="EB97" i="67"/>
  <c r="EC97" i="67" s="1"/>
  <c r="D97" i="38"/>
  <c r="DO289" i="4"/>
  <c r="D89" i="38"/>
  <c r="R281" i="4"/>
  <c r="D89" i="75"/>
  <c r="Y89" i="75" s="1"/>
  <c r="D89" i="28"/>
  <c r="X89" i="28" s="1"/>
  <c r="Y89" i="28" s="1"/>
  <c r="DO281" i="4"/>
  <c r="ED89" i="67"/>
  <c r="EB89" i="67"/>
  <c r="EC89" i="67" s="1"/>
  <c r="EB88" i="67"/>
  <c r="EC88" i="67" s="1"/>
  <c r="D88" i="38"/>
  <c r="D88" i="28"/>
  <c r="X88" i="28" s="1"/>
  <c r="Y88" i="28" s="1"/>
  <c r="DO280" i="4"/>
  <c r="D88" i="75"/>
  <c r="Y88" i="75" s="1"/>
  <c r="R280" i="4"/>
  <c r="ED88" i="67"/>
  <c r="D96" i="28"/>
  <c r="X96" i="28" s="1"/>
  <c r="Y96" i="28" s="1"/>
  <c r="D96" i="38"/>
  <c r="ED96" i="67"/>
  <c r="R288" i="4"/>
  <c r="DO288" i="4"/>
  <c r="D96" i="75"/>
  <c r="Y96" i="75" s="1"/>
  <c r="EB96" i="67"/>
  <c r="EC96" i="67" s="1"/>
  <c r="D95" i="38"/>
  <c r="D95" i="75"/>
  <c r="Y95" i="75" s="1"/>
  <c r="D95" i="28"/>
  <c r="X95" i="28" s="1"/>
  <c r="Y95" i="28" s="1"/>
  <c r="DO287" i="4"/>
  <c r="R287" i="4"/>
  <c r="ED95" i="67"/>
  <c r="EB95" i="67"/>
  <c r="EC95" i="67" s="1"/>
  <c r="D92" i="28"/>
  <c r="X92" i="28" s="1"/>
  <c r="Y92" i="28" s="1"/>
  <c r="D92" i="75"/>
  <c r="Y92" i="75" s="1"/>
  <c r="DO284" i="4"/>
  <c r="EB92" i="67"/>
  <c r="EC92" i="67" s="1"/>
  <c r="ED92" i="67"/>
  <c r="D92" i="38"/>
  <c r="R284" i="4"/>
  <c r="D91" i="28"/>
  <c r="X91" i="28" s="1"/>
  <c r="Y91" i="28" s="1"/>
  <c r="R283" i="4"/>
  <c r="D91" i="38"/>
  <c r="D91" i="75"/>
  <c r="Y91" i="75" s="1"/>
  <c r="EB91" i="67"/>
  <c r="EC91" i="67" s="1"/>
  <c r="ED91" i="67"/>
  <c r="DO283" i="4"/>
  <c r="R279" i="4"/>
  <c r="DO279" i="4"/>
  <c r="D87" i="75"/>
  <c r="Y87" i="75" s="1"/>
  <c r="ED87" i="67"/>
  <c r="EB87" i="67"/>
  <c r="EC87" i="67" s="1"/>
  <c r="D87" i="38"/>
  <c r="D87" i="28"/>
  <c r="X87" i="28" s="1"/>
  <c r="Y87" i="28" s="1"/>
  <c r="R303" i="4"/>
  <c r="DO303" i="4"/>
  <c r="DO305" i="4"/>
  <c r="R305" i="4"/>
  <c r="D13" i="17"/>
  <c r="R311" i="4"/>
  <c r="DO311" i="4"/>
  <c r="R310" i="4"/>
  <c r="DO310" i="4"/>
  <c r="DO309" i="4"/>
  <c r="R309" i="4"/>
  <c r="DO313" i="4"/>
  <c r="R313" i="4"/>
  <c r="R306" i="4"/>
  <c r="DO306" i="4"/>
  <c r="R312" i="4"/>
  <c r="DO312" i="4"/>
  <c r="DO308" i="4"/>
  <c r="R308" i="4"/>
  <c r="R290" i="4"/>
  <c r="DO290" i="4"/>
  <c r="H15" i="17"/>
  <c r="DO304" i="4"/>
  <c r="R304" i="4"/>
  <c r="H12" i="17"/>
  <c r="I12" i="17" s="1"/>
  <c r="K12" i="17" s="1"/>
  <c r="E12" i="17"/>
  <c r="DO307" i="4"/>
  <c r="R307" i="4"/>
  <c r="C13" i="15" l="1"/>
  <c r="E13" i="15" s="1"/>
  <c r="X98" i="28"/>
  <c r="Y98" i="28" s="1"/>
  <c r="L3" i="25"/>
  <c r="K3" i="74"/>
  <c r="Y97" i="28"/>
  <c r="Y110" i="28" s="1"/>
  <c r="I15" i="17"/>
  <c r="H57" i="17"/>
  <c r="K54" i="17"/>
  <c r="I3" i="74" s="1"/>
  <c r="Y86" i="75"/>
  <c r="G55" i="17" s="1"/>
  <c r="I55" i="17" s="1"/>
  <c r="K55" i="17" s="1"/>
  <c r="J3" i="74" s="1"/>
  <c r="C12" i="15"/>
  <c r="H13" i="17"/>
  <c r="I13" i="17" s="1"/>
  <c r="K13" i="17" s="1"/>
  <c r="E13" i="17"/>
  <c r="R318" i="4"/>
  <c r="R315" i="4"/>
  <c r="R314" i="4"/>
  <c r="R317" i="4"/>
  <c r="R302" i="4"/>
  <c r="DO302" i="4"/>
  <c r="R316" i="4"/>
  <c r="E12" i="15" l="1"/>
  <c r="C14" i="15"/>
  <c r="E14" i="15" s="1"/>
  <c r="I57" i="17"/>
  <c r="I58" i="17"/>
  <c r="E16" i="15"/>
  <c r="E17" i="15" l="1"/>
  <c r="U39" i="72"/>
  <c r="T39" i="72"/>
  <c r="R39" i="72"/>
  <c r="Q39" i="72"/>
  <c r="P85" i="72"/>
  <c r="P90" i="72" s="1"/>
  <c r="U48" i="72"/>
  <c r="F9" i="73" s="1"/>
  <c r="S47" i="72"/>
  <c r="R48" i="72"/>
  <c r="Q85" i="72"/>
  <c r="Q90" i="72" s="1"/>
  <c r="R47" i="72"/>
  <c r="U47" i="72"/>
  <c r="F8" i="73" s="1"/>
  <c r="H8" i="73" s="1"/>
  <c r="Q48" i="72"/>
  <c r="C8" i="73"/>
  <c r="E8" i="73" s="1"/>
  <c r="U67" i="72"/>
  <c r="S39" i="72"/>
  <c r="Q47" i="72"/>
  <c r="D62" i="148" s="1"/>
  <c r="T40" i="72"/>
  <c r="S40" i="72"/>
  <c r="R40" i="72"/>
  <c r="U40" i="72"/>
  <c r="Q40" i="72"/>
  <c r="C9" i="73"/>
  <c r="E9" i="73" s="1"/>
  <c r="P48" i="72"/>
  <c r="E54" i="148" s="1"/>
  <c r="P47" i="72"/>
  <c r="O8" i="73" l="1"/>
  <c r="N8" i="73"/>
  <c r="M8" i="73"/>
  <c r="M9" i="73"/>
  <c r="E15" i="73"/>
  <c r="C15" i="73"/>
  <c r="D75" i="148"/>
  <c r="D78" i="148" s="1"/>
  <c r="P16" i="148"/>
  <c r="P47" i="148" s="1"/>
  <c r="E84" i="148"/>
  <c r="E85" i="148" s="1"/>
  <c r="E80" i="148"/>
  <c r="P15" i="148"/>
  <c r="P14" i="148"/>
  <c r="E75" i="148"/>
  <c r="E78" i="148" s="1"/>
  <c r="K78" i="148" s="1"/>
  <c r="E69" i="148"/>
  <c r="E71" i="148" s="1"/>
  <c r="P13" i="148"/>
  <c r="E62" i="148"/>
  <c r="E66" i="148" s="1"/>
  <c r="P12" i="148"/>
  <c r="K9" i="73"/>
  <c r="O9" i="73" s="1"/>
  <c r="R52" i="72"/>
  <c r="D69" i="148"/>
  <c r="D70" i="148" s="1"/>
  <c r="U44" i="72"/>
  <c r="S44" i="72"/>
  <c r="E55" i="148"/>
  <c r="E60" i="148"/>
  <c r="E59" i="148"/>
  <c r="E58" i="148"/>
  <c r="E57" i="148"/>
  <c r="E56" i="148"/>
  <c r="O11" i="148"/>
  <c r="U90" i="72"/>
  <c r="H9" i="73"/>
  <c r="N9" i="73" s="1"/>
  <c r="U85" i="72"/>
  <c r="S52" i="72"/>
  <c r="D65" i="148"/>
  <c r="D66" i="148"/>
  <c r="D67" i="148"/>
  <c r="D64" i="148"/>
  <c r="D63" i="148"/>
  <c r="Q52" i="72"/>
  <c r="P52" i="72"/>
  <c r="G54" i="148" s="1"/>
  <c r="D54" i="148"/>
  <c r="T52" i="72"/>
  <c r="Q44" i="72"/>
  <c r="U52" i="72"/>
  <c r="D84" i="148"/>
  <c r="R44" i="72"/>
  <c r="T44" i="72"/>
  <c r="P44" i="72"/>
  <c r="D80" i="148"/>
  <c r="E81" i="148" l="1"/>
  <c r="D17" i="74"/>
  <c r="I23" i="73"/>
  <c r="D17" i="25"/>
  <c r="P46" i="148"/>
  <c r="D77" i="148"/>
  <c r="D76" i="148"/>
  <c r="D23" i="73"/>
  <c r="D28" i="73" s="1"/>
  <c r="E73" i="148"/>
  <c r="E70" i="148"/>
  <c r="K70" i="148" s="1"/>
  <c r="P45" i="148"/>
  <c r="R104" i="67" s="1"/>
  <c r="S104" i="67" s="1"/>
  <c r="K75" i="148"/>
  <c r="E77" i="148"/>
  <c r="E82" i="148"/>
  <c r="E76" i="148"/>
  <c r="E67" i="148"/>
  <c r="K62" i="148"/>
  <c r="O12" i="148"/>
  <c r="O42" i="148" s="1"/>
  <c r="M66" i="67" s="1"/>
  <c r="E64" i="148"/>
  <c r="E65" i="148"/>
  <c r="E63" i="148"/>
  <c r="K63" i="148" s="1"/>
  <c r="E72" i="148"/>
  <c r="P44" i="148"/>
  <c r="R91" i="67" s="1"/>
  <c r="S91" i="67" s="1"/>
  <c r="D91" i="157" s="1"/>
  <c r="N91" i="157" s="1"/>
  <c r="O91" i="157" s="1"/>
  <c r="P42" i="148"/>
  <c r="P43" i="148"/>
  <c r="R74" i="67" s="1"/>
  <c r="O41" i="148"/>
  <c r="D73" i="148"/>
  <c r="D71" i="148"/>
  <c r="D72" i="148"/>
  <c r="K69" i="148"/>
  <c r="N36" i="67"/>
  <c r="D36" i="150" s="1"/>
  <c r="Z8" i="17"/>
  <c r="D60" i="148"/>
  <c r="N11" i="148"/>
  <c r="G60" i="148"/>
  <c r="G58" i="148"/>
  <c r="Q28" i="148" s="1"/>
  <c r="G56" i="148"/>
  <c r="Q13" i="148" s="1"/>
  <c r="G55" i="148"/>
  <c r="Q12" i="148" s="1"/>
  <c r="G57" i="148"/>
  <c r="G59" i="148"/>
  <c r="Q11" i="148"/>
  <c r="D81" i="148"/>
  <c r="D82" i="148"/>
  <c r="K84" i="148"/>
  <c r="D85" i="148"/>
  <c r="K85" i="148" s="1"/>
  <c r="D56" i="148"/>
  <c r="N13" i="148" s="1"/>
  <c r="D57" i="148"/>
  <c r="D58" i="148"/>
  <c r="D59" i="148"/>
  <c r="D55" i="148"/>
  <c r="N12" i="148" s="1"/>
  <c r="K54" i="148"/>
  <c r="K80" i="148"/>
  <c r="F15" i="73"/>
  <c r="H15" i="73" s="1"/>
  <c r="I15" i="73"/>
  <c r="K15" i="73" s="1"/>
  <c r="R109" i="67" l="1"/>
  <c r="S109" i="67" s="1"/>
  <c r="O28" i="148"/>
  <c r="R103" i="67"/>
  <c r="S103" i="67" s="1"/>
  <c r="D103" i="157" s="1"/>
  <c r="N103" i="157" s="1"/>
  <c r="O103" i="157" s="1"/>
  <c r="N28" i="148"/>
  <c r="O30" i="148"/>
  <c r="R105" i="67"/>
  <c r="S105" i="67" s="1"/>
  <c r="D105" i="152" s="1"/>
  <c r="N105" i="152" s="1"/>
  <c r="R98" i="67"/>
  <c r="S98" i="67" s="1"/>
  <c r="D104" i="157"/>
  <c r="N104" i="157" s="1"/>
  <c r="O104" i="157" s="1"/>
  <c r="D104" i="32"/>
  <c r="N104" i="32" s="1"/>
  <c r="O104" i="32" s="1"/>
  <c r="D104" i="151"/>
  <c r="D104" i="152"/>
  <c r="N104" i="152" s="1"/>
  <c r="O29" i="148"/>
  <c r="D109" i="32"/>
  <c r="N109" i="32" s="1"/>
  <c r="O109" i="32" s="1"/>
  <c r="D109" i="157"/>
  <c r="N109" i="157" s="1"/>
  <c r="O109" i="157" s="1"/>
  <c r="D109" i="151"/>
  <c r="D109" i="152"/>
  <c r="N109" i="152" s="1"/>
  <c r="K81" i="148"/>
  <c r="N29" i="148"/>
  <c r="R107" i="67"/>
  <c r="S107" i="67" s="1"/>
  <c r="R100" i="67"/>
  <c r="S100" i="67" s="1"/>
  <c r="R102" i="67"/>
  <c r="S102" i="67" s="1"/>
  <c r="N30" i="148"/>
  <c r="S16" i="17" s="1"/>
  <c r="R108" i="67"/>
  <c r="S108" i="67" s="1"/>
  <c r="R101" i="67"/>
  <c r="S101" i="67" s="1"/>
  <c r="Q29" i="148"/>
  <c r="AZ15" i="17" s="1"/>
  <c r="R106" i="67"/>
  <c r="S106" i="67" s="1"/>
  <c r="R99" i="67"/>
  <c r="S99" i="67" s="1"/>
  <c r="Q30" i="148"/>
  <c r="AZ16" i="17" s="1"/>
  <c r="K77" i="148"/>
  <c r="K76" i="148"/>
  <c r="V36" i="150"/>
  <c r="O7" i="15"/>
  <c r="D91" i="32"/>
  <c r="D91" i="152"/>
  <c r="N91" i="152" s="1"/>
  <c r="D91" i="151"/>
  <c r="S74" i="67"/>
  <c r="D74" i="157" s="1"/>
  <c r="N74" i="157" s="1"/>
  <c r="O13" i="148"/>
  <c r="O43" i="148" s="1"/>
  <c r="K82" i="148"/>
  <c r="O14" i="148"/>
  <c r="O15" i="148"/>
  <c r="O16" i="148"/>
  <c r="R96" i="67"/>
  <c r="S96" i="67" s="1"/>
  <c r="D96" i="157" s="1"/>
  <c r="N96" i="157" s="1"/>
  <c r="O96" i="157" s="1"/>
  <c r="R92" i="67"/>
  <c r="S92" i="67" s="1"/>
  <c r="D92" i="157" s="1"/>
  <c r="N92" i="157" s="1"/>
  <c r="O92" i="157" s="1"/>
  <c r="R87" i="67"/>
  <c r="S87" i="67" s="1"/>
  <c r="D87" i="157" s="1"/>
  <c r="N87" i="157" s="1"/>
  <c r="O87" i="157" s="1"/>
  <c r="R88" i="67"/>
  <c r="S88" i="67" s="1"/>
  <c r="D88" i="157" s="1"/>
  <c r="N88" i="157" s="1"/>
  <c r="O88" i="157" s="1"/>
  <c r="R94" i="67"/>
  <c r="S94" i="67" s="1"/>
  <c r="D94" i="157" s="1"/>
  <c r="N94" i="157" s="1"/>
  <c r="O94" i="157" s="1"/>
  <c r="R86" i="67"/>
  <c r="R95" i="67"/>
  <c r="S95" i="67" s="1"/>
  <c r="D95" i="157" s="1"/>
  <c r="N95" i="157" s="1"/>
  <c r="O95" i="157" s="1"/>
  <c r="R93" i="67"/>
  <c r="S93" i="67" s="1"/>
  <c r="D93" i="157" s="1"/>
  <c r="N93" i="157" s="1"/>
  <c r="O93" i="157" s="1"/>
  <c r="R97" i="67"/>
  <c r="S97" i="67" s="1"/>
  <c r="D97" i="157" s="1"/>
  <c r="N97" i="157" s="1"/>
  <c r="O97" i="157" s="1"/>
  <c r="R90" i="67"/>
  <c r="S90" i="67" s="1"/>
  <c r="D90" i="157" s="1"/>
  <c r="N90" i="157" s="1"/>
  <c r="O90" i="157" s="1"/>
  <c r="R89" i="67"/>
  <c r="S89" i="67" s="1"/>
  <c r="D89" i="157" s="1"/>
  <c r="N89" i="157" s="1"/>
  <c r="O89" i="157" s="1"/>
  <c r="R83" i="67"/>
  <c r="S83" i="67" s="1"/>
  <c r="D83" i="157" s="1"/>
  <c r="N83" i="157" s="1"/>
  <c r="O83" i="157" s="1"/>
  <c r="R77" i="67"/>
  <c r="S77" i="67" s="1"/>
  <c r="D77" i="157" s="1"/>
  <c r="N77" i="157" s="1"/>
  <c r="O77" i="157" s="1"/>
  <c r="R82" i="67"/>
  <c r="S82" i="67" s="1"/>
  <c r="D82" i="157" s="1"/>
  <c r="N82" i="157" s="1"/>
  <c r="O82" i="157" s="1"/>
  <c r="R72" i="67"/>
  <c r="S72" i="67" s="1"/>
  <c r="D72" i="157" s="1"/>
  <c r="N72" i="157" s="1"/>
  <c r="R73" i="67"/>
  <c r="S73" i="67" s="1"/>
  <c r="D73" i="157" s="1"/>
  <c r="N73" i="157" s="1"/>
  <c r="R62" i="67"/>
  <c r="R63" i="67"/>
  <c r="S63" i="67" s="1"/>
  <c r="D63" i="157" s="1"/>
  <c r="N63" i="157" s="1"/>
  <c r="R64" i="67"/>
  <c r="S64" i="67" s="1"/>
  <c r="D64" i="157" s="1"/>
  <c r="N64" i="157" s="1"/>
  <c r="R65" i="67"/>
  <c r="S65" i="67" s="1"/>
  <c r="D65" i="157" s="1"/>
  <c r="N65" i="157" s="1"/>
  <c r="R66" i="67"/>
  <c r="S66" i="67" s="1"/>
  <c r="D66" i="157" s="1"/>
  <c r="N66" i="157" s="1"/>
  <c r="R67" i="67"/>
  <c r="S67" i="67" s="1"/>
  <c r="D67" i="157" s="1"/>
  <c r="N67" i="157" s="1"/>
  <c r="R68" i="67"/>
  <c r="S68" i="67" s="1"/>
  <c r="D68" i="157" s="1"/>
  <c r="N68" i="157" s="1"/>
  <c r="R69" i="67"/>
  <c r="S69" i="67" s="1"/>
  <c r="D69" i="157" s="1"/>
  <c r="N69" i="157" s="1"/>
  <c r="R70" i="67"/>
  <c r="S70" i="67" s="1"/>
  <c r="D70" i="157" s="1"/>
  <c r="N70" i="157" s="1"/>
  <c r="R71" i="67"/>
  <c r="S71" i="67" s="1"/>
  <c r="D71" i="157" s="1"/>
  <c r="N71" i="157" s="1"/>
  <c r="R85" i="67"/>
  <c r="S85" i="67" s="1"/>
  <c r="D85" i="157" s="1"/>
  <c r="N85" i="157" s="1"/>
  <c r="O85" i="157" s="1"/>
  <c r="R84" i="67"/>
  <c r="S84" i="67" s="1"/>
  <c r="D84" i="157" s="1"/>
  <c r="N84" i="157" s="1"/>
  <c r="O84" i="157" s="1"/>
  <c r="M64" i="67"/>
  <c r="N64" i="67" s="1"/>
  <c r="D64" i="150" s="1"/>
  <c r="V64" i="150" s="1"/>
  <c r="W64" i="150" s="1"/>
  <c r="R81" i="67"/>
  <c r="S81" i="67" s="1"/>
  <c r="D81" i="157" s="1"/>
  <c r="N81" i="157" s="1"/>
  <c r="O81" i="157" s="1"/>
  <c r="R80" i="67"/>
  <c r="S80" i="67" s="1"/>
  <c r="D80" i="157" s="1"/>
  <c r="N80" i="157" s="1"/>
  <c r="O80" i="157" s="1"/>
  <c r="R79" i="67"/>
  <c r="S79" i="67" s="1"/>
  <c r="D79" i="157" s="1"/>
  <c r="N79" i="157" s="1"/>
  <c r="O79" i="157" s="1"/>
  <c r="R78" i="67"/>
  <c r="S78" i="67" s="1"/>
  <c r="D78" i="157" s="1"/>
  <c r="N78" i="157" s="1"/>
  <c r="O78" i="157" s="1"/>
  <c r="M71" i="67"/>
  <c r="N71" i="67" s="1"/>
  <c r="D71" i="150" s="1"/>
  <c r="V71" i="150" s="1"/>
  <c r="W71" i="150" s="1"/>
  <c r="R76" i="67"/>
  <c r="S76" i="67" s="1"/>
  <c r="D76" i="157" s="1"/>
  <c r="N76" i="157" s="1"/>
  <c r="O76" i="157" s="1"/>
  <c r="M65" i="67"/>
  <c r="N65" i="67" s="1"/>
  <c r="D65" i="150" s="1"/>
  <c r="V65" i="150" s="1"/>
  <c r="W65" i="150" s="1"/>
  <c r="M63" i="67"/>
  <c r="N63" i="67" s="1"/>
  <c r="D63" i="150" s="1"/>
  <c r="V63" i="150" s="1"/>
  <c r="W63" i="150" s="1"/>
  <c r="M73" i="67"/>
  <c r="N73" i="67" s="1"/>
  <c r="D73" i="150" s="1"/>
  <c r="V73" i="150" s="1"/>
  <c r="W73" i="150" s="1"/>
  <c r="R75" i="67"/>
  <c r="S75" i="67" s="1"/>
  <c r="D75" i="157" s="1"/>
  <c r="N75" i="157" s="1"/>
  <c r="O75" i="157" s="1"/>
  <c r="M62" i="67"/>
  <c r="N62" i="67" s="1"/>
  <c r="D62" i="150" s="1"/>
  <c r="M72" i="67"/>
  <c r="N72" i="67" s="1"/>
  <c r="D72" i="150" s="1"/>
  <c r="V72" i="150" s="1"/>
  <c r="W72" i="150" s="1"/>
  <c r="M70" i="67"/>
  <c r="N70" i="67" s="1"/>
  <c r="D70" i="150" s="1"/>
  <c r="V70" i="150" s="1"/>
  <c r="W70" i="150" s="1"/>
  <c r="M69" i="67"/>
  <c r="N69" i="67" s="1"/>
  <c r="D69" i="150" s="1"/>
  <c r="V69" i="150" s="1"/>
  <c r="W69" i="150" s="1"/>
  <c r="M68" i="67"/>
  <c r="N68" i="67" s="1"/>
  <c r="D68" i="150" s="1"/>
  <c r="V68" i="150" s="1"/>
  <c r="W68" i="150" s="1"/>
  <c r="Q41" i="148"/>
  <c r="Q42" i="148"/>
  <c r="W73" i="67" s="1"/>
  <c r="X73" i="67" s="1"/>
  <c r="Q43" i="148"/>
  <c r="W77" i="67" s="1"/>
  <c r="X77" i="67" s="1"/>
  <c r="M67" i="67"/>
  <c r="N67" i="67" s="1"/>
  <c r="D67" i="150" s="1"/>
  <c r="V67" i="150" s="1"/>
  <c r="W67" i="150" s="1"/>
  <c r="M58" i="67"/>
  <c r="N58" i="67" s="1"/>
  <c r="M59" i="67"/>
  <c r="N59" i="67" s="1"/>
  <c r="M60" i="67"/>
  <c r="N60" i="67" s="1"/>
  <c r="M61" i="67"/>
  <c r="N61" i="67" s="1"/>
  <c r="M56" i="67"/>
  <c r="N56" i="67" s="1"/>
  <c r="M50" i="67"/>
  <c r="M51" i="67"/>
  <c r="N51" i="67" s="1"/>
  <c r="M55" i="67"/>
  <c r="N55" i="67" s="1"/>
  <c r="M52" i="67"/>
  <c r="N52" i="67" s="1"/>
  <c r="M53" i="67"/>
  <c r="N53" i="67" s="1"/>
  <c r="M54" i="67"/>
  <c r="N54" i="67" s="1"/>
  <c r="M57" i="67"/>
  <c r="N57" i="67" s="1"/>
  <c r="I28" i="73"/>
  <c r="Q16" i="148"/>
  <c r="Q14" i="148"/>
  <c r="Q15" i="148"/>
  <c r="Q17" i="148"/>
  <c r="N41" i="148"/>
  <c r="U11" i="148"/>
  <c r="AD8" i="17"/>
  <c r="AE8" i="17" s="1"/>
  <c r="C20" i="156" s="1"/>
  <c r="D20" i="156" s="1"/>
  <c r="AA8" i="17"/>
  <c r="N45" i="67"/>
  <c r="D45" i="150" s="1"/>
  <c r="Z9" i="17"/>
  <c r="T228" i="4"/>
  <c r="DQ228" i="4"/>
  <c r="D36" i="77"/>
  <c r="W36" i="77" s="1"/>
  <c r="D36" i="36"/>
  <c r="EK36" i="67"/>
  <c r="EH36" i="67"/>
  <c r="EL36" i="67"/>
  <c r="N42" i="148"/>
  <c r="I68" i="67" s="1"/>
  <c r="U12" i="148"/>
  <c r="N66" i="67"/>
  <c r="D66" i="150" s="1"/>
  <c r="V66" i="150" s="1"/>
  <c r="W66" i="150" s="1"/>
  <c r="K55" i="148"/>
  <c r="N14" i="148"/>
  <c r="N43" i="148"/>
  <c r="I77" i="67" s="1"/>
  <c r="O17" i="148"/>
  <c r="K72" i="148"/>
  <c r="K71" i="148"/>
  <c r="K64" i="148"/>
  <c r="C28" i="156" l="1"/>
  <c r="D28" i="156" s="1"/>
  <c r="H23" i="73"/>
  <c r="D105" i="32"/>
  <c r="N105" i="32" s="1"/>
  <c r="O105" i="32" s="1"/>
  <c r="D103" i="152"/>
  <c r="N103" i="152" s="1"/>
  <c r="D105" i="157"/>
  <c r="N105" i="157" s="1"/>
  <c r="O105" i="157" s="1"/>
  <c r="D103" i="32"/>
  <c r="N103" i="32" s="1"/>
  <c r="O103" i="32" s="1"/>
  <c r="D105" i="151"/>
  <c r="D103" i="151"/>
  <c r="BA15" i="17"/>
  <c r="Q27" i="156" s="1"/>
  <c r="R27" i="156" s="1"/>
  <c r="AZ57" i="17"/>
  <c r="BA16" i="17"/>
  <c r="Q28" i="156" s="1"/>
  <c r="R28" i="156" s="1"/>
  <c r="AZ58" i="17"/>
  <c r="D99" i="157"/>
  <c r="N99" i="157" s="1"/>
  <c r="O99" i="157" s="1"/>
  <c r="D99" i="152"/>
  <c r="N99" i="152" s="1"/>
  <c r="D99" i="151"/>
  <c r="D99" i="32"/>
  <c r="N99" i="32" s="1"/>
  <c r="O99" i="32" s="1"/>
  <c r="D106" i="32"/>
  <c r="N106" i="32" s="1"/>
  <c r="O106" i="32" s="1"/>
  <c r="D106" i="157"/>
  <c r="N106" i="157" s="1"/>
  <c r="O106" i="157" s="1"/>
  <c r="D106" i="151"/>
  <c r="D106" i="152"/>
  <c r="N106" i="152" s="1"/>
  <c r="D101" i="151"/>
  <c r="D101" i="157"/>
  <c r="N101" i="157" s="1"/>
  <c r="O101" i="157" s="1"/>
  <c r="D101" i="152"/>
  <c r="N101" i="152" s="1"/>
  <c r="D101" i="32"/>
  <c r="N101" i="32" s="1"/>
  <c r="O101" i="32" s="1"/>
  <c r="AK55" i="17"/>
  <c r="AL55" i="17" s="1"/>
  <c r="D108" i="157"/>
  <c r="N108" i="157" s="1"/>
  <c r="O108" i="157" s="1"/>
  <c r="D108" i="32"/>
  <c r="N108" i="32" s="1"/>
  <c r="O108" i="32" s="1"/>
  <c r="D108" i="152"/>
  <c r="N108" i="152" s="1"/>
  <c r="D108" i="151"/>
  <c r="D102" i="32"/>
  <c r="N102" i="32" s="1"/>
  <c r="O102" i="32" s="1"/>
  <c r="D102" i="152"/>
  <c r="N102" i="152" s="1"/>
  <c r="D102" i="151"/>
  <c r="D102" i="157"/>
  <c r="N102" i="157" s="1"/>
  <c r="O102" i="157" s="1"/>
  <c r="D100" i="152"/>
  <c r="N100" i="152" s="1"/>
  <c r="D100" i="151"/>
  <c r="D100" i="157"/>
  <c r="N100" i="157" s="1"/>
  <c r="O100" i="157" s="1"/>
  <c r="D100" i="32"/>
  <c r="N100" i="32" s="1"/>
  <c r="O100" i="32" s="1"/>
  <c r="D107" i="151"/>
  <c r="D107" i="32"/>
  <c r="N107" i="32" s="1"/>
  <c r="O107" i="32" s="1"/>
  <c r="D107" i="157"/>
  <c r="N107" i="157" s="1"/>
  <c r="O107" i="157" s="1"/>
  <c r="D107" i="152"/>
  <c r="N107" i="152" s="1"/>
  <c r="Q44" i="148"/>
  <c r="W86" i="67" s="1"/>
  <c r="X86" i="67" s="1"/>
  <c r="AK56" i="17"/>
  <c r="AK14" i="17"/>
  <c r="D98" i="152"/>
  <c r="N98" i="152" s="1"/>
  <c r="D98" i="151"/>
  <c r="D98" i="32"/>
  <c r="D98" i="157"/>
  <c r="N98" i="157" s="1"/>
  <c r="Q7" i="15"/>
  <c r="AD58" i="17"/>
  <c r="O64" i="157"/>
  <c r="O63" i="157"/>
  <c r="O73" i="157"/>
  <c r="O72" i="157"/>
  <c r="O71" i="157"/>
  <c r="O70" i="157"/>
  <c r="O74" i="157"/>
  <c r="O69" i="157"/>
  <c r="O68" i="157"/>
  <c r="O67" i="157"/>
  <c r="O66" i="157"/>
  <c r="O65" i="157"/>
  <c r="W36" i="150"/>
  <c r="D16" i="74"/>
  <c r="D23" i="74" s="1"/>
  <c r="D16" i="25"/>
  <c r="D23" i="25" s="1"/>
  <c r="E27" i="74"/>
  <c r="E33" i="74" s="1"/>
  <c r="H20" i="156"/>
  <c r="U28" i="148"/>
  <c r="C20" i="24"/>
  <c r="U13" i="148"/>
  <c r="T244" i="4"/>
  <c r="D52" i="150"/>
  <c r="V52" i="150" s="1"/>
  <c r="D84" i="152"/>
  <c r="N84" i="152" s="1"/>
  <c r="D84" i="151"/>
  <c r="D84" i="32"/>
  <c r="D83" i="152"/>
  <c r="N83" i="152" s="1"/>
  <c r="D83" i="151"/>
  <c r="D83" i="32"/>
  <c r="O44" i="148"/>
  <c r="M89" i="67" s="1"/>
  <c r="N89" i="67" s="1"/>
  <c r="V45" i="150"/>
  <c r="O8" i="15"/>
  <c r="Q8" i="15" s="1"/>
  <c r="N55" i="32"/>
  <c r="D55" i="150"/>
  <c r="V55" i="150" s="1"/>
  <c r="D85" i="152"/>
  <c r="N85" i="152" s="1"/>
  <c r="D85" i="151"/>
  <c r="D85" i="32"/>
  <c r="EK51" i="67"/>
  <c r="D51" i="150"/>
  <c r="V51" i="150" s="1"/>
  <c r="D71" i="152"/>
  <c r="N71" i="152" s="1"/>
  <c r="D71" i="151"/>
  <c r="D71" i="32"/>
  <c r="N71" i="32" s="1"/>
  <c r="O71" i="32" s="1"/>
  <c r="D89" i="32"/>
  <c r="D89" i="152"/>
  <c r="N89" i="152" s="1"/>
  <c r="D89" i="151"/>
  <c r="O10" i="15"/>
  <c r="V62" i="150"/>
  <c r="D70" i="152"/>
  <c r="N70" i="152" s="1"/>
  <c r="D70" i="151"/>
  <c r="D70" i="32"/>
  <c r="N70" i="32" s="1"/>
  <c r="O70" i="32" s="1"/>
  <c r="D90" i="32"/>
  <c r="D90" i="152"/>
  <c r="N90" i="152" s="1"/>
  <c r="D90" i="151"/>
  <c r="D74" i="32"/>
  <c r="D74" i="152"/>
  <c r="N74" i="152" s="1"/>
  <c r="D74" i="151"/>
  <c r="N56" i="32"/>
  <c r="D56" i="150"/>
  <c r="V56" i="150" s="1"/>
  <c r="D75" i="32"/>
  <c r="D75" i="152"/>
  <c r="N75" i="152" s="1"/>
  <c r="D75" i="151"/>
  <c r="D69" i="152"/>
  <c r="N69" i="152" s="1"/>
  <c r="D69" i="151"/>
  <c r="D69" i="32"/>
  <c r="N69" i="32" s="1"/>
  <c r="O69" i="32" s="1"/>
  <c r="D97" i="152"/>
  <c r="N97" i="152" s="1"/>
  <c r="D97" i="151"/>
  <c r="D97" i="32"/>
  <c r="EH59" i="67"/>
  <c r="EI59" i="67" s="1"/>
  <c r="D59" i="150"/>
  <c r="V59" i="150" s="1"/>
  <c r="EK61" i="67"/>
  <c r="D61" i="150"/>
  <c r="V61" i="150" s="1"/>
  <c r="D68" i="152"/>
  <c r="N68" i="152" s="1"/>
  <c r="D68" i="151"/>
  <c r="D68" i="32"/>
  <c r="N68" i="32" s="1"/>
  <c r="O68" i="32" s="1"/>
  <c r="D93" i="151"/>
  <c r="D93" i="32"/>
  <c r="D93" i="152"/>
  <c r="N93" i="152" s="1"/>
  <c r="EH60" i="67"/>
  <c r="EI60" i="67" s="1"/>
  <c r="D60" i="150"/>
  <c r="V60" i="150" s="1"/>
  <c r="W60" i="150" s="1"/>
  <c r="D67" i="152"/>
  <c r="N67" i="152" s="1"/>
  <c r="D67" i="151"/>
  <c r="D67" i="32"/>
  <c r="N67" i="32" s="1"/>
  <c r="O67" i="32" s="1"/>
  <c r="D95" i="152"/>
  <c r="N95" i="152" s="1"/>
  <c r="D95" i="151"/>
  <c r="D95" i="32"/>
  <c r="AK54" i="17"/>
  <c r="D66" i="152"/>
  <c r="N66" i="152" s="1"/>
  <c r="D66" i="151"/>
  <c r="D66" i="32"/>
  <c r="N66" i="32" s="1"/>
  <c r="O66" i="32" s="1"/>
  <c r="EK58" i="67"/>
  <c r="D58" i="150"/>
  <c r="V58" i="150" s="1"/>
  <c r="D76" i="32"/>
  <c r="D76" i="152"/>
  <c r="N76" i="152" s="1"/>
  <c r="D76" i="151"/>
  <c r="D65" i="152"/>
  <c r="N65" i="152" s="1"/>
  <c r="D65" i="151"/>
  <c r="D65" i="32"/>
  <c r="N65" i="32" s="1"/>
  <c r="O65" i="32" s="1"/>
  <c r="D94" i="152"/>
  <c r="N94" i="152" s="1"/>
  <c r="D94" i="151"/>
  <c r="D94" i="32"/>
  <c r="D64" i="152"/>
  <c r="N64" i="152" s="1"/>
  <c r="D64" i="151"/>
  <c r="D64" i="32"/>
  <c r="N64" i="32" s="1"/>
  <c r="O64" i="32" s="1"/>
  <c r="D88" i="152"/>
  <c r="N88" i="152" s="1"/>
  <c r="D88" i="151"/>
  <c r="D88" i="32"/>
  <c r="T16" i="17"/>
  <c r="S58" i="17"/>
  <c r="D63" i="152"/>
  <c r="N63" i="152" s="1"/>
  <c r="D63" i="151"/>
  <c r="D63" i="32"/>
  <c r="N63" i="32" s="1"/>
  <c r="O63" i="32" s="1"/>
  <c r="D87" i="152"/>
  <c r="N87" i="152" s="1"/>
  <c r="D87" i="151"/>
  <c r="D87" i="32"/>
  <c r="AK53" i="17"/>
  <c r="D92" i="32"/>
  <c r="D92" i="152"/>
  <c r="N92" i="152" s="1"/>
  <c r="D92" i="151"/>
  <c r="D73" i="154"/>
  <c r="D73" i="153"/>
  <c r="X73" i="153" s="1"/>
  <c r="Y73" i="153" s="1"/>
  <c r="D73" i="155"/>
  <c r="Y73" i="155" s="1"/>
  <c r="D73" i="32"/>
  <c r="N73" i="32" s="1"/>
  <c r="O73" i="32" s="1"/>
  <c r="D73" i="152"/>
  <c r="N73" i="152" s="1"/>
  <c r="D73" i="151"/>
  <c r="N57" i="32"/>
  <c r="O57" i="32" s="1"/>
  <c r="D57" i="150"/>
  <c r="V57" i="150" s="1"/>
  <c r="W57" i="150" s="1"/>
  <c r="D80" i="152"/>
  <c r="N80" i="152" s="1"/>
  <c r="D80" i="151"/>
  <c r="D80" i="32"/>
  <c r="D72" i="152"/>
  <c r="N72" i="152" s="1"/>
  <c r="D72" i="151"/>
  <c r="D72" i="32"/>
  <c r="N72" i="32" s="1"/>
  <c r="O72" i="32" s="1"/>
  <c r="D77" i="154"/>
  <c r="D77" i="153"/>
  <c r="X77" i="153" s="1"/>
  <c r="Y77" i="153" s="1"/>
  <c r="D77" i="155"/>
  <c r="Y77" i="155" s="1"/>
  <c r="D78" i="152"/>
  <c r="N78" i="152" s="1"/>
  <c r="D78" i="151"/>
  <c r="D78" i="32"/>
  <c r="D79" i="152"/>
  <c r="N79" i="152" s="1"/>
  <c r="D79" i="151"/>
  <c r="D79" i="32"/>
  <c r="D96" i="152"/>
  <c r="N96" i="152" s="1"/>
  <c r="D96" i="151"/>
  <c r="D96" i="32"/>
  <c r="D54" i="77"/>
  <c r="W54" i="77" s="1"/>
  <c r="D54" i="150"/>
  <c r="V54" i="150" s="1"/>
  <c r="D81" i="152"/>
  <c r="N81" i="152" s="1"/>
  <c r="D81" i="151"/>
  <c r="D81" i="32"/>
  <c r="D82" i="152"/>
  <c r="N82" i="152" s="1"/>
  <c r="D82" i="151"/>
  <c r="D82" i="32"/>
  <c r="EL53" i="67"/>
  <c r="D53" i="150"/>
  <c r="V53" i="150" s="1"/>
  <c r="D77" i="151"/>
  <c r="D77" i="32"/>
  <c r="D77" i="152"/>
  <c r="N77" i="152" s="1"/>
  <c r="Z53" i="17"/>
  <c r="AD53" i="17" s="1"/>
  <c r="S86" i="67"/>
  <c r="D86" i="157" s="1"/>
  <c r="N86" i="157" s="1"/>
  <c r="AK13" i="17"/>
  <c r="S62" i="67"/>
  <c r="D62" i="157" s="1"/>
  <c r="N62" i="157" s="1"/>
  <c r="AK11" i="17"/>
  <c r="O45" i="148"/>
  <c r="M106" i="67" s="1"/>
  <c r="N106" i="67" s="1"/>
  <c r="N50" i="67"/>
  <c r="EH50" i="67" s="1"/>
  <c r="EJ50" i="67" s="1"/>
  <c r="Z52" i="17"/>
  <c r="AK12" i="17"/>
  <c r="AP50" i="17"/>
  <c r="AC50" i="17"/>
  <c r="AE50" i="17" s="1"/>
  <c r="O46" i="148"/>
  <c r="O47" i="148"/>
  <c r="N58" i="32"/>
  <c r="DQ247" i="4"/>
  <c r="T247" i="4"/>
  <c r="D53" i="36"/>
  <c r="D55" i="77"/>
  <c r="W55" i="77" s="1"/>
  <c r="EH53" i="67"/>
  <c r="EI53" i="67" s="1"/>
  <c r="D58" i="77"/>
  <c r="W58" i="77" s="1"/>
  <c r="N53" i="32"/>
  <c r="EH55" i="67"/>
  <c r="EJ55" i="67" s="1"/>
  <c r="DQ244" i="4"/>
  <c r="DQ245" i="4"/>
  <c r="EK55" i="67"/>
  <c r="N54" i="32"/>
  <c r="D54" i="36"/>
  <c r="EH54" i="67"/>
  <c r="EI54" i="67" s="1"/>
  <c r="T251" i="4"/>
  <c r="D55" i="36"/>
  <c r="EL55" i="67"/>
  <c r="EK56" i="67"/>
  <c r="D56" i="36"/>
  <c r="D59" i="36"/>
  <c r="D59" i="77"/>
  <c r="W59" i="77" s="1"/>
  <c r="DQ248" i="4"/>
  <c r="N61" i="32"/>
  <c r="DQ251" i="4"/>
  <c r="T253" i="4"/>
  <c r="I71" i="67"/>
  <c r="D57" i="36"/>
  <c r="I70" i="67"/>
  <c r="EK53" i="67"/>
  <c r="I67" i="67"/>
  <c r="D58" i="36"/>
  <c r="Q45" i="148"/>
  <c r="W103" i="67" s="1"/>
  <c r="X103" i="67" s="1"/>
  <c r="D57" i="77"/>
  <c r="W57" i="77" s="1"/>
  <c r="EH52" i="67"/>
  <c r="EJ52" i="67" s="1"/>
  <c r="DQ253" i="4"/>
  <c r="D52" i="36"/>
  <c r="T249" i="4"/>
  <c r="DQ249" i="4"/>
  <c r="D53" i="77"/>
  <c r="W53" i="77" s="1"/>
  <c r="EK57" i="67"/>
  <c r="T245" i="4"/>
  <c r="EH57" i="67"/>
  <c r="EI57" i="67" s="1"/>
  <c r="EL57" i="67"/>
  <c r="N59" i="32"/>
  <c r="D61" i="36"/>
  <c r="EK54" i="67"/>
  <c r="EH61" i="67"/>
  <c r="EJ61" i="67" s="1"/>
  <c r="EL54" i="67"/>
  <c r="D60" i="36"/>
  <c r="D60" i="77"/>
  <c r="W60" i="77" s="1"/>
  <c r="EL61" i="67"/>
  <c r="T248" i="4"/>
  <c r="W94" i="67"/>
  <c r="X94" i="67" s="1"/>
  <c r="W91" i="67"/>
  <c r="X91" i="67" s="1"/>
  <c r="T250" i="4"/>
  <c r="EK52" i="67"/>
  <c r="W90" i="67"/>
  <c r="X90" i="67" s="1"/>
  <c r="EK59" i="67"/>
  <c r="EH58" i="67"/>
  <c r="EJ58" i="67" s="1"/>
  <c r="N52" i="32"/>
  <c r="DQ250" i="4"/>
  <c r="EL52" i="67"/>
  <c r="Q47" i="148"/>
  <c r="T252" i="4"/>
  <c r="I66" i="67"/>
  <c r="I65" i="67"/>
  <c r="I64" i="67"/>
  <c r="I82" i="67"/>
  <c r="N51" i="32"/>
  <c r="I63" i="67"/>
  <c r="I80" i="67"/>
  <c r="D61" i="77"/>
  <c r="W61" i="77" s="1"/>
  <c r="I62" i="67"/>
  <c r="I76" i="67"/>
  <c r="I73" i="67"/>
  <c r="I75" i="67"/>
  <c r="I72" i="67"/>
  <c r="I74" i="67"/>
  <c r="I69" i="67"/>
  <c r="W67" i="67"/>
  <c r="X67" i="67" s="1"/>
  <c r="W68" i="67"/>
  <c r="X68" i="67" s="1"/>
  <c r="EL60" i="67"/>
  <c r="N60" i="32"/>
  <c r="O60" i="32" s="1"/>
  <c r="W64" i="67"/>
  <c r="X64" i="67" s="1"/>
  <c r="EK60" i="67"/>
  <c r="Z10" i="17"/>
  <c r="AD10" i="17" s="1"/>
  <c r="AE10" i="17" s="1"/>
  <c r="C22" i="156" s="1"/>
  <c r="D22" i="156" s="1"/>
  <c r="D52" i="77"/>
  <c r="W52" i="77" s="1"/>
  <c r="DQ252" i="4"/>
  <c r="M97" i="67"/>
  <c r="N97" i="67" s="1"/>
  <c r="W95" i="67"/>
  <c r="X95" i="67" s="1"/>
  <c r="W76" i="67"/>
  <c r="X76" i="67" s="1"/>
  <c r="W75" i="67"/>
  <c r="X75" i="67" s="1"/>
  <c r="W74" i="67"/>
  <c r="W84" i="67"/>
  <c r="X84" i="67" s="1"/>
  <c r="D51" i="36"/>
  <c r="M84" i="67"/>
  <c r="N84" i="67" s="1"/>
  <c r="M76" i="67"/>
  <c r="N76" i="67" s="1"/>
  <c r="M85" i="67"/>
  <c r="N85" i="67" s="1"/>
  <c r="M80" i="67"/>
  <c r="N80" i="67" s="1"/>
  <c r="M74" i="67"/>
  <c r="N74" i="67" s="1"/>
  <c r="M75" i="67"/>
  <c r="N75" i="67" s="1"/>
  <c r="M79" i="67"/>
  <c r="N79" i="67" s="1"/>
  <c r="M78" i="67"/>
  <c r="N78" i="67" s="1"/>
  <c r="M77" i="67"/>
  <c r="N77" i="67" s="1"/>
  <c r="M81" i="67"/>
  <c r="N81" i="67" s="1"/>
  <c r="M82" i="67"/>
  <c r="N82" i="67" s="1"/>
  <c r="M83" i="67"/>
  <c r="N83" i="67" s="1"/>
  <c r="W97" i="67"/>
  <c r="X97" i="67" s="1"/>
  <c r="I85" i="67"/>
  <c r="W72" i="67"/>
  <c r="X72" i="67" s="1"/>
  <c r="W96" i="67"/>
  <c r="X96" i="67" s="1"/>
  <c r="I84" i="67"/>
  <c r="W71" i="67"/>
  <c r="X71" i="67" s="1"/>
  <c r="DQ246" i="4"/>
  <c r="Q46" i="148"/>
  <c r="W93" i="67"/>
  <c r="X93" i="67" s="1"/>
  <c r="I83" i="67"/>
  <c r="W70" i="67"/>
  <c r="X70" i="67" s="1"/>
  <c r="T246" i="4"/>
  <c r="W92" i="67"/>
  <c r="X92" i="67" s="1"/>
  <c r="W85" i="67"/>
  <c r="X85" i="67" s="1"/>
  <c r="W69" i="67"/>
  <c r="X69" i="67" s="1"/>
  <c r="W89" i="67"/>
  <c r="X89" i="67" s="1"/>
  <c r="W82" i="67"/>
  <c r="X82" i="67" s="1"/>
  <c r="W66" i="67"/>
  <c r="X66" i="67" s="1"/>
  <c r="T243" i="4"/>
  <c r="D56" i="77"/>
  <c r="W56" i="77" s="1"/>
  <c r="I81" i="67"/>
  <c r="W79" i="67"/>
  <c r="X79" i="67" s="1"/>
  <c r="W63" i="67"/>
  <c r="X63" i="67" s="1"/>
  <c r="W62" i="67"/>
  <c r="N50" i="32"/>
  <c r="DQ243" i="4"/>
  <c r="EH56" i="67"/>
  <c r="EI56" i="67" s="1"/>
  <c r="M91" i="67"/>
  <c r="N91" i="67" s="1"/>
  <c r="W88" i="67"/>
  <c r="X88" i="67" s="1"/>
  <c r="I79" i="67"/>
  <c r="W78" i="67"/>
  <c r="X78" i="67" s="1"/>
  <c r="W65" i="67"/>
  <c r="X65" i="67" s="1"/>
  <c r="EL59" i="67"/>
  <c r="EL58" i="67"/>
  <c r="EL51" i="67"/>
  <c r="EL56" i="67"/>
  <c r="W87" i="67"/>
  <c r="X87" i="67" s="1"/>
  <c r="I78" i="67"/>
  <c r="W80" i="67"/>
  <c r="X80" i="67" s="1"/>
  <c r="W60" i="67"/>
  <c r="X60" i="67" s="1"/>
  <c r="W61" i="67"/>
  <c r="X61" i="67" s="1"/>
  <c r="W50" i="67"/>
  <c r="W59" i="67"/>
  <c r="X59" i="67" s="1"/>
  <c r="W51" i="67"/>
  <c r="X51" i="67" s="1"/>
  <c r="W52" i="67"/>
  <c r="X52" i="67" s="1"/>
  <c r="W53" i="67"/>
  <c r="X53" i="67" s="1"/>
  <c r="W54" i="67"/>
  <c r="X54" i="67" s="1"/>
  <c r="W55" i="67"/>
  <c r="X55" i="67" s="1"/>
  <c r="W56" i="67"/>
  <c r="X56" i="67" s="1"/>
  <c r="W57" i="67"/>
  <c r="X57" i="67" s="1"/>
  <c r="W58" i="67"/>
  <c r="X58" i="67" s="1"/>
  <c r="W83" i="67"/>
  <c r="X83" i="67" s="1"/>
  <c r="D51" i="77"/>
  <c r="W51" i="77" s="1"/>
  <c r="W81" i="67"/>
  <c r="X81" i="67" s="1"/>
  <c r="EH51" i="67"/>
  <c r="EI51" i="67" s="1"/>
  <c r="M92" i="67"/>
  <c r="N92" i="67" s="1"/>
  <c r="I55" i="67"/>
  <c r="J55" i="67" s="1"/>
  <c r="I59" i="67"/>
  <c r="J59" i="67" s="1"/>
  <c r="I56" i="67"/>
  <c r="J56" i="67" s="1"/>
  <c r="I57" i="67"/>
  <c r="J57" i="67" s="1"/>
  <c r="I58" i="67"/>
  <c r="J58" i="67" s="1"/>
  <c r="I60" i="67"/>
  <c r="J60" i="67" s="1"/>
  <c r="I61" i="67"/>
  <c r="J61" i="67" s="1"/>
  <c r="I50" i="67"/>
  <c r="I51" i="67"/>
  <c r="J51" i="67" s="1"/>
  <c r="I52" i="67"/>
  <c r="J52" i="67" s="1"/>
  <c r="I53" i="67"/>
  <c r="J53" i="67" s="1"/>
  <c r="I54" i="67"/>
  <c r="J54" i="67" s="1"/>
  <c r="U30" i="148"/>
  <c r="U29" i="148"/>
  <c r="AG8" i="17"/>
  <c r="EI36" i="67"/>
  <c r="EJ36" i="67"/>
  <c r="J28" i="67"/>
  <c r="O8" i="17"/>
  <c r="N36" i="32"/>
  <c r="AD9" i="17"/>
  <c r="AE9" i="17" s="1"/>
  <c r="C21" i="156" s="1"/>
  <c r="AA9" i="17"/>
  <c r="D45" i="77"/>
  <c r="W45" i="77" s="1"/>
  <c r="T237" i="4"/>
  <c r="DQ237" i="4"/>
  <c r="D45" i="36"/>
  <c r="EL45" i="67"/>
  <c r="EH45" i="67"/>
  <c r="EK45" i="67"/>
  <c r="J40" i="67"/>
  <c r="O9" i="17"/>
  <c r="EH65" i="67"/>
  <c r="D65" i="77"/>
  <c r="W65" i="77" s="1"/>
  <c r="DQ257" i="4"/>
  <c r="T257" i="4"/>
  <c r="D65" i="36"/>
  <c r="EL65" i="67"/>
  <c r="EK65" i="67"/>
  <c r="T260" i="4"/>
  <c r="EK68" i="67"/>
  <c r="DQ260" i="4"/>
  <c r="D68" i="77"/>
  <c r="W68" i="77" s="1"/>
  <c r="EL68" i="67"/>
  <c r="D68" i="36"/>
  <c r="EH68" i="67"/>
  <c r="D71" i="77"/>
  <c r="W71" i="77" s="1"/>
  <c r="T263" i="4"/>
  <c r="EK71" i="67"/>
  <c r="DQ263" i="4"/>
  <c r="D71" i="36"/>
  <c r="EH71" i="67"/>
  <c r="EL71" i="67"/>
  <c r="EL70" i="67"/>
  <c r="D70" i="77"/>
  <c r="W70" i="77" s="1"/>
  <c r="T262" i="4"/>
  <c r="EK70" i="67"/>
  <c r="DQ262" i="4"/>
  <c r="D70" i="36"/>
  <c r="EH70" i="67"/>
  <c r="DQ261" i="4"/>
  <c r="D69" i="77"/>
  <c r="W69" i="77" s="1"/>
  <c r="D69" i="36"/>
  <c r="EL69" i="67"/>
  <c r="EK69" i="67"/>
  <c r="T261" i="4"/>
  <c r="EH69" i="67"/>
  <c r="DQ264" i="4"/>
  <c r="D72" i="36"/>
  <c r="EK72" i="67"/>
  <c r="EL72" i="67"/>
  <c r="EH72" i="67"/>
  <c r="T264" i="4"/>
  <c r="D72" i="77"/>
  <c r="W72" i="77" s="1"/>
  <c r="DQ256" i="4"/>
  <c r="T256" i="4"/>
  <c r="D64" i="77"/>
  <c r="W64" i="77" s="1"/>
  <c r="D64" i="36"/>
  <c r="EL64" i="67"/>
  <c r="EK64" i="67"/>
  <c r="EH64" i="67"/>
  <c r="EH67" i="67"/>
  <c r="DQ259" i="4"/>
  <c r="T259" i="4"/>
  <c r="D67" i="77"/>
  <c r="W67" i="77" s="1"/>
  <c r="D67" i="36"/>
  <c r="EL67" i="67"/>
  <c r="EK67" i="67"/>
  <c r="DQ255" i="4"/>
  <c r="T255" i="4"/>
  <c r="D63" i="77"/>
  <c r="W63" i="77" s="1"/>
  <c r="D63" i="36"/>
  <c r="EL63" i="67"/>
  <c r="EK63" i="67"/>
  <c r="EH63" i="67"/>
  <c r="D66" i="77"/>
  <c r="W66" i="77" s="1"/>
  <c r="DQ258" i="4"/>
  <c r="T258" i="4"/>
  <c r="D66" i="36"/>
  <c r="EL66" i="67"/>
  <c r="EK66" i="67"/>
  <c r="EH66" i="67"/>
  <c r="D73" i="77"/>
  <c r="W73" i="77" s="1"/>
  <c r="D73" i="36"/>
  <c r="EL73" i="67"/>
  <c r="EH73" i="67"/>
  <c r="EK73" i="67"/>
  <c r="DQ265" i="4"/>
  <c r="T265" i="4"/>
  <c r="EH62" i="67"/>
  <c r="EK62" i="67"/>
  <c r="EL62" i="67"/>
  <c r="DQ254" i="4"/>
  <c r="D62" i="77"/>
  <c r="W62" i="77" s="1"/>
  <c r="T254" i="4"/>
  <c r="D62" i="36"/>
  <c r="Z11" i="17"/>
  <c r="K56" i="148"/>
  <c r="N15" i="148"/>
  <c r="N44" i="148"/>
  <c r="U14" i="148"/>
  <c r="K66" i="148"/>
  <c r="K65" i="148"/>
  <c r="M94" i="67" l="1"/>
  <c r="N94" i="67" s="1"/>
  <c r="M90" i="67"/>
  <c r="N90" i="67" s="1"/>
  <c r="M93" i="67"/>
  <c r="N93" i="67" s="1"/>
  <c r="M88" i="67"/>
  <c r="N88" i="67" s="1"/>
  <c r="D88" i="150" s="1"/>
  <c r="V88" i="150" s="1"/>
  <c r="W88" i="150" s="1"/>
  <c r="Q19" i="24"/>
  <c r="AO55" i="17"/>
  <c r="Q20" i="24"/>
  <c r="M103" i="67"/>
  <c r="N103" i="67" s="1"/>
  <c r="D103" i="150" s="1"/>
  <c r="V103" i="150" s="1"/>
  <c r="W103" i="150" s="1"/>
  <c r="M100" i="67"/>
  <c r="N100" i="67" s="1"/>
  <c r="DQ292" i="4" s="1"/>
  <c r="M101" i="67"/>
  <c r="N101" i="67" s="1"/>
  <c r="D101" i="36" s="1"/>
  <c r="EH106" i="67"/>
  <c r="EL106" i="67"/>
  <c r="D106" i="150"/>
  <c r="V106" i="150" s="1"/>
  <c r="W106" i="150" s="1"/>
  <c r="D106" i="77"/>
  <c r="W106" i="77" s="1"/>
  <c r="D106" i="36"/>
  <c r="EK106" i="67"/>
  <c r="T298" i="4"/>
  <c r="DQ298" i="4"/>
  <c r="D103" i="155"/>
  <c r="Y103" i="155" s="1"/>
  <c r="D103" i="154"/>
  <c r="D103" i="153"/>
  <c r="X103" i="153" s="1"/>
  <c r="Y103" i="153" s="1"/>
  <c r="M107" i="67"/>
  <c r="N107" i="67" s="1"/>
  <c r="W99" i="67"/>
  <c r="X99" i="67" s="1"/>
  <c r="M108" i="67"/>
  <c r="N108" i="67" s="1"/>
  <c r="W101" i="67"/>
  <c r="X101" i="67" s="1"/>
  <c r="M104" i="67"/>
  <c r="N104" i="67" s="1"/>
  <c r="O98" i="157"/>
  <c r="M105" i="67"/>
  <c r="N105" i="67" s="1"/>
  <c r="N98" i="32"/>
  <c r="U13" i="15"/>
  <c r="W13" i="15" s="1"/>
  <c r="AO56" i="17"/>
  <c r="AL56" i="17"/>
  <c r="W105" i="67"/>
  <c r="X105" i="67" s="1"/>
  <c r="AN56" i="17"/>
  <c r="W109" i="67"/>
  <c r="X109" i="67" s="1"/>
  <c r="AO14" i="17"/>
  <c r="AP14" i="17" s="1"/>
  <c r="AL14" i="17"/>
  <c r="W107" i="67"/>
  <c r="X107" i="67" s="1"/>
  <c r="W100" i="67"/>
  <c r="X100" i="67" s="1"/>
  <c r="M99" i="67"/>
  <c r="N99" i="67" s="1"/>
  <c r="W98" i="67"/>
  <c r="D100" i="150"/>
  <c r="V100" i="150" s="1"/>
  <c r="W100" i="150" s="1"/>
  <c r="W102" i="67"/>
  <c r="X102" i="67" s="1"/>
  <c r="M109" i="67"/>
  <c r="N109" i="67" s="1"/>
  <c r="W108" i="67"/>
  <c r="X108" i="67" s="1"/>
  <c r="M98" i="67"/>
  <c r="W106" i="67"/>
  <c r="X106" i="67" s="1"/>
  <c r="M102" i="67"/>
  <c r="N102" i="67" s="1"/>
  <c r="W104" i="67"/>
  <c r="X104" i="67" s="1"/>
  <c r="D21" i="156"/>
  <c r="H21" i="156" s="1"/>
  <c r="AV55" i="17"/>
  <c r="EJ59" i="67"/>
  <c r="EI55" i="67"/>
  <c r="M96" i="67"/>
  <c r="N96" i="67" s="1"/>
  <c r="D96" i="150" s="1"/>
  <c r="V96" i="150" s="1"/>
  <c r="W96" i="150" s="1"/>
  <c r="O62" i="157"/>
  <c r="O86" i="157"/>
  <c r="W62" i="150"/>
  <c r="W45" i="150"/>
  <c r="W56" i="150"/>
  <c r="W61" i="150"/>
  <c r="W51" i="150"/>
  <c r="W52" i="150"/>
  <c r="W58" i="150"/>
  <c r="W53" i="150"/>
  <c r="W59" i="150"/>
  <c r="W54" i="150"/>
  <c r="W55" i="150"/>
  <c r="EJ60" i="67"/>
  <c r="EI61" i="67"/>
  <c r="M95" i="67"/>
  <c r="N95" i="67" s="1"/>
  <c r="D95" i="36" s="1"/>
  <c r="M86" i="67"/>
  <c r="EJ54" i="67"/>
  <c r="M87" i="67"/>
  <c r="N87" i="67" s="1"/>
  <c r="T279" i="4" s="1"/>
  <c r="EJ53" i="67"/>
  <c r="AR50" i="17"/>
  <c r="E6" i="74" s="1"/>
  <c r="G27" i="74"/>
  <c r="H22" i="156"/>
  <c r="EK50" i="67"/>
  <c r="DQ242" i="4"/>
  <c r="AV53" i="17"/>
  <c r="AZ53" i="17" s="1"/>
  <c r="D50" i="36"/>
  <c r="D52" i="155"/>
  <c r="Y52" i="155" s="1"/>
  <c r="D52" i="154"/>
  <c r="D52" i="153"/>
  <c r="X52" i="153" s="1"/>
  <c r="D78" i="155"/>
  <c r="Y78" i="155" s="1"/>
  <c r="D78" i="154"/>
  <c r="D78" i="153"/>
  <c r="X78" i="153" s="1"/>
  <c r="Y78" i="153" s="1"/>
  <c r="D82" i="155"/>
  <c r="Y82" i="155" s="1"/>
  <c r="D82" i="154"/>
  <c r="D82" i="153"/>
  <c r="X82" i="153" s="1"/>
  <c r="Y82" i="153" s="1"/>
  <c r="D72" i="153"/>
  <c r="X72" i="153" s="1"/>
  <c r="Y72" i="153" s="1"/>
  <c r="D72" i="155"/>
  <c r="Y72" i="155" s="1"/>
  <c r="D72" i="154"/>
  <c r="D88" i="36"/>
  <c r="D60" i="154"/>
  <c r="D60" i="153"/>
  <c r="X60" i="153" s="1"/>
  <c r="D60" i="155"/>
  <c r="Y60" i="155" s="1"/>
  <c r="N89" i="32"/>
  <c r="O89" i="32" s="1"/>
  <c r="D89" i="150"/>
  <c r="V89" i="150" s="1"/>
  <c r="W89" i="150" s="1"/>
  <c r="D51" i="155"/>
  <c r="Y51" i="155" s="1"/>
  <c r="D51" i="154"/>
  <c r="D51" i="153"/>
  <c r="X51" i="153" s="1"/>
  <c r="D89" i="154"/>
  <c r="D89" i="153"/>
  <c r="X89" i="153" s="1"/>
  <c r="Y89" i="153" s="1"/>
  <c r="D89" i="155"/>
  <c r="Y89" i="155" s="1"/>
  <c r="D84" i="155"/>
  <c r="Y84" i="155" s="1"/>
  <c r="D84" i="154"/>
  <c r="D84" i="153"/>
  <c r="X84" i="153" s="1"/>
  <c r="Y84" i="153" s="1"/>
  <c r="D68" i="155"/>
  <c r="Y68" i="155" s="1"/>
  <c r="D68" i="154"/>
  <c r="D68" i="153"/>
  <c r="X68" i="153" s="1"/>
  <c r="Y68" i="153" s="1"/>
  <c r="D86" i="152"/>
  <c r="N86" i="152" s="1"/>
  <c r="AN55" i="17" s="1"/>
  <c r="AP55" i="17" s="1"/>
  <c r="AR55" i="17" s="1"/>
  <c r="J6" i="74" s="1"/>
  <c r="D86" i="151"/>
  <c r="D86" i="32"/>
  <c r="U12" i="15" s="1"/>
  <c r="W12" i="15" s="1"/>
  <c r="D88" i="153"/>
  <c r="X88" i="153" s="1"/>
  <c r="Y88" i="153" s="1"/>
  <c r="D88" i="155"/>
  <c r="Y88" i="155" s="1"/>
  <c r="D88" i="154"/>
  <c r="D97" i="155"/>
  <c r="Y97" i="155" s="1"/>
  <c r="D97" i="154"/>
  <c r="D97" i="153"/>
  <c r="X97" i="153" s="1"/>
  <c r="AV54" i="17"/>
  <c r="D67" i="155"/>
  <c r="Y67" i="155" s="1"/>
  <c r="D67" i="154"/>
  <c r="D67" i="153"/>
  <c r="X67" i="153" s="1"/>
  <c r="Y67" i="153" s="1"/>
  <c r="AV52" i="17"/>
  <c r="D91" i="77"/>
  <c r="W91" i="77" s="1"/>
  <c r="D91" i="150"/>
  <c r="V91" i="150" s="1"/>
  <c r="W91" i="150" s="1"/>
  <c r="D69" i="155"/>
  <c r="Y69" i="155" s="1"/>
  <c r="D69" i="154"/>
  <c r="D69" i="153"/>
  <c r="X69" i="153" s="1"/>
  <c r="Y69" i="153" s="1"/>
  <c r="D83" i="36"/>
  <c r="D83" i="150"/>
  <c r="V83" i="150" s="1"/>
  <c r="W83" i="150" s="1"/>
  <c r="D59" i="154"/>
  <c r="D59" i="153"/>
  <c r="X59" i="153" s="1"/>
  <c r="D59" i="155"/>
  <c r="Y59" i="155" s="1"/>
  <c r="EK92" i="67"/>
  <c r="D92" i="150"/>
  <c r="V92" i="150" s="1"/>
  <c r="W92" i="150" s="1"/>
  <c r="D61" i="154"/>
  <c r="D61" i="153"/>
  <c r="X61" i="153" s="1"/>
  <c r="D61" i="155"/>
  <c r="Y61" i="155" s="1"/>
  <c r="D85" i="155"/>
  <c r="Y85" i="155" s="1"/>
  <c r="D85" i="154"/>
  <c r="D85" i="153"/>
  <c r="X85" i="153" s="1"/>
  <c r="Y85" i="153" s="1"/>
  <c r="EK82" i="67"/>
  <c r="D82" i="150"/>
  <c r="V82" i="150" s="1"/>
  <c r="W82" i="150" s="1"/>
  <c r="O58" i="32"/>
  <c r="O55" i="32"/>
  <c r="D81" i="155"/>
  <c r="Y81" i="155" s="1"/>
  <c r="D81" i="154"/>
  <c r="D81" i="153"/>
  <c r="X81" i="153" s="1"/>
  <c r="Y81" i="153" s="1"/>
  <c r="D80" i="155"/>
  <c r="Y80" i="155" s="1"/>
  <c r="D80" i="154"/>
  <c r="D80" i="153"/>
  <c r="X80" i="153" s="1"/>
  <c r="Y80" i="153" s="1"/>
  <c r="O50" i="32"/>
  <c r="EL77" i="67"/>
  <c r="D77" i="150"/>
  <c r="V77" i="150" s="1"/>
  <c r="W77" i="150" s="1"/>
  <c r="EK78" i="67"/>
  <c r="D78" i="150"/>
  <c r="V78" i="150" s="1"/>
  <c r="W78" i="150" s="1"/>
  <c r="D76" i="154"/>
  <c r="D76" i="153"/>
  <c r="X76" i="153" s="1"/>
  <c r="Y76" i="153" s="1"/>
  <c r="D76" i="155"/>
  <c r="Y76" i="155" s="1"/>
  <c r="D87" i="155"/>
  <c r="Y87" i="155" s="1"/>
  <c r="D87" i="154"/>
  <c r="D87" i="153"/>
  <c r="X87" i="153" s="1"/>
  <c r="Y87" i="153" s="1"/>
  <c r="D63" i="155"/>
  <c r="Y63" i="155" s="1"/>
  <c r="D63" i="154"/>
  <c r="D63" i="153"/>
  <c r="X63" i="153" s="1"/>
  <c r="Y63" i="153" s="1"/>
  <c r="D70" i="155"/>
  <c r="Y70" i="155" s="1"/>
  <c r="D70" i="154"/>
  <c r="D70" i="153"/>
  <c r="X70" i="153" s="1"/>
  <c r="Y70" i="153" s="1"/>
  <c r="EH79" i="67"/>
  <c r="EJ79" i="67" s="1"/>
  <c r="D79" i="150"/>
  <c r="V79" i="150" s="1"/>
  <c r="W79" i="150" s="1"/>
  <c r="D95" i="155"/>
  <c r="Y95" i="155" s="1"/>
  <c r="D95" i="154"/>
  <c r="D95" i="153"/>
  <c r="X95" i="153" s="1"/>
  <c r="Y95" i="153" s="1"/>
  <c r="O52" i="32"/>
  <c r="O59" i="32"/>
  <c r="O54" i="32"/>
  <c r="D75" i="154"/>
  <c r="D75" i="153"/>
  <c r="X75" i="153" s="1"/>
  <c r="Y75" i="153" s="1"/>
  <c r="D75" i="155"/>
  <c r="Y75" i="155" s="1"/>
  <c r="D92" i="154"/>
  <c r="D92" i="153"/>
  <c r="X92" i="153" s="1"/>
  <c r="Y92" i="153" s="1"/>
  <c r="D92" i="155"/>
  <c r="Y92" i="155" s="1"/>
  <c r="D94" i="77"/>
  <c r="W94" i="77" s="1"/>
  <c r="D94" i="150"/>
  <c r="V94" i="150" s="1"/>
  <c r="W94" i="150" s="1"/>
  <c r="AA53" i="17"/>
  <c r="D58" i="154"/>
  <c r="D58" i="153"/>
  <c r="X58" i="153" s="1"/>
  <c r="D58" i="155"/>
  <c r="Y58" i="155" s="1"/>
  <c r="D93" i="154"/>
  <c r="D93" i="153"/>
  <c r="X93" i="153" s="1"/>
  <c r="Y93" i="153" s="1"/>
  <c r="D93" i="155"/>
  <c r="Y93" i="155" s="1"/>
  <c r="EK74" i="67"/>
  <c r="D74" i="150"/>
  <c r="D79" i="155"/>
  <c r="Y79" i="155" s="1"/>
  <c r="D79" i="154"/>
  <c r="D79" i="153"/>
  <c r="X79" i="153" s="1"/>
  <c r="Y79" i="153" s="1"/>
  <c r="D75" i="77"/>
  <c r="W75" i="77" s="1"/>
  <c r="D75" i="150"/>
  <c r="V75" i="150" s="1"/>
  <c r="W75" i="150" s="1"/>
  <c r="D57" i="154"/>
  <c r="D57" i="153"/>
  <c r="X57" i="153" s="1"/>
  <c r="D57" i="155"/>
  <c r="Y57" i="155" s="1"/>
  <c r="EK93" i="67"/>
  <c r="D93" i="150"/>
  <c r="V93" i="150" s="1"/>
  <c r="W93" i="150" s="1"/>
  <c r="EL80" i="67"/>
  <c r="D80" i="150"/>
  <c r="V80" i="150" s="1"/>
  <c r="W80" i="150" s="1"/>
  <c r="D90" i="154"/>
  <c r="D90" i="153"/>
  <c r="X90" i="153" s="1"/>
  <c r="Y90" i="153" s="1"/>
  <c r="D90" i="155"/>
  <c r="Y90" i="155" s="1"/>
  <c r="T242" i="4"/>
  <c r="D50" i="150"/>
  <c r="D81" i="36"/>
  <c r="D81" i="150"/>
  <c r="V81" i="150" s="1"/>
  <c r="W81" i="150" s="1"/>
  <c r="D56" i="153"/>
  <c r="X56" i="153" s="1"/>
  <c r="D56" i="155"/>
  <c r="Y56" i="155" s="1"/>
  <c r="D56" i="154"/>
  <c r="DQ277" i="4"/>
  <c r="D85" i="150"/>
  <c r="V85" i="150" s="1"/>
  <c r="W85" i="150" s="1"/>
  <c r="O56" i="32"/>
  <c r="D83" i="155"/>
  <c r="Y83" i="155" s="1"/>
  <c r="D83" i="154"/>
  <c r="D83" i="153"/>
  <c r="X83" i="153" s="1"/>
  <c r="Y83" i="153" s="1"/>
  <c r="D55" i="155"/>
  <c r="Y55" i="155" s="1"/>
  <c r="D55" i="154"/>
  <c r="D55" i="153"/>
  <c r="X55" i="153" s="1"/>
  <c r="D71" i="155"/>
  <c r="Y71" i="155" s="1"/>
  <c r="D71" i="154"/>
  <c r="D71" i="153"/>
  <c r="X71" i="153" s="1"/>
  <c r="Y71" i="153" s="1"/>
  <c r="EL76" i="67"/>
  <c r="D76" i="150"/>
  <c r="V76" i="150" s="1"/>
  <c r="W76" i="150" s="1"/>
  <c r="O61" i="32"/>
  <c r="O53" i="32"/>
  <c r="O36" i="32"/>
  <c r="D54" i="155"/>
  <c r="Y54" i="155" s="1"/>
  <c r="D54" i="154"/>
  <c r="D54" i="153"/>
  <c r="X54" i="153" s="1"/>
  <c r="D84" i="36"/>
  <c r="D84" i="150"/>
  <c r="V84" i="150" s="1"/>
  <c r="W84" i="150" s="1"/>
  <c r="D64" i="155"/>
  <c r="Y64" i="155" s="1"/>
  <c r="D64" i="154"/>
  <c r="D64" i="153"/>
  <c r="X64" i="153" s="1"/>
  <c r="Y64" i="153" s="1"/>
  <c r="O51" i="32"/>
  <c r="D91" i="154"/>
  <c r="D91" i="153"/>
  <c r="X91" i="153" s="1"/>
  <c r="Y91" i="153" s="1"/>
  <c r="D91" i="155"/>
  <c r="Y91" i="155" s="1"/>
  <c r="D62" i="152"/>
  <c r="N62" i="152" s="1"/>
  <c r="AN53" i="17" s="1"/>
  <c r="D62" i="151"/>
  <c r="D62" i="32"/>
  <c r="AN54" i="17"/>
  <c r="N90" i="32"/>
  <c r="O90" i="32" s="1"/>
  <c r="D90" i="150"/>
  <c r="V90" i="150" s="1"/>
  <c r="W90" i="150" s="1"/>
  <c r="T289" i="4"/>
  <c r="D97" i="150"/>
  <c r="V97" i="150" s="1"/>
  <c r="W97" i="150" s="1"/>
  <c r="D53" i="155"/>
  <c r="Y53" i="155" s="1"/>
  <c r="D53" i="154"/>
  <c r="D53" i="153"/>
  <c r="X53" i="153" s="1"/>
  <c r="D65" i="155"/>
  <c r="Y65" i="155" s="1"/>
  <c r="D65" i="154"/>
  <c r="D65" i="153"/>
  <c r="X65" i="153" s="1"/>
  <c r="Y65" i="153" s="1"/>
  <c r="D66" i="155"/>
  <c r="Y66" i="155" s="1"/>
  <c r="D66" i="154"/>
  <c r="D66" i="153"/>
  <c r="X66" i="153" s="1"/>
  <c r="Y66" i="153" s="1"/>
  <c r="D96" i="155"/>
  <c r="Y96" i="155" s="1"/>
  <c r="D96" i="154"/>
  <c r="D96" i="153"/>
  <c r="X96" i="153" s="1"/>
  <c r="Y96" i="153" s="1"/>
  <c r="D94" i="155"/>
  <c r="Y94" i="155" s="1"/>
  <c r="D94" i="154"/>
  <c r="D94" i="153"/>
  <c r="X94" i="153" s="1"/>
  <c r="Y94" i="153" s="1"/>
  <c r="D86" i="155"/>
  <c r="Y86" i="155" s="1"/>
  <c r="D86" i="154"/>
  <c r="D86" i="153"/>
  <c r="U11" i="15"/>
  <c r="W11" i="15" s="1"/>
  <c r="EL50" i="67"/>
  <c r="O53" i="17"/>
  <c r="P53" i="17" s="1"/>
  <c r="D80" i="77"/>
  <c r="W80" i="77" s="1"/>
  <c r="Z54" i="17"/>
  <c r="AD54" i="17" s="1"/>
  <c r="J50" i="67"/>
  <c r="D50" i="30" s="1"/>
  <c r="T50" i="30" s="1"/>
  <c r="AO12" i="17"/>
  <c r="AP12" i="17" s="1"/>
  <c r="J24" i="156" s="1"/>
  <c r="K24" i="156" s="1"/>
  <c r="AL12" i="17"/>
  <c r="AA52" i="17"/>
  <c r="AD52" i="17"/>
  <c r="O52" i="17"/>
  <c r="S52" i="17" s="1"/>
  <c r="AL11" i="17"/>
  <c r="AO11" i="17"/>
  <c r="AP11" i="17" s="1"/>
  <c r="J23" i="156" s="1"/>
  <c r="K23" i="156" s="1"/>
  <c r="X50" i="67"/>
  <c r="AV10" i="17"/>
  <c r="X74" i="67"/>
  <c r="AV12" i="17"/>
  <c r="AV13" i="17"/>
  <c r="AO13" i="17"/>
  <c r="AP13" i="17" s="1"/>
  <c r="AL13" i="17"/>
  <c r="X62" i="67"/>
  <c r="AV11" i="17"/>
  <c r="D50" i="77"/>
  <c r="W50" i="77" s="1"/>
  <c r="AC52" i="17" s="1"/>
  <c r="AP51" i="17"/>
  <c r="AG50" i="17"/>
  <c r="E5" i="74" s="1"/>
  <c r="AC51" i="17"/>
  <c r="AE51" i="17" s="1"/>
  <c r="AC53" i="17"/>
  <c r="AE53" i="17" s="1"/>
  <c r="AA10" i="17"/>
  <c r="EI58" i="67"/>
  <c r="EH80" i="67"/>
  <c r="EI80" i="67" s="1"/>
  <c r="D80" i="36"/>
  <c r="EI52" i="67"/>
  <c r="T275" i="4"/>
  <c r="T274" i="4"/>
  <c r="EK84" i="67"/>
  <c r="DQ274" i="4"/>
  <c r="N80" i="32"/>
  <c r="O80" i="32" s="1"/>
  <c r="N77" i="32"/>
  <c r="O77" i="32" s="1"/>
  <c r="EH83" i="67"/>
  <c r="EI83" i="67" s="1"/>
  <c r="D82" i="77"/>
  <c r="W82" i="77" s="1"/>
  <c r="EL81" i="67"/>
  <c r="EL83" i="67"/>
  <c r="EL85" i="67"/>
  <c r="T277" i="4"/>
  <c r="N84" i="32"/>
  <c r="O84" i="32" s="1"/>
  <c r="D85" i="36"/>
  <c r="EK75" i="67"/>
  <c r="T272" i="4"/>
  <c r="EL75" i="67"/>
  <c r="EH78" i="67"/>
  <c r="EI78" i="67" s="1"/>
  <c r="EH85" i="67"/>
  <c r="EI85" i="67" s="1"/>
  <c r="N85" i="32"/>
  <c r="O85" i="32" s="1"/>
  <c r="EK85" i="67"/>
  <c r="EK80" i="67"/>
  <c r="T271" i="4"/>
  <c r="D84" i="77"/>
  <c r="W84" i="77" s="1"/>
  <c r="D78" i="77"/>
  <c r="W78" i="77" s="1"/>
  <c r="N81" i="32"/>
  <c r="O81" i="32" s="1"/>
  <c r="EH77" i="67"/>
  <c r="EI77" i="67" s="1"/>
  <c r="DQ273" i="4"/>
  <c r="D81" i="77"/>
  <c r="W81" i="77" s="1"/>
  <c r="EH81" i="67"/>
  <c r="EI81" i="67" s="1"/>
  <c r="EK77" i="67"/>
  <c r="EK81" i="67"/>
  <c r="DQ269" i="4"/>
  <c r="D78" i="36"/>
  <c r="N79" i="32"/>
  <c r="O79" i="32" s="1"/>
  <c r="DQ267" i="4"/>
  <c r="T266" i="4"/>
  <c r="DQ266" i="4"/>
  <c r="D74" i="77"/>
  <c r="W74" i="77" s="1"/>
  <c r="D74" i="36"/>
  <c r="N74" i="32"/>
  <c r="EL74" i="67"/>
  <c r="DQ275" i="4"/>
  <c r="EK83" i="67"/>
  <c r="DQ270" i="4"/>
  <c r="D83" i="77"/>
  <c r="W83" i="77" s="1"/>
  <c r="D79" i="36"/>
  <c r="EH74" i="67"/>
  <c r="EJ74" i="67" s="1"/>
  <c r="T273" i="4"/>
  <c r="D85" i="77"/>
  <c r="W85" i="77" s="1"/>
  <c r="EH75" i="67"/>
  <c r="EI75" i="67" s="1"/>
  <c r="EK79" i="67"/>
  <c r="EL78" i="67"/>
  <c r="EI50" i="67"/>
  <c r="T268" i="4"/>
  <c r="EJ57" i="67"/>
  <c r="D76" i="77"/>
  <c r="W76" i="77" s="1"/>
  <c r="D76" i="36"/>
  <c r="DQ276" i="4"/>
  <c r="DQ268" i="4"/>
  <c r="N76" i="32"/>
  <c r="O76" i="32" s="1"/>
  <c r="N78" i="32"/>
  <c r="O78" i="32" s="1"/>
  <c r="EH84" i="67"/>
  <c r="EJ84" i="67" s="1"/>
  <c r="D79" i="77"/>
  <c r="W79" i="77" s="1"/>
  <c r="T270" i="4"/>
  <c r="EL84" i="67"/>
  <c r="DQ272" i="4"/>
  <c r="D77" i="77"/>
  <c r="W77" i="77" s="1"/>
  <c r="EK76" i="67"/>
  <c r="D77" i="36"/>
  <c r="T269" i="4"/>
  <c r="EJ56" i="67"/>
  <c r="T267" i="4"/>
  <c r="DQ271" i="4"/>
  <c r="T276" i="4"/>
  <c r="N83" i="32"/>
  <c r="O83" i="32" s="1"/>
  <c r="N75" i="32"/>
  <c r="O75" i="32" s="1"/>
  <c r="N82" i="32"/>
  <c r="O82" i="32" s="1"/>
  <c r="D75" i="36"/>
  <c r="D82" i="36"/>
  <c r="EL79" i="67"/>
  <c r="EH82" i="67"/>
  <c r="EJ51" i="67"/>
  <c r="Z12" i="17"/>
  <c r="AD12" i="17" s="1"/>
  <c r="AE12" i="17" s="1"/>
  <c r="I86" i="67"/>
  <c r="I88" i="67"/>
  <c r="I89" i="67"/>
  <c r="I93" i="67"/>
  <c r="I87" i="67"/>
  <c r="I91" i="67"/>
  <c r="I90" i="67"/>
  <c r="I92" i="67"/>
  <c r="I95" i="67"/>
  <c r="I94" i="67"/>
  <c r="I96" i="67"/>
  <c r="I97" i="67"/>
  <c r="EH76" i="67"/>
  <c r="EJ76" i="67" s="1"/>
  <c r="EL82" i="67"/>
  <c r="AG9" i="17"/>
  <c r="S8" i="17"/>
  <c r="T8" i="17" s="1"/>
  <c r="V8" i="17" s="1"/>
  <c r="P8" i="17"/>
  <c r="EI45" i="67"/>
  <c r="EJ45" i="67"/>
  <c r="D28" i="30"/>
  <c r="I7" i="15" s="1"/>
  <c r="EG28" i="67"/>
  <c r="D28" i="76"/>
  <c r="U28" i="76" s="1"/>
  <c r="S220" i="4"/>
  <c r="W220" i="4" s="1"/>
  <c r="DP220" i="4"/>
  <c r="D28" i="34"/>
  <c r="EE28" i="67"/>
  <c r="EF28" i="67" s="1"/>
  <c r="Q10" i="15"/>
  <c r="N45" i="32"/>
  <c r="S9" i="17"/>
  <c r="T9" i="17" s="1"/>
  <c r="V9" i="17" s="1"/>
  <c r="P9" i="17"/>
  <c r="EE40" i="67"/>
  <c r="EF40" i="67" s="1"/>
  <c r="S232" i="4"/>
  <c r="W232" i="4" s="1"/>
  <c r="DP232" i="4"/>
  <c r="D40" i="76"/>
  <c r="U40" i="76" s="1"/>
  <c r="D40" i="30"/>
  <c r="I8" i="15" s="1"/>
  <c r="K8" i="15" s="1"/>
  <c r="D40" i="34"/>
  <c r="EG40" i="67"/>
  <c r="DQ280" i="4"/>
  <c r="T280" i="4"/>
  <c r="EL88" i="67"/>
  <c r="T281" i="4"/>
  <c r="DQ287" i="4"/>
  <c r="EK95" i="67"/>
  <c r="N95" i="32"/>
  <c r="O95" i="32" s="1"/>
  <c r="D88" i="77"/>
  <c r="W88" i="77" s="1"/>
  <c r="N88" i="32"/>
  <c r="O88" i="32" s="1"/>
  <c r="D93" i="36"/>
  <c r="D93" i="77"/>
  <c r="W93" i="77" s="1"/>
  <c r="D96" i="77"/>
  <c r="W96" i="77" s="1"/>
  <c r="EK87" i="67"/>
  <c r="DQ285" i="4"/>
  <c r="T285" i="4"/>
  <c r="EL92" i="67"/>
  <c r="EH92" i="67"/>
  <c r="EI92" i="67" s="1"/>
  <c r="N92" i="32"/>
  <c r="O92" i="32" s="1"/>
  <c r="D92" i="77"/>
  <c r="W92" i="77" s="1"/>
  <c r="D92" i="36"/>
  <c r="EH96" i="67"/>
  <c r="EJ96" i="67" s="1"/>
  <c r="EL97" i="67"/>
  <c r="EL93" i="67"/>
  <c r="EK88" i="67"/>
  <c r="EL90" i="67"/>
  <c r="EH88" i="67"/>
  <c r="EI88" i="67" s="1"/>
  <c r="T288" i="4"/>
  <c r="EH93" i="67"/>
  <c r="EJ93" i="67" s="1"/>
  <c r="DQ279" i="4"/>
  <c r="N87" i="32"/>
  <c r="O87" i="32" s="1"/>
  <c r="D96" i="36"/>
  <c r="T282" i="4"/>
  <c r="D87" i="36"/>
  <c r="D90" i="77"/>
  <c r="W90" i="77" s="1"/>
  <c r="T283" i="4"/>
  <c r="D87" i="77"/>
  <c r="W87" i="77" s="1"/>
  <c r="D91" i="36"/>
  <c r="D95" i="77"/>
  <c r="W95" i="77" s="1"/>
  <c r="DQ283" i="4"/>
  <c r="EL91" i="67"/>
  <c r="DQ282" i="4"/>
  <c r="DQ284" i="4"/>
  <c r="D97" i="77"/>
  <c r="W97" i="77" s="1"/>
  <c r="D97" i="36"/>
  <c r="EK97" i="67"/>
  <c r="DQ288" i="4"/>
  <c r="N96" i="32"/>
  <c r="O96" i="32" s="1"/>
  <c r="EL95" i="67"/>
  <c r="EK91" i="67"/>
  <c r="DQ289" i="4"/>
  <c r="EL96" i="67"/>
  <c r="EH95" i="67"/>
  <c r="EJ95" i="67" s="1"/>
  <c r="EH97" i="67"/>
  <c r="EJ97" i="67" s="1"/>
  <c r="D89" i="77"/>
  <c r="W89" i="77" s="1"/>
  <c r="S247" i="4"/>
  <c r="W247" i="4" s="1"/>
  <c r="D55" i="76"/>
  <c r="U55" i="76" s="1"/>
  <c r="D55" i="34"/>
  <c r="EG55" i="67"/>
  <c r="D55" i="30"/>
  <c r="T55" i="30" s="1"/>
  <c r="U55" i="30" s="1"/>
  <c r="EE55" i="67"/>
  <c r="EF55" i="67" s="1"/>
  <c r="DP247" i="4"/>
  <c r="D51" i="30"/>
  <c r="T51" i="30" s="1"/>
  <c r="EG51" i="67"/>
  <c r="DP243" i="4"/>
  <c r="S243" i="4"/>
  <c r="W243" i="4" s="1"/>
  <c r="D51" i="76"/>
  <c r="U51" i="76" s="1"/>
  <c r="D51" i="34"/>
  <c r="EE51" i="67"/>
  <c r="EF51" i="67" s="1"/>
  <c r="D58" i="30"/>
  <c r="T58" i="30" s="1"/>
  <c r="U58" i="30" s="1"/>
  <c r="EG58" i="67"/>
  <c r="EE58" i="67"/>
  <c r="EF58" i="67" s="1"/>
  <c r="S250" i="4"/>
  <c r="W250" i="4" s="1"/>
  <c r="DP250" i="4"/>
  <c r="D58" i="76"/>
  <c r="U58" i="76" s="1"/>
  <c r="D58" i="34"/>
  <c r="S246" i="4"/>
  <c r="W246" i="4" s="1"/>
  <c r="DP246" i="4"/>
  <c r="D54" i="76"/>
  <c r="U54" i="76" s="1"/>
  <c r="D54" i="34"/>
  <c r="D54" i="30"/>
  <c r="T54" i="30" s="1"/>
  <c r="U54" i="30" s="1"/>
  <c r="EE54" i="67"/>
  <c r="EF54" i="67" s="1"/>
  <c r="EG54" i="67"/>
  <c r="DQ281" i="4"/>
  <c r="EK89" i="67"/>
  <c r="EE61" i="67"/>
  <c r="EF61" i="67" s="1"/>
  <c r="S253" i="4"/>
  <c r="W253" i="4" s="1"/>
  <c r="DP253" i="4"/>
  <c r="D61" i="76"/>
  <c r="U61" i="76" s="1"/>
  <c r="D61" i="34"/>
  <c r="EG61" i="67"/>
  <c r="D61" i="30"/>
  <c r="T61" i="30" s="1"/>
  <c r="U61" i="30" s="1"/>
  <c r="T287" i="4"/>
  <c r="EH89" i="67"/>
  <c r="EI89" i="67" s="1"/>
  <c r="N97" i="32"/>
  <c r="EK90" i="67"/>
  <c r="DQ286" i="4"/>
  <c r="EJ66" i="67"/>
  <c r="EI66" i="67"/>
  <c r="EJ70" i="67"/>
  <c r="EI70" i="67"/>
  <c r="D89" i="36"/>
  <c r="EH90" i="67"/>
  <c r="EJ90" i="67" s="1"/>
  <c r="EL94" i="67"/>
  <c r="EJ68" i="67"/>
  <c r="EI68" i="67"/>
  <c r="EK94" i="67"/>
  <c r="EI65" i="67"/>
  <c r="EJ65" i="67"/>
  <c r="N94" i="32"/>
  <c r="O94" i="32" s="1"/>
  <c r="D60" i="76"/>
  <c r="U60" i="76" s="1"/>
  <c r="D60" i="34"/>
  <c r="D60" i="30"/>
  <c r="T60" i="30" s="1"/>
  <c r="U60" i="30" s="1"/>
  <c r="EE60" i="67"/>
  <c r="EF60" i="67" s="1"/>
  <c r="EG60" i="67"/>
  <c r="S252" i="4"/>
  <c r="W252" i="4" s="1"/>
  <c r="DP252" i="4"/>
  <c r="D94" i="36"/>
  <c r="EJ72" i="67"/>
  <c r="EI72" i="67"/>
  <c r="EL89" i="67"/>
  <c r="D90" i="36"/>
  <c r="EH94" i="67"/>
  <c r="EJ94" i="67" s="1"/>
  <c r="EJ62" i="67"/>
  <c r="EI62" i="67"/>
  <c r="EG53" i="67"/>
  <c r="EE53" i="67"/>
  <c r="EF53" i="67" s="1"/>
  <c r="S245" i="4"/>
  <c r="W245" i="4" s="1"/>
  <c r="DP245" i="4"/>
  <c r="D53" i="76"/>
  <c r="U53" i="76" s="1"/>
  <c r="D53" i="34"/>
  <c r="D53" i="30"/>
  <c r="T53" i="30" s="1"/>
  <c r="U53" i="30" s="1"/>
  <c r="EI73" i="67"/>
  <c r="EJ73" i="67"/>
  <c r="EJ63" i="67"/>
  <c r="EI63" i="67"/>
  <c r="EJ64" i="67"/>
  <c r="EI64" i="67"/>
  <c r="D56" i="34"/>
  <c r="D56" i="30"/>
  <c r="T56" i="30" s="1"/>
  <c r="U56" i="30" s="1"/>
  <c r="EE56" i="67"/>
  <c r="EF56" i="67" s="1"/>
  <c r="EG56" i="67"/>
  <c r="S248" i="4"/>
  <c r="W248" i="4" s="1"/>
  <c r="DP248" i="4"/>
  <c r="D56" i="76"/>
  <c r="U56" i="76" s="1"/>
  <c r="EI67" i="67"/>
  <c r="EJ67" i="67"/>
  <c r="D57" i="76"/>
  <c r="U57" i="76" s="1"/>
  <c r="D57" i="34"/>
  <c r="D57" i="30"/>
  <c r="T57" i="30" s="1"/>
  <c r="U57" i="30" s="1"/>
  <c r="EE57" i="67"/>
  <c r="EF57" i="67" s="1"/>
  <c r="EG57" i="67"/>
  <c r="DP249" i="4"/>
  <c r="S249" i="4"/>
  <c r="W249" i="4" s="1"/>
  <c r="J73" i="67"/>
  <c r="J62" i="67"/>
  <c r="J66" i="67"/>
  <c r="J70" i="67"/>
  <c r="J63" i="67"/>
  <c r="J67" i="67"/>
  <c r="J71" i="67"/>
  <c r="J64" i="67"/>
  <c r="J68" i="67"/>
  <c r="J72" i="67"/>
  <c r="J65" i="67"/>
  <c r="J69" i="67"/>
  <c r="EH91" i="67"/>
  <c r="EI91" i="67" s="1"/>
  <c r="EJ69" i="67"/>
  <c r="EI69" i="67"/>
  <c r="EE59" i="67"/>
  <c r="EF59" i="67" s="1"/>
  <c r="DP251" i="4"/>
  <c r="S251" i="4"/>
  <c r="W251" i="4" s="1"/>
  <c r="D59" i="76"/>
  <c r="U59" i="76" s="1"/>
  <c r="D59" i="34"/>
  <c r="D59" i="30"/>
  <c r="T59" i="30" s="1"/>
  <c r="U59" i="30" s="1"/>
  <c r="EG59" i="67"/>
  <c r="T286" i="4"/>
  <c r="T284" i="4"/>
  <c r="N93" i="32"/>
  <c r="O93" i="32" s="1"/>
  <c r="N91" i="32"/>
  <c r="O91" i="32" s="1"/>
  <c r="EE52" i="67"/>
  <c r="EF52" i="67" s="1"/>
  <c r="S244" i="4"/>
  <c r="W244" i="4" s="1"/>
  <c r="DP244" i="4"/>
  <c r="D52" i="76"/>
  <c r="U52" i="76" s="1"/>
  <c r="D52" i="34"/>
  <c r="D52" i="30"/>
  <c r="T52" i="30" s="1"/>
  <c r="U52" i="30" s="1"/>
  <c r="EG52" i="67"/>
  <c r="EJ71" i="67"/>
  <c r="EI71" i="67"/>
  <c r="Z13" i="17"/>
  <c r="DQ307" i="4"/>
  <c r="T307" i="4"/>
  <c r="T313" i="4"/>
  <c r="DQ313" i="4"/>
  <c r="T309" i="4"/>
  <c r="DQ309" i="4"/>
  <c r="T311" i="4"/>
  <c r="DQ311" i="4"/>
  <c r="T314" i="4"/>
  <c r="AG10" i="17"/>
  <c r="T316" i="4"/>
  <c r="DQ303" i="4"/>
  <c r="T303" i="4"/>
  <c r="T315" i="4"/>
  <c r="T318" i="4"/>
  <c r="T304" i="4"/>
  <c r="DQ304" i="4"/>
  <c r="U15" i="148"/>
  <c r="N45" i="148"/>
  <c r="K57" i="148"/>
  <c r="N16" i="148"/>
  <c r="AA11" i="17"/>
  <c r="AD11" i="17"/>
  <c r="AE11" i="17" s="1"/>
  <c r="C23" i="156" s="1"/>
  <c r="D23" i="156" s="1"/>
  <c r="AD15" i="17"/>
  <c r="DQ308" i="4"/>
  <c r="T308" i="4"/>
  <c r="T306" i="4"/>
  <c r="DQ306" i="4"/>
  <c r="O10" i="17"/>
  <c r="O54" i="17"/>
  <c r="DQ305" i="4"/>
  <c r="T305" i="4"/>
  <c r="T317" i="4"/>
  <c r="DQ310" i="4"/>
  <c r="T310" i="4"/>
  <c r="EK100" i="67" l="1"/>
  <c r="D100" i="36"/>
  <c r="D103" i="77"/>
  <c r="W103" i="77" s="1"/>
  <c r="D101" i="77"/>
  <c r="W101" i="77" s="1"/>
  <c r="EL100" i="67"/>
  <c r="EH100" i="67"/>
  <c r="EJ100" i="67" s="1"/>
  <c r="EL87" i="67"/>
  <c r="D100" i="77"/>
  <c r="W100" i="77" s="1"/>
  <c r="EH87" i="67"/>
  <c r="EI87" i="67" s="1"/>
  <c r="D101" i="150"/>
  <c r="V101" i="150" s="1"/>
  <c r="W101" i="150" s="1"/>
  <c r="EL103" i="67"/>
  <c r="EK101" i="67"/>
  <c r="T292" i="4"/>
  <c r="F27" i="74"/>
  <c r="F33" i="74" s="1"/>
  <c r="DQ295" i="4"/>
  <c r="T295" i="4"/>
  <c r="T293" i="4"/>
  <c r="EL101" i="67"/>
  <c r="EH103" i="67"/>
  <c r="EJ103" i="67" s="1"/>
  <c r="D103" i="36"/>
  <c r="DQ293" i="4"/>
  <c r="EH101" i="67"/>
  <c r="EJ101" i="67" s="1"/>
  <c r="EK103" i="67"/>
  <c r="D104" i="155"/>
  <c r="Y104" i="155" s="1"/>
  <c r="D104" i="154"/>
  <c r="D104" i="153"/>
  <c r="X104" i="153" s="1"/>
  <c r="Y104" i="153" s="1"/>
  <c r="X98" i="67"/>
  <c r="AV14" i="17"/>
  <c r="AV56" i="17"/>
  <c r="D105" i="154"/>
  <c r="D105" i="153"/>
  <c r="X105" i="153" s="1"/>
  <c r="Y105" i="153" s="1"/>
  <c r="D105" i="155"/>
  <c r="Y105" i="155" s="1"/>
  <c r="EL104" i="67"/>
  <c r="D104" i="36"/>
  <c r="D104" i="150"/>
  <c r="V104" i="150" s="1"/>
  <c r="W104" i="150" s="1"/>
  <c r="EH104" i="67"/>
  <c r="D104" i="77"/>
  <c r="W104" i="77" s="1"/>
  <c r="EK104" i="67"/>
  <c r="T296" i="4"/>
  <c r="DQ296" i="4"/>
  <c r="D102" i="77"/>
  <c r="W102" i="77" s="1"/>
  <c r="D102" i="150"/>
  <c r="V102" i="150" s="1"/>
  <c r="W102" i="150" s="1"/>
  <c r="EL102" i="67"/>
  <c r="EH102" i="67"/>
  <c r="D102" i="36"/>
  <c r="EK102" i="67"/>
  <c r="T294" i="4"/>
  <c r="DQ294" i="4"/>
  <c r="EL99" i="67"/>
  <c r="EH99" i="67"/>
  <c r="D99" i="150"/>
  <c r="V99" i="150" s="1"/>
  <c r="W99" i="150" s="1"/>
  <c r="D99" i="77"/>
  <c r="W99" i="77" s="1"/>
  <c r="D99" i="36"/>
  <c r="EK99" i="67"/>
  <c r="T291" i="4"/>
  <c r="DQ291" i="4"/>
  <c r="D101" i="155"/>
  <c r="Y101" i="155" s="1"/>
  <c r="D101" i="154"/>
  <c r="D101" i="153"/>
  <c r="X101" i="153" s="1"/>
  <c r="Y101" i="153" s="1"/>
  <c r="EK96" i="67"/>
  <c r="D100" i="153"/>
  <c r="X100" i="153" s="1"/>
  <c r="Y100" i="153" s="1"/>
  <c r="D100" i="155"/>
  <c r="Y100" i="155" s="1"/>
  <c r="D100" i="154"/>
  <c r="D108" i="36"/>
  <c r="D108" i="150"/>
  <c r="V108" i="150" s="1"/>
  <c r="W108" i="150" s="1"/>
  <c r="D108" i="77"/>
  <c r="W108" i="77" s="1"/>
  <c r="EH108" i="67"/>
  <c r="EL108" i="67"/>
  <c r="EK108" i="67"/>
  <c r="T300" i="4"/>
  <c r="DQ300" i="4"/>
  <c r="Z55" i="17"/>
  <c r="AA55" i="17" s="1"/>
  <c r="D106" i="154"/>
  <c r="D106" i="155"/>
  <c r="Y106" i="155" s="1"/>
  <c r="D106" i="153"/>
  <c r="X106" i="153" s="1"/>
  <c r="Y106" i="153" s="1"/>
  <c r="D99" i="155"/>
  <c r="Y99" i="155" s="1"/>
  <c r="D99" i="153"/>
  <c r="X99" i="153" s="1"/>
  <c r="Y99" i="153" s="1"/>
  <c r="D99" i="154"/>
  <c r="N98" i="67"/>
  <c r="Z56" i="17"/>
  <c r="Z14" i="17"/>
  <c r="O98" i="32"/>
  <c r="EH107" i="67"/>
  <c r="D107" i="77"/>
  <c r="W107" i="77" s="1"/>
  <c r="D107" i="36"/>
  <c r="EL107" i="67"/>
  <c r="D107" i="150"/>
  <c r="V107" i="150" s="1"/>
  <c r="W107" i="150" s="1"/>
  <c r="EK107" i="67"/>
  <c r="DQ299" i="4"/>
  <c r="T299" i="4"/>
  <c r="D108" i="154"/>
  <c r="D108" i="153"/>
  <c r="X108" i="153" s="1"/>
  <c r="Y108" i="153" s="1"/>
  <c r="D108" i="155"/>
  <c r="Y108" i="155" s="1"/>
  <c r="D105" i="150"/>
  <c r="V105" i="150" s="1"/>
  <c r="W105" i="150" s="1"/>
  <c r="D105" i="77"/>
  <c r="W105" i="77" s="1"/>
  <c r="EH105" i="67"/>
  <c r="EL105" i="67"/>
  <c r="D105" i="36"/>
  <c r="EK105" i="67"/>
  <c r="DQ297" i="4"/>
  <c r="T297" i="4"/>
  <c r="D109" i="36"/>
  <c r="D109" i="150"/>
  <c r="V109" i="150" s="1"/>
  <c r="W109" i="150" s="1"/>
  <c r="EH109" i="67"/>
  <c r="D109" i="77"/>
  <c r="W109" i="77" s="1"/>
  <c r="EL109" i="67"/>
  <c r="EK109" i="67"/>
  <c r="DQ301" i="4"/>
  <c r="T301" i="4"/>
  <c r="I104" i="67"/>
  <c r="J104" i="67" s="1"/>
  <c r="I108" i="67"/>
  <c r="J108" i="67" s="1"/>
  <c r="I106" i="67"/>
  <c r="J106" i="67" s="1"/>
  <c r="I100" i="67"/>
  <c r="J100" i="67" s="1"/>
  <c r="I102" i="67"/>
  <c r="J102" i="67" s="1"/>
  <c r="I98" i="67"/>
  <c r="I107" i="67"/>
  <c r="J107" i="67" s="1"/>
  <c r="I109" i="67"/>
  <c r="J109" i="67" s="1"/>
  <c r="I103" i="67"/>
  <c r="J103" i="67" s="1"/>
  <c r="I105" i="67"/>
  <c r="J105" i="67" s="1"/>
  <c r="I101" i="67"/>
  <c r="J101" i="67" s="1"/>
  <c r="I99" i="67"/>
  <c r="J99" i="67" s="1"/>
  <c r="D102" i="153"/>
  <c r="X102" i="153" s="1"/>
  <c r="Y102" i="153" s="1"/>
  <c r="D102" i="154"/>
  <c r="D102" i="155"/>
  <c r="Y102" i="155" s="1"/>
  <c r="D107" i="155"/>
  <c r="Y107" i="155" s="1"/>
  <c r="D107" i="153"/>
  <c r="X107" i="153" s="1"/>
  <c r="Y107" i="153" s="1"/>
  <c r="D107" i="154"/>
  <c r="AR14" i="17"/>
  <c r="J26" i="156"/>
  <c r="K26" i="156" s="1"/>
  <c r="O26" i="156" s="1"/>
  <c r="K28" i="74" s="1"/>
  <c r="J18" i="24"/>
  <c r="D109" i="154"/>
  <c r="D109" i="155"/>
  <c r="Y109" i="155" s="1"/>
  <c r="D109" i="153"/>
  <c r="X109" i="153" s="1"/>
  <c r="Y109" i="153" s="1"/>
  <c r="AP56" i="17"/>
  <c r="AR56" i="17" s="1"/>
  <c r="EJ106" i="67"/>
  <c r="EI106" i="67"/>
  <c r="O55" i="17"/>
  <c r="AZ55" i="17"/>
  <c r="AW55" i="17"/>
  <c r="AY55" i="17"/>
  <c r="N86" i="67"/>
  <c r="O110" i="157"/>
  <c r="K7" i="15"/>
  <c r="D95" i="150"/>
  <c r="V95" i="150" s="1"/>
  <c r="W95" i="150" s="1"/>
  <c r="AW53" i="17"/>
  <c r="U51" i="30"/>
  <c r="U50" i="30"/>
  <c r="AA77" i="30"/>
  <c r="D87" i="150"/>
  <c r="V87" i="150" s="1"/>
  <c r="W87" i="150" s="1"/>
  <c r="EG50" i="67"/>
  <c r="EI74" i="67"/>
  <c r="Y97" i="153"/>
  <c r="P52" i="17"/>
  <c r="D50" i="34"/>
  <c r="AR51" i="17"/>
  <c r="F6" i="74" s="1"/>
  <c r="I28" i="74"/>
  <c r="H27" i="74"/>
  <c r="H28" i="74"/>
  <c r="O24" i="156"/>
  <c r="H23" i="156"/>
  <c r="O23" i="156"/>
  <c r="D50" i="76"/>
  <c r="U50" i="76" s="1"/>
  <c r="R52" i="17" s="1"/>
  <c r="T52" i="17" s="1"/>
  <c r="EE50" i="67"/>
  <c r="EF50" i="67" s="1"/>
  <c r="S242" i="4"/>
  <c r="W242" i="4" s="1"/>
  <c r="DP242" i="4"/>
  <c r="AA54" i="17"/>
  <c r="Y59" i="153"/>
  <c r="Y57" i="153"/>
  <c r="AZ54" i="17"/>
  <c r="AW54" i="17"/>
  <c r="EI79" i="67"/>
  <c r="AO54" i="17"/>
  <c r="AP54" i="17" s="1"/>
  <c r="D74" i="154"/>
  <c r="D74" i="153"/>
  <c r="D74" i="155"/>
  <c r="Y74" i="155" s="1"/>
  <c r="AY54" i="17" s="1"/>
  <c r="S53" i="17"/>
  <c r="Y56" i="153"/>
  <c r="O97" i="32"/>
  <c r="AO52" i="17"/>
  <c r="AP52" i="17" s="1"/>
  <c r="D50" i="155"/>
  <c r="Y50" i="155" s="1"/>
  <c r="AY52" i="17" s="1"/>
  <c r="D50" i="154"/>
  <c r="D50" i="153"/>
  <c r="Y53" i="153"/>
  <c r="AA12" i="15"/>
  <c r="AC12" i="15" s="1"/>
  <c r="X86" i="153"/>
  <c r="Y51" i="153"/>
  <c r="EJ80" i="67"/>
  <c r="O74" i="32"/>
  <c r="O9" i="15"/>
  <c r="V50" i="150"/>
  <c r="Y55" i="153"/>
  <c r="O11" i="15"/>
  <c r="Q11" i="15" s="1"/>
  <c r="V74" i="150"/>
  <c r="Y54" i="153"/>
  <c r="Y61" i="153"/>
  <c r="AZ52" i="17"/>
  <c r="AW52" i="17"/>
  <c r="O45" i="32"/>
  <c r="Y52" i="153"/>
  <c r="EJ83" i="67"/>
  <c r="AO53" i="17"/>
  <c r="AP53" i="17" s="1"/>
  <c r="D62" i="155"/>
  <c r="Y62" i="155" s="1"/>
  <c r="AY53" i="17" s="1"/>
  <c r="BA53" i="17" s="1"/>
  <c r="D62" i="154"/>
  <c r="D62" i="153"/>
  <c r="U10" i="15"/>
  <c r="N62" i="32"/>
  <c r="AE15" i="17"/>
  <c r="AD57" i="17"/>
  <c r="Y58" i="153"/>
  <c r="Y60" i="153"/>
  <c r="C24" i="156"/>
  <c r="D24" i="156" s="1"/>
  <c r="J17" i="24"/>
  <c r="K17" i="24" s="1"/>
  <c r="J25" i="156"/>
  <c r="K25" i="156" s="1"/>
  <c r="AR11" i="17"/>
  <c r="AR13" i="17"/>
  <c r="AR12" i="17"/>
  <c r="AL52" i="17"/>
  <c r="AL53" i="17"/>
  <c r="AZ11" i="17"/>
  <c r="BA11" i="17" s="1"/>
  <c r="AW11" i="17"/>
  <c r="AZ13" i="17"/>
  <c r="BA13" i="17" s="1"/>
  <c r="Q25" i="156" s="1"/>
  <c r="R25" i="156" s="1"/>
  <c r="AW13" i="17"/>
  <c r="AL54" i="17"/>
  <c r="AZ12" i="17"/>
  <c r="BA12" i="17" s="1"/>
  <c r="AW12" i="17"/>
  <c r="AZ10" i="17"/>
  <c r="BA10" i="17" s="1"/>
  <c r="AW10" i="17"/>
  <c r="AE52" i="17"/>
  <c r="AC54" i="17"/>
  <c r="AE54" i="17" s="1"/>
  <c r="AG51" i="17"/>
  <c r="F5" i="74" s="1"/>
  <c r="R51" i="17"/>
  <c r="T51" i="17" s="1"/>
  <c r="R50" i="17"/>
  <c r="T50" i="17" s="1"/>
  <c r="AP58" i="17"/>
  <c r="BA58" i="17"/>
  <c r="EJ78" i="67"/>
  <c r="EJ85" i="67"/>
  <c r="AG12" i="17"/>
  <c r="EI84" i="67"/>
  <c r="EJ81" i="67"/>
  <c r="EJ77" i="67"/>
  <c r="EJ75" i="67"/>
  <c r="EI76" i="67"/>
  <c r="EJ82" i="67"/>
  <c r="EI82" i="67"/>
  <c r="AA12" i="17"/>
  <c r="I9" i="15"/>
  <c r="K9" i="15" s="1"/>
  <c r="T28" i="30"/>
  <c r="AG53" i="17"/>
  <c r="H5" i="74" s="1"/>
  <c r="T40" i="30"/>
  <c r="EI93" i="67"/>
  <c r="EJ88" i="67"/>
  <c r="EJ92" i="67"/>
  <c r="EI96" i="67"/>
  <c r="EI97" i="67"/>
  <c r="EJ87" i="67"/>
  <c r="EI94" i="67"/>
  <c r="EJ89" i="67"/>
  <c r="EI90" i="67"/>
  <c r="EJ91" i="67"/>
  <c r="EI95" i="67"/>
  <c r="EG64" i="67"/>
  <c r="EE64" i="67"/>
  <c r="EF64" i="67" s="1"/>
  <c r="DP256" i="4"/>
  <c r="S256" i="4"/>
  <c r="W256" i="4" s="1"/>
  <c r="D64" i="76"/>
  <c r="U64" i="76" s="1"/>
  <c r="D64" i="34"/>
  <c r="D64" i="30"/>
  <c r="T64" i="30" s="1"/>
  <c r="U64" i="30" s="1"/>
  <c r="EE71" i="67"/>
  <c r="EF71" i="67" s="1"/>
  <c r="D71" i="34"/>
  <c r="D71" i="30"/>
  <c r="T71" i="30" s="1"/>
  <c r="U71" i="30" s="1"/>
  <c r="EG71" i="67"/>
  <c r="S263" i="4"/>
  <c r="W263" i="4" s="1"/>
  <c r="DP263" i="4"/>
  <c r="D71" i="76"/>
  <c r="U71" i="76" s="1"/>
  <c r="EG67" i="67"/>
  <c r="DP259" i="4"/>
  <c r="S259" i="4"/>
  <c r="W259" i="4" s="1"/>
  <c r="D67" i="76"/>
  <c r="U67" i="76" s="1"/>
  <c r="D67" i="34"/>
  <c r="EE67" i="67"/>
  <c r="EF67" i="67" s="1"/>
  <c r="D67" i="30"/>
  <c r="T67" i="30" s="1"/>
  <c r="U67" i="30" s="1"/>
  <c r="EE63" i="67"/>
  <c r="EF63" i="67" s="1"/>
  <c r="DP255" i="4"/>
  <c r="EG63" i="67"/>
  <c r="S255" i="4"/>
  <c r="W255" i="4" s="1"/>
  <c r="D63" i="76"/>
  <c r="U63" i="76" s="1"/>
  <c r="D63" i="34"/>
  <c r="D63" i="30"/>
  <c r="T63" i="30" s="1"/>
  <c r="U63" i="30" s="1"/>
  <c r="S262" i="4"/>
  <c r="W262" i="4" s="1"/>
  <c r="DP262" i="4"/>
  <c r="D70" i="76"/>
  <c r="U70" i="76" s="1"/>
  <c r="D70" i="34"/>
  <c r="D70" i="30"/>
  <c r="T70" i="30" s="1"/>
  <c r="U70" i="30" s="1"/>
  <c r="EE70" i="67"/>
  <c r="EF70" i="67" s="1"/>
  <c r="EG70" i="67"/>
  <c r="EE66" i="67"/>
  <c r="EF66" i="67" s="1"/>
  <c r="DP258" i="4"/>
  <c r="S258" i="4"/>
  <c r="W258" i="4" s="1"/>
  <c r="D66" i="76"/>
  <c r="U66" i="76" s="1"/>
  <c r="D66" i="34"/>
  <c r="D66" i="30"/>
  <c r="T66" i="30" s="1"/>
  <c r="U66" i="30" s="1"/>
  <c r="EG66" i="67"/>
  <c r="EG62" i="67"/>
  <c r="EE62" i="67"/>
  <c r="EF62" i="67" s="1"/>
  <c r="DP254" i="4"/>
  <c r="S254" i="4"/>
  <c r="W254" i="4" s="1"/>
  <c r="D62" i="76"/>
  <c r="U62" i="76" s="1"/>
  <c r="D62" i="34"/>
  <c r="D62" i="30"/>
  <c r="T62" i="30" s="1"/>
  <c r="D73" i="76"/>
  <c r="U73" i="76" s="1"/>
  <c r="D73" i="30"/>
  <c r="T73" i="30" s="1"/>
  <c r="U73" i="30" s="1"/>
  <c r="EG73" i="67"/>
  <c r="EE73" i="67"/>
  <c r="EF73" i="67" s="1"/>
  <c r="DP265" i="4"/>
  <c r="S265" i="4"/>
  <c r="W265" i="4" s="1"/>
  <c r="D73" i="34"/>
  <c r="EG68" i="67"/>
  <c r="EE68" i="67"/>
  <c r="EF68" i="67" s="1"/>
  <c r="S260" i="4"/>
  <c r="W260" i="4" s="1"/>
  <c r="DP260" i="4"/>
  <c r="D68" i="76"/>
  <c r="U68" i="76" s="1"/>
  <c r="D68" i="34"/>
  <c r="D68" i="30"/>
  <c r="T68" i="30" s="1"/>
  <c r="U68" i="30" s="1"/>
  <c r="J84" i="67"/>
  <c r="J81" i="67"/>
  <c r="J85" i="67"/>
  <c r="J77" i="67"/>
  <c r="J75" i="67"/>
  <c r="J74" i="67"/>
  <c r="D74" i="30" s="1"/>
  <c r="J78" i="67"/>
  <c r="J82" i="67"/>
  <c r="J79" i="67"/>
  <c r="J83" i="67"/>
  <c r="J76" i="67"/>
  <c r="J80" i="67"/>
  <c r="EG69" i="67"/>
  <c r="DP261" i="4"/>
  <c r="D69" i="76"/>
  <c r="U69" i="76" s="1"/>
  <c r="D69" i="30"/>
  <c r="T69" i="30" s="1"/>
  <c r="U69" i="30" s="1"/>
  <c r="D69" i="34"/>
  <c r="EE69" i="67"/>
  <c r="EF69" i="67" s="1"/>
  <c r="S261" i="4"/>
  <c r="W261" i="4" s="1"/>
  <c r="EG65" i="67"/>
  <c r="EE65" i="67"/>
  <c r="EF65" i="67" s="1"/>
  <c r="DP257" i="4"/>
  <c r="S257" i="4"/>
  <c r="W257" i="4" s="1"/>
  <c r="D65" i="76"/>
  <c r="U65" i="76" s="1"/>
  <c r="D65" i="34"/>
  <c r="D65" i="30"/>
  <c r="T65" i="30" s="1"/>
  <c r="U65" i="30" s="1"/>
  <c r="D72" i="30"/>
  <c r="T72" i="30" s="1"/>
  <c r="U72" i="30" s="1"/>
  <c r="D72" i="76"/>
  <c r="U72" i="76" s="1"/>
  <c r="DP264" i="4"/>
  <c r="S264" i="4"/>
  <c r="W264" i="4" s="1"/>
  <c r="EG72" i="67"/>
  <c r="EE72" i="67"/>
  <c r="EF72" i="67" s="1"/>
  <c r="D72" i="34"/>
  <c r="AG11" i="17"/>
  <c r="N17" i="148"/>
  <c r="K58" i="148"/>
  <c r="AC58" i="17"/>
  <c r="AE58" i="17" s="1"/>
  <c r="D20" i="24"/>
  <c r="N46" i="148"/>
  <c r="U16" i="148"/>
  <c r="O11" i="17"/>
  <c r="S10" i="17"/>
  <c r="T10" i="17" s="1"/>
  <c r="V10" i="17" s="1"/>
  <c r="P10" i="17"/>
  <c r="AA13" i="17"/>
  <c r="AD13" i="17"/>
  <c r="AE13" i="17" s="1"/>
  <c r="N86" i="32"/>
  <c r="T302" i="4"/>
  <c r="DQ302" i="4"/>
  <c r="AC57" i="17"/>
  <c r="S54" i="17"/>
  <c r="P54" i="17"/>
  <c r="EI100" i="67" l="1"/>
  <c r="C23" i="73"/>
  <c r="EI101" i="67"/>
  <c r="EI103" i="67"/>
  <c r="DQ312" i="4"/>
  <c r="T312" i="4"/>
  <c r="AD55" i="17"/>
  <c r="BA55" i="17"/>
  <c r="BC55" i="17" s="1"/>
  <c r="J7" i="74" s="1"/>
  <c r="D107" i="76"/>
  <c r="U107" i="76" s="1"/>
  <c r="D107" i="30"/>
  <c r="T107" i="30" s="1"/>
  <c r="U107" i="30" s="1"/>
  <c r="EE107" i="67"/>
  <c r="EF107" i="67" s="1"/>
  <c r="D107" i="34"/>
  <c r="EG107" i="67"/>
  <c r="J98" i="67"/>
  <c r="O56" i="17"/>
  <c r="O14" i="17"/>
  <c r="EE102" i="67"/>
  <c r="EF102" i="67" s="1"/>
  <c r="D102" i="76"/>
  <c r="U102" i="76" s="1"/>
  <c r="D102" i="34"/>
  <c r="D102" i="30"/>
  <c r="T102" i="30" s="1"/>
  <c r="U102" i="30" s="1"/>
  <c r="EG102" i="67"/>
  <c r="D100" i="34"/>
  <c r="D100" i="76"/>
  <c r="U100" i="76" s="1"/>
  <c r="EE100" i="67"/>
  <c r="EF100" i="67" s="1"/>
  <c r="D100" i="30"/>
  <c r="T100" i="30" s="1"/>
  <c r="U100" i="30" s="1"/>
  <c r="EG100" i="67"/>
  <c r="EJ107" i="67"/>
  <c r="EI107" i="67"/>
  <c r="EJ104" i="67"/>
  <c r="EI104" i="67"/>
  <c r="D106" i="76"/>
  <c r="U106" i="76" s="1"/>
  <c r="D106" i="34"/>
  <c r="EE106" i="67"/>
  <c r="EF106" i="67" s="1"/>
  <c r="D106" i="30"/>
  <c r="T106" i="30" s="1"/>
  <c r="U106" i="30" s="1"/>
  <c r="EG106" i="67"/>
  <c r="EJ108" i="67"/>
  <c r="EI108" i="67"/>
  <c r="D108" i="34"/>
  <c r="EE108" i="67"/>
  <c r="EF108" i="67" s="1"/>
  <c r="D108" i="76"/>
  <c r="U108" i="76" s="1"/>
  <c r="D108" i="30"/>
  <c r="T108" i="30" s="1"/>
  <c r="U108" i="30" s="1"/>
  <c r="EG108" i="67"/>
  <c r="EJ99" i="67"/>
  <c r="EI99" i="67"/>
  <c r="D104" i="34"/>
  <c r="D104" i="76"/>
  <c r="U104" i="76" s="1"/>
  <c r="D104" i="30"/>
  <c r="T104" i="30" s="1"/>
  <c r="U104" i="30" s="1"/>
  <c r="EE104" i="67"/>
  <c r="EF104" i="67" s="1"/>
  <c r="EG104" i="67"/>
  <c r="EJ105" i="67"/>
  <c r="EI105" i="67"/>
  <c r="AD14" i="17"/>
  <c r="AE14" i="17" s="1"/>
  <c r="AA14" i="17"/>
  <c r="AD56" i="17"/>
  <c r="AA56" i="17"/>
  <c r="D98" i="36"/>
  <c r="EH98" i="67"/>
  <c r="EL98" i="67"/>
  <c r="D98" i="150"/>
  <c r="D98" i="77"/>
  <c r="W98" i="77" s="1"/>
  <c r="AC56" i="17" s="1"/>
  <c r="EK98" i="67"/>
  <c r="DQ290" i="4"/>
  <c r="T290" i="4"/>
  <c r="K6" i="74"/>
  <c r="L6" i="25"/>
  <c r="AZ56" i="17"/>
  <c r="AW56" i="17"/>
  <c r="D99" i="34"/>
  <c r="EE99" i="67"/>
  <c r="EF99" i="67" s="1"/>
  <c r="D99" i="30"/>
  <c r="T99" i="30" s="1"/>
  <c r="U99" i="30" s="1"/>
  <c r="D99" i="76"/>
  <c r="U99" i="76" s="1"/>
  <c r="EG99" i="67"/>
  <c r="EJ102" i="67"/>
  <c r="EI102" i="67"/>
  <c r="AZ14" i="17"/>
  <c r="BA14" i="17" s="1"/>
  <c r="AW14" i="17"/>
  <c r="D101" i="34"/>
  <c r="EE101" i="67"/>
  <c r="EF101" i="67" s="1"/>
  <c r="D101" i="30"/>
  <c r="T101" i="30" s="1"/>
  <c r="U101" i="30" s="1"/>
  <c r="D101" i="76"/>
  <c r="U101" i="76" s="1"/>
  <c r="EG101" i="67"/>
  <c r="D98" i="155"/>
  <c r="Y98" i="155" s="1"/>
  <c r="AY56" i="17" s="1"/>
  <c r="BA56" i="17" s="1"/>
  <c r="BC56" i="17" s="1"/>
  <c r="D98" i="154"/>
  <c r="D98" i="153"/>
  <c r="D105" i="30"/>
  <c r="T105" i="30" s="1"/>
  <c r="U105" i="30" s="1"/>
  <c r="EE105" i="67"/>
  <c r="EF105" i="67" s="1"/>
  <c r="D105" i="34"/>
  <c r="D105" i="76"/>
  <c r="U105" i="76" s="1"/>
  <c r="EG105" i="67"/>
  <c r="D103" i="76"/>
  <c r="U103" i="76" s="1"/>
  <c r="D103" i="34"/>
  <c r="D103" i="30"/>
  <c r="T103" i="30" s="1"/>
  <c r="U103" i="30" s="1"/>
  <c r="EE103" i="67"/>
  <c r="EF103" i="67" s="1"/>
  <c r="EG103" i="67"/>
  <c r="EJ109" i="67"/>
  <c r="EI109" i="67"/>
  <c r="D109" i="30"/>
  <c r="T109" i="30" s="1"/>
  <c r="U109" i="30" s="1"/>
  <c r="D109" i="34"/>
  <c r="D109" i="76"/>
  <c r="U109" i="76" s="1"/>
  <c r="EE109" i="67"/>
  <c r="EF109" i="67" s="1"/>
  <c r="EG109" i="67"/>
  <c r="S55" i="17"/>
  <c r="P55" i="17"/>
  <c r="W10" i="15"/>
  <c r="W16" i="15" s="1"/>
  <c r="U14" i="15"/>
  <c r="W14" i="15" s="1"/>
  <c r="Q9" i="15"/>
  <c r="D86" i="150"/>
  <c r="V86" i="150" s="1"/>
  <c r="W86" i="150" s="1"/>
  <c r="T278" i="4"/>
  <c r="DQ278" i="4"/>
  <c r="D86" i="36"/>
  <c r="EL86" i="67"/>
  <c r="D86" i="77"/>
  <c r="W86" i="77" s="1"/>
  <c r="AC55" i="17" s="1"/>
  <c r="AE55" i="17" s="1"/>
  <c r="AG55" i="17" s="1"/>
  <c r="J5" i="74" s="1"/>
  <c r="EK86" i="67"/>
  <c r="EH86" i="67"/>
  <c r="U28" i="30"/>
  <c r="AA75" i="30"/>
  <c r="U40" i="30"/>
  <c r="AB76" i="30" s="1"/>
  <c r="AA76" i="30"/>
  <c r="U62" i="30"/>
  <c r="AB78" i="30" s="1"/>
  <c r="AA78" i="30"/>
  <c r="AB77" i="30"/>
  <c r="W50" i="150"/>
  <c r="W74" i="150"/>
  <c r="BA54" i="17"/>
  <c r="BC54" i="17" s="1"/>
  <c r="I7" i="74" s="1"/>
  <c r="M7" i="24"/>
  <c r="M9" i="24"/>
  <c r="M10" i="24"/>
  <c r="BC53" i="17"/>
  <c r="H7" i="74" s="1"/>
  <c r="AR52" i="17"/>
  <c r="G6" i="74" s="1"/>
  <c r="AR53" i="17"/>
  <c r="H6" i="74" s="1"/>
  <c r="AR54" i="17"/>
  <c r="I6" i="74" s="1"/>
  <c r="V52" i="17"/>
  <c r="G4" i="74" s="1"/>
  <c r="J28" i="74"/>
  <c r="I27" i="74"/>
  <c r="J29" i="74"/>
  <c r="K23" i="73"/>
  <c r="H24" i="156"/>
  <c r="V25" i="156"/>
  <c r="O25" i="156"/>
  <c r="C19" i="24"/>
  <c r="C27" i="156"/>
  <c r="D27" i="156" s="1"/>
  <c r="BA52" i="17"/>
  <c r="AA11" i="15"/>
  <c r="AC11" i="15" s="1"/>
  <c r="X74" i="153"/>
  <c r="AA9" i="15"/>
  <c r="X50" i="153"/>
  <c r="O62" i="32"/>
  <c r="O86" i="32"/>
  <c r="AA10" i="15"/>
  <c r="AC10" i="15" s="1"/>
  <c r="X62" i="153"/>
  <c r="Y86" i="153"/>
  <c r="BC11" i="17"/>
  <c r="S10" i="24" s="1"/>
  <c r="Q23" i="156"/>
  <c r="R23" i="156" s="1"/>
  <c r="BC10" i="17"/>
  <c r="S9" i="24" s="1"/>
  <c r="Q22" i="156"/>
  <c r="R22" i="156" s="1"/>
  <c r="BC12" i="17"/>
  <c r="S11" i="24" s="1"/>
  <c r="Q24" i="156"/>
  <c r="R24" i="156" s="1"/>
  <c r="C17" i="24"/>
  <c r="D17" i="24" s="1"/>
  <c r="H17" i="24" s="1"/>
  <c r="C25" i="156"/>
  <c r="D25" i="156" s="1"/>
  <c r="BC13" i="17"/>
  <c r="Q17" i="24"/>
  <c r="S12" i="24"/>
  <c r="M8" i="24"/>
  <c r="AP57" i="17"/>
  <c r="BA57" i="17"/>
  <c r="AG52" i="17"/>
  <c r="G5" i="74" s="1"/>
  <c r="AG54" i="17"/>
  <c r="I5" i="74" s="1"/>
  <c r="R53" i="17"/>
  <c r="T53" i="17" s="1"/>
  <c r="V50" i="17"/>
  <c r="E4" i="74" s="1"/>
  <c r="E11" i="74" s="1"/>
  <c r="V51" i="17"/>
  <c r="F4" i="74" s="1"/>
  <c r="F11" i="74" s="1"/>
  <c r="I10" i="15"/>
  <c r="K10" i="15" s="1"/>
  <c r="EG74" i="67"/>
  <c r="D74" i="76"/>
  <c r="U74" i="76" s="1"/>
  <c r="S266" i="4"/>
  <c r="W266" i="4" s="1"/>
  <c r="EE74" i="67"/>
  <c r="EF74" i="67" s="1"/>
  <c r="DP266" i="4"/>
  <c r="D74" i="34"/>
  <c r="D80" i="76"/>
  <c r="U80" i="76" s="1"/>
  <c r="DP272" i="4"/>
  <c r="S272" i="4"/>
  <c r="W272" i="4" s="1"/>
  <c r="D80" i="34"/>
  <c r="D80" i="30"/>
  <c r="T80" i="30" s="1"/>
  <c r="U80" i="30" s="1"/>
  <c r="EE80" i="67"/>
  <c r="EF80" i="67" s="1"/>
  <c r="EG80" i="67"/>
  <c r="D76" i="34"/>
  <c r="D76" i="30"/>
  <c r="T76" i="30" s="1"/>
  <c r="U76" i="30" s="1"/>
  <c r="D76" i="76"/>
  <c r="U76" i="76" s="1"/>
  <c r="DP268" i="4"/>
  <c r="EE76" i="67"/>
  <c r="EF76" i="67" s="1"/>
  <c r="S268" i="4"/>
  <c r="W268" i="4" s="1"/>
  <c r="EG76" i="67"/>
  <c r="D83" i="34"/>
  <c r="S275" i="4"/>
  <c r="W275" i="4" s="1"/>
  <c r="DP275" i="4"/>
  <c r="EG83" i="67"/>
  <c r="D83" i="30"/>
  <c r="T83" i="30" s="1"/>
  <c r="U83" i="30" s="1"/>
  <c r="EE83" i="67"/>
  <c r="EF83" i="67" s="1"/>
  <c r="D83" i="76"/>
  <c r="U83" i="76" s="1"/>
  <c r="DP271" i="4"/>
  <c r="EG79" i="67"/>
  <c r="D79" i="34"/>
  <c r="D79" i="30"/>
  <c r="T79" i="30" s="1"/>
  <c r="U79" i="30" s="1"/>
  <c r="S271" i="4"/>
  <c r="W271" i="4" s="1"/>
  <c r="D79" i="76"/>
  <c r="U79" i="76" s="1"/>
  <c r="EE79" i="67"/>
  <c r="EF79" i="67" s="1"/>
  <c r="D82" i="30"/>
  <c r="T82" i="30" s="1"/>
  <c r="U82" i="30" s="1"/>
  <c r="EG82" i="67"/>
  <c r="D82" i="76"/>
  <c r="U82" i="76" s="1"/>
  <c r="S274" i="4"/>
  <c r="W274" i="4" s="1"/>
  <c r="EE82" i="67"/>
  <c r="EF82" i="67" s="1"/>
  <c r="D82" i="34"/>
  <c r="DP274" i="4"/>
  <c r="D78" i="76"/>
  <c r="U78" i="76" s="1"/>
  <c r="D78" i="34"/>
  <c r="EE78" i="67"/>
  <c r="EF78" i="67" s="1"/>
  <c r="D78" i="30"/>
  <c r="T78" i="30" s="1"/>
  <c r="U78" i="30" s="1"/>
  <c r="DP270" i="4"/>
  <c r="S270" i="4"/>
  <c r="W270" i="4" s="1"/>
  <c r="EG78" i="67"/>
  <c r="EE75" i="67"/>
  <c r="EF75" i="67" s="1"/>
  <c r="D75" i="30"/>
  <c r="T75" i="30" s="1"/>
  <c r="U75" i="30" s="1"/>
  <c r="S267" i="4"/>
  <c r="W267" i="4" s="1"/>
  <c r="D75" i="76"/>
  <c r="U75" i="76" s="1"/>
  <c r="DP267" i="4"/>
  <c r="EG75" i="67"/>
  <c r="D75" i="34"/>
  <c r="S269" i="4"/>
  <c r="W269" i="4" s="1"/>
  <c r="D77" i="30"/>
  <c r="T77" i="30" s="1"/>
  <c r="U77" i="30" s="1"/>
  <c r="EE77" i="67"/>
  <c r="EF77" i="67" s="1"/>
  <c r="D77" i="34"/>
  <c r="EG77" i="67"/>
  <c r="D77" i="76"/>
  <c r="U77" i="76" s="1"/>
  <c r="DP269" i="4"/>
  <c r="EG85" i="67"/>
  <c r="D85" i="34"/>
  <c r="D85" i="76"/>
  <c r="U85" i="76" s="1"/>
  <c r="EE85" i="67"/>
  <c r="EF85" i="67" s="1"/>
  <c r="DP277" i="4"/>
  <c r="D85" i="30"/>
  <c r="T85" i="30" s="1"/>
  <c r="U85" i="30" s="1"/>
  <c r="S277" i="4"/>
  <c r="W277" i="4" s="1"/>
  <c r="J86" i="67"/>
  <c r="D86" i="30" s="1"/>
  <c r="J90" i="67"/>
  <c r="D90" i="76" s="1"/>
  <c r="U90" i="76" s="1"/>
  <c r="J94" i="67"/>
  <c r="D94" i="76" s="1"/>
  <c r="U94" i="76" s="1"/>
  <c r="J87" i="67"/>
  <c r="J91" i="67"/>
  <c r="D91" i="76" s="1"/>
  <c r="U91" i="76" s="1"/>
  <c r="J95" i="67"/>
  <c r="D95" i="76" s="1"/>
  <c r="U95" i="76" s="1"/>
  <c r="J88" i="67"/>
  <c r="D88" i="76" s="1"/>
  <c r="J96" i="67"/>
  <c r="D96" i="76" s="1"/>
  <c r="U96" i="76" s="1"/>
  <c r="J92" i="67"/>
  <c r="D92" i="76" s="1"/>
  <c r="U92" i="76" s="1"/>
  <c r="J89" i="67"/>
  <c r="D89" i="76" s="1"/>
  <c r="U89" i="76" s="1"/>
  <c r="J93" i="67"/>
  <c r="D93" i="76" s="1"/>
  <c r="U93" i="76" s="1"/>
  <c r="J97" i="67"/>
  <c r="D97" i="76" s="1"/>
  <c r="U97" i="76" s="1"/>
  <c r="D81" i="34"/>
  <c r="D81" i="76"/>
  <c r="U81" i="76" s="1"/>
  <c r="EG81" i="67"/>
  <c r="DP273" i="4"/>
  <c r="EE81" i="67"/>
  <c r="EF81" i="67" s="1"/>
  <c r="S273" i="4"/>
  <c r="W273" i="4" s="1"/>
  <c r="D81" i="30"/>
  <c r="T81" i="30" s="1"/>
  <c r="U81" i="30" s="1"/>
  <c r="D84" i="76"/>
  <c r="U84" i="76" s="1"/>
  <c r="D84" i="30"/>
  <c r="T84" i="30" s="1"/>
  <c r="U84" i="30" s="1"/>
  <c r="EG84" i="67"/>
  <c r="EE84" i="67"/>
  <c r="EF84" i="67" s="1"/>
  <c r="S276" i="4"/>
  <c r="W276" i="4" s="1"/>
  <c r="D84" i="34"/>
  <c r="DP276" i="4"/>
  <c r="AE57" i="17"/>
  <c r="T74" i="30"/>
  <c r="S299" i="4"/>
  <c r="W299" i="4" s="1"/>
  <c r="DP299" i="4"/>
  <c r="K59" i="148"/>
  <c r="DP294" i="4"/>
  <c r="S294" i="4"/>
  <c r="W294" i="4" s="1"/>
  <c r="DP293" i="4"/>
  <c r="S293" i="4"/>
  <c r="W293" i="4" s="1"/>
  <c r="DP300" i="4"/>
  <c r="S300" i="4"/>
  <c r="W300" i="4" s="1"/>
  <c r="S11" i="17"/>
  <c r="T11" i="17" s="1"/>
  <c r="V11" i="17" s="1"/>
  <c r="P11" i="17"/>
  <c r="U17" i="148"/>
  <c r="N47" i="148"/>
  <c r="S296" i="4"/>
  <c r="W296" i="4" s="1"/>
  <c r="DP296" i="4"/>
  <c r="DP298" i="4"/>
  <c r="S298" i="4"/>
  <c r="W298" i="4" s="1"/>
  <c r="DP301" i="4"/>
  <c r="S301" i="4"/>
  <c r="W301" i="4" s="1"/>
  <c r="S292" i="4"/>
  <c r="W292" i="4" s="1"/>
  <c r="DP292" i="4"/>
  <c r="AG13" i="17"/>
  <c r="DP291" i="4"/>
  <c r="S291" i="4"/>
  <c r="W291" i="4" s="1"/>
  <c r="S297" i="4"/>
  <c r="W297" i="4" s="1"/>
  <c r="DP297" i="4"/>
  <c r="O12" i="17"/>
  <c r="S295" i="4"/>
  <c r="W295" i="4" s="1"/>
  <c r="DP295" i="4"/>
  <c r="T13" i="24" l="1"/>
  <c r="AE56" i="17"/>
  <c r="AG56" i="17" s="1"/>
  <c r="K5" i="74" s="1"/>
  <c r="AA13" i="15"/>
  <c r="AC13" i="15" s="1"/>
  <c r="X98" i="153"/>
  <c r="AG14" i="17"/>
  <c r="C18" i="24"/>
  <c r="D18" i="24" s="1"/>
  <c r="H18" i="24" s="1"/>
  <c r="C26" i="156"/>
  <c r="D26" i="156" s="1"/>
  <c r="H26" i="156" s="1"/>
  <c r="K27" i="74" s="1"/>
  <c r="K7" i="74"/>
  <c r="L7" i="25"/>
  <c r="S14" i="17"/>
  <c r="T14" i="17" s="1"/>
  <c r="V14" i="17" s="1"/>
  <c r="P14" i="17"/>
  <c r="S56" i="17"/>
  <c r="P56" i="17"/>
  <c r="D98" i="34"/>
  <c r="D98" i="30"/>
  <c r="EE98" i="67"/>
  <c r="EF98" i="67" s="1"/>
  <c r="D98" i="76"/>
  <c r="U98" i="76" s="1"/>
  <c r="R56" i="17" s="1"/>
  <c r="EG98" i="67"/>
  <c r="BC14" i="17"/>
  <c r="Q26" i="156"/>
  <c r="R26" i="156" s="1"/>
  <c r="V26" i="156" s="1"/>
  <c r="K29" i="74" s="1"/>
  <c r="Q18" i="24"/>
  <c r="O13" i="15"/>
  <c r="Q13" i="15" s="1"/>
  <c r="V98" i="150"/>
  <c r="EJ98" i="67"/>
  <c r="EI98" i="67"/>
  <c r="T18" i="24"/>
  <c r="S17" i="24"/>
  <c r="S18" i="24" s="1"/>
  <c r="S19" i="24" s="1"/>
  <c r="S20" i="24" s="1"/>
  <c r="T20" i="24"/>
  <c r="T19" i="24"/>
  <c r="T17" i="24"/>
  <c r="AC9" i="15"/>
  <c r="AC16" i="15" s="1"/>
  <c r="O110" i="32"/>
  <c r="W17" i="15" s="1"/>
  <c r="O12" i="15"/>
  <c r="EI86" i="67"/>
  <c r="EJ86" i="67"/>
  <c r="U74" i="30"/>
  <c r="AB79" i="30" s="1"/>
  <c r="AA79" i="30"/>
  <c r="AB75" i="30"/>
  <c r="K18" i="24"/>
  <c r="T12" i="24"/>
  <c r="T9" i="24"/>
  <c r="T10" i="24"/>
  <c r="T11" i="24"/>
  <c r="BC52" i="17"/>
  <c r="G7" i="74" s="1"/>
  <c r="G11" i="74" s="1"/>
  <c r="H29" i="74"/>
  <c r="H33" i="74" s="1"/>
  <c r="I29" i="74"/>
  <c r="I33" i="74" s="1"/>
  <c r="G29" i="74"/>
  <c r="G33" i="74" s="1"/>
  <c r="J27" i="74"/>
  <c r="J33" i="74" s="1"/>
  <c r="D19" i="24"/>
  <c r="H25" i="156"/>
  <c r="V24" i="156"/>
  <c r="V22" i="156"/>
  <c r="V23" i="156"/>
  <c r="Y62" i="153"/>
  <c r="Y50" i="153"/>
  <c r="Y74" i="153"/>
  <c r="M12" i="24"/>
  <c r="M11" i="24"/>
  <c r="V53" i="17"/>
  <c r="H4" i="74" s="1"/>
  <c r="H11" i="74" s="1"/>
  <c r="R54" i="17"/>
  <c r="T54" i="17" s="1"/>
  <c r="I11" i="15"/>
  <c r="K11" i="15" s="1"/>
  <c r="D86" i="34"/>
  <c r="EE86" i="67"/>
  <c r="EF86" i="67" s="1"/>
  <c r="D86" i="76"/>
  <c r="U86" i="76" s="1"/>
  <c r="DP278" i="4"/>
  <c r="S278" i="4"/>
  <c r="W278" i="4" s="1"/>
  <c r="EG86" i="67"/>
  <c r="D97" i="30"/>
  <c r="T97" i="30" s="1"/>
  <c r="EE97" i="67"/>
  <c r="EF97" i="67" s="1"/>
  <c r="S289" i="4"/>
  <c r="W289" i="4" s="1"/>
  <c r="D97" i="34"/>
  <c r="DP289" i="4"/>
  <c r="EG97" i="67"/>
  <c r="D93" i="30"/>
  <c r="T93" i="30" s="1"/>
  <c r="U93" i="30" s="1"/>
  <c r="EG93" i="67"/>
  <c r="EE93" i="67"/>
  <c r="EF93" i="67" s="1"/>
  <c r="S285" i="4"/>
  <c r="W285" i="4" s="1"/>
  <c r="D93" i="34"/>
  <c r="DP285" i="4"/>
  <c r="D89" i="30"/>
  <c r="T89" i="30" s="1"/>
  <c r="U89" i="30" s="1"/>
  <c r="EG89" i="67"/>
  <c r="EE89" i="67"/>
  <c r="EF89" i="67" s="1"/>
  <c r="DP281" i="4"/>
  <c r="D89" i="34"/>
  <c r="S281" i="4"/>
  <c r="W281" i="4" s="1"/>
  <c r="D92" i="30"/>
  <c r="T92" i="30" s="1"/>
  <c r="U92" i="30" s="1"/>
  <c r="EG92" i="67"/>
  <c r="S284" i="4"/>
  <c r="W284" i="4" s="1"/>
  <c r="EE92" i="67"/>
  <c r="EF92" i="67" s="1"/>
  <c r="D92" i="34"/>
  <c r="DP284" i="4"/>
  <c r="EE96" i="67"/>
  <c r="EF96" i="67" s="1"/>
  <c r="S288" i="4"/>
  <c r="W288" i="4" s="1"/>
  <c r="EG96" i="67"/>
  <c r="DP288" i="4"/>
  <c r="D96" i="34"/>
  <c r="D96" i="30"/>
  <c r="T96" i="30" s="1"/>
  <c r="U96" i="30" s="1"/>
  <c r="EE88" i="67"/>
  <c r="EF88" i="67" s="1"/>
  <c r="EG88" i="67"/>
  <c r="DP280" i="4"/>
  <c r="S280" i="4"/>
  <c r="W280" i="4" s="1"/>
  <c r="D88" i="30"/>
  <c r="T88" i="30" s="1"/>
  <c r="U88" i="30" s="1"/>
  <c r="D88" i="34"/>
  <c r="U88" i="76"/>
  <c r="D95" i="34"/>
  <c r="EG95" i="67"/>
  <c r="DP287" i="4"/>
  <c r="S287" i="4"/>
  <c r="W287" i="4" s="1"/>
  <c r="D95" i="30"/>
  <c r="T95" i="30" s="1"/>
  <c r="U95" i="30" s="1"/>
  <c r="EE95" i="67"/>
  <c r="EF95" i="67" s="1"/>
  <c r="D91" i="30"/>
  <c r="T91" i="30" s="1"/>
  <c r="U91" i="30" s="1"/>
  <c r="DP283" i="4"/>
  <c r="EG91" i="67"/>
  <c r="EE91" i="67"/>
  <c r="EF91" i="67" s="1"/>
  <c r="S283" i="4"/>
  <c r="W283" i="4" s="1"/>
  <c r="D91" i="34"/>
  <c r="D87" i="30"/>
  <c r="T87" i="30" s="1"/>
  <c r="U87" i="30" s="1"/>
  <c r="EE87" i="67"/>
  <c r="EF87" i="67" s="1"/>
  <c r="D87" i="76"/>
  <c r="U87" i="76" s="1"/>
  <c r="S279" i="4"/>
  <c r="W279" i="4" s="1"/>
  <c r="EG87" i="67"/>
  <c r="DP279" i="4"/>
  <c r="D87" i="34"/>
  <c r="D94" i="34"/>
  <c r="EE94" i="67"/>
  <c r="EF94" i="67" s="1"/>
  <c r="S286" i="4"/>
  <c r="W286" i="4" s="1"/>
  <c r="EG94" i="67"/>
  <c r="DP286" i="4"/>
  <c r="D94" i="30"/>
  <c r="T94" i="30" s="1"/>
  <c r="U94" i="30" s="1"/>
  <c r="EE90" i="67"/>
  <c r="EF90" i="67" s="1"/>
  <c r="S282" i="4"/>
  <c r="W282" i="4" s="1"/>
  <c r="D90" i="30"/>
  <c r="T90" i="30" s="1"/>
  <c r="U90" i="30" s="1"/>
  <c r="D90" i="34"/>
  <c r="DP282" i="4"/>
  <c r="EG90" i="67"/>
  <c r="S312" i="4"/>
  <c r="W312" i="4" s="1"/>
  <c r="DP312" i="4"/>
  <c r="S290" i="4"/>
  <c r="W290" i="4" s="1"/>
  <c r="DP290" i="4"/>
  <c r="S305" i="4"/>
  <c r="W305" i="4" s="1"/>
  <c r="DP305" i="4"/>
  <c r="S306" i="4"/>
  <c r="W306" i="4" s="1"/>
  <c r="DP306" i="4"/>
  <c r="T86" i="30"/>
  <c r="DP304" i="4"/>
  <c r="S304" i="4"/>
  <c r="W304" i="4" s="1"/>
  <c r="S303" i="4"/>
  <c r="W303" i="4" s="1"/>
  <c r="DP303" i="4"/>
  <c r="DP310" i="4"/>
  <c r="S310" i="4"/>
  <c r="W310" i="4" s="1"/>
  <c r="O13" i="17"/>
  <c r="S15" i="17"/>
  <c r="DP308" i="4"/>
  <c r="S308" i="4"/>
  <c r="W308" i="4" s="1"/>
  <c r="DP311" i="4"/>
  <c r="S311" i="4"/>
  <c r="W311" i="4" s="1"/>
  <c r="DP309" i="4"/>
  <c r="S309" i="4"/>
  <c r="W309" i="4" s="1"/>
  <c r="P12" i="17"/>
  <c r="S12" i="17"/>
  <c r="T12" i="17" s="1"/>
  <c r="V12" i="17" s="1"/>
  <c r="DP313" i="4"/>
  <c r="S313" i="4"/>
  <c r="W313" i="4" s="1"/>
  <c r="S307" i="4"/>
  <c r="W307" i="4" s="1"/>
  <c r="DP307" i="4"/>
  <c r="T56" i="17" l="1"/>
  <c r="V56" i="17" s="1"/>
  <c r="L4" i="25" s="1"/>
  <c r="L5" i="25"/>
  <c r="AA14" i="15"/>
  <c r="AC14" i="15" s="1"/>
  <c r="I13" i="15"/>
  <c r="K13" i="15" s="1"/>
  <c r="T98" i="30"/>
  <c r="W98" i="150"/>
  <c r="K11" i="25"/>
  <c r="AO7" i="25"/>
  <c r="Y98" i="153"/>
  <c r="K33" i="74"/>
  <c r="R55" i="17"/>
  <c r="T55" i="17" s="1"/>
  <c r="V55" i="17" s="1"/>
  <c r="J4" i="74" s="1"/>
  <c r="Q12" i="15"/>
  <c r="Q16" i="15" s="1"/>
  <c r="O14" i="15"/>
  <c r="Q14" i="15" s="1"/>
  <c r="L27" i="25"/>
  <c r="AN7" i="25"/>
  <c r="U86" i="30"/>
  <c r="AA80" i="30"/>
  <c r="U97" i="30"/>
  <c r="AA73" i="30"/>
  <c r="AA74" i="30"/>
  <c r="R17" i="24"/>
  <c r="V17" i="24" s="1"/>
  <c r="J11" i="25"/>
  <c r="O17" i="24"/>
  <c r="V54" i="17"/>
  <c r="I4" i="74" s="1"/>
  <c r="I11" i="74" s="1"/>
  <c r="F23" i="73"/>
  <c r="T15" i="17"/>
  <c r="S57" i="17"/>
  <c r="R18" i="24"/>
  <c r="K19" i="24"/>
  <c r="I12" i="15"/>
  <c r="R57" i="17"/>
  <c r="S302" i="4"/>
  <c r="W302" i="4" s="1"/>
  <c r="DP302" i="4"/>
  <c r="S315" i="4"/>
  <c r="W315" i="4" s="1"/>
  <c r="S318" i="4"/>
  <c r="W318" i="4" s="1"/>
  <c r="S316" i="4"/>
  <c r="W316" i="4" s="1"/>
  <c r="S314" i="4"/>
  <c r="W314" i="4" s="1"/>
  <c r="P13" i="17"/>
  <c r="S13" i="17"/>
  <c r="T13" i="17" s="1"/>
  <c r="V13" i="17" s="1"/>
  <c r="S317" i="4"/>
  <c r="W317" i="4" s="1"/>
  <c r="K21" i="158" l="1"/>
  <c r="AO11" i="25"/>
  <c r="J21" i="158"/>
  <c r="AN11" i="25"/>
  <c r="K4" i="74"/>
  <c r="Y110" i="153"/>
  <c r="W110" i="150"/>
  <c r="Q17" i="15" s="1"/>
  <c r="U98" i="30"/>
  <c r="AB81" i="30" s="1"/>
  <c r="AA81" i="30"/>
  <c r="K12" i="15"/>
  <c r="K16" i="15" s="1"/>
  <c r="I14" i="15"/>
  <c r="K14" i="15" s="1"/>
  <c r="K20" i="24"/>
  <c r="J25" i="158"/>
  <c r="AB80" i="30"/>
  <c r="AC17" i="15"/>
  <c r="J11" i="74"/>
  <c r="V18" i="24"/>
  <c r="O18" i="24"/>
  <c r="R20" i="24"/>
  <c r="R19" i="24"/>
  <c r="T57" i="17"/>
  <c r="R58" i="17"/>
  <c r="T58" i="17" s="1"/>
  <c r="U110" i="30" l="1"/>
  <c r="K24" i="73"/>
  <c r="L24" i="73" s="1"/>
  <c r="O24" i="73" s="1"/>
  <c r="L28" i="25"/>
  <c r="L29" i="25"/>
  <c r="K31" i="158" s="1"/>
  <c r="K17" i="15"/>
  <c r="AB73" i="30"/>
  <c r="AB74" i="30"/>
  <c r="K25" i="73"/>
  <c r="F25" i="73"/>
  <c r="F24" i="73"/>
  <c r="L33" i="25" l="1"/>
  <c r="K30" i="158"/>
  <c r="K28" i="73"/>
  <c r="D38" i="74"/>
  <c r="D38" i="25"/>
  <c r="F28" i="73"/>
  <c r="G24" i="73"/>
  <c r="N24" i="73" s="1"/>
  <c r="K11" i="74" l="1"/>
  <c r="N33" i="69"/>
  <c r="O74" i="69" s="1"/>
  <c r="P74" i="69" s="1"/>
  <c r="Q74" i="69" s="1"/>
  <c r="R74" i="69" s="1"/>
  <c r="S74" i="69" s="1"/>
  <c r="N30" i="69" l="1"/>
  <c r="O30" i="69" s="1"/>
  <c r="P30" i="69"/>
  <c r="Q30" i="69" l="1"/>
  <c r="R30" i="69" l="1"/>
  <c r="S30" i="69" l="1"/>
  <c r="T30" i="69" l="1"/>
  <c r="U30" i="69" l="1"/>
  <c r="V30" i="69" l="1"/>
  <c r="K17" i="158" l="1"/>
  <c r="K18" i="158"/>
  <c r="E23" i="73"/>
  <c r="W30" i="69"/>
  <c r="K19" i="158" l="1"/>
  <c r="G23" i="73"/>
  <c r="N23" i="73" s="1"/>
  <c r="J23" i="73"/>
  <c r="X30" i="69"/>
  <c r="K25" i="158" l="1"/>
  <c r="L23" i="73"/>
  <c r="O23" i="73" s="1"/>
  <c r="X14" i="69"/>
  <c r="X24" i="69"/>
  <c r="X27" i="69" s="1"/>
  <c r="X19" i="69"/>
  <c r="X22" i="69" s="1"/>
  <c r="K29" i="158" l="1"/>
  <c r="D37" i="74"/>
  <c r="D37" i="25"/>
  <c r="X17" i="69"/>
  <c r="X11" i="69"/>
  <c r="X32" i="69" s="1"/>
  <c r="K35" i="158" l="1"/>
  <c r="L49" i="74"/>
  <c r="L55" i="74" s="1"/>
  <c r="M49" i="74"/>
  <c r="M55" i="74" s="1"/>
  <c r="M49" i="25"/>
  <c r="M55" i="25" s="1"/>
  <c r="K48" i="23"/>
  <c r="L48" i="23" s="1"/>
  <c r="L49" i="25"/>
  <c r="L55" i="25" s="1"/>
  <c r="E61" i="74" l="1"/>
  <c r="E68" i="74" s="1"/>
  <c r="M41" i="158"/>
  <c r="E61" i="25"/>
  <c r="E68" i="25" s="1"/>
  <c r="L41" i="158"/>
  <c r="K49" i="23"/>
  <c r="L47" i="158" l="1"/>
  <c r="E5" i="158"/>
  <c r="M47" i="158"/>
  <c r="L49" i="23"/>
  <c r="K50" i="23"/>
  <c r="E12" i="158" l="1"/>
  <c r="L50" i="23"/>
  <c r="K51" i="23"/>
  <c r="K52" i="23" l="1"/>
  <c r="L51" i="23"/>
  <c r="K53" i="23" l="1"/>
  <c r="L52" i="23"/>
  <c r="K54" i="23" l="1"/>
  <c r="L53" i="23"/>
  <c r="K55" i="23" l="1"/>
  <c r="L54" i="23"/>
  <c r="K56" i="23" l="1"/>
  <c r="L55" i="23"/>
  <c r="K57" i="23" l="1"/>
  <c r="L56" i="23"/>
  <c r="K58" i="23" l="1"/>
  <c r="L57" i="23"/>
  <c r="K59" i="23" l="1"/>
  <c r="L58" i="23"/>
  <c r="L59" i="23" l="1"/>
  <c r="K60" i="23"/>
  <c r="K19" i="23"/>
  <c r="L19" i="23" l="1"/>
  <c r="L60" i="23"/>
  <c r="K61" i="23"/>
  <c r="L61" i="23" l="1"/>
  <c r="K62" i="23"/>
  <c r="L62" i="23" l="1"/>
  <c r="K63" i="23"/>
  <c r="K64" i="23" l="1"/>
  <c r="L63" i="23"/>
  <c r="L64" i="23" l="1"/>
  <c r="K65" i="23"/>
  <c r="K66" i="23" l="1"/>
  <c r="L65" i="23"/>
  <c r="K67" i="23" l="1"/>
  <c r="L66" i="23"/>
  <c r="K68" i="23" l="1"/>
  <c r="L67" i="23"/>
  <c r="L68" i="23" l="1"/>
  <c r="K69" i="23"/>
  <c r="K70" i="23" l="1"/>
  <c r="L69" i="23"/>
  <c r="L70" i="23" l="1"/>
  <c r="K71" i="23"/>
  <c r="L71" i="23" l="1"/>
  <c r="K20" i="23"/>
  <c r="L20" i="23" l="1"/>
  <c r="K22" i="23"/>
  <c r="S67" i="69"/>
  <c r="S46" i="69" s="1"/>
  <c r="S49" i="69" s="1"/>
  <c r="S35" i="69"/>
  <c r="S24" i="69" s="1"/>
  <c r="S27" i="69" s="1"/>
  <c r="S33" i="69"/>
  <c r="R46" i="69"/>
  <c r="R49" i="69"/>
  <c r="R14" i="69"/>
  <c r="R35" i="69"/>
  <c r="R19" i="69" s="1"/>
  <c r="R22" i="69" s="1"/>
  <c r="R33" i="69"/>
  <c r="R67" i="69"/>
  <c r="R56" i="69" s="1"/>
  <c r="R59" i="69" s="1"/>
  <c r="Q67" i="69"/>
  <c r="Q65" i="69" s="1"/>
  <c r="Q51" i="69"/>
  <c r="Q54" i="69" s="1"/>
  <c r="Q35" i="69"/>
  <c r="Q14" i="69" s="1"/>
  <c r="Q17" i="69" s="1"/>
  <c r="P46" i="69"/>
  <c r="P49" i="69" s="1"/>
  <c r="P67" i="69"/>
  <c r="P51" i="69" s="1"/>
  <c r="P54" i="69" s="1"/>
  <c r="P56" i="69"/>
  <c r="P59" i="69" s="1"/>
  <c r="P35" i="69"/>
  <c r="P19" i="69" s="1"/>
  <c r="P22" i="69" s="1"/>
  <c r="P33" i="69"/>
  <c r="O67" i="69"/>
  <c r="O65" i="69" s="1"/>
  <c r="O35" i="69"/>
  <c r="T74" i="69"/>
  <c r="T67" i="69" s="1"/>
  <c r="T46" i="69" s="1"/>
  <c r="S14" i="69" l="1"/>
  <c r="T56" i="69"/>
  <c r="T59" i="69" s="1"/>
  <c r="R51" i="69"/>
  <c r="R54" i="69" s="1"/>
  <c r="S19" i="69"/>
  <c r="S22" i="69" s="1"/>
  <c r="R65" i="69"/>
  <c r="Q46" i="69"/>
  <c r="Q49" i="69" s="1"/>
  <c r="U74" i="69"/>
  <c r="R24" i="69"/>
  <c r="R27" i="69" s="1"/>
  <c r="P65" i="69"/>
  <c r="T49" i="69"/>
  <c r="O14" i="69"/>
  <c r="O24" i="69"/>
  <c r="O33" i="69"/>
  <c r="O19" i="69"/>
  <c r="O46" i="69"/>
  <c r="Q24" i="69"/>
  <c r="Q27" i="69" s="1"/>
  <c r="Q33" i="69"/>
  <c r="O56" i="69"/>
  <c r="Q19" i="69"/>
  <c r="Q22" i="69" s="1"/>
  <c r="R17" i="69"/>
  <c r="P14" i="69"/>
  <c r="P24" i="69"/>
  <c r="P27" i="69" s="1"/>
  <c r="U35" i="69"/>
  <c r="U67" i="69"/>
  <c r="V74" i="69"/>
  <c r="P43" i="69"/>
  <c r="P64" i="69" s="1"/>
  <c r="T65" i="69"/>
  <c r="T51" i="69"/>
  <c r="T54" i="69" s="1"/>
  <c r="S65" i="69"/>
  <c r="S56" i="69"/>
  <c r="S59" i="69" s="1"/>
  <c r="S51" i="69"/>
  <c r="T35" i="69"/>
  <c r="Q56" i="69"/>
  <c r="Q59" i="69" s="1"/>
  <c r="R11" i="69" l="1"/>
  <c r="R32" i="69" s="1"/>
  <c r="Q43" i="69"/>
  <c r="Q64" i="69" s="1"/>
  <c r="S11" i="69"/>
  <c r="S32" i="69" s="1"/>
  <c r="S17" i="69"/>
  <c r="R43" i="69"/>
  <c r="R64" i="69" s="1"/>
  <c r="O57" i="69"/>
  <c r="O59" i="69"/>
  <c r="O52" i="69"/>
  <c r="O54" i="69"/>
  <c r="O20" i="69"/>
  <c r="O22" i="69"/>
  <c r="T33" i="69"/>
  <c r="T24" i="69"/>
  <c r="T27" i="69" s="1"/>
  <c r="T19" i="69"/>
  <c r="T22" i="69" s="1"/>
  <c r="T14" i="69"/>
  <c r="U56" i="69"/>
  <c r="U59" i="69" s="1"/>
  <c r="U65" i="69"/>
  <c r="U46" i="69"/>
  <c r="U51" i="69"/>
  <c r="U54" i="69" s="1"/>
  <c r="Q11" i="69"/>
  <c r="Q32" i="69" s="1"/>
  <c r="S54" i="69"/>
  <c r="S43" i="69"/>
  <c r="S64" i="69" s="1"/>
  <c r="O49" i="69"/>
  <c r="O43" i="69"/>
  <c r="O47" i="69"/>
  <c r="V67" i="69"/>
  <c r="W74" i="69"/>
  <c r="V35" i="69"/>
  <c r="O25" i="69"/>
  <c r="O27" i="69"/>
  <c r="O17" i="69"/>
  <c r="O15" i="69"/>
  <c r="O11" i="69"/>
  <c r="U14" i="69"/>
  <c r="U19" i="69"/>
  <c r="U22" i="69" s="1"/>
  <c r="U24" i="69"/>
  <c r="U27" i="69" s="1"/>
  <c r="U33" i="69"/>
  <c r="P17" i="69"/>
  <c r="P11" i="69"/>
  <c r="P32" i="69" s="1"/>
  <c r="T43" i="69"/>
  <c r="T64" i="69" s="1"/>
  <c r="U43" i="69" l="1"/>
  <c r="U64" i="69" s="1"/>
  <c r="U49" i="69"/>
  <c r="P52" i="69"/>
  <c r="O55" i="69"/>
  <c r="U11" i="69"/>
  <c r="U32" i="69" s="1"/>
  <c r="U17" i="69"/>
  <c r="T17" i="69"/>
  <c r="T11" i="69"/>
  <c r="T32" i="69" s="1"/>
  <c r="P25" i="69"/>
  <c r="O28" i="69"/>
  <c r="W35" i="69"/>
  <c r="W67" i="69"/>
  <c r="P20" i="69"/>
  <c r="O23" i="69"/>
  <c r="O12" i="69"/>
  <c r="P12" i="69" s="1"/>
  <c r="Q12" i="69" s="1"/>
  <c r="R12" i="69" s="1"/>
  <c r="S12" i="69" s="1"/>
  <c r="T12" i="69" s="1"/>
  <c r="U12" i="69" s="1"/>
  <c r="O32" i="69"/>
  <c r="O127" i="69"/>
  <c r="O126" i="69"/>
  <c r="O18" i="69"/>
  <c r="O125" i="69"/>
  <c r="O123" i="69"/>
  <c r="P15" i="69"/>
  <c r="O124" i="69"/>
  <c r="V14" i="69"/>
  <c r="V24" i="69"/>
  <c r="V27" i="69" s="1"/>
  <c r="V33" i="69"/>
  <c r="V19" i="69"/>
  <c r="V22" i="69" s="1"/>
  <c r="V46" i="69"/>
  <c r="V56" i="69"/>
  <c r="V59" i="69" s="1"/>
  <c r="V65" i="69"/>
  <c r="V51" i="69"/>
  <c r="V54" i="69" s="1"/>
  <c r="O50" i="69"/>
  <c r="P47" i="69"/>
  <c r="O64" i="69"/>
  <c r="O44" i="69"/>
  <c r="P44" i="69" s="1"/>
  <c r="Q44" i="69" s="1"/>
  <c r="R44" i="69" s="1"/>
  <c r="S44" i="69" s="1"/>
  <c r="T44" i="69" s="1"/>
  <c r="U44" i="69" s="1"/>
  <c r="P57" i="69"/>
  <c r="O60" i="69"/>
  <c r="V43" i="69" l="1"/>
  <c r="V64" i="69" s="1"/>
  <c r="V49" i="69"/>
  <c r="V17" i="69"/>
  <c r="V11" i="69"/>
  <c r="V32" i="69" s="1"/>
  <c r="V44" i="69"/>
  <c r="P55" i="69"/>
  <c r="Q52" i="69"/>
  <c r="O97" i="69"/>
  <c r="O104" i="69" s="1"/>
  <c r="O94" i="69"/>
  <c r="O96" i="69"/>
  <c r="O103" i="69" s="1"/>
  <c r="O95" i="69"/>
  <c r="O98" i="69"/>
  <c r="O105" i="69" s="1"/>
  <c r="P23" i="69"/>
  <c r="Q20" i="69"/>
  <c r="Q25" i="69"/>
  <c r="P28" i="69"/>
  <c r="W46" i="69"/>
  <c r="W51" i="69"/>
  <c r="W54" i="69" s="1"/>
  <c r="W56" i="69"/>
  <c r="W59" i="69" s="1"/>
  <c r="W65" i="69"/>
  <c r="W14" i="69"/>
  <c r="W24" i="69"/>
  <c r="W27" i="69" s="1"/>
  <c r="W19" i="69"/>
  <c r="W22" i="69" s="1"/>
  <c r="W33" i="69"/>
  <c r="P18" i="69"/>
  <c r="P125" i="69"/>
  <c r="P123" i="69"/>
  <c r="Q15" i="69"/>
  <c r="P124" i="69"/>
  <c r="P126" i="69"/>
  <c r="P127" i="69"/>
  <c r="P60" i="69"/>
  <c r="Q57" i="69"/>
  <c r="O84" i="69"/>
  <c r="O83" i="69"/>
  <c r="O81" i="69"/>
  <c r="O82" i="69"/>
  <c r="O80" i="69"/>
  <c r="Q47" i="69"/>
  <c r="P50" i="69"/>
  <c r="Q23" i="69" l="1"/>
  <c r="R20" i="69"/>
  <c r="P84" i="69"/>
  <c r="P80" i="69"/>
  <c r="P83" i="69"/>
  <c r="P82" i="69"/>
  <c r="P81" i="69"/>
  <c r="P94" i="69"/>
  <c r="P97" i="69"/>
  <c r="P104" i="69" s="1"/>
  <c r="P96" i="69"/>
  <c r="P103" i="69" s="1"/>
  <c r="P98" i="69"/>
  <c r="P105" i="69" s="1"/>
  <c r="P95" i="69"/>
  <c r="Q55" i="69"/>
  <c r="R52" i="69"/>
  <c r="O110" i="69"/>
  <c r="O89" i="69"/>
  <c r="O130" i="69" s="1"/>
  <c r="O111" i="69"/>
  <c r="W11" i="69"/>
  <c r="W32" i="69" s="1"/>
  <c r="W17" i="69"/>
  <c r="O90" i="69"/>
  <c r="O131" i="69" s="1"/>
  <c r="O112" i="69"/>
  <c r="R57" i="69"/>
  <c r="Q60" i="69"/>
  <c r="W43" i="69"/>
  <c r="W64" i="69" s="1"/>
  <c r="W49" i="69"/>
  <c r="R25" i="69"/>
  <c r="Q28" i="69"/>
  <c r="Q18" i="69"/>
  <c r="R15" i="69"/>
  <c r="O99" i="69"/>
  <c r="Q50" i="69"/>
  <c r="R47" i="69"/>
  <c r="O109" i="69"/>
  <c r="O85" i="69"/>
  <c r="O91" i="69"/>
  <c r="O132" i="69" s="1"/>
  <c r="O113" i="69"/>
  <c r="V12" i="69"/>
  <c r="W12" i="69" s="1"/>
  <c r="X12" i="69" s="1"/>
  <c r="S47" i="69" l="1"/>
  <c r="R50" i="69"/>
  <c r="E5" i="71"/>
  <c r="E23" i="71" s="1"/>
  <c r="U15" i="17" s="1"/>
  <c r="O117" i="69"/>
  <c r="R55" i="69"/>
  <c r="S52" i="69"/>
  <c r="P110" i="69"/>
  <c r="F5" i="71" s="1"/>
  <c r="F23" i="71" s="1"/>
  <c r="S57" i="69"/>
  <c r="R60" i="69"/>
  <c r="P112" i="69"/>
  <c r="F7" i="71" s="1"/>
  <c r="F25" i="71" s="1"/>
  <c r="P90" i="69"/>
  <c r="P131" i="69" s="1"/>
  <c r="I7" i="71" s="1"/>
  <c r="I25" i="71" s="1"/>
  <c r="O135" i="69"/>
  <c r="H6" i="71"/>
  <c r="P135" i="69"/>
  <c r="S15" i="69"/>
  <c r="R18" i="69"/>
  <c r="P111" i="69"/>
  <c r="P89" i="69"/>
  <c r="P130" i="69" s="1"/>
  <c r="I6" i="71" s="1"/>
  <c r="E7" i="71"/>
  <c r="E25" i="71" s="1"/>
  <c r="AQ15" i="17" s="1"/>
  <c r="O119" i="69"/>
  <c r="O136" i="69"/>
  <c r="H7" i="71"/>
  <c r="H25" i="71" s="1"/>
  <c r="S20" i="69"/>
  <c r="R23" i="69"/>
  <c r="R28" i="69"/>
  <c r="S25" i="69"/>
  <c r="P99" i="69"/>
  <c r="O120" i="69"/>
  <c r="E8" i="71"/>
  <c r="E26" i="71" s="1"/>
  <c r="BB15" i="17" s="1"/>
  <c r="H8" i="71"/>
  <c r="H26" i="71" s="1"/>
  <c r="O137" i="69"/>
  <c r="P109" i="69"/>
  <c r="P116" i="69" s="1"/>
  <c r="P85" i="69"/>
  <c r="W44" i="69"/>
  <c r="X44" i="69" s="1"/>
  <c r="P91" i="69"/>
  <c r="P132" i="69" s="1"/>
  <c r="I8" i="71" s="1"/>
  <c r="I26" i="71" s="1"/>
  <c r="P113" i="69"/>
  <c r="O116" i="69"/>
  <c r="E4" i="71"/>
  <c r="E6" i="71"/>
  <c r="E24" i="71" s="1"/>
  <c r="AF15" i="17" s="1"/>
  <c r="P118" i="69"/>
  <c r="O118" i="69"/>
  <c r="BC15" i="17" l="1"/>
  <c r="BB57" i="17"/>
  <c r="BC57" i="17" s="1"/>
  <c r="S28" i="69"/>
  <c r="T25" i="69"/>
  <c r="H24" i="71"/>
  <c r="H9" i="71"/>
  <c r="E22" i="71"/>
  <c r="E9" i="71"/>
  <c r="S18" i="69"/>
  <c r="T15" i="69"/>
  <c r="G16" i="74"/>
  <c r="U16" i="17"/>
  <c r="G16" i="25"/>
  <c r="G18" i="25"/>
  <c r="G18" i="74"/>
  <c r="AQ16" i="17"/>
  <c r="F8" i="71"/>
  <c r="F26" i="71" s="1"/>
  <c r="T57" i="69"/>
  <c r="S60" i="69"/>
  <c r="P136" i="69"/>
  <c r="P119" i="69"/>
  <c r="I24" i="71"/>
  <c r="I9" i="71"/>
  <c r="P117" i="69"/>
  <c r="N20" i="24"/>
  <c r="O20" i="24" s="1"/>
  <c r="N28" i="25" s="1"/>
  <c r="N28" i="156"/>
  <c r="O28" i="156" s="1"/>
  <c r="M28" i="74" s="1"/>
  <c r="C38" i="74" s="1"/>
  <c r="E38" i="74" s="1"/>
  <c r="D62" i="74" s="1"/>
  <c r="F4" i="71"/>
  <c r="P137" i="69"/>
  <c r="F6" i="71"/>
  <c r="F24" i="71" s="1"/>
  <c r="AG15" i="17"/>
  <c r="AF57" i="17"/>
  <c r="AG57" i="17" s="1"/>
  <c r="S23" i="69"/>
  <c r="T20" i="69"/>
  <c r="N19" i="24"/>
  <c r="O19" i="24" s="1"/>
  <c r="M28" i="25" s="1"/>
  <c r="AP28" i="25" s="1"/>
  <c r="L30" i="158" s="1"/>
  <c r="N27" i="156"/>
  <c r="O27" i="156" s="1"/>
  <c r="L28" i="74" s="1"/>
  <c r="S55" i="69"/>
  <c r="T52" i="69"/>
  <c r="AR15" i="17"/>
  <c r="AQ57" i="17"/>
  <c r="AR57" i="17" s="1"/>
  <c r="V15" i="17"/>
  <c r="U57" i="17"/>
  <c r="V57" i="17" s="1"/>
  <c r="U28" i="156"/>
  <c r="V28" i="156" s="1"/>
  <c r="M29" i="74" s="1"/>
  <c r="C39" i="74" s="1"/>
  <c r="U20" i="24"/>
  <c r="V20" i="24" s="1"/>
  <c r="N29" i="25" s="1"/>
  <c r="U19" i="24"/>
  <c r="V19" i="24" s="1"/>
  <c r="M29" i="25" s="1"/>
  <c r="U27" i="156"/>
  <c r="V27" i="156" s="1"/>
  <c r="L29" i="74" s="1"/>
  <c r="P120" i="69"/>
  <c r="T47" i="69"/>
  <c r="S50" i="69"/>
  <c r="L4" i="74" l="1"/>
  <c r="M4" i="25"/>
  <c r="AP4" i="25" s="1"/>
  <c r="L18" i="158" s="1"/>
  <c r="L5" i="74"/>
  <c r="M5" i="25"/>
  <c r="L6" i="74"/>
  <c r="M6" i="25"/>
  <c r="L7" i="74"/>
  <c r="M7" i="25"/>
  <c r="AR16" i="17"/>
  <c r="AQ58" i="17"/>
  <c r="AR58" i="17" s="1"/>
  <c r="N6" i="25" s="1"/>
  <c r="AF16" i="17"/>
  <c r="G17" i="25"/>
  <c r="G17" i="74"/>
  <c r="U58" i="17"/>
  <c r="V58" i="17" s="1"/>
  <c r="V16" i="17"/>
  <c r="C39" i="25"/>
  <c r="F22" i="71"/>
  <c r="F9" i="71"/>
  <c r="T18" i="69"/>
  <c r="U15" i="69"/>
  <c r="E27" i="71"/>
  <c r="J15" i="17"/>
  <c r="G27" i="156"/>
  <c r="H27" i="156" s="1"/>
  <c r="L27" i="74" s="1"/>
  <c r="L33" i="74" s="1"/>
  <c r="G19" i="24"/>
  <c r="H19" i="24" s="1"/>
  <c r="M27" i="25" s="1"/>
  <c r="H27" i="71"/>
  <c r="T28" i="69"/>
  <c r="U25" i="69"/>
  <c r="T60" i="69"/>
  <c r="U57" i="69"/>
  <c r="U47" i="69"/>
  <c r="T50" i="69"/>
  <c r="AQ28" i="25"/>
  <c r="M30" i="158" s="1"/>
  <c r="C38" i="25"/>
  <c r="E38" i="25" s="1"/>
  <c r="D62" i="25" s="1"/>
  <c r="G28" i="156"/>
  <c r="H28" i="156" s="1"/>
  <c r="M27" i="74" s="1"/>
  <c r="G20" i="24"/>
  <c r="H20" i="24" s="1"/>
  <c r="N27" i="25" s="1"/>
  <c r="I27" i="71"/>
  <c r="T55" i="69"/>
  <c r="U52" i="69"/>
  <c r="U20" i="69"/>
  <c r="T23" i="69"/>
  <c r="G19" i="25"/>
  <c r="BB16" i="17"/>
  <c r="G19" i="74"/>
  <c r="C25" i="73"/>
  <c r="D6" i="158" l="1"/>
  <c r="AP7" i="25"/>
  <c r="L21" i="158" s="1"/>
  <c r="AP6" i="25"/>
  <c r="L20" i="158" s="1"/>
  <c r="AP5" i="25"/>
  <c r="L19" i="158" s="1"/>
  <c r="M4" i="74"/>
  <c r="C16" i="74" s="1"/>
  <c r="E16" i="74" s="1"/>
  <c r="N4" i="25"/>
  <c r="AQ4" i="25" s="1"/>
  <c r="M18" i="158" s="1"/>
  <c r="C4" i="158" s="1"/>
  <c r="M6" i="74"/>
  <c r="C18" i="74" s="1"/>
  <c r="E18" i="74" s="1"/>
  <c r="C37" i="25"/>
  <c r="N33" i="25"/>
  <c r="AQ27" i="25"/>
  <c r="V15" i="69"/>
  <c r="U18" i="69"/>
  <c r="G15" i="25"/>
  <c r="G23" i="25" s="1"/>
  <c r="F27" i="71"/>
  <c r="J16" i="17"/>
  <c r="G15" i="74"/>
  <c r="G23" i="74" s="1"/>
  <c r="U60" i="69"/>
  <c r="V57" i="69"/>
  <c r="M33" i="74"/>
  <c r="C37" i="74"/>
  <c r="V25" i="69"/>
  <c r="U28" i="69"/>
  <c r="C28" i="73"/>
  <c r="E25" i="73"/>
  <c r="M33" i="25"/>
  <c r="AP27" i="25"/>
  <c r="AF58" i="17"/>
  <c r="AG58" i="17" s="1"/>
  <c r="N5" i="25" s="1"/>
  <c r="AG16" i="17"/>
  <c r="V47" i="69"/>
  <c r="U50" i="69"/>
  <c r="BB58" i="17"/>
  <c r="BC58" i="17" s="1"/>
  <c r="N7" i="25" s="1"/>
  <c r="BC16" i="17"/>
  <c r="V20" i="69"/>
  <c r="U23" i="69"/>
  <c r="U55" i="69"/>
  <c r="V52" i="69"/>
  <c r="J57" i="17"/>
  <c r="K57" i="17" s="1"/>
  <c r="K15" i="17"/>
  <c r="C18" i="25"/>
  <c r="E18" i="25" s="1"/>
  <c r="AQ6" i="25"/>
  <c r="M20" i="158" s="1"/>
  <c r="C6" i="158" s="1"/>
  <c r="L29" i="158" l="1"/>
  <c r="M29" i="158"/>
  <c r="D5" i="158" s="1"/>
  <c r="C16" i="25"/>
  <c r="E16" i="25" s="1"/>
  <c r="C60" i="25" s="1"/>
  <c r="M3" i="25"/>
  <c r="M11" i="25" s="1"/>
  <c r="L3" i="74"/>
  <c r="L11" i="74" s="1"/>
  <c r="L11" i="25"/>
  <c r="H18" i="74"/>
  <c r="C62" i="74"/>
  <c r="H16" i="74"/>
  <c r="C60" i="74"/>
  <c r="M5" i="74"/>
  <c r="C17" i="74" s="1"/>
  <c r="E17" i="74" s="1"/>
  <c r="M7" i="74"/>
  <c r="C19" i="74" s="1"/>
  <c r="E19" i="74" s="1"/>
  <c r="V28" i="69"/>
  <c r="W25" i="69"/>
  <c r="W47" i="69"/>
  <c r="V50" i="69"/>
  <c r="J58" i="17"/>
  <c r="K58" i="17" s="1"/>
  <c r="K16" i="17"/>
  <c r="H25" i="73"/>
  <c r="W57" i="69"/>
  <c r="V60" i="69"/>
  <c r="C17" i="25"/>
  <c r="E17" i="25" s="1"/>
  <c r="AQ5" i="25"/>
  <c r="M19" i="158" s="1"/>
  <c r="C5" i="158" s="1"/>
  <c r="V55" i="69"/>
  <c r="W52" i="69"/>
  <c r="C62" i="25"/>
  <c r="H18" i="25"/>
  <c r="W15" i="69"/>
  <c r="V18" i="69"/>
  <c r="E37" i="74"/>
  <c r="C43" i="74"/>
  <c r="V23" i="69"/>
  <c r="W20" i="69"/>
  <c r="G25" i="73"/>
  <c r="E28" i="73"/>
  <c r="C43" i="25"/>
  <c r="E37" i="25"/>
  <c r="AP3" i="25" l="1"/>
  <c r="L17" i="158"/>
  <c r="AP11" i="25"/>
  <c r="H16" i="25"/>
  <c r="L25" i="158"/>
  <c r="M3" i="74"/>
  <c r="C15" i="74" s="1"/>
  <c r="N3" i="25"/>
  <c r="N11" i="25" s="1"/>
  <c r="H19" i="74"/>
  <c r="C63" i="74"/>
  <c r="C61" i="74"/>
  <c r="H17" i="74"/>
  <c r="C19" i="25"/>
  <c r="E19" i="25" s="1"/>
  <c r="AQ7" i="25"/>
  <c r="M21" i="158" s="1"/>
  <c r="C7" i="158" s="1"/>
  <c r="D61" i="74"/>
  <c r="D61" i="25"/>
  <c r="X47" i="69"/>
  <c r="W50" i="69"/>
  <c r="G28" i="73"/>
  <c r="N25" i="73"/>
  <c r="AP29" i="25" s="1"/>
  <c r="X25" i="69"/>
  <c r="W28" i="69"/>
  <c r="X52" i="69"/>
  <c r="W55" i="69"/>
  <c r="C61" i="25"/>
  <c r="H17" i="25"/>
  <c r="W60" i="69"/>
  <c r="X57" i="69"/>
  <c r="W18" i="69"/>
  <c r="X15" i="69"/>
  <c r="H28" i="73"/>
  <c r="J25" i="73"/>
  <c r="X20" i="69"/>
  <c r="W23" i="69"/>
  <c r="L31" i="158" l="1"/>
  <c r="L35" i="158" s="1"/>
  <c r="AP33" i="25"/>
  <c r="M11" i="74"/>
  <c r="C15" i="25"/>
  <c r="E15" i="25" s="1"/>
  <c r="AQ3" i="25"/>
  <c r="J28" i="73"/>
  <c r="L25" i="73"/>
  <c r="C23" i="74"/>
  <c r="E15" i="74"/>
  <c r="X50" i="69"/>
  <c r="X23" i="69"/>
  <c r="X18" i="69"/>
  <c r="X60" i="69"/>
  <c r="X55" i="69"/>
  <c r="X28" i="69"/>
  <c r="H19" i="25"/>
  <c r="C63" i="25"/>
  <c r="M17" i="158" l="1"/>
  <c r="C3" i="158" s="1"/>
  <c r="C12" i="158" s="1"/>
  <c r="AQ11" i="25"/>
  <c r="C23" i="25"/>
  <c r="M25" i="158"/>
  <c r="H15" i="25"/>
  <c r="C59" i="25"/>
  <c r="C68" i="25" s="1"/>
  <c r="E23" i="25"/>
  <c r="L28" i="73"/>
  <c r="O25" i="73"/>
  <c r="E23" i="74"/>
  <c r="H15" i="74"/>
  <c r="H23" i="74" s="1"/>
  <c r="C59" i="74"/>
  <c r="C68" i="74" l="1"/>
  <c r="H23" i="25"/>
  <c r="D39" i="74"/>
  <c r="D39" i="25"/>
  <c r="AQ29" i="25"/>
  <c r="M31" i="158" l="1"/>
  <c r="AQ33" i="25"/>
  <c r="D7" i="158"/>
  <c r="M35" i="158"/>
  <c r="D43" i="25"/>
  <c r="E39" i="25"/>
  <c r="D43" i="74"/>
  <c r="E39" i="74"/>
  <c r="D12" i="158" l="1"/>
  <c r="D63" i="74"/>
  <c r="D68" i="74" s="1"/>
  <c r="E43" i="74"/>
  <c r="D63" i="25"/>
  <c r="D68" i="25" s="1"/>
  <c r="E43" i="2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<sst xmlns="http://schemas.openxmlformats.org/spreadsheetml/2006/main" count="2381" uniqueCount="561">
  <si>
    <t>Year</t>
  </si>
  <si>
    <t>Residential_kWh</t>
  </si>
  <si>
    <t>GS_lt_50_kWh</t>
  </si>
  <si>
    <t>GS_lt_50_CDM</t>
  </si>
  <si>
    <t>GS_gt_50_kWh</t>
  </si>
  <si>
    <t>GS_gt_50_kW</t>
  </si>
  <si>
    <t>Streetlights_kWh</t>
  </si>
  <si>
    <t>Streetlights_kW</t>
  </si>
  <si>
    <t>USL_kWh</t>
  </si>
  <si>
    <t>Residential_Customers</t>
  </si>
  <si>
    <t>GS_gt_50_Customers</t>
  </si>
  <si>
    <t>Streetlights_Connections</t>
  </si>
  <si>
    <t>USL Connections</t>
  </si>
  <si>
    <t>CDM</t>
  </si>
  <si>
    <t>Date</t>
  </si>
  <si>
    <t>GDP</t>
  </si>
  <si>
    <t>Ont_FTEAdj</t>
  </si>
  <si>
    <t>Ont_FTE</t>
  </si>
  <si>
    <t>FTE</t>
  </si>
  <si>
    <t>BMO</t>
  </si>
  <si>
    <t>TD</t>
  </si>
  <si>
    <t>Scotia</t>
  </si>
  <si>
    <t>RBC</t>
  </si>
  <si>
    <t>Month</t>
  </si>
  <si>
    <t>Residential</t>
  </si>
  <si>
    <t>MeanTemp</t>
  </si>
  <si>
    <t>HDD18</t>
  </si>
  <si>
    <t>CDD18</t>
  </si>
  <si>
    <t>HDD16</t>
  </si>
  <si>
    <t>CDD16</t>
  </si>
  <si>
    <t>HDD14</t>
  </si>
  <si>
    <t>CDD14</t>
  </si>
  <si>
    <t>HDD12</t>
  </si>
  <si>
    <t>CDD12</t>
  </si>
  <si>
    <t>GS&lt;50</t>
  </si>
  <si>
    <t>USL</t>
  </si>
  <si>
    <t>Res_CDM</t>
  </si>
  <si>
    <t>GS_lt_50_NoCDM</t>
  </si>
  <si>
    <t>Res_NoCDM</t>
  </si>
  <si>
    <t>GS_gt_50_CDM</t>
  </si>
  <si>
    <t>GS_gt_50_NoCDM</t>
  </si>
  <si>
    <t>Implementation Year</t>
  </si>
  <si>
    <t>Savings Year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</si>
  <si>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</si>
  <si>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</si>
  <si>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</si>
  <si>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</si>
  <si>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</si>
  <si>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</si>
  <si>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</si>
  <si>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</si>
  <si>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</si>
  <si>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</si>
  <si>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</si>
  <si>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</si>
  <si>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Spring</t>
  </si>
  <si>
    <t>Fall</t>
  </si>
  <si>
    <t>Shoulder</t>
  </si>
  <si>
    <t>Trend</t>
  </si>
  <si>
    <t>Month Days</t>
  </si>
  <si>
    <t>Peak Days</t>
  </si>
  <si>
    <t>coefficient</t>
  </si>
  <si>
    <t>std. error</t>
  </si>
  <si>
    <t>t-ratio</t>
  </si>
  <si>
    <t>p-value</t>
  </si>
  <si>
    <t>const</t>
  </si>
  <si>
    <t>Mean dependent var</t>
  </si>
  <si>
    <t>S.D. dependent var</t>
  </si>
  <si>
    <t>Sum squared resid</t>
  </si>
  <si>
    <t>S.E. of regression</t>
  </si>
  <si>
    <t>R-squared</t>
  </si>
  <si>
    <t>Adjusted R-squared</t>
  </si>
  <si>
    <t>P-value(F)</t>
  </si>
  <si>
    <t>rho</t>
  </si>
  <si>
    <t>Durbin-Watson</t>
  </si>
  <si>
    <t>Predicted</t>
  </si>
  <si>
    <t>Difference</t>
  </si>
  <si>
    <t>Res kWh</t>
  </si>
  <si>
    <t>Absolute</t>
  </si>
  <si>
    <t>GS &lt; 50 kWh</t>
  </si>
  <si>
    <t>GS &gt; 50 kWh</t>
  </si>
  <si>
    <t>CDM Added Back</t>
  </si>
  <si>
    <t>Error (%)</t>
  </si>
  <si>
    <t>Mean Absolute Percentage Error (Annual)</t>
  </si>
  <si>
    <t>Mean Absolute Percentage Error (Monthly)</t>
  </si>
  <si>
    <t>June</t>
  </si>
  <si>
    <t>July</t>
  </si>
  <si>
    <t>August</t>
  </si>
  <si>
    <t>10 Year Average</t>
  </si>
  <si>
    <t>January</t>
  </si>
  <si>
    <t>February</t>
  </si>
  <si>
    <t>March</t>
  </si>
  <si>
    <t>April</t>
  </si>
  <si>
    <t>September</t>
  </si>
  <si>
    <t>October</t>
  </si>
  <si>
    <t>November</t>
  </si>
  <si>
    <t>December</t>
  </si>
  <si>
    <t>Residential kWh</t>
  </si>
  <si>
    <t>Actual</t>
  </si>
  <si>
    <t>Cumulative Persisting CDM</t>
  </si>
  <si>
    <t>Actual No CDM</t>
  </si>
  <si>
    <t>Normalized</t>
  </si>
  <si>
    <t>A</t>
  </si>
  <si>
    <t>B</t>
  </si>
  <si>
    <t>C = A + B</t>
  </si>
  <si>
    <t>D</t>
  </si>
  <si>
    <t>E = B</t>
  </si>
  <si>
    <t>F = D - E</t>
  </si>
  <si>
    <t>GS&lt;50 kWh</t>
  </si>
  <si>
    <t>GS&gt;50 kWh</t>
  </si>
  <si>
    <t>Percent of Prior Year</t>
  </si>
  <si>
    <t>GS &lt; 50</t>
  </si>
  <si>
    <t>GS &gt; 50</t>
  </si>
  <si>
    <t>St. Lights</t>
  </si>
  <si>
    <t>Customers</t>
  </si>
  <si>
    <t>Street Lights</t>
  </si>
  <si>
    <t>kWh</t>
  </si>
  <si>
    <t>kW</t>
  </si>
  <si>
    <t>kWh Normalized</t>
  </si>
  <si>
    <t>kW Normalized</t>
  </si>
  <si>
    <t>E</t>
  </si>
  <si>
    <t>Normal Predicted 
No CDM</t>
  </si>
  <si>
    <t>Street Light</t>
  </si>
  <si>
    <t>Lamps / Devices</t>
  </si>
  <si>
    <t>Average per Device</t>
  </si>
  <si>
    <t>Normal Forecast</t>
  </si>
  <si>
    <t>2017 Actual</t>
  </si>
  <si>
    <t>2018 Actual</t>
  </si>
  <si>
    <t>Total</t>
  </si>
  <si>
    <t>CDM Adjusted</t>
  </si>
  <si>
    <t>CDM Adjustment</t>
  </si>
  <si>
    <t>Rate Class</t>
  </si>
  <si>
    <t>CDM Adj Weight</t>
  </si>
  <si>
    <t>Amount</t>
  </si>
  <si>
    <t>F</t>
  </si>
  <si>
    <t>Weather-Normal Forecast</t>
  </si>
  <si>
    <t>% Savings</t>
  </si>
  <si>
    <t>C = B / A</t>
  </si>
  <si>
    <t>Ratio</t>
  </si>
  <si>
    <t>3-Yr MA</t>
  </si>
  <si>
    <t>HDD20</t>
  </si>
  <si>
    <t>CDD20</t>
  </si>
  <si>
    <t>HDD10</t>
  </si>
  <si>
    <t>CDD10</t>
  </si>
  <si>
    <t>HDD8</t>
  </si>
  <si>
    <t>CDD8</t>
  </si>
  <si>
    <t>Average Used</t>
  </si>
  <si>
    <t>G</t>
  </si>
  <si>
    <t>E = D * F</t>
  </si>
  <si>
    <t>Divergence</t>
  </si>
  <si>
    <t>5-year change</t>
  </si>
  <si>
    <t>2019 Actual</t>
  </si>
  <si>
    <t>Statistics based on the rho-differenced data</t>
  </si>
  <si>
    <t>AvgRes</t>
  </si>
  <si>
    <t>AvgResD</t>
  </si>
  <si>
    <t>AvgGSlt50</t>
  </si>
  <si>
    <t>AvgGSlt50D</t>
  </si>
  <si>
    <t>AvgGSgt50</t>
  </si>
  <si>
    <t>AvgGSgt50MD</t>
  </si>
  <si>
    <t>AvgGSgt50PD</t>
  </si>
  <si>
    <t>ResD</t>
  </si>
  <si>
    <t>GSlt50D</t>
  </si>
  <si>
    <t>GSgt50MD</t>
  </si>
  <si>
    <t>GSgt50PD</t>
  </si>
  <si>
    <t>Sep</t>
  </si>
  <si>
    <t>E = D * G</t>
  </si>
  <si>
    <t>Trend Ratio (3-Yr. MA)</t>
  </si>
  <si>
    <t>Q1</t>
  </si>
  <si>
    <t>Q2</t>
  </si>
  <si>
    <t>Q3</t>
  </si>
  <si>
    <t>Q4</t>
  </si>
  <si>
    <t>2017 Normal</t>
  </si>
  <si>
    <t>2018 Normal</t>
  </si>
  <si>
    <t>2019 Normal</t>
  </si>
  <si>
    <t>Normal 
No CDM</t>
  </si>
  <si>
    <t>Customers / Devices</t>
  </si>
  <si>
    <t>Devices</t>
  </si>
  <si>
    <t>Dependent variable: Res_NoCDM</t>
  </si>
  <si>
    <t>MonthDays</t>
  </si>
  <si>
    <t>Dependent variable: GS_lt_50_NoCDM</t>
  </si>
  <si>
    <t>Dependent variable: GS_gt_50_NoCDM</t>
  </si>
  <si>
    <t>GS_lt_50_Customers</t>
  </si>
  <si>
    <t>ON GDP</t>
  </si>
  <si>
    <t>ON Prof Services GDP</t>
  </si>
  <si>
    <t>Ontario Economic Accounts Table 15</t>
  </si>
  <si>
    <t>OEA_GDP</t>
  </si>
  <si>
    <t>COVID</t>
  </si>
  <si>
    <t>COVID_AM</t>
  </si>
  <si>
    <t>COVID_WFH</t>
  </si>
  <si>
    <t>COVID2020</t>
  </si>
  <si>
    <t>(Check)</t>
  </si>
  <si>
    <t>Statscan New zero-emission vehicle registrations, quarterly 20-10-0025-01</t>
  </si>
  <si>
    <t>Cumulative</t>
  </si>
  <si>
    <t>Ontario</t>
  </si>
  <si>
    <t>Fuel type</t>
  </si>
  <si>
    <t>Battery electric</t>
  </si>
  <si>
    <t>Plug-in hybrid electric</t>
  </si>
  <si>
    <t>Q1 2017</t>
  </si>
  <si>
    <t>Vehicle type</t>
  </si>
  <si>
    <t>Passenger cars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</si>
  <si>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</si>
  <si>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</si>
  <si>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</si>
  <si>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</si>
  <si>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</si>
  <si>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</si>
  <si>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</si>
  <si>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</si>
  <si>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</si>
  <si>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</si>
  <si>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</si>
  <si>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</si>
  <si>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</si>
  <si>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</si>
  <si>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</si>
  <si>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</si>
  <si>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</si>
  <si>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</si>
  <si>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</si>
  <si>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</si>
  <si>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</si>
  <si>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</si>
  <si>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</si>
  <si>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</si>
  <si>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</si>
  <si>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</si>
  <si>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</si>
  <si>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Avg. Distance</t>
  </si>
  <si>
    <t>Avg. Efficiency</t>
  </si>
  <si>
    <t>km</t>
  </si>
  <si>
    <t>kWh/ 100 km</t>
  </si>
  <si>
    <t>Passenger</t>
  </si>
  <si>
    <t>2-21-050-EV-Charging-Performance-Requirements-in-GTHA.pdf (cleanairpartnership.org)</t>
  </si>
  <si>
    <t>Multi-purpose vehicles (SUV)</t>
  </si>
  <si>
    <t>Van</t>
  </si>
  <si>
    <t>Pick-Up Truck</t>
  </si>
  <si>
    <t>Total EVs</t>
  </si>
  <si>
    <t>New</t>
  </si>
  <si>
    <t>Passenger + SUV EVs</t>
  </si>
  <si>
    <t>kWh/EV</t>
  </si>
  <si>
    <t>New kWh</t>
  </si>
  <si>
    <t>Cumulative kWh</t>
  </si>
  <si>
    <t>Van EVs</t>
  </si>
  <si>
    <t>Pickup Trucks</t>
  </si>
  <si>
    <t>EVs</t>
  </si>
  <si>
    <t>All Vehicles</t>
  </si>
  <si>
    <t>Passenger EV as % of EV</t>
  </si>
  <si>
    <t>Van EV as % of EV</t>
  </si>
  <si>
    <t>Pickup Truck EV as % of EV</t>
  </si>
  <si>
    <t>New Incremental kWh</t>
  </si>
  <si>
    <t>Passenger/SUV</t>
  </si>
  <si>
    <t>Pick-up Truck</t>
  </si>
  <si>
    <t>EV kWh by Class</t>
  </si>
  <si>
    <t>New Incremental kW</t>
  </si>
  <si>
    <t>Load Factor</t>
  </si>
  <si>
    <t>C = A / B</t>
  </si>
  <si>
    <t>J</t>
  </si>
  <si>
    <t>2026 Incremental</t>
  </si>
  <si>
    <t>2027 Incremental</t>
  </si>
  <si>
    <t>Small Business</t>
  </si>
  <si>
    <t>Consumption per Year</t>
  </si>
  <si>
    <t>m3/year</t>
  </si>
  <si>
    <t>Typical Enbridge Residential Customer</t>
  </si>
  <si>
    <t>Heating Profile</t>
  </si>
  <si>
    <t>/Month</t>
  </si>
  <si>
    <t>Less summer</t>
  </si>
  <si>
    <t>Convert m3 to GJ</t>
  </si>
  <si>
    <t xml:space="preserve">GJ/m3 </t>
  </si>
  <si>
    <t>https://apps.cer-rec.gc.ca/Conversion/conversion-tables.aspx</t>
  </si>
  <si>
    <t>Convert GJ to kWh</t>
  </si>
  <si>
    <t>kWh/GJ</t>
  </si>
  <si>
    <t>Convert m3 to kWh</t>
  </si>
  <si>
    <t>kWh/m3</t>
  </si>
  <si>
    <t>kWh per Customer</t>
  </si>
  <si>
    <t>kWh/Customer</t>
  </si>
  <si>
    <t>Heat Pump Efficiency</t>
  </si>
  <si>
    <t>Delivered heat kWh-equivalent/kWh</t>
  </si>
  <si>
    <t>https://oee.nrcan.gc.ca/pml-lmp/index.cfm?language_langue=en&amp;action=app.search-recherche&amp;appliance=ASHP1_GH&amp;_gl=1*22c7uc*_ga*MTkyNTkxMzczNi4xNjg5MDg1ODA2*_ga_C2N57Y7DX5*MTcxNTM1MDU3Ni40My4xLjE3MTUzNTA1ODAuMC4wLjA.</t>
  </si>
  <si>
    <t>Adj. Consumption</t>
  </si>
  <si>
    <t>Customer Count</t>
  </si>
  <si>
    <t>Increase in customers/year</t>
  </si>
  <si>
    <t>Existing Conversions %</t>
  </si>
  <si>
    <t>New Connection %</t>
  </si>
  <si>
    <t>Existing Connections #</t>
  </si>
  <si>
    <t>New Connections #</t>
  </si>
  <si>
    <t>Total Connections</t>
  </si>
  <si>
    <t>Total kWh</t>
  </si>
  <si>
    <t xml:space="preserve">  Winter</t>
  </si>
  <si>
    <t xml:space="preserve">  Summer</t>
  </si>
  <si>
    <t>Seasonally Adjusted kWh</t>
  </si>
  <si>
    <t>Heating</t>
  </si>
  <si>
    <t>Figures are added in 'Normalized Annual Summary' and 'kW Forecast'</t>
  </si>
  <si>
    <t>Customer</t>
  </si>
  <si>
    <t>Expansions</t>
  </si>
  <si>
    <t>In year energy savings (GWh)</t>
  </si>
  <si>
    <t>In year energy savings (kWh)</t>
  </si>
  <si>
    <t>Retrofit</t>
  </si>
  <si>
    <t>% of provincial kWh</t>
  </si>
  <si>
    <t xml:space="preserve">Energy Performance </t>
  </si>
  <si>
    <t>Energy Management</t>
  </si>
  <si>
    <t>Total by Year</t>
  </si>
  <si>
    <t>Industrial Energy Efficiency</t>
  </si>
  <si>
    <t>Targeted Greenhouse</t>
  </si>
  <si>
    <t>Local Initiatives</t>
  </si>
  <si>
    <t>Residential Demand Response</t>
  </si>
  <si>
    <t>Energy Affordability Program</t>
  </si>
  <si>
    <t>% of prov. LIM</t>
  </si>
  <si>
    <t>First Nations Program</t>
  </si>
  <si>
    <t xml:space="preserve">Source: </t>
  </si>
  <si>
    <t>2021-2024 Conservation and Demand Management Framework Program Plan 2022-12-15</t>
  </si>
  <si>
    <t>5-Year Avg.</t>
  </si>
  <si>
    <t>Province</t>
  </si>
  <si>
    <t>Cummulative</t>
  </si>
  <si>
    <t>w/ 1/2 Year Adj.</t>
  </si>
  <si>
    <t>GS&lt; 50</t>
  </si>
  <si>
    <t>Total CDM</t>
  </si>
  <si>
    <t>2025 Forecast</t>
  </si>
  <si>
    <t>2026 Forecast</t>
  </si>
  <si>
    <t>F = D * E</t>
  </si>
  <si>
    <t>H</t>
  </si>
  <si>
    <t>I = G * H</t>
  </si>
  <si>
    <t>K</t>
  </si>
  <si>
    <t>L = J * K</t>
  </si>
  <si>
    <t>Incremental CDM (accounting for lost persistence)</t>
  </si>
  <si>
    <t>*Allocations based on LRAMVA allocations in 2015-2019 period</t>
  </si>
  <si>
    <t>Additional Loads</t>
  </si>
  <si>
    <t>H = F + G</t>
  </si>
  <si>
    <t>Normalized with Additional Loads</t>
  </si>
  <si>
    <t>2020 Actual</t>
  </si>
  <si>
    <t>2021 Actual</t>
  </si>
  <si>
    <t>2022 Actual</t>
  </si>
  <si>
    <t>2023 Actual</t>
  </si>
  <si>
    <t>2023 Normal</t>
  </si>
  <si>
    <t>CovHDD20</t>
  </si>
  <si>
    <t>CovCDD20</t>
  </si>
  <si>
    <t>CovHDD18</t>
  </si>
  <si>
    <t>CovCDD18</t>
  </si>
  <si>
    <t>CovHDD16</t>
  </si>
  <si>
    <t>CovCDD16</t>
  </si>
  <si>
    <t>CovHDD14</t>
  </si>
  <si>
    <t>CovCDD14</t>
  </si>
  <si>
    <t>CovHDD12</t>
  </si>
  <si>
    <t>CovCDD12</t>
  </si>
  <si>
    <t>CovHDD10</t>
  </si>
  <si>
    <t>CovCDD10</t>
  </si>
  <si>
    <t>CovHDD8</t>
  </si>
  <si>
    <t>CovCDD8</t>
  </si>
  <si>
    <t>CWFHHDD20</t>
  </si>
  <si>
    <t>CWFHCDD20</t>
  </si>
  <si>
    <t>CWFHHDD18</t>
  </si>
  <si>
    <t>CWFHCDD18</t>
  </si>
  <si>
    <t>CWFHHDD16</t>
  </si>
  <si>
    <t>CWFHCDD16</t>
  </si>
  <si>
    <t>CWFHHDD14</t>
  </si>
  <si>
    <t>CWFHCDD14</t>
  </si>
  <si>
    <t>CWFHHDD12</t>
  </si>
  <si>
    <t>CWFHCDD12</t>
  </si>
  <si>
    <t>CWFHHDD10</t>
  </si>
  <si>
    <t>CWFHCDD10</t>
  </si>
  <si>
    <t>CWFHHDD8</t>
  </si>
  <si>
    <t>CWFHCDD8</t>
  </si>
  <si>
    <t>Statistics based on the original data</t>
  </si>
  <si>
    <t>Change</t>
  </si>
  <si>
    <t>Additional EV &amp; Heating Loads</t>
  </si>
  <si>
    <t>Total Forecast</t>
  </si>
  <si>
    <t>I = E + H</t>
  </si>
  <si>
    <t>Summary</t>
  </si>
  <si>
    <t>Customers / Connections</t>
  </si>
  <si>
    <t>D = B * C</t>
  </si>
  <si>
    <t>2020 Normal</t>
  </si>
  <si>
    <t>2021 Normal</t>
  </si>
  <si>
    <t>2022 Normal</t>
  </si>
  <si>
    <t>ON EVs as % of All New Vehicles</t>
  </si>
  <si>
    <t>WN Predicted</t>
  </si>
  <si>
    <t>Additional</t>
  </si>
  <si>
    <t>Forecast</t>
  </si>
  <si>
    <t>Additional / Lost Loads</t>
  </si>
  <si>
    <t>Q1 2024</t>
  </si>
  <si>
    <t>Q2 2024</t>
  </si>
  <si>
    <t>Actual/Forecast % EVs</t>
  </si>
  <si>
    <t>Federal EV Target</t>
  </si>
  <si>
    <t>Battery EVs</t>
  </si>
  <si>
    <t>Plug-in hybrid EVs</t>
  </si>
  <si>
    <t>All zero-emission vehicles</t>
  </si>
  <si>
    <t>L</t>
  </si>
  <si>
    <t>M = L / K</t>
  </si>
  <si>
    <t>N</t>
  </si>
  <si>
    <t>O = M * N</t>
  </si>
  <si>
    <t>Avg.</t>
  </si>
  <si>
    <t xml:space="preserve">Trend Ratio </t>
  </si>
  <si>
    <t>Q3 2024</t>
  </si>
  <si>
    <t>Q4 2024</t>
  </si>
  <si>
    <t>2024 Actual</t>
  </si>
  <si>
    <t>2024 Normal</t>
  </si>
  <si>
    <t>Model 4: Prais-Winsten, using observations 2015:01-2024:12 (T = 120)</t>
  </si>
  <si>
    <t>rho = 0.372005</t>
  </si>
  <si>
    <t>F(2, 117)</t>
  </si>
  <si>
    <t>Model 5: Prais-Winsten, using observations 2015:01-2024:12 (T = 120)</t>
  </si>
  <si>
    <t>rho = 0.628893</t>
  </si>
  <si>
    <t>Model 6: Prais-Winsten, using observations 2015:01-2024:12 (T = 120)</t>
  </si>
  <si>
    <t>rho = 0.602551</t>
  </si>
  <si>
    <t>Source:</t>
  </si>
  <si>
    <t>Full-Year</t>
  </si>
  <si>
    <t>Actual 2021</t>
  </si>
  <si>
    <t>Actual 2021-22</t>
  </si>
  <si>
    <t>Actual 2021-23</t>
  </si>
  <si>
    <t>Progress to Target</t>
  </si>
  <si>
    <t>Existing Building Commissioning program</t>
  </si>
  <si>
    <t>https://www.ieso.ca/en/Sector-Participants/Energy-Efficiency/2021-2024-Conservation-and-Demand-Management-Framework</t>
  </si>
  <si>
    <t>Energy Efficiency in Ontario:  2023 Conservation and Demand Management Results</t>
  </si>
  <si>
    <t>Page 22/23</t>
  </si>
  <si>
    <t>Page 18</t>
  </si>
  <si>
    <t>Page 11</t>
  </si>
  <si>
    <t>Target</t>
  </si>
  <si>
    <t>eDSM Plan</t>
  </si>
  <si>
    <t>https://ieso.ca/Sector-Participants/Energy-Efficiency/2025-2036-Electricity-Demand-Side-Management-Framework</t>
  </si>
  <si>
    <t>New Construction</t>
  </si>
  <si>
    <t>Home Renovation Savings</t>
  </si>
  <si>
    <t>Commercial HVAC DR</t>
  </si>
  <si>
    <t>Peak Perks</t>
  </si>
  <si>
    <t>Report Ref:</t>
  </si>
  <si>
    <t>Total CDM Added persisting to:</t>
  </si>
  <si>
    <t>London A</t>
  </si>
  <si>
    <t>GS_gt_50_CoGen_kWh</t>
  </si>
  <si>
    <t>GS_gt_50_CoGen_kW</t>
  </si>
  <si>
    <t>GS_gt_50_CoGen_Customers</t>
  </si>
  <si>
    <t>GS_gt_50_CoGen_CDM</t>
  </si>
  <si>
    <t>GS_gt_50_CoGen_NoCDM</t>
  </si>
  <si>
    <t>Large_Use_kWh</t>
  </si>
  <si>
    <t>Large_Use_CDM</t>
  </si>
  <si>
    <t>Large_Use_NoCDM</t>
  </si>
  <si>
    <t>Large_Use_kW</t>
  </si>
  <si>
    <t>Large_Use_Customers</t>
  </si>
  <si>
    <t>Sentinel_kWh</t>
  </si>
  <si>
    <t>Sentinel_kW</t>
  </si>
  <si>
    <t>Sentinel_Connections</t>
  </si>
  <si>
    <t>GS&lt;50 kW</t>
  </si>
  <si>
    <t>GS 50 - 4,999 kW</t>
  </si>
  <si>
    <t>Co-Generation 1,000 - 4,999 kW</t>
  </si>
  <si>
    <t>Large User</t>
  </si>
  <si>
    <t>Street Lighting</t>
  </si>
  <si>
    <t>Sentinel Lighting</t>
  </si>
  <si>
    <t>Unmetered Scattered Load</t>
  </si>
  <si>
    <t>GS &gt; 50 Co Gen</t>
  </si>
  <si>
    <t>Large Use</t>
  </si>
  <si>
    <t>London</t>
  </si>
  <si>
    <t>LH Share</t>
  </si>
  <si>
    <t>General Service &lt; 50 kW</t>
  </si>
  <si>
    <t>General Service &gt;= 50 kW</t>
  </si>
  <si>
    <t>Average</t>
  </si>
  <si>
    <t>London Hydro</t>
  </si>
  <si>
    <t>London Hydro %</t>
  </si>
  <si>
    <t>London %</t>
  </si>
  <si>
    <t xml:space="preserve">Census Family Low Income Measure (CFLIM-AT) Table 11-10-0020-01 </t>
  </si>
  <si>
    <t>Number of families in low income</t>
  </si>
  <si>
    <t>StatsCan 14-10-0459-01</t>
  </si>
  <si>
    <t>London_FTEAdj</t>
  </si>
  <si>
    <t>London_FTE</t>
  </si>
  <si>
    <t>StatsCan 36-10-0711-01</t>
  </si>
  <si>
    <t>All industries  [T001] 5</t>
  </si>
  <si>
    <t>Manufacturing  [31-33]</t>
  </si>
  <si>
    <t>Information and cultural industries  [51]</t>
  </si>
  <si>
    <t>Finance and insurance  [52]</t>
  </si>
  <si>
    <t>Professional, scientific and technical services  [54]</t>
  </si>
  <si>
    <t>ON Manufacturing GDP</t>
  </si>
  <si>
    <t>ON Fin and Insurance GDP</t>
  </si>
  <si>
    <t>ON Info Ind GDP</t>
  </si>
  <si>
    <t>OEA_Manufacturing</t>
  </si>
  <si>
    <t>OEA_Manufacturing_Food</t>
  </si>
  <si>
    <t>OEA_Info</t>
  </si>
  <si>
    <t>OEA_Finance and Insurance</t>
  </si>
  <si>
    <t>Reference:</t>
  </si>
  <si>
    <t>GS &gt; 1,000 Co Gen</t>
  </si>
  <si>
    <t>Total Vehicles (All Types)</t>
  </si>
  <si>
    <t>Pickup trucks</t>
  </si>
  <si>
    <t>Multi-purpose vehicles</t>
  </si>
  <si>
    <t>Vans</t>
  </si>
  <si>
    <t>Quarterly Increases</t>
  </si>
  <si>
    <t>London % of ON New EVs</t>
  </si>
  <si>
    <t>With half-year</t>
  </si>
  <si>
    <t>Cumulative kW</t>
  </si>
  <si>
    <t>GS Co Gen</t>
  </si>
  <si>
    <t>Q1 2025</t>
  </si>
  <si>
    <t>Q2 2025</t>
  </si>
  <si>
    <t>Q3 2025</t>
  </si>
  <si>
    <t>Q4 2025</t>
  </si>
  <si>
    <t>Sentinel Lights</t>
  </si>
  <si>
    <t>Large Use kWh</t>
  </si>
  <si>
    <t>GS&gt;50 Co Gen kWh</t>
  </si>
  <si>
    <t>Ont_FTEAdjChange</t>
  </si>
  <si>
    <t>Ont_FTEChange</t>
  </si>
  <si>
    <t>London_FTEAdjChange</t>
  </si>
  <si>
    <t>London_FTEChange</t>
  </si>
  <si>
    <t>ON_GDP</t>
  </si>
  <si>
    <t>ON_Manufacturing_GDP</t>
  </si>
  <si>
    <t>ON_Info_Ind_GDP</t>
  </si>
  <si>
    <t>ON_Fin_and_Insurance_GDP</t>
  </si>
  <si>
    <t>ON_Prof_Services_GDP</t>
  </si>
  <si>
    <t>OEA_Finance_and_Insurance</t>
  </si>
  <si>
    <t>https://economics.td.com/provincial-economic-forecast#on</t>
  </si>
  <si>
    <t>40. Total Production</t>
  </si>
  <si>
    <t>11. Manufacturing</t>
  </si>
  <si>
    <t>12.      Food, Beverage, &amp; Tobacco Products</t>
  </si>
  <si>
    <t>29. Information &amp; Culture (including Telecommunications)</t>
  </si>
  <si>
    <t>30. Finance and Insurance</t>
  </si>
  <si>
    <t>Dependent variable: GS_gt_50_CoGen_NoCDM</t>
  </si>
  <si>
    <t>Dependent variable: Large_Use_NoCDM</t>
  </si>
  <si>
    <t>2027 Forecast</t>
  </si>
  <si>
    <t>Sentinel Light</t>
  </si>
  <si>
    <t>2027 Weather Normal Forecast</t>
  </si>
  <si>
    <t>2027 Forecast Excluding Additional Loads</t>
  </si>
  <si>
    <t>Standby kW</t>
  </si>
  <si>
    <t>2027 CDM Adjusted Forecast</t>
  </si>
  <si>
    <t>2025-2027 kW Forcasted Savings by Rate Class</t>
  </si>
  <si>
    <t>2024-2027 Forecasted kWh Savings by Rate Class</t>
  </si>
  <si>
    <t>Summer</t>
  </si>
  <si>
    <t>Spring2</t>
  </si>
  <si>
    <t>Fall2</t>
  </si>
  <si>
    <t>Shoulder2</t>
  </si>
  <si>
    <t>Shoulder3</t>
  </si>
  <si>
    <t>https://london.ca/sites/default/files/2025-08/4._The_London_Plan_-_Our_City_%28Aug_2025%29%5B1%5D.pdf</t>
  </si>
  <si>
    <t>PeakDays</t>
  </si>
  <si>
    <t>Billed kW</t>
  </si>
  <si>
    <t>*From LRAMVA</t>
  </si>
  <si>
    <t>Standby</t>
  </si>
  <si>
    <t>Forecast kW</t>
  </si>
  <si>
    <t>https://www.rbc.com/en/economics/wp-content/uploads/sites/23/2025/12/Provincial-Forecast-Tables-Q4-20251.pdf</t>
  </si>
  <si>
    <t>https://www.scotiabank.com/ca/en/about/economics/economics-publications/post.other-publications.global-outlook-and-forecast-tables.scotiabank%27s-forecast-tables.2026.march-24--2026.html</t>
  </si>
  <si>
    <t>https://economics.bmo.com/media/filer_public/5b/aa/5baae8c6-2a86-4638-83af-d711c1314cc7/outlookprovincial.pdf</t>
  </si>
  <si>
    <t>Latest Figures as of May 13, 2026</t>
  </si>
  <si>
    <t>9-year change</t>
  </si>
  <si>
    <t>9-year average used</t>
  </si>
  <si>
    <t>Loads are incremental to loads forecasted based on 9-year consumption</t>
  </si>
  <si>
    <t>2025 Customer Count</t>
  </si>
  <si>
    <t>Summer2</t>
  </si>
  <si>
    <t>Model 2: Prais-Winsten, using observations 2017:01-2025:12 (T = 108)</t>
  </si>
  <si>
    <t>F(8, 99)</t>
  </si>
  <si>
    <t>F(6, 101)</t>
  </si>
  <si>
    <t>F(7, 100)</t>
  </si>
  <si>
    <t>F(3, 104)</t>
  </si>
  <si>
    <t>Model 23: Prais-Winsten, using observations 2017:01-2025:12 (T = 108)</t>
  </si>
  <si>
    <t>rho = 0.650455</t>
  </si>
  <si>
    <t>2025 Normal</t>
  </si>
  <si>
    <t>2025 Actual</t>
  </si>
  <si>
    <t>Actual 2021-24</t>
  </si>
  <si>
    <t>2024 CDM Results</t>
  </si>
  <si>
    <t>rho = 0.144384</t>
  </si>
  <si>
    <t>Model 1: Prais-Winsten, using observations 2017:01-2025:12 (T = 108)</t>
  </si>
  <si>
    <t>rho = 0.234742</t>
  </si>
  <si>
    <t>Model 4: Prais-Winsten, using observations 2017:01-2025:12 (T = 108)</t>
  </si>
  <si>
    <t>rho = 0.669734</t>
  </si>
  <si>
    <t>Model 5: Prais-Winsten, using observations 2017:01-2025:12 (T = 108)</t>
  </si>
  <si>
    <t>rho = 0.822648</t>
  </si>
  <si>
    <t>rho = 0.230368</t>
  </si>
  <si>
    <t>COVID_AM2</t>
  </si>
  <si>
    <t>Trend2021</t>
  </si>
  <si>
    <t>Trend2022</t>
  </si>
  <si>
    <t>Trend2023</t>
  </si>
  <si>
    <t>Trend2024</t>
  </si>
  <si>
    <t>Trend2025</t>
  </si>
  <si>
    <t>Normal Forecast with CDM Adjustments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</si>
</sst>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d\-mmm\-yyyy"/>
    <numFmt numFmtId="168" formatCode="0.0%"/>
    <numFmt numFmtId="169" formatCode="0.0"/>
    <numFmt numFmtId="170" formatCode="_(* #,##0_);_(* \(#,##0\);_(* &quot;-&quot;??_);_(@_)"/>
    <numFmt numFmtId="171" formatCode="0.000000"/>
    <numFmt numFmtId="172" formatCode="_(* #,##0.0_);_(* \(#,##0.0\);_(* &quot;-&quot;??_);_(@_)"/>
    <numFmt numFmtId="173" formatCode="_-* #,##0_-;\-* #,##0_-;_-* &quot;-&quot;??_-;_-@_-"/>
    <numFmt numFmtId="174" formatCode="_-* #,##0.000000_-;\-* #,##0.000000_-;_-* &quot;-&quot;??_-;_-@_-"/>
    <numFmt numFmtId="175" formatCode="0_);\(0\)"/>
    <numFmt numFmtId="176" formatCode="#,##0.0"/>
    <numFmt numFmtId="177" formatCode="0\-0"/>
    <numFmt numFmtId="178" formatCode="##\-#"/>
    <numFmt numFmtId="179" formatCode="&quot;£ &quot;#,##0.00;[Red]\-&quot;£ &quot;#,##0.00"/>
    <numFmt numFmtId="180" formatCode="0.0000000%"/>
    <numFmt numFmtId="181" formatCode="0.000%"/>
    <numFmt numFmtId="182" formatCode="#,##0.000"/>
    <numFmt numFmtId="183" formatCode="_(* #,##0_);_(* \(#,##0\);_(* &quot;-&quot;?_);_(@_)"/>
    <numFmt numFmtId="184" formatCode="_(* #,##0.0_);_(* \(#,##0.0\);_(* &quot;-&quot;?_);_(@_)"/>
    <numFmt numFmtId="185" formatCode="_(* #,##0.000_);_(* \(#,##0.000\);_(* &quot;-&quot;??_);_(@_)"/>
    <numFmt numFmtId="186" formatCode="0.000"/>
    <numFmt numFmtId="187" formatCode="_(* #,##0.0000_);_(* \(#,##0.0000\);_(* &quot;-&quot;??_);_(@_)"/>
    <numFmt numFmtId="188" formatCode="0.0000000"/>
  </numFmts>
  <fonts count="71" x14ac:knownFonts="1"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C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name val="Calibri"/>
      <family val="2"/>
    </font>
    <font>
      <sz val="12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8"/>
      <color rgb="FF0000FF"/>
      <name val="Calibri"/>
      <family val="2"/>
      <scheme val="minor"/>
    </font>
    <font>
      <sz val="8"/>
      <name val="Times New Roman"/>
      <family val="1"/>
    </font>
    <font>
      <b/>
      <sz val="10"/>
      <color rgb="FFFF0000"/>
      <name val="Arial"/>
      <family val="2"/>
    </font>
    <font>
      <sz val="10"/>
      <color rgb="FFFF0000"/>
      <name val="Times New Roman"/>
      <family val="1"/>
    </font>
    <font>
      <sz val="10"/>
      <color rgb="FFC00000"/>
      <name val="Times New Roman"/>
      <family val="1"/>
    </font>
    <font>
      <sz val="15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color rgb="FFFF0000"/>
      <name val="Arial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b/>
      <i/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Times New Roman"/>
      <family val="1"/>
    </font>
    <font>
      <sz val="11"/>
      <name val="Arial"/>
      <family val="2"/>
    </font>
    <font>
      <i/>
      <sz val="1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i/>
      <sz val="10"/>
      <color rgb="FFFF0000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2">
    <xf numFmtId="0" fontId="0" fillId="0" borderId="0"/>
    <xf numFmtId="166" fontId="12" fillId="0" borderId="0" applyFont="0" applyFill="0" applyBorder="0" applyAlignment="0" applyProtection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0" fillId="0" borderId="0"/>
    <xf numFmtId="0" fontId="12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166" fontId="38" fillId="0" borderId="0" applyFont="0" applyFill="0" applyBorder="0" applyAlignment="0" applyProtection="0"/>
    <xf numFmtId="172" fontId="13" fillId="0" borderId="0"/>
    <xf numFmtId="176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4" fontId="13" fillId="0" borderId="0"/>
    <xf numFmtId="177" fontId="13" fillId="0" borderId="0"/>
    <xf numFmtId="14" fontId="13" fillId="0" borderId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27" fillId="7" borderId="0" applyNumberFormat="0" applyBorder="0" applyAlignment="0" applyProtection="0"/>
    <xf numFmtId="0" fontId="30" fillId="10" borderId="29" applyNumberFormat="0" applyAlignment="0" applyProtection="0"/>
    <xf numFmtId="0" fontId="32" fillId="11" borderId="32" applyNumberFormat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13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4" fontId="1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2" fontId="13" fillId="0" borderId="0" applyFont="0" applyFill="0" applyBorder="0" applyAlignment="0" applyProtection="0"/>
    <xf numFmtId="0" fontId="26" fillId="6" borderId="0" applyNumberFormat="0" applyBorder="0" applyAlignment="0" applyProtection="0"/>
    <xf numFmtId="38" fontId="41" fillId="37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0" fontId="41" fillId="38" borderId="2" applyNumberFormat="0" applyBorder="0" applyAlignment="0" applyProtection="0"/>
    <xf numFmtId="0" fontId="28" fillId="9" borderId="29" applyNumberFormat="0" applyAlignment="0" applyProtection="0"/>
    <xf numFmtId="0" fontId="31" fillId="0" borderId="31" applyNumberFormat="0" applyFill="0" applyAlignment="0" applyProtection="0"/>
    <xf numFmtId="178" fontId="13" fillId="0" borderId="0"/>
    <xf numFmtId="17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0" fontId="37" fillId="8" borderId="0" applyNumberFormat="0" applyBorder="0" applyAlignment="0" applyProtection="0"/>
    <xf numFmtId="179" fontId="13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12" borderId="33" applyNumberFormat="0" applyFont="0" applyAlignment="0" applyProtection="0"/>
    <xf numFmtId="0" fontId="9" fillId="12" borderId="33" applyNumberFormat="0" applyFont="0" applyAlignment="0" applyProtection="0"/>
    <xf numFmtId="0" fontId="9" fillId="12" borderId="33" applyNumberFormat="0" applyFont="0" applyAlignment="0" applyProtection="0"/>
    <xf numFmtId="0" fontId="29" fillId="10" borderId="30" applyNumberFormat="0" applyAlignment="0" applyProtection="0"/>
    <xf numFmtId="10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5" fillId="0" borderId="34" applyNumberFormat="0" applyFill="0" applyAlignment="0" applyProtection="0"/>
    <xf numFmtId="0" fontId="14" fillId="0" borderId="0" applyNumberFormat="0" applyFill="0" applyBorder="0" applyAlignment="0" applyProtection="0"/>
    <xf numFmtId="0" fontId="8" fillId="0" borderId="0"/>
    <xf numFmtId="0" fontId="48" fillId="0" borderId="0" applyNumberForma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9" borderId="29" applyNumberFormat="0" applyAlignment="0" applyProtection="0"/>
    <xf numFmtId="0" fontId="29" fillId="10" borderId="30" applyNumberFormat="0" applyAlignment="0" applyProtection="0"/>
    <xf numFmtId="0" fontId="30" fillId="10" borderId="29" applyNumberFormat="0" applyAlignment="0" applyProtection="0"/>
    <xf numFmtId="0" fontId="31" fillId="0" borderId="31" applyNumberFormat="0" applyFill="0" applyAlignment="0" applyProtection="0"/>
    <xf numFmtId="0" fontId="32" fillId="11" borderId="32" applyNumberFormat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34" applyNumberFormat="0" applyFill="0" applyAlignment="0" applyProtection="0"/>
    <xf numFmtId="0" fontId="3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12" borderId="33" applyNumberFormat="0" applyFont="0" applyAlignment="0" applyProtection="0"/>
    <xf numFmtId="166" fontId="12" fillId="0" borderId="0" applyFont="0" applyFill="0" applyBorder="0" applyAlignment="0" applyProtection="0"/>
  </cellStyleXfs>
  <cellXfs count="612">
    <xf numFmtId="0" fontId="0" fillId="0" borderId="0" xfId="0"/>
    <xf numFmtId="0" fontId="13" fillId="0" borderId="0" xfId="0" applyFont="1"/>
    <xf numFmtId="166" fontId="13" fillId="0" borderId="0" xfId="1" applyFont="1"/>
    <xf numFmtId="14" fontId="13" fillId="0" borderId="0" xfId="0" applyNumberFormat="1" applyFont="1"/>
    <xf numFmtId="0" fontId="13" fillId="0" borderId="0" xfId="1" applyNumberFormat="1" applyFont="1"/>
    <xf numFmtId="3" fontId="13" fillId="0" borderId="0" xfId="0" applyNumberFormat="1" applyFont="1"/>
    <xf numFmtId="3" fontId="13" fillId="0" borderId="0" xfId="1" applyNumberFormat="1" applyFont="1"/>
    <xf numFmtId="3" fontId="0" fillId="0" borderId="0" xfId="0" applyNumberFormat="1"/>
    <xf numFmtId="14" fontId="0" fillId="0" borderId="0" xfId="0" applyNumberFormat="1"/>
    <xf numFmtId="0" fontId="13" fillId="0" borderId="0" xfId="4"/>
    <xf numFmtId="169" fontId="0" fillId="0" borderId="0" xfId="0" applyNumberFormat="1"/>
    <xf numFmtId="170" fontId="0" fillId="0" borderId="0" xfId="1" applyNumberFormat="1" applyFont="1"/>
    <xf numFmtId="171" fontId="0" fillId="0" borderId="0" xfId="0" applyNumberFormat="1"/>
    <xf numFmtId="172" fontId="0" fillId="0" borderId="0" xfId="1" applyNumberFormat="1" applyFont="1"/>
    <xf numFmtId="0" fontId="13" fillId="4" borderId="0" xfId="0" applyFont="1" applyFill="1"/>
    <xf numFmtId="0" fontId="13" fillId="5" borderId="0" xfId="0" applyFont="1" applyFill="1"/>
    <xf numFmtId="1" fontId="13" fillId="5" borderId="0" xfId="0" applyNumberFormat="1" applyFont="1" applyFill="1"/>
    <xf numFmtId="170" fontId="0" fillId="0" borderId="0" xfId="1" applyNumberFormat="1" applyFont="1" applyAlignment="1">
      <alignment horizontal="right"/>
    </xf>
    <xf numFmtId="166" fontId="0" fillId="0" borderId="0" xfId="0" applyNumberFormat="1"/>
    <xf numFmtId="170" fontId="0" fillId="0" borderId="0" xfId="0" applyNumberFormat="1"/>
    <xf numFmtId="11" fontId="0" fillId="0" borderId="0" xfId="0" applyNumberFormat="1"/>
    <xf numFmtId="1" fontId="0" fillId="0" borderId="0" xfId="0" applyNumberFormat="1"/>
    <xf numFmtId="9" fontId="0" fillId="0" borderId="0" xfId="3" applyFont="1"/>
    <xf numFmtId="168" fontId="0" fillId="0" borderId="0" xfId="3" applyNumberFormat="1" applyFont="1"/>
    <xf numFmtId="168" fontId="0" fillId="0" borderId="0" xfId="0" applyNumberFormat="1"/>
    <xf numFmtId="0" fontId="14" fillId="0" borderId="0" xfId="0" applyFont="1"/>
    <xf numFmtId="0" fontId="0" fillId="0" borderId="0" xfId="0" applyAlignment="1">
      <alignment horizontal="center"/>
    </xf>
    <xf numFmtId="0" fontId="13" fillId="3" borderId="0" xfId="4" applyFill="1"/>
    <xf numFmtId="3" fontId="13" fillId="3" borderId="0" xfId="4" applyNumberFormat="1" applyFill="1"/>
    <xf numFmtId="3" fontId="20" fillId="3" borderId="0" xfId="4" applyNumberFormat="1" applyFont="1" applyFill="1"/>
    <xf numFmtId="0" fontId="20" fillId="3" borderId="0" xfId="4" applyFont="1" applyFill="1"/>
    <xf numFmtId="3" fontId="13" fillId="0" borderId="0" xfId="4" applyNumberFormat="1"/>
    <xf numFmtId="10" fontId="13" fillId="0" borderId="0" xfId="7" applyNumberFormat="1"/>
    <xf numFmtId="0" fontId="20" fillId="0" borderId="0" xfId="4" applyFont="1"/>
    <xf numFmtId="3" fontId="20" fillId="0" borderId="0" xfId="4" applyNumberFormat="1" applyFont="1"/>
    <xf numFmtId="10" fontId="20" fillId="0" borderId="0" xfId="7" applyNumberFormat="1" applyFont="1"/>
    <xf numFmtId="0" fontId="13" fillId="0" borderId="0" xfId="4" applyAlignment="1">
      <alignment horizontal="center"/>
    </xf>
    <xf numFmtId="0" fontId="19" fillId="0" borderId="0" xfId="4" applyFont="1" applyAlignment="1">
      <alignment horizontal="center"/>
    </xf>
    <xf numFmtId="171" fontId="13" fillId="0" borderId="0" xfId="4" applyNumberFormat="1"/>
    <xf numFmtId="173" fontId="0" fillId="0" borderId="0" xfId="8" applyNumberFormat="1" applyFont="1"/>
    <xf numFmtId="171" fontId="19" fillId="0" borderId="0" xfId="4" applyNumberFormat="1" applyFont="1" applyAlignment="1">
      <alignment horizontal="center"/>
    </xf>
    <xf numFmtId="173" fontId="19" fillId="0" borderId="0" xfId="8" applyNumberFormat="1" applyFont="1" applyAlignment="1">
      <alignment horizontal="center"/>
    </xf>
    <xf numFmtId="170" fontId="20" fillId="0" borderId="0" xfId="1" applyNumberFormat="1" applyFont="1"/>
    <xf numFmtId="174" fontId="20" fillId="0" borderId="0" xfId="8" applyNumberFormat="1" applyFont="1"/>
    <xf numFmtId="170" fontId="13" fillId="0" borderId="0" xfId="1" applyNumberFormat="1" applyFont="1"/>
    <xf numFmtId="0" fontId="21" fillId="3" borderId="0" xfId="4" applyFont="1" applyFill="1"/>
    <xf numFmtId="0" fontId="19" fillId="3" borderId="6" xfId="4" applyFont="1" applyFill="1" applyBorder="1" applyAlignment="1">
      <alignment horizontal="center"/>
    </xf>
    <xf numFmtId="3" fontId="13" fillId="3" borderId="7" xfId="4" applyNumberFormat="1" applyFill="1" applyBorder="1"/>
    <xf numFmtId="0" fontId="19" fillId="3" borderId="8" xfId="4" applyFont="1" applyFill="1" applyBorder="1" applyAlignment="1">
      <alignment horizontal="center"/>
    </xf>
    <xf numFmtId="10" fontId="0" fillId="0" borderId="0" xfId="0" applyNumberFormat="1"/>
    <xf numFmtId="3" fontId="13" fillId="0" borderId="0" xfId="4" applyNumberFormat="1" applyAlignment="1">
      <alignment horizontal="center"/>
    </xf>
    <xf numFmtId="170" fontId="13" fillId="0" borderId="0" xfId="1" applyNumberFormat="1" applyFont="1" applyAlignment="1">
      <alignment horizontal="center"/>
    </xf>
    <xf numFmtId="9" fontId="13" fillId="0" borderId="0" xfId="235" applyFont="1"/>
    <xf numFmtId="9" fontId="13" fillId="0" borderId="0" xfId="4" applyNumberFormat="1"/>
    <xf numFmtId="170" fontId="17" fillId="0" borderId="0" xfId="1" applyNumberFormat="1" applyFont="1" applyFill="1"/>
    <xf numFmtId="170" fontId="13" fillId="0" borderId="0" xfId="0" applyNumberFormat="1" applyFont="1"/>
    <xf numFmtId="172" fontId="13" fillId="0" borderId="0" xfId="0" applyNumberFormat="1" applyFont="1"/>
    <xf numFmtId="10" fontId="0" fillId="0" borderId="0" xfId="3" applyNumberFormat="1" applyFont="1"/>
    <xf numFmtId="174" fontId="44" fillId="0" borderId="0" xfId="8" applyNumberFormat="1" applyFont="1"/>
    <xf numFmtId="0" fontId="45" fillId="0" borderId="0" xfId="0" applyFont="1"/>
    <xf numFmtId="180" fontId="0" fillId="0" borderId="0" xfId="3" applyNumberFormat="1" applyFont="1"/>
    <xf numFmtId="172" fontId="46" fillId="0" borderId="0" xfId="1" applyNumberFormat="1" applyFont="1"/>
    <xf numFmtId="10" fontId="46" fillId="0" borderId="0" xfId="3" applyNumberFormat="1" applyFont="1"/>
    <xf numFmtId="0" fontId="46" fillId="0" borderId="0" xfId="0" applyFont="1"/>
    <xf numFmtId="170" fontId="17" fillId="0" borderId="0" xfId="1" applyNumberFormat="1" applyFont="1" applyFill="1" applyBorder="1"/>
    <xf numFmtId="174" fontId="44" fillId="0" borderId="0" xfId="8" applyNumberFormat="1" applyFont="1" applyFill="1"/>
    <xf numFmtId="17" fontId="13" fillId="0" borderId="0" xfId="0" applyNumberFormat="1" applyFont="1"/>
    <xf numFmtId="0" fontId="48" fillId="0" borderId="0" xfId="287"/>
    <xf numFmtId="170" fontId="13" fillId="4" borderId="0" xfId="1" applyNumberFormat="1" applyFont="1" applyFill="1"/>
    <xf numFmtId="170" fontId="0" fillId="39" borderId="0" xfId="1" applyNumberFormat="1" applyFont="1" applyFill="1" applyAlignment="1">
      <alignment horizontal="right"/>
    </xf>
    <xf numFmtId="0" fontId="14" fillId="0" borderId="42" xfId="0" applyFont="1" applyBorder="1"/>
    <xf numFmtId="182" fontId="51" fillId="0" borderId="0" xfId="4" applyNumberFormat="1" applyFont="1" applyAlignment="1">
      <alignment horizontal="center"/>
    </xf>
    <xf numFmtId="0" fontId="7" fillId="0" borderId="35" xfId="288" applyBorder="1"/>
    <xf numFmtId="0" fontId="7" fillId="0" borderId="36" xfId="288" applyBorder="1"/>
    <xf numFmtId="0" fontId="7" fillId="0" borderId="0" xfId="288"/>
    <xf numFmtId="0" fontId="7" fillId="0" borderId="0" xfId="288" applyAlignment="1">
      <alignment horizontal="center"/>
    </xf>
    <xf numFmtId="0" fontId="7" fillId="0" borderId="38" xfId="288" applyBorder="1"/>
    <xf numFmtId="0" fontId="7" fillId="0" borderId="39" xfId="288" applyBorder="1"/>
    <xf numFmtId="170" fontId="0" fillId="0" borderId="0" xfId="289" applyNumberFormat="1" applyFont="1" applyBorder="1"/>
    <xf numFmtId="170" fontId="0" fillId="0" borderId="39" xfId="289" applyNumberFormat="1" applyFont="1" applyBorder="1"/>
    <xf numFmtId="0" fontId="7" fillId="0" borderId="40" xfId="288" applyBorder="1"/>
    <xf numFmtId="0" fontId="7" fillId="0" borderId="1" xfId="288" applyBorder="1"/>
    <xf numFmtId="0" fontId="7" fillId="0" borderId="41" xfId="288" applyBorder="1"/>
    <xf numFmtId="170" fontId="0" fillId="0" borderId="1" xfId="289" applyNumberFormat="1" applyFont="1" applyBorder="1"/>
    <xf numFmtId="170" fontId="0" fillId="0" borderId="0" xfId="289" applyNumberFormat="1" applyFont="1"/>
    <xf numFmtId="170" fontId="7" fillId="0" borderId="0" xfId="288" applyNumberFormat="1" applyAlignment="1">
      <alignment horizontal="left"/>
    </xf>
    <xf numFmtId="9" fontId="7" fillId="0" borderId="0" xfId="288" applyNumberFormat="1"/>
    <xf numFmtId="10" fontId="7" fillId="0" borderId="0" xfId="288" applyNumberFormat="1"/>
    <xf numFmtId="0" fontId="7" fillId="0" borderId="2" xfId="288" applyBorder="1"/>
    <xf numFmtId="10" fontId="7" fillId="0" borderId="0" xfId="288" applyNumberFormat="1" applyAlignment="1">
      <alignment horizontal="left"/>
    </xf>
    <xf numFmtId="0" fontId="15" fillId="0" borderId="36" xfId="288" applyFont="1" applyBorder="1" applyAlignment="1">
      <alignment vertical="center"/>
    </xf>
    <xf numFmtId="170" fontId="0" fillId="0" borderId="36" xfId="289" applyNumberFormat="1" applyFont="1" applyBorder="1"/>
    <xf numFmtId="170" fontId="7" fillId="4" borderId="36" xfId="288" applyNumberFormat="1" applyFill="1" applyBorder="1"/>
    <xf numFmtId="170" fontId="0" fillId="0" borderId="0" xfId="289" applyNumberFormat="1" applyFont="1" applyFill="1" applyBorder="1"/>
    <xf numFmtId="170" fontId="0" fillId="0" borderId="39" xfId="289" applyNumberFormat="1" applyFont="1" applyFill="1" applyBorder="1"/>
    <xf numFmtId="0" fontId="15" fillId="0" borderId="1" xfId="288" applyFont="1" applyBorder="1" applyAlignment="1">
      <alignment vertical="center"/>
    </xf>
    <xf numFmtId="172" fontId="7" fillId="0" borderId="39" xfId="288" applyNumberFormat="1" applyBorder="1"/>
    <xf numFmtId="166" fontId="7" fillId="0" borderId="36" xfId="288" applyNumberFormat="1" applyBorder="1"/>
    <xf numFmtId="170" fontId="7" fillId="0" borderId="0" xfId="288" applyNumberFormat="1"/>
    <xf numFmtId="0" fontId="15" fillId="0" borderId="0" xfId="288" applyFont="1"/>
    <xf numFmtId="168" fontId="0" fillId="0" borderId="0" xfId="290" applyNumberFormat="1" applyFont="1"/>
    <xf numFmtId="168" fontId="0" fillId="0" borderId="0" xfId="290" applyNumberFormat="1" applyFont="1" applyBorder="1"/>
    <xf numFmtId="168" fontId="7" fillId="0" borderId="0" xfId="288" applyNumberFormat="1"/>
    <xf numFmtId="181" fontId="0" fillId="0" borderId="0" xfId="290" applyNumberFormat="1" applyFont="1" applyAlignment="1">
      <alignment horizontal="center"/>
    </xf>
    <xf numFmtId="170" fontId="15" fillId="0" borderId="0" xfId="288" applyNumberFormat="1" applyFont="1"/>
    <xf numFmtId="9" fontId="0" fillId="0" borderId="0" xfId="290" applyFont="1"/>
    <xf numFmtId="170" fontId="7" fillId="0" borderId="39" xfId="288" applyNumberFormat="1" applyBorder="1"/>
    <xf numFmtId="168" fontId="0" fillId="0" borderId="1" xfId="290" applyNumberFormat="1" applyFont="1" applyBorder="1"/>
    <xf numFmtId="173" fontId="15" fillId="0" borderId="0" xfId="288" applyNumberFormat="1" applyFont="1"/>
    <xf numFmtId="172" fontId="15" fillId="0" borderId="0" xfId="291" applyNumberFormat="1" applyFont="1"/>
    <xf numFmtId="168" fontId="15" fillId="0" borderId="0" xfId="288" applyNumberFormat="1" applyFont="1"/>
    <xf numFmtId="170" fontId="15" fillId="0" borderId="0" xfId="291" applyNumberFormat="1" applyFont="1"/>
    <xf numFmtId="184" fontId="52" fillId="0" borderId="0" xfId="288" applyNumberFormat="1" applyFont="1"/>
    <xf numFmtId="184" fontId="15" fillId="0" borderId="0" xfId="288" applyNumberFormat="1" applyFont="1"/>
    <xf numFmtId="0" fontId="40" fillId="3" borderId="0" xfId="288" applyFont="1" applyFill="1"/>
    <xf numFmtId="0" fontId="40" fillId="3" borderId="35" xfId="288" applyFont="1" applyFill="1" applyBorder="1"/>
    <xf numFmtId="0" fontId="40" fillId="3" borderId="36" xfId="288" applyFont="1" applyFill="1" applyBorder="1"/>
    <xf numFmtId="170" fontId="40" fillId="3" borderId="35" xfId="291" applyNumberFormat="1" applyFont="1" applyFill="1" applyBorder="1"/>
    <xf numFmtId="170" fontId="40" fillId="3" borderId="37" xfId="291" applyNumberFormat="1" applyFont="1" applyFill="1" applyBorder="1"/>
    <xf numFmtId="170" fontId="40" fillId="3" borderId="0" xfId="291" applyNumberFormat="1" applyFont="1" applyFill="1" applyBorder="1"/>
    <xf numFmtId="0" fontId="40" fillId="3" borderId="38" xfId="288" applyFont="1" applyFill="1" applyBorder="1"/>
    <xf numFmtId="170" fontId="40" fillId="3" borderId="38" xfId="291" applyNumberFormat="1" applyFont="1" applyFill="1" applyBorder="1"/>
    <xf numFmtId="170" fontId="40" fillId="3" borderId="39" xfId="291" applyNumberFormat="1" applyFont="1" applyFill="1" applyBorder="1"/>
    <xf numFmtId="0" fontId="40" fillId="3" borderId="40" xfId="288" applyFont="1" applyFill="1" applyBorder="1"/>
    <xf numFmtId="0" fontId="55" fillId="3" borderId="1" xfId="288" applyFont="1" applyFill="1" applyBorder="1"/>
    <xf numFmtId="170" fontId="55" fillId="3" borderId="40" xfId="288" applyNumberFormat="1" applyFont="1" applyFill="1" applyBorder="1"/>
    <xf numFmtId="170" fontId="55" fillId="3" borderId="41" xfId="288" applyNumberFormat="1" applyFont="1" applyFill="1" applyBorder="1"/>
    <xf numFmtId="170" fontId="55" fillId="3" borderId="0" xfId="288" applyNumberFormat="1" applyFont="1" applyFill="1"/>
    <xf numFmtId="170" fontId="40" fillId="3" borderId="0" xfId="288" applyNumberFormat="1" applyFont="1" applyFill="1"/>
    <xf numFmtId="0" fontId="55" fillId="3" borderId="38" xfId="288" applyFont="1" applyFill="1" applyBorder="1"/>
    <xf numFmtId="0" fontId="54" fillId="42" borderId="40" xfId="4" applyFont="1" applyFill="1" applyBorder="1" applyAlignment="1">
      <alignment horizontal="center" vertical="center"/>
    </xf>
    <xf numFmtId="0" fontId="54" fillId="42" borderId="41" xfId="4" applyFont="1" applyFill="1" applyBorder="1" applyAlignment="1">
      <alignment horizontal="center" vertical="center"/>
    </xf>
    <xf numFmtId="0" fontId="40" fillId="0" borderId="0" xfId="288" applyFont="1"/>
    <xf numFmtId="170" fontId="40" fillId="0" borderId="0" xfId="288" applyNumberFormat="1" applyFont="1"/>
    <xf numFmtId="10" fontId="19" fillId="0" borderId="0" xfId="293" applyNumberFormat="1" applyFont="1" applyFill="1" applyBorder="1"/>
    <xf numFmtId="168" fontId="40" fillId="0" borderId="0" xfId="290" applyNumberFormat="1" applyFont="1" applyFill="1" applyBorder="1"/>
    <xf numFmtId="0" fontId="40" fillId="0" borderId="17" xfId="288" applyFont="1" applyBorder="1" applyAlignment="1">
      <alignment vertical="center" wrapText="1"/>
    </xf>
    <xf numFmtId="170" fontId="40" fillId="0" borderId="2" xfId="291" applyNumberFormat="1" applyFont="1" applyFill="1" applyBorder="1" applyAlignment="1">
      <alignment horizontal="right" vertical="center"/>
    </xf>
    <xf numFmtId="170" fontId="40" fillId="0" borderId="2" xfId="291" applyNumberFormat="1" applyFont="1" applyBorder="1" applyAlignment="1">
      <alignment horizontal="right" vertical="center"/>
    </xf>
    <xf numFmtId="170" fontId="40" fillId="0" borderId="2" xfId="291" applyNumberFormat="1" applyFont="1" applyBorder="1" applyAlignment="1">
      <alignment vertical="center"/>
    </xf>
    <xf numFmtId="170" fontId="40" fillId="0" borderId="21" xfId="291" applyNumberFormat="1" applyFont="1" applyBorder="1" applyAlignment="1">
      <alignment vertical="center"/>
    </xf>
    <xf numFmtId="170" fontId="13" fillId="3" borderId="0" xfId="1" applyNumberFormat="1" applyFont="1" applyFill="1"/>
    <xf numFmtId="3" fontId="13" fillId="3" borderId="42" xfId="4" applyNumberFormat="1" applyFill="1" applyBorder="1"/>
    <xf numFmtId="170" fontId="44" fillId="0" borderId="0" xfId="1" applyNumberFormat="1" applyFont="1" applyFill="1"/>
    <xf numFmtId="170" fontId="20" fillId="0" borderId="0" xfId="1" applyNumberFormat="1" applyFont="1" applyFill="1"/>
    <xf numFmtId="0" fontId="22" fillId="0" borderId="0" xfId="0" applyFont="1" applyAlignment="1">
      <alignment horizontal="center"/>
    </xf>
    <xf numFmtId="174" fontId="20" fillId="0" borderId="0" xfId="8" applyNumberFormat="1" applyFont="1" applyFill="1"/>
    <xf numFmtId="168" fontId="13" fillId="3" borderId="0" xfId="3" applyNumberFormat="1" applyFont="1" applyFill="1"/>
    <xf numFmtId="0" fontId="19" fillId="3" borderId="0" xfId="4" applyFont="1" applyFill="1"/>
    <xf numFmtId="186" fontId="21" fillId="3" borderId="0" xfId="4" applyNumberFormat="1" applyFont="1" applyFill="1"/>
    <xf numFmtId="0" fontId="54" fillId="42" borderId="3" xfId="4" applyFont="1" applyFill="1" applyBorder="1" applyAlignment="1">
      <alignment horizontal="center" vertical="center"/>
    </xf>
    <xf numFmtId="0" fontId="54" fillId="42" borderId="4" xfId="4" applyFont="1" applyFill="1" applyBorder="1" applyAlignment="1">
      <alignment horizontal="center" vertical="center" wrapText="1"/>
    </xf>
    <xf numFmtId="0" fontId="54" fillId="42" borderId="5" xfId="4" applyFont="1" applyFill="1" applyBorder="1" applyAlignment="1">
      <alignment horizontal="center" vertical="center" wrapText="1"/>
    </xf>
    <xf numFmtId="0" fontId="54" fillId="42" borderId="9" xfId="4" applyFont="1" applyFill="1" applyBorder="1" applyAlignment="1">
      <alignment horizontal="center"/>
    </xf>
    <xf numFmtId="3" fontId="54" fillId="42" borderId="10" xfId="4" applyNumberFormat="1" applyFont="1" applyFill="1" applyBorder="1"/>
    <xf numFmtId="3" fontId="54" fillId="42" borderId="11" xfId="4" applyNumberFormat="1" applyFont="1" applyFill="1" applyBorder="1"/>
    <xf numFmtId="0" fontId="54" fillId="42" borderId="3" xfId="4" applyFont="1" applyFill="1" applyBorder="1" applyAlignment="1">
      <alignment horizontal="center"/>
    </xf>
    <xf numFmtId="0" fontId="54" fillId="42" borderId="4" xfId="4" applyFont="1" applyFill="1" applyBorder="1" applyAlignment="1">
      <alignment vertical="center"/>
    </xf>
    <xf numFmtId="3" fontId="61" fillId="42" borderId="10" xfId="4" applyNumberFormat="1" applyFont="1" applyFill="1" applyBorder="1"/>
    <xf numFmtId="0" fontId="54" fillId="42" borderId="5" xfId="4" applyFont="1" applyFill="1" applyBorder="1" applyAlignment="1">
      <alignment vertical="center"/>
    </xf>
    <xf numFmtId="0" fontId="54" fillId="42" borderId="3" xfId="4" applyFont="1" applyFill="1" applyBorder="1" applyAlignment="1">
      <alignment horizontal="center" vertical="center" wrapText="1"/>
    </xf>
    <xf numFmtId="3" fontId="54" fillId="42" borderId="43" xfId="4" applyNumberFormat="1" applyFont="1" applyFill="1" applyBorder="1"/>
    <xf numFmtId="0" fontId="62" fillId="42" borderId="17" xfId="288" applyFont="1" applyFill="1" applyBorder="1" applyAlignment="1">
      <alignment horizontal="center" vertical="center"/>
    </xf>
    <xf numFmtId="0" fontId="63" fillId="42" borderId="2" xfId="288" applyFont="1" applyFill="1" applyBorder="1" applyAlignment="1">
      <alignment horizontal="center" vertical="center"/>
    </xf>
    <xf numFmtId="0" fontId="63" fillId="42" borderId="2" xfId="288" applyFont="1" applyFill="1" applyBorder="1" applyAlignment="1">
      <alignment horizontal="center" vertical="center" wrapText="1"/>
    </xf>
    <xf numFmtId="0" fontId="63" fillId="42" borderId="21" xfId="288" applyFont="1" applyFill="1" applyBorder="1" applyAlignment="1">
      <alignment horizontal="center" vertical="center"/>
    </xf>
    <xf numFmtId="0" fontId="63" fillId="42" borderId="2" xfId="288" applyFont="1" applyFill="1" applyBorder="1" applyAlignment="1">
      <alignment horizontal="center"/>
    </xf>
    <xf numFmtId="0" fontId="63" fillId="42" borderId="21" xfId="288" applyFont="1" applyFill="1" applyBorder="1" applyAlignment="1">
      <alignment horizontal="center"/>
    </xf>
    <xf numFmtId="0" fontId="64" fillId="42" borderId="0" xfId="4" applyFont="1" applyFill="1" applyAlignment="1">
      <alignment horizontal="right"/>
    </xf>
    <xf numFmtId="0" fontId="54" fillId="42" borderId="0" xfId="4" applyFont="1" applyFill="1" applyAlignment="1">
      <alignment horizontal="center"/>
    </xf>
    <xf numFmtId="0" fontId="54" fillId="42" borderId="0" xfId="4" applyFont="1" applyFill="1" applyAlignment="1">
      <alignment horizontal="right"/>
    </xf>
    <xf numFmtId="0" fontId="65" fillId="42" borderId="0" xfId="0" applyFont="1" applyFill="1"/>
    <xf numFmtId="0" fontId="64" fillId="42" borderId="0" xfId="4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4" fillId="42" borderId="0" xfId="4" applyFont="1" applyFill="1" applyAlignment="1">
      <alignment horizontal="center" vertical="center"/>
    </xf>
    <xf numFmtId="0" fontId="54" fillId="42" borderId="0" xfId="4" applyFont="1" applyFill="1" applyAlignment="1">
      <alignment horizontal="center" vertical="center" wrapText="1"/>
    </xf>
    <xf numFmtId="3" fontId="45" fillId="0" borderId="0" xfId="0" applyNumberFormat="1" applyFont="1"/>
    <xf numFmtId="1" fontId="45" fillId="0" borderId="0" xfId="0" applyNumberFormat="1" applyFont="1"/>
    <xf numFmtId="166" fontId="45" fillId="0" borderId="0" xfId="0" applyNumberFormat="1" applyFont="1"/>
    <xf numFmtId="14" fontId="65" fillId="42" borderId="0" xfId="0" applyNumberFormat="1" applyFont="1" applyFill="1"/>
    <xf numFmtId="166" fontId="65" fillId="42" borderId="0" xfId="0" applyNumberFormat="1" applyFont="1" applyFill="1"/>
    <xf numFmtId="1" fontId="65" fillId="42" borderId="0" xfId="0" applyNumberFormat="1" applyFont="1" applyFill="1"/>
    <xf numFmtId="170" fontId="65" fillId="42" borderId="0" xfId="1" applyNumberFormat="1" applyFont="1" applyFill="1"/>
    <xf numFmtId="0" fontId="40" fillId="0" borderId="0" xfId="5" applyFont="1" applyAlignment="1">
      <alignment horizontal="right"/>
    </xf>
    <xf numFmtId="3" fontId="40" fillId="0" borderId="0" xfId="5" applyNumberFormat="1" applyFont="1"/>
    <xf numFmtId="168" fontId="13" fillId="0" borderId="0" xfId="6" applyNumberFormat="1" applyFont="1"/>
    <xf numFmtId="168" fontId="40" fillId="0" borderId="0" xfId="5" applyNumberFormat="1" applyFont="1"/>
    <xf numFmtId="43" fontId="0" fillId="0" borderId="0" xfId="0" applyNumberFormat="1"/>
    <xf numFmtId="170" fontId="45" fillId="0" borderId="0" xfId="1" applyNumberFormat="1" applyFont="1"/>
    <xf numFmtId="168" fontId="0" fillId="0" borderId="0" xfId="3" applyNumberFormat="1" applyFont="1" applyFill="1" applyBorder="1"/>
    <xf numFmtId="10" fontId="40" fillId="3" borderId="0" xfId="3" applyNumberFormat="1" applyFont="1" applyFill="1"/>
    <xf numFmtId="0" fontId="7" fillId="0" borderId="38" xfId="288" applyBorder="1" applyAlignment="1">
      <alignment horizontal="center" vertical="center" wrapText="1"/>
    </xf>
    <xf numFmtId="10" fontId="5" fillId="0" borderId="35" xfId="294" applyNumberFormat="1" applyBorder="1" applyAlignment="1">
      <alignment horizontal="center" vertical="center"/>
    </xf>
    <xf numFmtId="10" fontId="5" fillId="0" borderId="38" xfId="294" applyNumberFormat="1" applyBorder="1" applyAlignment="1">
      <alignment horizontal="center" vertical="center"/>
    </xf>
    <xf numFmtId="168" fontId="0" fillId="0" borderId="0" xfId="295" applyNumberFormat="1" applyFont="1" applyBorder="1"/>
    <xf numFmtId="168" fontId="0" fillId="0" borderId="36" xfId="295" applyNumberFormat="1" applyFont="1" applyBorder="1"/>
    <xf numFmtId="168" fontId="5" fillId="0" borderId="37" xfId="294" applyNumberFormat="1" applyBorder="1"/>
    <xf numFmtId="168" fontId="5" fillId="0" borderId="36" xfId="294" applyNumberFormat="1" applyBorder="1"/>
    <xf numFmtId="0" fontId="5" fillId="0" borderId="36" xfId="294" applyBorder="1"/>
    <xf numFmtId="0" fontId="7" fillId="0" borderId="36" xfId="288" applyBorder="1" applyAlignment="1">
      <alignment horizontal="left"/>
    </xf>
    <xf numFmtId="170" fontId="0" fillId="2" borderId="0" xfId="289" applyNumberFormat="1" applyFont="1" applyFill="1" applyBorder="1"/>
    <xf numFmtId="170" fontId="0" fillId="2" borderId="39" xfId="289" applyNumberFormat="1" applyFont="1" applyFill="1" applyBorder="1"/>
    <xf numFmtId="170" fontId="0" fillId="0" borderId="41" xfId="289" applyNumberFormat="1" applyFont="1" applyBorder="1"/>
    <xf numFmtId="10" fontId="0" fillId="0" borderId="0" xfId="290" applyNumberFormat="1" applyFont="1" applyBorder="1"/>
    <xf numFmtId="10" fontId="0" fillId="0" borderId="39" xfId="290" applyNumberFormat="1" applyFont="1" applyBorder="1"/>
    <xf numFmtId="168" fontId="0" fillId="2" borderId="0" xfId="290" applyNumberFormat="1" applyFont="1" applyFill="1" applyBorder="1"/>
    <xf numFmtId="168" fontId="0" fillId="2" borderId="39" xfId="290" applyNumberFormat="1" applyFont="1" applyFill="1" applyBorder="1"/>
    <xf numFmtId="168" fontId="7" fillId="0" borderId="39" xfId="288" applyNumberFormat="1" applyBorder="1"/>
    <xf numFmtId="0" fontId="5" fillId="0" borderId="0" xfId="294"/>
    <xf numFmtId="0" fontId="15" fillId="0" borderId="1" xfId="288" applyFont="1" applyBorder="1"/>
    <xf numFmtId="172" fontId="45" fillId="0" borderId="0" xfId="0" applyNumberFormat="1" applyFont="1"/>
    <xf numFmtId="166" fontId="0" fillId="0" borderId="0" xfId="1" applyFont="1"/>
    <xf numFmtId="187" fontId="0" fillId="0" borderId="0" xfId="1" applyNumberFormat="1" applyFont="1"/>
    <xf numFmtId="0" fontId="64" fillId="42" borderId="0" xfId="4" applyFont="1" applyFill="1" applyAlignment="1">
      <alignment horizontal="center"/>
    </xf>
    <xf numFmtId="11" fontId="0" fillId="0" borderId="0" xfId="1" applyNumberFormat="1" applyFont="1"/>
    <xf numFmtId="0" fontId="63" fillId="42" borderId="21" xfId="288" applyFont="1" applyFill="1" applyBorder="1" applyAlignment="1">
      <alignment horizontal="center" vertical="center" wrapText="1"/>
    </xf>
    <xf numFmtId="170" fontId="40" fillId="0" borderId="2" xfId="288" applyNumberFormat="1" applyFont="1" applyBorder="1" applyAlignment="1">
      <alignment vertical="top"/>
    </xf>
    <xf numFmtId="170" fontId="40" fillId="0" borderId="21" xfId="288" applyNumberFormat="1" applyFont="1" applyBorder="1" applyAlignment="1">
      <alignment vertical="top"/>
    </xf>
    <xf numFmtId="10" fontId="13" fillId="0" borderId="0" xfId="3" applyNumberFormat="1" applyFont="1"/>
    <xf numFmtId="0" fontId="54" fillId="42" borderId="0" xfId="4" applyFont="1" applyFill="1" applyAlignment="1">
      <alignment horizontal="center" wrapText="1"/>
    </xf>
    <xf numFmtId="169" fontId="13" fillId="0" borderId="0" xfId="0" applyNumberFormat="1" applyFont="1"/>
    <xf numFmtId="0" fontId="19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170" fontId="60" fillId="0" borderId="0" xfId="1" applyNumberFormat="1" applyFont="1"/>
    <xf numFmtId="0" fontId="20" fillId="0" borderId="0" xfId="0" applyFont="1"/>
    <xf numFmtId="166" fontId="13" fillId="0" borderId="0" xfId="1" applyFont="1" applyAlignment="1">
      <alignment horizontal="right"/>
    </xf>
    <xf numFmtId="11" fontId="13" fillId="0" borderId="0" xfId="0" applyNumberFormat="1" applyFont="1"/>
    <xf numFmtId="0" fontId="13" fillId="0" borderId="0" xfId="0" applyFont="1" applyAlignment="1">
      <alignment horizontal="center"/>
    </xf>
    <xf numFmtId="2" fontId="13" fillId="0" borderId="0" xfId="0" applyNumberFormat="1" applyFont="1"/>
    <xf numFmtId="1" fontId="13" fillId="0" borderId="0" xfId="0" applyNumberFormat="1" applyFont="1"/>
    <xf numFmtId="166" fontId="13" fillId="0" borderId="0" xfId="0" applyNumberFormat="1" applyFont="1"/>
    <xf numFmtId="170" fontId="13" fillId="40" borderId="0" xfId="0" applyNumberFormat="1" applyFont="1" applyFill="1"/>
    <xf numFmtId="170" fontId="13" fillId="41" borderId="0" xfId="0" applyNumberFormat="1" applyFont="1" applyFill="1"/>
    <xf numFmtId="2" fontId="13" fillId="0" borderId="0" xfId="0" applyNumberFormat="1" applyFont="1" applyAlignment="1">
      <alignment horizontal="right"/>
    </xf>
    <xf numFmtId="172" fontId="13" fillId="0" borderId="0" xfId="1" applyNumberFormat="1" applyFont="1"/>
    <xf numFmtId="172" fontId="13" fillId="0" borderId="0" xfId="1" quotePrefix="1" applyNumberFormat="1" applyFont="1"/>
    <xf numFmtId="169" fontId="13" fillId="5" borderId="0" xfId="0" applyNumberFormat="1" applyFont="1" applyFill="1"/>
    <xf numFmtId="0" fontId="17" fillId="0" borderId="0" xfId="0" applyFont="1"/>
    <xf numFmtId="0" fontId="17" fillId="0" borderId="0" xfId="0" applyFont="1" applyAlignment="1">
      <alignment horizontal="left"/>
    </xf>
    <xf numFmtId="170" fontId="17" fillId="0" borderId="0" xfId="0" applyNumberFormat="1" applyFont="1"/>
    <xf numFmtId="0" fontId="17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166" fontId="0" fillId="0" borderId="0" xfId="1" applyFont="1" applyFill="1"/>
    <xf numFmtId="173" fontId="0" fillId="0" borderId="0" xfId="1" applyNumberFormat="1" applyFont="1" applyFill="1"/>
    <xf numFmtId="2" fontId="17" fillId="0" borderId="0" xfId="0" applyNumberFormat="1" applyFont="1"/>
    <xf numFmtId="170" fontId="17" fillId="0" borderId="0" xfId="331" applyNumberFormat="1" applyFont="1" applyFill="1" applyBorder="1"/>
    <xf numFmtId="172" fontId="17" fillId="0" borderId="0" xfId="1" applyNumberFormat="1" applyFont="1" applyFill="1"/>
    <xf numFmtId="166" fontId="17" fillId="0" borderId="0" xfId="0" applyNumberFormat="1" applyFont="1"/>
    <xf numFmtId="173" fontId="17" fillId="0" borderId="0" xfId="0" applyNumberFormat="1" applyFont="1"/>
    <xf numFmtId="170" fontId="0" fillId="0" borderId="0" xfId="1" applyNumberFormat="1" applyFont="1" applyFill="1"/>
    <xf numFmtId="172" fontId="16" fillId="0" borderId="0" xfId="1" applyNumberFormat="1" applyFont="1" applyFill="1"/>
    <xf numFmtId="166" fontId="0" fillId="0" borderId="0" xfId="1" applyFont="1" applyFill="1" applyAlignment="1">
      <alignment horizontal="center"/>
    </xf>
    <xf numFmtId="0" fontId="22" fillId="0" borderId="0" xfId="0" applyFont="1"/>
    <xf numFmtId="0" fontId="48" fillId="0" borderId="0" xfId="287" applyFill="1"/>
    <xf numFmtId="0" fontId="0" fillId="0" borderId="35" xfId="0" applyBorder="1"/>
    <xf numFmtId="0" fontId="49" fillId="0" borderId="36" xfId="0" applyFont="1" applyBorder="1" applyAlignment="1">
      <alignment horizontal="center"/>
    </xf>
    <xf numFmtId="0" fontId="0" fillId="0" borderId="36" xfId="0" applyBorder="1"/>
    <xf numFmtId="0" fontId="0" fillId="0" borderId="37" xfId="0" applyBorder="1" applyAlignment="1">
      <alignment horizontal="center"/>
    </xf>
    <xf numFmtId="0" fontId="0" fillId="0" borderId="38" xfId="0" applyBorder="1"/>
    <xf numFmtId="15" fontId="15" fillId="0" borderId="0" xfId="0" applyNumberFormat="1" applyFont="1" applyAlignment="1">
      <alignment horizontal="right" vertical="center"/>
    </xf>
    <xf numFmtId="0" fontId="0" fillId="0" borderId="39" xfId="0" applyBorder="1"/>
    <xf numFmtId="10" fontId="0" fillId="0" borderId="39" xfId="0" applyNumberFormat="1" applyBorder="1"/>
    <xf numFmtId="0" fontId="50" fillId="0" borderId="0" xfId="0" applyFont="1" applyAlignment="1">
      <alignment horizontal="center"/>
    </xf>
    <xf numFmtId="0" fontId="50" fillId="0" borderId="38" xfId="4" applyFont="1" applyBorder="1"/>
    <xf numFmtId="0" fontId="0" fillId="0" borderId="40" xfId="0" applyBorder="1"/>
    <xf numFmtId="168" fontId="0" fillId="0" borderId="1" xfId="0" applyNumberFormat="1" applyBorder="1"/>
    <xf numFmtId="10" fontId="0" fillId="0" borderId="1" xfId="0" applyNumberFormat="1" applyBorder="1"/>
    <xf numFmtId="10" fontId="0" fillId="0" borderId="41" xfId="0" applyNumberFormat="1" applyBorder="1"/>
    <xf numFmtId="17" fontId="69" fillId="0" borderId="0" xfId="0" applyNumberFormat="1" applyFont="1" applyAlignment="1">
      <alignment horizontal="right" vertical="center" wrapText="1"/>
    </xf>
    <xf numFmtId="4" fontId="35" fillId="0" borderId="0" xfId="0" applyNumberFormat="1" applyFont="1" applyAlignment="1">
      <alignment horizontal="right" vertical="center"/>
    </xf>
    <xf numFmtId="4" fontId="68" fillId="0" borderId="0" xfId="0" applyNumberFormat="1" applyFont="1" applyAlignment="1">
      <alignment horizontal="left" vertical="center"/>
    </xf>
    <xf numFmtId="167" fontId="13" fillId="0" borderId="0" xfId="4" applyNumberFormat="1"/>
    <xf numFmtId="10" fontId="13" fillId="0" borderId="0" xfId="4" applyNumberFormat="1"/>
    <xf numFmtId="0" fontId="67" fillId="0" borderId="0" xfId="0" applyFont="1"/>
    <xf numFmtId="181" fontId="0" fillId="0" borderId="0" xfId="3" applyNumberFormat="1" applyFont="1" applyFill="1"/>
    <xf numFmtId="170" fontId="16" fillId="0" borderId="0" xfId="1" applyNumberFormat="1" applyFont="1" applyFill="1"/>
    <xf numFmtId="2" fontId="16" fillId="0" borderId="0" xfId="0" applyNumberFormat="1" applyFont="1"/>
    <xf numFmtId="17" fontId="47" fillId="0" borderId="0" xfId="0" applyNumberFormat="1" applyFont="1" applyAlignment="1">
      <alignment horizontal="left" vertical="center" wrapText="1"/>
    </xf>
    <xf numFmtId="4" fontId="47" fillId="0" borderId="0" xfId="0" applyNumberFormat="1" applyFont="1" applyAlignment="1">
      <alignment horizontal="right" vertical="center"/>
    </xf>
    <xf numFmtId="0" fontId="47" fillId="0" borderId="0" xfId="0" applyFont="1" applyAlignment="1">
      <alignment horizontal="right" vertical="center"/>
    </xf>
    <xf numFmtId="14" fontId="46" fillId="0" borderId="0" xfId="0" applyNumberFormat="1" applyFont="1"/>
    <xf numFmtId="14" fontId="16" fillId="0" borderId="0" xfId="0" applyNumberFormat="1" applyFont="1"/>
    <xf numFmtId="0" fontId="16" fillId="0" borderId="0" xfId="0" applyFont="1"/>
    <xf numFmtId="4" fontId="0" fillId="0" borderId="0" xfId="0" applyNumberFormat="1"/>
    <xf numFmtId="176" fontId="4" fillId="0" borderId="0" xfId="329" applyNumberFormat="1" applyAlignment="1">
      <alignment horizontal="right"/>
    </xf>
    <xf numFmtId="172" fontId="12" fillId="0" borderId="0" xfId="1" applyNumberFormat="1" applyFont="1" applyFill="1"/>
    <xf numFmtId="166" fontId="20" fillId="0" borderId="0" xfId="1" applyFont="1"/>
    <xf numFmtId="2" fontId="20" fillId="0" borderId="0" xfId="0" applyNumberFormat="1" applyFont="1"/>
    <xf numFmtId="0" fontId="19" fillId="0" borderId="0" xfId="0" applyFont="1"/>
    <xf numFmtId="170" fontId="12" fillId="0" borderId="0" xfId="1" applyNumberFormat="1" applyFont="1" applyFill="1" applyAlignment="1">
      <alignment horizontal="center"/>
    </xf>
    <xf numFmtId="1" fontId="67" fillId="0" borderId="0" xfId="0" applyNumberFormat="1" applyFont="1"/>
    <xf numFmtId="170" fontId="46" fillId="0" borderId="0" xfId="1" applyNumberFormat="1" applyFont="1"/>
    <xf numFmtId="0" fontId="40" fillId="0" borderId="0" xfId="0" applyFont="1"/>
    <xf numFmtId="0" fontId="40" fillId="0" borderId="35" xfId="294" applyFont="1" applyBorder="1"/>
    <xf numFmtId="0" fontId="40" fillId="0" borderId="36" xfId="294" applyFont="1" applyBorder="1"/>
    <xf numFmtId="0" fontId="40" fillId="0" borderId="38" xfId="294" applyFont="1" applyBorder="1"/>
    <xf numFmtId="0" fontId="40" fillId="0" borderId="0" xfId="294" applyFont="1"/>
    <xf numFmtId="0" fontId="40" fillId="0" borderId="0" xfId="0" applyFont="1" applyAlignment="1">
      <alignment wrapText="1"/>
    </xf>
    <xf numFmtId="0" fontId="40" fillId="0" borderId="38" xfId="294" applyFont="1" applyBorder="1" applyAlignment="1">
      <alignment wrapText="1"/>
    </xf>
    <xf numFmtId="0" fontId="40" fillId="0" borderId="0" xfId="294" applyFont="1" applyAlignment="1">
      <alignment wrapText="1"/>
    </xf>
    <xf numFmtId="0" fontId="40" fillId="0" borderId="40" xfId="0" applyFont="1" applyBorder="1" applyAlignment="1">
      <alignment wrapText="1"/>
    </xf>
    <xf numFmtId="0" fontId="40" fillId="0" borderId="1" xfId="0" applyFont="1" applyBorder="1" applyAlignment="1">
      <alignment wrapText="1"/>
    </xf>
    <xf numFmtId="0" fontId="40" fillId="0" borderId="41" xfId="0" applyFont="1" applyBorder="1" applyAlignment="1">
      <alignment wrapText="1"/>
    </xf>
    <xf numFmtId="0" fontId="40" fillId="0" borderId="16" xfId="0" applyFont="1" applyBorder="1" applyAlignment="1">
      <alignment wrapText="1"/>
    </xf>
    <xf numFmtId="3" fontId="40" fillId="0" borderId="42" xfId="294" applyNumberFormat="1" applyFont="1" applyBorder="1"/>
    <xf numFmtId="173" fontId="40" fillId="0" borderId="42" xfId="1" applyNumberFormat="1" applyFont="1" applyBorder="1"/>
    <xf numFmtId="173" fontId="40" fillId="0" borderId="38" xfId="1" applyNumberFormat="1" applyFont="1" applyBorder="1"/>
    <xf numFmtId="173" fontId="40" fillId="0" borderId="0" xfId="1" applyNumberFormat="1" applyFont="1" applyBorder="1"/>
    <xf numFmtId="173" fontId="40" fillId="0" borderId="39" xfId="1" applyNumberFormat="1" applyFont="1" applyBorder="1"/>
    <xf numFmtId="173" fontId="40" fillId="0" borderId="7" xfId="1" applyNumberFormat="1" applyFont="1" applyBorder="1"/>
    <xf numFmtId="173" fontId="40" fillId="0" borderId="43" xfId="1" applyNumberFormat="1" applyFont="1" applyBorder="1"/>
    <xf numFmtId="173" fontId="40" fillId="0" borderId="50" xfId="1" applyNumberFormat="1" applyFont="1" applyBorder="1"/>
    <xf numFmtId="173" fontId="40" fillId="0" borderId="10" xfId="1" applyNumberFormat="1" applyFont="1" applyBorder="1"/>
    <xf numFmtId="173" fontId="40" fillId="0" borderId="51" xfId="1" applyNumberFormat="1" applyFont="1" applyBorder="1"/>
    <xf numFmtId="173" fontId="40" fillId="0" borderId="11" xfId="1" applyNumberFormat="1" applyFont="1" applyBorder="1"/>
    <xf numFmtId="17" fontId="40" fillId="0" borderId="52" xfId="294" applyNumberFormat="1" applyFont="1" applyBorder="1"/>
    <xf numFmtId="17" fontId="40" fillId="0" borderId="45" xfId="294" applyNumberFormat="1" applyFont="1" applyBorder="1"/>
    <xf numFmtId="1" fontId="40" fillId="0" borderId="46" xfId="294" applyNumberFormat="1" applyFont="1" applyBorder="1"/>
    <xf numFmtId="173" fontId="40" fillId="0" borderId="12" xfId="1" applyNumberFormat="1" applyFont="1" applyBorder="1"/>
    <xf numFmtId="173" fontId="40" fillId="0" borderId="53" xfId="1" applyNumberFormat="1" applyFont="1" applyBorder="1"/>
    <xf numFmtId="173" fontId="40" fillId="0" borderId="13" xfId="1" applyNumberFormat="1" applyFont="1" applyBorder="1"/>
    <xf numFmtId="173" fontId="40" fillId="0" borderId="54" xfId="1" applyNumberFormat="1" applyFont="1" applyBorder="1"/>
    <xf numFmtId="173" fontId="40" fillId="0" borderId="14" xfId="1" applyNumberFormat="1" applyFont="1" applyBorder="1"/>
    <xf numFmtId="17" fontId="40" fillId="0" borderId="8" xfId="294" applyNumberFormat="1" applyFont="1" applyBorder="1"/>
    <xf numFmtId="17" fontId="40" fillId="0" borderId="48" xfId="294" applyNumberFormat="1" applyFont="1" applyBorder="1"/>
    <xf numFmtId="1" fontId="40" fillId="0" borderId="49" xfId="294" applyNumberFormat="1" applyFont="1" applyBorder="1"/>
    <xf numFmtId="17" fontId="40" fillId="0" borderId="9" xfId="294" applyNumberFormat="1" applyFont="1" applyBorder="1"/>
    <xf numFmtId="17" fontId="40" fillId="0" borderId="55" xfId="294" applyNumberFormat="1" applyFont="1" applyBorder="1"/>
    <xf numFmtId="1" fontId="40" fillId="0" borderId="56" xfId="294" applyNumberFormat="1" applyFont="1" applyBorder="1"/>
    <xf numFmtId="17" fontId="40" fillId="0" borderId="2" xfId="294" applyNumberFormat="1" applyFont="1" applyBorder="1"/>
    <xf numFmtId="1" fontId="40" fillId="0" borderId="2" xfId="294" applyNumberFormat="1" applyFont="1" applyBorder="1"/>
    <xf numFmtId="0" fontId="5" fillId="0" borderId="0" xfId="294" applyAlignment="1">
      <alignment horizontal="center"/>
    </xf>
    <xf numFmtId="0" fontId="5" fillId="0" borderId="0" xfId="294" applyAlignment="1">
      <alignment horizontal="center" vertical="center" wrapText="1"/>
    </xf>
    <xf numFmtId="170" fontId="5" fillId="0" borderId="0" xfId="294" applyNumberFormat="1"/>
    <xf numFmtId="3" fontId="5" fillId="0" borderId="0" xfId="294" applyNumberFormat="1"/>
    <xf numFmtId="168" fontId="12" fillId="0" borderId="0" xfId="3" applyNumberFormat="1"/>
    <xf numFmtId="170" fontId="15" fillId="0" borderId="0" xfId="294" applyNumberFormat="1" applyFont="1"/>
    <xf numFmtId="166" fontId="5" fillId="0" borderId="0" xfId="294" applyNumberFormat="1"/>
    <xf numFmtId="0" fontId="15" fillId="0" borderId="0" xfId="294" applyFont="1" applyAlignment="1">
      <alignment horizontal="center"/>
    </xf>
    <xf numFmtId="0" fontId="3" fillId="0" borderId="0" xfId="294" applyFont="1"/>
    <xf numFmtId="0" fontId="40" fillId="0" borderId="42" xfId="0" applyFont="1" applyBorder="1"/>
    <xf numFmtId="0" fontId="40" fillId="0" borderId="7" xfId="0" applyFont="1" applyBorder="1"/>
    <xf numFmtId="17" fontId="40" fillId="0" borderId="17" xfId="294" applyNumberFormat="1" applyFont="1" applyBorder="1"/>
    <xf numFmtId="17" fontId="40" fillId="0" borderId="22" xfId="294" applyNumberFormat="1" applyFont="1" applyBorder="1"/>
    <xf numFmtId="17" fontId="40" fillId="0" borderId="23" xfId="294" applyNumberFormat="1" applyFont="1" applyBorder="1"/>
    <xf numFmtId="1" fontId="40" fillId="0" borderId="23" xfId="294" applyNumberFormat="1" applyFont="1" applyBorder="1"/>
    <xf numFmtId="10" fontId="20" fillId="2" borderId="0" xfId="7" applyNumberFormat="1" applyFont="1" applyFill="1"/>
    <xf numFmtId="0" fontId="15" fillId="0" borderId="0" xfId="288" applyFont="1" applyAlignment="1">
      <alignment horizontal="center"/>
    </xf>
    <xf numFmtId="170" fontId="55" fillId="3" borderId="40" xfId="291" applyNumberFormat="1" applyFont="1" applyFill="1" applyBorder="1"/>
    <xf numFmtId="170" fontId="55" fillId="3" borderId="41" xfId="291" applyNumberFormat="1" applyFont="1" applyFill="1" applyBorder="1"/>
    <xf numFmtId="0" fontId="63" fillId="42" borderId="0" xfId="5" applyFont="1" applyFill="1" applyAlignment="1">
      <alignment horizontal="center"/>
    </xf>
    <xf numFmtId="4" fontId="48" fillId="0" borderId="0" xfId="287" applyNumberFormat="1" applyAlignment="1">
      <alignment horizontal="left" vertical="center"/>
    </xf>
    <xf numFmtId="170" fontId="65" fillId="42" borderId="0" xfId="0" applyNumberFormat="1" applyFont="1" applyFill="1"/>
    <xf numFmtId="0" fontId="54" fillId="42" borderId="4" xfId="4" applyFont="1" applyFill="1" applyBorder="1" applyAlignment="1">
      <alignment horizontal="center" vertical="center"/>
    </xf>
    <xf numFmtId="0" fontId="54" fillId="42" borderId="5" xfId="4" applyFont="1" applyFill="1" applyBorder="1" applyAlignment="1">
      <alignment horizontal="center" vertical="center"/>
    </xf>
    <xf numFmtId="0" fontId="62" fillId="42" borderId="17" xfId="288" applyFont="1" applyFill="1" applyBorder="1" applyAlignment="1">
      <alignment vertical="center"/>
    </xf>
    <xf numFmtId="0" fontId="62" fillId="42" borderId="17" xfId="288" applyFont="1" applyFill="1" applyBorder="1" applyAlignment="1">
      <alignment vertical="center" wrapText="1"/>
    </xf>
    <xf numFmtId="0" fontId="63" fillId="42" borderId="22" xfId="288" applyFont="1" applyFill="1" applyBorder="1" applyAlignment="1">
      <alignment wrapText="1"/>
    </xf>
    <xf numFmtId="170" fontId="63" fillId="42" borderId="23" xfId="288" applyNumberFormat="1" applyFont="1" applyFill="1" applyBorder="1"/>
    <xf numFmtId="168" fontId="63" fillId="42" borderId="23" xfId="290" applyNumberFormat="1" applyFont="1" applyFill="1" applyBorder="1"/>
    <xf numFmtId="170" fontId="63" fillId="42" borderId="23" xfId="291" applyNumberFormat="1" applyFont="1" applyFill="1" applyBorder="1"/>
    <xf numFmtId="170" fontId="63" fillId="42" borderId="24" xfId="291" applyNumberFormat="1" applyFont="1" applyFill="1" applyBorder="1"/>
    <xf numFmtId="0" fontId="56" fillId="0" borderId="0" xfId="288" applyFont="1"/>
    <xf numFmtId="0" fontId="40" fillId="0" borderId="12" xfId="288" applyFont="1" applyBorder="1"/>
    <xf numFmtId="0" fontId="40" fillId="0" borderId="13" xfId="288" applyFont="1" applyBorder="1"/>
    <xf numFmtId="0" fontId="66" fillId="0" borderId="0" xfId="0" applyFont="1"/>
    <xf numFmtId="0" fontId="40" fillId="0" borderId="14" xfId="288" applyFont="1" applyBorder="1"/>
    <xf numFmtId="0" fontId="13" fillId="0" borderId="0" xfId="288" applyFont="1"/>
    <xf numFmtId="0" fontId="40" fillId="0" borderId="42" xfId="288" applyFont="1" applyBorder="1"/>
    <xf numFmtId="0" fontId="40" fillId="0" borderId="0" xfId="288" applyFont="1" applyAlignment="1">
      <alignment horizontal="center"/>
    </xf>
    <xf numFmtId="0" fontId="40" fillId="0" borderId="7" xfId="288" applyFont="1" applyBorder="1"/>
    <xf numFmtId="0" fontId="57" fillId="0" borderId="35" xfId="288" applyFont="1" applyBorder="1" applyAlignment="1">
      <alignment horizontal="center"/>
    </xf>
    <xf numFmtId="0" fontId="57" fillId="0" borderId="36" xfId="288" applyFont="1" applyBorder="1" applyAlignment="1">
      <alignment horizontal="center"/>
    </xf>
    <xf numFmtId="0" fontId="57" fillId="0" borderId="37" xfId="288" applyFont="1" applyBorder="1" applyAlignment="1">
      <alignment horizontal="center"/>
    </xf>
    <xf numFmtId="0" fontId="57" fillId="0" borderId="0" xfId="288" applyFont="1" applyAlignment="1">
      <alignment horizontal="center"/>
    </xf>
    <xf numFmtId="0" fontId="55" fillId="0" borderId="0" xfId="288" applyFont="1"/>
    <xf numFmtId="0" fontId="55" fillId="0" borderId="0" xfId="288" applyFont="1" applyAlignment="1">
      <alignment horizontal="center"/>
    </xf>
    <xf numFmtId="0" fontId="13" fillId="0" borderId="38" xfId="288" applyFont="1" applyBorder="1"/>
    <xf numFmtId="0" fontId="13" fillId="0" borderId="39" xfId="288" applyFont="1" applyBorder="1"/>
    <xf numFmtId="1" fontId="40" fillId="0" borderId="0" xfId="288" applyNumberFormat="1" applyFont="1"/>
    <xf numFmtId="10" fontId="13" fillId="0" borderId="0" xfId="288" applyNumberFormat="1" applyFont="1" applyAlignment="1">
      <alignment horizontal="center"/>
    </xf>
    <xf numFmtId="10" fontId="40" fillId="0" borderId="0" xfId="288" applyNumberFormat="1" applyFont="1"/>
    <xf numFmtId="10" fontId="13" fillId="0" borderId="0" xfId="288" applyNumberFormat="1" applyFont="1"/>
    <xf numFmtId="170" fontId="40" fillId="0" borderId="0" xfId="292" applyNumberFormat="1" applyFont="1" applyFill="1"/>
    <xf numFmtId="1" fontId="13" fillId="0" borderId="0" xfId="288" applyNumberFormat="1" applyFont="1"/>
    <xf numFmtId="172" fontId="40" fillId="0" borderId="0" xfId="1" applyNumberFormat="1" applyFont="1" applyFill="1" applyBorder="1"/>
    <xf numFmtId="170" fontId="40" fillId="0" borderId="0" xfId="1" applyNumberFormat="1" applyFont="1" applyFill="1" applyBorder="1"/>
    <xf numFmtId="168" fontId="40" fillId="0" borderId="0" xfId="3" applyNumberFormat="1" applyFont="1" applyFill="1" applyBorder="1"/>
    <xf numFmtId="0" fontId="19" fillId="0" borderId="40" xfId="288" applyFont="1" applyBorder="1"/>
    <xf numFmtId="0" fontId="19" fillId="0" borderId="1" xfId="288" applyFont="1" applyBorder="1"/>
    <xf numFmtId="172" fontId="19" fillId="0" borderId="40" xfId="291" applyNumberFormat="1" applyFont="1" applyFill="1" applyBorder="1"/>
    <xf numFmtId="172" fontId="19" fillId="0" borderId="1" xfId="291" applyNumberFormat="1" applyFont="1" applyFill="1" applyBorder="1"/>
    <xf numFmtId="172" fontId="19" fillId="0" borderId="41" xfId="291" applyNumberFormat="1" applyFont="1" applyFill="1" applyBorder="1"/>
    <xf numFmtId="172" fontId="19" fillId="0" borderId="0" xfId="291" applyNumberFormat="1" applyFont="1" applyFill="1"/>
    <xf numFmtId="0" fontId="19" fillId="0" borderId="0" xfId="288" applyFont="1"/>
    <xf numFmtId="170" fontId="19" fillId="0" borderId="0" xfId="288" applyNumberFormat="1" applyFont="1"/>
    <xf numFmtId="172" fontId="55" fillId="0" borderId="0" xfId="288" applyNumberFormat="1" applyFont="1"/>
    <xf numFmtId="170" fontId="55" fillId="0" borderId="0" xfId="1" applyNumberFormat="1" applyFont="1" applyFill="1" applyBorder="1"/>
    <xf numFmtId="168" fontId="55" fillId="0" borderId="0" xfId="3" applyNumberFormat="1" applyFont="1" applyFill="1" applyBorder="1"/>
    <xf numFmtId="185" fontId="19" fillId="0" borderId="0" xfId="291" applyNumberFormat="1" applyFont="1" applyFill="1"/>
    <xf numFmtId="0" fontId="66" fillId="0" borderId="0" xfId="0" applyFont="1" applyAlignment="1">
      <alignment vertical="center"/>
    </xf>
    <xf numFmtId="0" fontId="40" fillId="0" borderId="0" xfId="288" applyFont="1" applyAlignment="1">
      <alignment horizontal="right"/>
    </xf>
    <xf numFmtId="0" fontId="13" fillId="0" borderId="35" xfId="288" applyFont="1" applyBorder="1"/>
    <xf numFmtId="0" fontId="13" fillId="0" borderId="36" xfId="288" applyFont="1" applyBorder="1"/>
    <xf numFmtId="0" fontId="13" fillId="0" borderId="37" xfId="288" applyFont="1" applyBorder="1"/>
    <xf numFmtId="0" fontId="40" fillId="0" borderId="35" xfId="288" applyFont="1" applyBorder="1"/>
    <xf numFmtId="0" fontId="40" fillId="0" borderId="36" xfId="288" applyFont="1" applyBorder="1"/>
    <xf numFmtId="170" fontId="40" fillId="0" borderId="36" xfId="292" applyNumberFormat="1" applyFont="1" applyFill="1" applyBorder="1"/>
    <xf numFmtId="170" fontId="40" fillId="0" borderId="37" xfId="292" applyNumberFormat="1" applyFont="1" applyFill="1" applyBorder="1"/>
    <xf numFmtId="0" fontId="40" fillId="0" borderId="43" xfId="288" applyFont="1" applyBorder="1"/>
    <xf numFmtId="0" fontId="40" fillId="0" borderId="10" xfId="288" applyFont="1" applyBorder="1"/>
    <xf numFmtId="0" fontId="40" fillId="0" borderId="11" xfId="288" applyFont="1" applyBorder="1"/>
    <xf numFmtId="0" fontId="40" fillId="0" borderId="38" xfId="288" applyFont="1" applyBorder="1"/>
    <xf numFmtId="170" fontId="40" fillId="0" borderId="0" xfId="292" applyNumberFormat="1" applyFont="1" applyFill="1" applyBorder="1"/>
    <xf numFmtId="170" fontId="40" fillId="0" borderId="39" xfId="292" applyNumberFormat="1" applyFont="1" applyFill="1" applyBorder="1"/>
    <xf numFmtId="0" fontId="19" fillId="0" borderId="38" xfId="288" applyFont="1" applyBorder="1"/>
    <xf numFmtId="0" fontId="19" fillId="0" borderId="0" xfId="292" applyNumberFormat="1" applyFont="1" applyFill="1" applyBorder="1" applyAlignment="1">
      <alignment horizontal="center"/>
    </xf>
    <xf numFmtId="0" fontId="19" fillId="0" borderId="39" xfId="288" applyFont="1" applyBorder="1" applyAlignment="1">
      <alignment horizontal="center"/>
    </xf>
    <xf numFmtId="0" fontId="13" fillId="0" borderId="0" xfId="288" applyFont="1" applyAlignment="1">
      <alignment horizontal="center"/>
    </xf>
    <xf numFmtId="168" fontId="13" fillId="0" borderId="0" xfId="3" applyNumberFormat="1" applyFont="1" applyFill="1" applyBorder="1" applyAlignment="1">
      <alignment horizontal="center" vertical="top" wrapText="1"/>
    </xf>
    <xf numFmtId="168" fontId="19" fillId="0" borderId="0" xfId="3" applyNumberFormat="1" applyFont="1" applyFill="1" applyBorder="1" applyAlignment="1">
      <alignment horizontal="center" vertical="top" wrapText="1"/>
    </xf>
    <xf numFmtId="170" fontId="19" fillId="0" borderId="39" xfId="288" applyNumberFormat="1" applyFont="1" applyBorder="1"/>
    <xf numFmtId="0" fontId="13" fillId="0" borderId="38" xfId="288" applyFont="1" applyBorder="1" applyAlignment="1">
      <alignment horizontal="right"/>
    </xf>
    <xf numFmtId="168" fontId="58" fillId="0" borderId="0" xfId="3" applyNumberFormat="1" applyFont="1" applyFill="1" applyBorder="1" applyAlignment="1">
      <alignment horizontal="center"/>
    </xf>
    <xf numFmtId="168" fontId="57" fillId="0" borderId="0" xfId="3" applyNumberFormat="1" applyFont="1" applyFill="1" applyBorder="1" applyAlignment="1">
      <alignment horizontal="center"/>
    </xf>
    <xf numFmtId="0" fontId="40" fillId="0" borderId="38" xfId="288" applyFont="1" applyBorder="1" applyAlignment="1">
      <alignment horizontal="right"/>
    </xf>
    <xf numFmtId="168" fontId="13" fillId="0" borderId="0" xfId="3" applyNumberFormat="1" applyFont="1" applyFill="1" applyBorder="1" applyAlignment="1">
      <alignment horizontal="center"/>
    </xf>
    <xf numFmtId="168" fontId="19" fillId="0" borderId="0" xfId="3" applyNumberFormat="1" applyFont="1" applyFill="1" applyBorder="1" applyAlignment="1">
      <alignment horizontal="center"/>
    </xf>
    <xf numFmtId="10" fontId="19" fillId="0" borderId="39" xfId="293" applyNumberFormat="1" applyFont="1" applyFill="1" applyBorder="1"/>
    <xf numFmtId="10" fontId="19" fillId="0" borderId="0" xfId="293" applyNumberFormat="1" applyFont="1" applyFill="1"/>
    <xf numFmtId="168" fontId="13" fillId="0" borderId="0" xfId="3" applyNumberFormat="1" applyFont="1" applyFill="1" applyAlignment="1">
      <alignment horizontal="center"/>
    </xf>
    <xf numFmtId="168" fontId="19" fillId="0" borderId="0" xfId="3" applyNumberFormat="1" applyFont="1" applyFill="1" applyAlignment="1">
      <alignment horizontal="center"/>
    </xf>
    <xf numFmtId="0" fontId="19" fillId="0" borderId="39" xfId="288" applyFont="1" applyBorder="1"/>
    <xf numFmtId="0" fontId="40" fillId="0" borderId="39" xfId="288" applyFont="1" applyBorder="1"/>
    <xf numFmtId="173" fontId="40" fillId="0" borderId="0" xfId="289" applyNumberFormat="1" applyFont="1" applyFill="1" applyBorder="1"/>
    <xf numFmtId="173" fontId="40" fillId="0" borderId="39" xfId="288" applyNumberFormat="1" applyFont="1" applyBorder="1"/>
    <xf numFmtId="168" fontId="40" fillId="0" borderId="0" xfId="290" applyNumberFormat="1" applyFont="1" applyFill="1"/>
    <xf numFmtId="10" fontId="40" fillId="0" borderId="0" xfId="290" applyNumberFormat="1" applyFont="1" applyFill="1"/>
    <xf numFmtId="10" fontId="13" fillId="0" borderId="0" xfId="290" applyNumberFormat="1" applyFont="1" applyFill="1"/>
    <xf numFmtId="0" fontId="13" fillId="0" borderId="38" xfId="288" applyFont="1" applyBorder="1" applyAlignment="1">
      <alignment horizontal="center"/>
    </xf>
    <xf numFmtId="3" fontId="59" fillId="0" borderId="0" xfId="288" applyNumberFormat="1" applyFont="1" applyAlignment="1">
      <alignment horizontal="right" vertical="center"/>
    </xf>
    <xf numFmtId="3" fontId="13" fillId="0" borderId="0" xfId="288" applyNumberFormat="1" applyFont="1"/>
    <xf numFmtId="170" fontId="19" fillId="0" borderId="38" xfId="288" applyNumberFormat="1" applyFont="1" applyBorder="1"/>
    <xf numFmtId="170" fontId="13" fillId="0" borderId="0" xfId="291" applyNumberFormat="1" applyFont="1" applyFill="1" applyBorder="1"/>
    <xf numFmtId="10" fontId="19" fillId="0" borderId="39" xfId="290" applyNumberFormat="1" applyFont="1" applyFill="1" applyBorder="1" applyAlignment="1">
      <alignment horizontal="right" vertical="center"/>
    </xf>
    <xf numFmtId="10" fontId="19" fillId="0" borderId="38" xfId="293" applyNumberFormat="1" applyFont="1" applyFill="1" applyBorder="1"/>
    <xf numFmtId="170" fontId="40" fillId="0" borderId="39" xfId="288" applyNumberFormat="1" applyFont="1" applyBorder="1"/>
    <xf numFmtId="0" fontId="13" fillId="0" borderId="40" xfId="288" applyFont="1" applyBorder="1"/>
    <xf numFmtId="0" fontId="13" fillId="0" borderId="1" xfId="288" applyFont="1" applyBorder="1"/>
    <xf numFmtId="0" fontId="13" fillId="0" borderId="41" xfId="288" applyFont="1" applyBorder="1"/>
    <xf numFmtId="0" fontId="40" fillId="0" borderId="40" xfId="288" applyFont="1" applyBorder="1"/>
    <xf numFmtId="170" fontId="19" fillId="0" borderId="1" xfId="288" applyNumberFormat="1" applyFont="1" applyBorder="1"/>
    <xf numFmtId="170" fontId="19" fillId="0" borderId="41" xfId="288" applyNumberFormat="1" applyFont="1" applyBorder="1"/>
    <xf numFmtId="0" fontId="57" fillId="0" borderId="36" xfId="288" applyFont="1" applyBorder="1"/>
    <xf numFmtId="0" fontId="40" fillId="0" borderId="37" xfId="288" applyFont="1" applyBorder="1"/>
    <xf numFmtId="0" fontId="55" fillId="0" borderId="35" xfId="288" applyFont="1" applyBorder="1" applyAlignment="1">
      <alignment horizontal="center"/>
    </xf>
    <xf numFmtId="0" fontId="19" fillId="0" borderId="36" xfId="288" applyFont="1" applyBorder="1" applyAlignment="1">
      <alignment horizontal="center"/>
    </xf>
    <xf numFmtId="0" fontId="55" fillId="0" borderId="36" xfId="288" applyFont="1" applyBorder="1" applyAlignment="1">
      <alignment horizontal="center"/>
    </xf>
    <xf numFmtId="0" fontId="55" fillId="0" borderId="37" xfId="288" applyFont="1" applyBorder="1" applyAlignment="1">
      <alignment horizontal="center"/>
    </xf>
    <xf numFmtId="169" fontId="58" fillId="0" borderId="0" xfId="288" applyNumberFormat="1" applyFont="1" applyAlignment="1">
      <alignment horizontal="center"/>
    </xf>
    <xf numFmtId="0" fontId="57" fillId="0" borderId="0" xfId="288" applyFont="1"/>
    <xf numFmtId="170" fontId="13" fillId="0" borderId="0" xfId="292" applyNumberFormat="1" applyFont="1" applyFill="1" applyBorder="1"/>
    <xf numFmtId="9" fontId="40" fillId="0" borderId="39" xfId="293" applyFont="1" applyFill="1" applyBorder="1"/>
    <xf numFmtId="9" fontId="40" fillId="0" borderId="0" xfId="288" applyNumberFormat="1" applyFont="1"/>
    <xf numFmtId="0" fontId="40" fillId="0" borderId="1" xfId="288" applyFont="1" applyBorder="1"/>
    <xf numFmtId="0" fontId="40" fillId="0" borderId="41" xfId="288" applyFont="1" applyBorder="1"/>
    <xf numFmtId="0" fontId="55" fillId="0" borderId="44" xfId="288" applyFont="1" applyBorder="1" applyAlignment="1">
      <alignment horizontal="center"/>
    </xf>
    <xf numFmtId="10" fontId="40" fillId="0" borderId="0" xfId="290" applyNumberFormat="1" applyFont="1" applyFill="1" applyBorder="1"/>
    <xf numFmtId="0" fontId="40" fillId="0" borderId="48" xfId="288" applyFont="1" applyBorder="1"/>
    <xf numFmtId="170" fontId="40" fillId="0" borderId="36" xfId="1" applyNumberFormat="1" applyFont="1" applyFill="1" applyBorder="1"/>
    <xf numFmtId="170" fontId="40" fillId="0" borderId="44" xfId="288" applyNumberFormat="1" applyFont="1" applyBorder="1"/>
    <xf numFmtId="170" fontId="40" fillId="0" borderId="48" xfId="288" applyNumberFormat="1" applyFont="1" applyBorder="1"/>
    <xf numFmtId="168" fontId="40" fillId="0" borderId="1" xfId="3" applyNumberFormat="1" applyFont="1" applyFill="1" applyBorder="1"/>
    <xf numFmtId="168" fontId="40" fillId="0" borderId="47" xfId="3" applyNumberFormat="1" applyFont="1" applyFill="1" applyBorder="1"/>
    <xf numFmtId="168" fontId="40" fillId="0" borderId="48" xfId="3" applyNumberFormat="1" applyFont="1" applyFill="1" applyBorder="1"/>
    <xf numFmtId="0" fontId="55" fillId="0" borderId="38" xfId="288" applyFont="1" applyBorder="1"/>
    <xf numFmtId="170" fontId="55" fillId="0" borderId="0" xfId="288" applyNumberFormat="1" applyFont="1"/>
    <xf numFmtId="170" fontId="55" fillId="0" borderId="39" xfId="288" applyNumberFormat="1" applyFont="1" applyBorder="1"/>
    <xf numFmtId="170" fontId="40" fillId="0" borderId="1" xfId="288" applyNumberFormat="1" applyFont="1" applyBorder="1"/>
    <xf numFmtId="170" fontId="40" fillId="0" borderId="0" xfId="291" applyNumberFormat="1" applyFont="1" applyFill="1"/>
    <xf numFmtId="10" fontId="13" fillId="2" borderId="0" xfId="288" applyNumberFormat="1" applyFont="1" applyFill="1" applyAlignment="1">
      <alignment horizontal="center"/>
    </xf>
    <xf numFmtId="172" fontId="13" fillId="3" borderId="0" xfId="1" applyNumberFormat="1" applyFont="1" applyFill="1" applyAlignment="1">
      <alignment horizontal="center"/>
    </xf>
    <xf numFmtId="0" fontId="19" fillId="3" borderId="60" xfId="4" applyFont="1" applyFill="1" applyBorder="1" applyAlignment="1">
      <alignment horizontal="center"/>
    </xf>
    <xf numFmtId="0" fontId="19" fillId="3" borderId="42" xfId="4" applyFont="1" applyFill="1" applyBorder="1" applyAlignment="1">
      <alignment horizontal="center"/>
    </xf>
    <xf numFmtId="0" fontId="54" fillId="42" borderId="43" xfId="4" applyFont="1" applyFill="1" applyBorder="1" applyAlignment="1">
      <alignment horizontal="center"/>
    </xf>
    <xf numFmtId="170" fontId="13" fillId="3" borderId="42" xfId="1" applyNumberFormat="1" applyFont="1" applyFill="1" applyBorder="1"/>
    <xf numFmtId="170" fontId="13" fillId="3" borderId="0" xfId="1" applyNumberFormat="1" applyFont="1" applyFill="1" applyBorder="1"/>
    <xf numFmtId="170" fontId="13" fillId="3" borderId="7" xfId="1" applyNumberFormat="1" applyFont="1" applyFill="1" applyBorder="1"/>
    <xf numFmtId="170" fontId="13" fillId="0" borderId="0" xfId="1" quotePrefix="1" applyNumberFormat="1" applyFont="1"/>
    <xf numFmtId="0" fontId="55" fillId="0" borderId="0" xfId="5" applyFont="1" applyAlignment="1">
      <alignment horizontal="right"/>
    </xf>
    <xf numFmtId="3" fontId="55" fillId="0" borderId="0" xfId="5" applyNumberFormat="1" applyFont="1"/>
    <xf numFmtId="168" fontId="19" fillId="0" borderId="0" xfId="6" applyNumberFormat="1" applyFont="1"/>
    <xf numFmtId="0" fontId="2" fillId="0" borderId="0" xfId="294" applyFont="1"/>
    <xf numFmtId="0" fontId="66" fillId="0" borderId="40" xfId="294" applyFont="1" applyBorder="1"/>
    <xf numFmtId="0" fontId="66" fillId="0" borderId="1" xfId="294" applyFont="1" applyBorder="1"/>
    <xf numFmtId="0" fontId="15" fillId="0" borderId="0" xfId="288" applyFont="1" applyAlignment="1">
      <alignment vertical="center"/>
    </xf>
    <xf numFmtId="43" fontId="7" fillId="0" borderId="0" xfId="288" applyNumberFormat="1"/>
    <xf numFmtId="170" fontId="7" fillId="4" borderId="37" xfId="288" applyNumberFormat="1" applyFill="1" applyBorder="1"/>
    <xf numFmtId="172" fontId="7" fillId="0" borderId="0" xfId="288" applyNumberFormat="1"/>
    <xf numFmtId="0" fontId="3" fillId="0" borderId="0" xfId="288" applyFont="1"/>
    <xf numFmtId="0" fontId="6" fillId="0" borderId="0" xfId="288" applyFont="1"/>
    <xf numFmtId="168" fontId="0" fillId="0" borderId="39" xfId="295" applyNumberFormat="1" applyFont="1" applyBorder="1"/>
    <xf numFmtId="10" fontId="7" fillId="0" borderId="1" xfId="3" applyNumberFormat="1" applyFont="1" applyBorder="1"/>
    <xf numFmtId="10" fontId="7" fillId="0" borderId="41" xfId="3" applyNumberFormat="1" applyFont="1" applyBorder="1"/>
    <xf numFmtId="170" fontId="67" fillId="0" borderId="0" xfId="0" applyNumberFormat="1" applyFont="1"/>
    <xf numFmtId="10" fontId="13" fillId="3" borderId="0" xfId="3" applyNumberFormat="1" applyFont="1" applyFill="1"/>
    <xf numFmtId="14" fontId="45" fillId="0" borderId="0" xfId="0" applyNumberFormat="1" applyFont="1"/>
    <xf numFmtId="166" fontId="45" fillId="0" borderId="0" xfId="1" applyFont="1"/>
    <xf numFmtId="170" fontId="45" fillId="0" borderId="0" xfId="0" applyNumberFormat="1" applyFont="1"/>
    <xf numFmtId="172" fontId="45" fillId="0" borderId="0" xfId="1" applyNumberFormat="1" applyFont="1"/>
    <xf numFmtId="9" fontId="45" fillId="0" borderId="0" xfId="3" applyFont="1"/>
    <xf numFmtId="1" fontId="70" fillId="0" borderId="0" xfId="0" applyNumberFormat="1" applyFont="1"/>
    <xf numFmtId="43" fontId="45" fillId="0" borderId="0" xfId="0" applyNumberFormat="1" applyFont="1"/>
    <xf numFmtId="0" fontId="55" fillId="0" borderId="2" xfId="288" applyFont="1" applyBorder="1" applyAlignment="1">
      <alignment horizontal="center"/>
    </xf>
    <xf numFmtId="170" fontId="40" fillId="0" borderId="2" xfId="288" applyNumberFormat="1" applyFont="1" applyBorder="1"/>
    <xf numFmtId="172" fontId="66" fillId="0" borderId="2" xfId="291" applyNumberFormat="1" applyFont="1" applyBorder="1" applyAlignment="1">
      <alignment vertical="center"/>
    </xf>
    <xf numFmtId="173" fontId="66" fillId="0" borderId="0" xfId="289" applyNumberFormat="1" applyFont="1"/>
    <xf numFmtId="185" fontId="63" fillId="42" borderId="23" xfId="291" applyNumberFormat="1" applyFont="1" applyFill="1" applyBorder="1"/>
    <xf numFmtId="170" fontId="63" fillId="42" borderId="23" xfId="291" applyNumberFormat="1" applyFont="1" applyFill="1" applyBorder="1" applyAlignment="1">
      <alignment vertical="top"/>
    </xf>
    <xf numFmtId="172" fontId="63" fillId="42" borderId="23" xfId="291" applyNumberFormat="1" applyFont="1" applyFill="1" applyBorder="1"/>
    <xf numFmtId="170" fontId="63" fillId="42" borderId="24" xfId="291" applyNumberFormat="1" applyFont="1" applyFill="1" applyBorder="1" applyAlignment="1">
      <alignment vertical="top"/>
    </xf>
    <xf numFmtId="0" fontId="66" fillId="0" borderId="0" xfId="4" applyFont="1"/>
    <xf numFmtId="170" fontId="66" fillId="0" borderId="2" xfId="4" applyNumberFormat="1" applyFont="1" applyBorder="1"/>
    <xf numFmtId="168" fontId="66" fillId="0" borderId="2" xfId="290" applyNumberFormat="1" applyFont="1" applyBorder="1" applyAlignment="1">
      <alignment vertical="top"/>
    </xf>
    <xf numFmtId="0" fontId="55" fillId="0" borderId="0" xfId="294" applyFont="1" applyAlignment="1">
      <alignment horizontal="center"/>
    </xf>
    <xf numFmtId="172" fontId="40" fillId="0" borderId="0" xfId="12" applyNumberFormat="1" applyFont="1" applyFill="1" applyBorder="1"/>
    <xf numFmtId="172" fontId="55" fillId="0" borderId="0" xfId="294" applyNumberFormat="1" applyFont="1"/>
    <xf numFmtId="172" fontId="19" fillId="0" borderId="41" xfId="1" applyNumberFormat="1" applyFont="1" applyBorder="1"/>
    <xf numFmtId="188" fontId="0" fillId="0" borderId="0" xfId="0" applyNumberFormat="1"/>
    <xf numFmtId="0" fontId="61" fillId="42" borderId="4" xfId="4" applyFont="1" applyFill="1" applyBorder="1" applyAlignment="1">
      <alignment horizontal="center" vertical="center"/>
    </xf>
    <xf numFmtId="3" fontId="60" fillId="3" borderId="0" xfId="4" applyNumberFormat="1" applyFont="1" applyFill="1"/>
    <xf numFmtId="0" fontId="1" fillId="0" borderId="0" xfId="288" applyFont="1"/>
    <xf numFmtId="0" fontId="1" fillId="0" borderId="0" xfId="288" applyFont="1" applyAlignment="1">
      <alignment horizontal="center"/>
    </xf>
    <xf numFmtId="170" fontId="1" fillId="0" borderId="0" xfId="288" applyNumberFormat="1" applyFont="1"/>
    <xf numFmtId="0" fontId="1" fillId="0" borderId="0" xfId="288" quotePrefix="1" applyFont="1"/>
    <xf numFmtId="169" fontId="1" fillId="0" borderId="0" xfId="288" applyNumberFormat="1" applyFont="1"/>
    <xf numFmtId="183" fontId="1" fillId="0" borderId="0" xfId="288" applyNumberFormat="1" applyFont="1"/>
    <xf numFmtId="170" fontId="1" fillId="0" borderId="0" xfId="291" applyNumberFormat="1" applyFont="1"/>
    <xf numFmtId="173" fontId="1" fillId="0" borderId="0" xfId="288" applyNumberFormat="1" applyFont="1"/>
    <xf numFmtId="10" fontId="1" fillId="2" borderId="0" xfId="288" applyNumberFormat="1" applyFont="1" applyFill="1"/>
    <xf numFmtId="10" fontId="1" fillId="0" borderId="0" xfId="288" applyNumberFormat="1" applyFont="1"/>
    <xf numFmtId="168" fontId="1" fillId="0" borderId="0" xfId="288" applyNumberFormat="1" applyFont="1"/>
    <xf numFmtId="0" fontId="1" fillId="0" borderId="0" xfId="288" applyFont="1" applyAlignment="1">
      <alignment vertical="center"/>
    </xf>
    <xf numFmtId="0" fontId="1" fillId="0" borderId="0" xfId="288" applyFont="1" applyAlignment="1">
      <alignment horizontal="center" wrapText="1"/>
    </xf>
    <xf numFmtId="170" fontId="50" fillId="0" borderId="0" xfId="291" applyNumberFormat="1" applyFont="1"/>
    <xf numFmtId="168" fontId="50" fillId="0" borderId="0" xfId="290" applyNumberFormat="1" applyFont="1"/>
    <xf numFmtId="10" fontId="50" fillId="0" borderId="0" xfId="290" applyNumberFormat="1" applyFont="1" applyAlignment="1">
      <alignment vertical="center"/>
    </xf>
    <xf numFmtId="9" fontId="50" fillId="2" borderId="0" xfId="290" applyFont="1" applyFill="1"/>
    <xf numFmtId="9" fontId="50" fillId="0" borderId="0" xfId="290" applyFont="1"/>
    <xf numFmtId="3" fontId="21" fillId="3" borderId="0" xfId="4" applyNumberFormat="1" applyFont="1" applyFill="1"/>
    <xf numFmtId="168" fontId="13" fillId="0" borderId="0" xfId="3" applyNumberFormat="1" applyFont="1"/>
    <xf numFmtId="168" fontId="16" fillId="0" borderId="0" xfId="3" applyNumberFormat="1" applyFont="1"/>
    <xf numFmtId="0" fontId="0" fillId="0" borderId="0" xfId="0" applyAlignment="1">
      <alignment horizontal="center"/>
    </xf>
    <xf numFmtId="166" fontId="12" fillId="0" borderId="0" xfId="1" applyFont="1" applyFill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40" fillId="0" borderId="5" xfId="0" applyFont="1" applyBorder="1" applyAlignment="1">
      <alignment horizontal="center"/>
    </xf>
    <xf numFmtId="0" fontId="55" fillId="0" borderId="57" xfId="0" applyFont="1" applyBorder="1" applyAlignment="1">
      <alignment horizontal="center"/>
    </xf>
    <xf numFmtId="0" fontId="55" fillId="0" borderId="58" xfId="0" applyFont="1" applyBorder="1" applyAlignment="1">
      <alignment horizontal="center"/>
    </xf>
    <xf numFmtId="0" fontId="55" fillId="0" borderId="59" xfId="0" applyFont="1" applyBorder="1" applyAlignment="1">
      <alignment horizontal="center"/>
    </xf>
    <xf numFmtId="0" fontId="55" fillId="0" borderId="0" xfId="0" applyFont="1" applyAlignment="1">
      <alignment horizontal="center"/>
    </xf>
    <xf numFmtId="0" fontId="40" fillId="0" borderId="38" xfId="0" applyFont="1" applyBorder="1" applyAlignment="1">
      <alignment horizontal="center" wrapText="1"/>
    </xf>
    <xf numFmtId="0" fontId="40" fillId="0" borderId="0" xfId="0" applyFont="1" applyAlignment="1">
      <alignment horizontal="center" wrapText="1"/>
    </xf>
    <xf numFmtId="0" fontId="40" fillId="0" borderId="39" xfId="0" applyFont="1" applyBorder="1" applyAlignment="1">
      <alignment horizontal="center" wrapText="1"/>
    </xf>
    <xf numFmtId="0" fontId="40" fillId="0" borderId="7" xfId="0" applyFont="1" applyBorder="1" applyAlignment="1">
      <alignment horizontal="center" wrapText="1"/>
    </xf>
    <xf numFmtId="0" fontId="40" fillId="0" borderId="42" xfId="0" applyFont="1" applyBorder="1" applyAlignment="1">
      <alignment horizontal="center" wrapText="1"/>
    </xf>
    <xf numFmtId="0" fontId="40" fillId="0" borderId="15" xfId="0" applyFont="1" applyBorder="1" applyAlignment="1">
      <alignment horizontal="center" wrapText="1"/>
    </xf>
    <xf numFmtId="10" fontId="5" fillId="0" borderId="0" xfId="294" applyNumberFormat="1" applyAlignment="1">
      <alignment horizontal="center" vertical="center"/>
    </xf>
    <xf numFmtId="0" fontId="5" fillId="0" borderId="0" xfId="294" applyAlignment="1">
      <alignment horizontal="center" vertical="center" wrapText="1"/>
    </xf>
    <xf numFmtId="0" fontId="5" fillId="0" borderId="0" xfId="294" applyAlignment="1">
      <alignment horizontal="center" vertical="center"/>
    </xf>
    <xf numFmtId="0" fontId="7" fillId="0" borderId="35" xfId="288" applyBorder="1" applyAlignment="1">
      <alignment horizontal="center" vertical="center" wrapText="1"/>
    </xf>
    <xf numFmtId="0" fontId="7" fillId="0" borderId="38" xfId="288" applyBorder="1" applyAlignment="1">
      <alignment horizontal="center" vertical="center" wrapText="1"/>
    </xf>
    <xf numFmtId="0" fontId="7" fillId="0" borderId="40" xfId="288" applyBorder="1" applyAlignment="1">
      <alignment horizontal="center" vertical="center" wrapText="1"/>
    </xf>
    <xf numFmtId="10" fontId="5" fillId="0" borderId="35" xfId="294" applyNumberFormat="1" applyBorder="1" applyAlignment="1">
      <alignment horizontal="center" vertical="center"/>
    </xf>
    <xf numFmtId="10" fontId="5" fillId="0" borderId="38" xfId="294" applyNumberFormat="1" applyBorder="1" applyAlignment="1">
      <alignment horizontal="center" vertical="center"/>
    </xf>
    <xf numFmtId="10" fontId="5" fillId="0" borderId="40" xfId="294" applyNumberFormat="1" applyBorder="1" applyAlignment="1">
      <alignment horizontal="center" vertical="center"/>
    </xf>
    <xf numFmtId="0" fontId="7" fillId="0" borderId="38" xfId="288" applyBorder="1" applyAlignment="1">
      <alignment horizontal="center"/>
    </xf>
    <xf numFmtId="0" fontId="1" fillId="0" borderId="0" xfId="288" applyFont="1" applyAlignment="1">
      <alignment horizontal="center"/>
    </xf>
    <xf numFmtId="10" fontId="50" fillId="0" borderId="0" xfId="290" applyNumberFormat="1" applyFont="1" applyAlignment="1">
      <alignment horizontal="center" vertical="center"/>
    </xf>
    <xf numFmtId="0" fontId="54" fillId="42" borderId="35" xfId="4" applyFont="1" applyFill="1" applyBorder="1" applyAlignment="1">
      <alignment horizontal="center" vertical="center"/>
    </xf>
    <xf numFmtId="0" fontId="54" fillId="42" borderId="37" xfId="4" applyFont="1" applyFill="1" applyBorder="1" applyAlignment="1">
      <alignment horizontal="center" vertical="center"/>
    </xf>
    <xf numFmtId="0" fontId="63" fillId="42" borderId="0" xfId="5" applyFont="1" applyFill="1" applyAlignment="1">
      <alignment horizontal="center"/>
    </xf>
    <xf numFmtId="0" fontId="40" fillId="0" borderId="0" xfId="5" applyFont="1"/>
    <xf numFmtId="0" fontId="54" fillId="42" borderId="0" xfId="4" applyFont="1" applyFill="1" applyAlignment="1">
      <alignment horizontal="center"/>
    </xf>
    <xf numFmtId="0" fontId="54" fillId="42" borderId="0" xfId="4" applyFont="1" applyFill="1" applyAlignment="1">
      <alignment horizontal="center" wrapText="1"/>
    </xf>
    <xf numFmtId="0" fontId="40" fillId="0" borderId="0" xfId="288" applyFont="1" applyAlignment="1">
      <alignment horizontal="center"/>
    </xf>
    <xf numFmtId="0" fontId="19" fillId="0" borderId="2" xfId="288" applyFont="1" applyBorder="1" applyAlignment="1">
      <alignment horizontal="center"/>
    </xf>
    <xf numFmtId="0" fontId="57" fillId="0" borderId="18" xfId="288" applyFont="1" applyBorder="1" applyAlignment="1">
      <alignment horizontal="center"/>
    </xf>
    <xf numFmtId="0" fontId="57" fillId="0" borderId="19" xfId="288" applyFont="1" applyBorder="1" applyAlignment="1">
      <alignment horizontal="center"/>
    </xf>
    <xf numFmtId="0" fontId="57" fillId="0" borderId="20" xfId="288" applyFont="1" applyBorder="1" applyAlignment="1">
      <alignment horizontal="center"/>
    </xf>
    <xf numFmtId="0" fontId="62" fillId="42" borderId="12" xfId="288" applyFont="1" applyFill="1" applyBorder="1" applyAlignment="1">
      <alignment horizontal="center"/>
    </xf>
    <xf numFmtId="0" fontId="62" fillId="42" borderId="13" xfId="288" applyFont="1" applyFill="1" applyBorder="1" applyAlignment="1">
      <alignment horizontal="center"/>
    </xf>
    <xf numFmtId="0" fontId="62" fillId="42" borderId="14" xfId="288" applyFont="1" applyFill="1" applyBorder="1" applyAlignment="1">
      <alignment horizontal="center"/>
    </xf>
    <xf numFmtId="0" fontId="63" fillId="42" borderId="18" xfId="288" applyFont="1" applyFill="1" applyBorder="1" applyAlignment="1">
      <alignment horizontal="center"/>
    </xf>
    <xf numFmtId="0" fontId="63" fillId="42" borderId="19" xfId="288" applyFont="1" applyFill="1" applyBorder="1" applyAlignment="1">
      <alignment horizontal="center"/>
    </xf>
    <xf numFmtId="0" fontId="63" fillId="42" borderId="20" xfId="288" applyFont="1" applyFill="1" applyBorder="1" applyAlignment="1">
      <alignment horizontal="center"/>
    </xf>
    <xf numFmtId="0" fontId="63" fillId="42" borderId="2" xfId="288" applyFont="1" applyFill="1" applyBorder="1" applyAlignment="1">
      <alignment horizontal="center"/>
    </xf>
    <xf numFmtId="0" fontId="63" fillId="42" borderId="21" xfId="288" applyFont="1" applyFill="1" applyBorder="1" applyAlignment="1">
      <alignment horizontal="center"/>
    </xf>
    <xf numFmtId="0" fontId="63" fillId="42" borderId="3" xfId="288" applyFont="1" applyFill="1" applyBorder="1" applyAlignment="1">
      <alignment horizontal="center"/>
    </xf>
    <xf numFmtId="0" fontId="63" fillId="42" borderId="4" xfId="288" applyFont="1" applyFill="1" applyBorder="1" applyAlignment="1">
      <alignment horizontal="center"/>
    </xf>
    <xf numFmtId="0" fontId="63" fillId="42" borderId="61" xfId="288" applyFont="1" applyFill="1" applyBorder="1" applyAlignment="1">
      <alignment horizontal="center"/>
    </xf>
    <xf numFmtId="0" fontId="63" fillId="42" borderId="15" xfId="288" applyFont="1" applyFill="1" applyBorder="1" applyAlignment="1">
      <alignment horizontal="center"/>
    </xf>
    <xf numFmtId="0" fontId="63" fillId="42" borderId="1" xfId="288" applyFont="1" applyFill="1" applyBorder="1" applyAlignment="1">
      <alignment horizontal="center"/>
    </xf>
    <xf numFmtId="0" fontId="63" fillId="42" borderId="16" xfId="288" applyFont="1" applyFill="1" applyBorder="1" applyAlignment="1">
      <alignment horizontal="center"/>
    </xf>
    <xf numFmtId="0" fontId="62" fillId="42" borderId="17" xfId="288" applyFont="1" applyFill="1" applyBorder="1" applyAlignment="1">
      <alignment horizontal="center" vertical="center"/>
    </xf>
    <xf numFmtId="175" fontId="63" fillId="42" borderId="18" xfId="288" applyNumberFormat="1" applyFont="1" applyFill="1" applyBorder="1" applyAlignment="1">
      <alignment horizontal="center" vertical="center" wrapText="1"/>
    </xf>
    <xf numFmtId="175" fontId="63" fillId="42" borderId="19" xfId="288" applyNumberFormat="1" applyFont="1" applyFill="1" applyBorder="1" applyAlignment="1">
      <alignment horizontal="center" vertical="center" wrapText="1"/>
    </xf>
    <xf numFmtId="175" fontId="63" fillId="42" borderId="20" xfId="288" applyNumberFormat="1" applyFont="1" applyFill="1" applyBorder="1" applyAlignment="1">
      <alignment horizontal="center" vertical="center" wrapText="1"/>
    </xf>
    <xf numFmtId="175" fontId="63" fillId="42" borderId="25" xfId="288" applyNumberFormat="1" applyFont="1" applyFill="1" applyBorder="1" applyAlignment="1">
      <alignment horizontal="center" vertical="center" wrapText="1"/>
    </xf>
    <xf numFmtId="0" fontId="63" fillId="42" borderId="18" xfId="288" applyFont="1" applyFill="1" applyBorder="1" applyAlignment="1">
      <alignment horizontal="center" vertical="center"/>
    </xf>
    <xf numFmtId="0" fontId="63" fillId="42" borderId="19" xfId="288" applyFont="1" applyFill="1" applyBorder="1" applyAlignment="1">
      <alignment horizontal="center" vertical="center"/>
    </xf>
    <xf numFmtId="0" fontId="63" fillId="42" borderId="20" xfId="288" applyFont="1" applyFill="1" applyBorder="1" applyAlignment="1">
      <alignment horizontal="center" vertical="center"/>
    </xf>
  </cellXfs>
  <cellStyles count="332">
    <cellStyle name="$" xfId="13" xr:uid="{00000000-0005-0000-0000-000000000000}"/>
    <cellStyle name="$.00" xfId="14" xr:uid="{00000000-0005-0000-0000-000001000000}"/>
    <cellStyle name="$_9. Rev2Cost_GDPIPI" xfId="15" xr:uid="{00000000-0005-0000-0000-000002000000}"/>
    <cellStyle name="$_9. Rev2Cost_GDPIPI 2" xfId="16" xr:uid="{00000000-0005-0000-0000-000003000000}"/>
    <cellStyle name="$_9. Rev2Cost_GDPIPI_6.2 CBR B" xfId="17" xr:uid="{00000000-0005-0000-0000-000004000000}"/>
    <cellStyle name="$_9. Rev2Cost_GDPIPI_9. Shared Tax - Rate Rider" xfId="18" xr:uid="{00000000-0005-0000-0000-000005000000}"/>
    <cellStyle name="$_lists" xfId="19" xr:uid="{00000000-0005-0000-0000-000006000000}"/>
    <cellStyle name="$_lists 2" xfId="20" xr:uid="{00000000-0005-0000-0000-000007000000}"/>
    <cellStyle name="$_lists_4. Current Monthly Fixed Charge" xfId="21" xr:uid="{00000000-0005-0000-0000-000008000000}"/>
    <cellStyle name="$_lists_6.2 CBR B" xfId="22" xr:uid="{00000000-0005-0000-0000-000009000000}"/>
    <cellStyle name="$_lists_9. Shared Tax - Rate Rider" xfId="23" xr:uid="{00000000-0005-0000-0000-00000A000000}"/>
    <cellStyle name="$_Sheet4" xfId="24" xr:uid="{00000000-0005-0000-0000-00000B000000}"/>
    <cellStyle name="$_Sheet4 2" xfId="25" xr:uid="{00000000-0005-0000-0000-00000C000000}"/>
    <cellStyle name="$_Sheet4_6.2 CBR B" xfId="26" xr:uid="{00000000-0005-0000-0000-00000D000000}"/>
    <cellStyle name="$_Sheet4_9. Shared Tax - Rate Rider" xfId="27" xr:uid="{00000000-0005-0000-0000-00000E000000}"/>
    <cellStyle name="$M" xfId="28" xr:uid="{00000000-0005-0000-0000-00000F000000}"/>
    <cellStyle name="$M.00" xfId="29" xr:uid="{00000000-0005-0000-0000-000010000000}"/>
    <cellStyle name="$M_9. Rev2Cost_GDPIPI" xfId="30" xr:uid="{00000000-0005-0000-0000-000011000000}"/>
    <cellStyle name="20% - Accent1" xfId="312" builtinId="30" customBuiltin="1"/>
    <cellStyle name="20% - Accent1 2" xfId="31" xr:uid="{00000000-0005-0000-0000-000012000000}"/>
    <cellStyle name="20% - Accent1 2 2" xfId="32" xr:uid="{00000000-0005-0000-0000-000013000000}"/>
    <cellStyle name="20% - Accent1 2_6.2 CBR B" xfId="33" xr:uid="{00000000-0005-0000-0000-000014000000}"/>
    <cellStyle name="20% - Accent1 3" xfId="34" xr:uid="{00000000-0005-0000-0000-000015000000}"/>
    <cellStyle name="20% - Accent2" xfId="315" builtinId="34" customBuiltin="1"/>
    <cellStyle name="20% - Accent2 2" xfId="35" xr:uid="{00000000-0005-0000-0000-000016000000}"/>
    <cellStyle name="20% - Accent2 2 2" xfId="36" xr:uid="{00000000-0005-0000-0000-000017000000}"/>
    <cellStyle name="20% - Accent2 2_6.2 CBR B" xfId="37" xr:uid="{00000000-0005-0000-0000-000018000000}"/>
    <cellStyle name="20% - Accent2 3" xfId="38" xr:uid="{00000000-0005-0000-0000-000019000000}"/>
    <cellStyle name="20% - Accent3" xfId="318" builtinId="38" customBuiltin="1"/>
    <cellStyle name="20% - Accent3 2" xfId="39" xr:uid="{00000000-0005-0000-0000-00001A000000}"/>
    <cellStyle name="20% - Accent3 2 2" xfId="40" xr:uid="{00000000-0005-0000-0000-00001B000000}"/>
    <cellStyle name="20% - Accent3 2_6.2 CBR B" xfId="41" xr:uid="{00000000-0005-0000-0000-00001C000000}"/>
    <cellStyle name="20% - Accent3 3" xfId="42" xr:uid="{00000000-0005-0000-0000-00001D000000}"/>
    <cellStyle name="20% - Accent4" xfId="321" builtinId="42" customBuiltin="1"/>
    <cellStyle name="20% - Accent4 2" xfId="43" xr:uid="{00000000-0005-0000-0000-00001E000000}"/>
    <cellStyle name="20% - Accent4 2 2" xfId="44" xr:uid="{00000000-0005-0000-0000-00001F000000}"/>
    <cellStyle name="20% - Accent4 2_6.2 CBR B" xfId="45" xr:uid="{00000000-0005-0000-0000-000020000000}"/>
    <cellStyle name="20% - Accent4 3" xfId="46" xr:uid="{00000000-0005-0000-0000-000021000000}"/>
    <cellStyle name="20% - Accent5" xfId="324" builtinId="46" customBuiltin="1"/>
    <cellStyle name="20% - Accent5 2" xfId="47" xr:uid="{00000000-0005-0000-0000-000022000000}"/>
    <cellStyle name="20% - Accent5 2 2" xfId="48" xr:uid="{00000000-0005-0000-0000-000023000000}"/>
    <cellStyle name="20% - Accent5 2_6.2 CBR B" xfId="49" xr:uid="{00000000-0005-0000-0000-000024000000}"/>
    <cellStyle name="20% - Accent5 3" xfId="50" xr:uid="{00000000-0005-0000-0000-000025000000}"/>
    <cellStyle name="20% - Accent6" xfId="327" builtinId="50" customBuiltin="1"/>
    <cellStyle name="20% - Accent6 2" xfId="51" xr:uid="{00000000-0005-0000-0000-000026000000}"/>
    <cellStyle name="20% - Accent6 2 2" xfId="52" xr:uid="{00000000-0005-0000-0000-000027000000}"/>
    <cellStyle name="20% - Accent6 2_6.2 CBR B" xfId="53" xr:uid="{00000000-0005-0000-0000-000028000000}"/>
    <cellStyle name="20% - Accent6 3" xfId="54" xr:uid="{00000000-0005-0000-0000-000029000000}"/>
    <cellStyle name="40% - Accent1" xfId="313" builtinId="31" customBuiltin="1"/>
    <cellStyle name="40% - Accent1 2" xfId="55" xr:uid="{00000000-0005-0000-0000-00002A000000}"/>
    <cellStyle name="40% - Accent1 2 2" xfId="56" xr:uid="{00000000-0005-0000-0000-00002B000000}"/>
    <cellStyle name="40% - Accent1 2_6.2 CBR B" xfId="57" xr:uid="{00000000-0005-0000-0000-00002C000000}"/>
    <cellStyle name="40% - Accent1 3" xfId="58" xr:uid="{00000000-0005-0000-0000-00002D000000}"/>
    <cellStyle name="40% - Accent2" xfId="316" builtinId="35" customBuiltin="1"/>
    <cellStyle name="40% - Accent2 2" xfId="59" xr:uid="{00000000-0005-0000-0000-00002E000000}"/>
    <cellStyle name="40% - Accent2 2 2" xfId="60" xr:uid="{00000000-0005-0000-0000-00002F000000}"/>
    <cellStyle name="40% - Accent2 2_6.2 CBR B" xfId="61" xr:uid="{00000000-0005-0000-0000-000030000000}"/>
    <cellStyle name="40% - Accent2 3" xfId="62" xr:uid="{00000000-0005-0000-0000-000031000000}"/>
    <cellStyle name="40% - Accent3" xfId="319" builtinId="39" customBuiltin="1"/>
    <cellStyle name="40% - Accent3 2" xfId="63" xr:uid="{00000000-0005-0000-0000-000032000000}"/>
    <cellStyle name="40% - Accent3 2 2" xfId="64" xr:uid="{00000000-0005-0000-0000-000033000000}"/>
    <cellStyle name="40% - Accent3 2_6.2 CBR B" xfId="65" xr:uid="{00000000-0005-0000-0000-000034000000}"/>
    <cellStyle name="40% - Accent3 3" xfId="66" xr:uid="{00000000-0005-0000-0000-000035000000}"/>
    <cellStyle name="40% - Accent4" xfId="322" builtinId="43" customBuiltin="1"/>
    <cellStyle name="40% - Accent4 2" xfId="67" xr:uid="{00000000-0005-0000-0000-000036000000}"/>
    <cellStyle name="40% - Accent4 2 2" xfId="68" xr:uid="{00000000-0005-0000-0000-000037000000}"/>
    <cellStyle name="40% - Accent4 2_6.2 CBR B" xfId="69" xr:uid="{00000000-0005-0000-0000-000038000000}"/>
    <cellStyle name="40% - Accent4 3" xfId="70" xr:uid="{00000000-0005-0000-0000-000039000000}"/>
    <cellStyle name="40% - Accent5" xfId="325" builtinId="47" customBuiltin="1"/>
    <cellStyle name="40% - Accent5 2" xfId="71" xr:uid="{00000000-0005-0000-0000-00003A000000}"/>
    <cellStyle name="40% - Accent5 2 2" xfId="72" xr:uid="{00000000-0005-0000-0000-00003B000000}"/>
    <cellStyle name="40% - Accent5 2_6.2 CBR B" xfId="73" xr:uid="{00000000-0005-0000-0000-00003C000000}"/>
    <cellStyle name="40% - Accent5 3" xfId="74" xr:uid="{00000000-0005-0000-0000-00003D000000}"/>
    <cellStyle name="40% - Accent6" xfId="328" builtinId="51" customBuiltin="1"/>
    <cellStyle name="40% - Accent6 2" xfId="75" xr:uid="{00000000-0005-0000-0000-00003E000000}"/>
    <cellStyle name="40% - Accent6 2 2" xfId="76" xr:uid="{00000000-0005-0000-0000-00003F000000}"/>
    <cellStyle name="40% - Accent6 2_6.2 CBR B" xfId="77" xr:uid="{00000000-0005-0000-0000-000040000000}"/>
    <cellStyle name="40% - Accent6 3" xfId="78" xr:uid="{00000000-0005-0000-0000-000041000000}"/>
    <cellStyle name="60% - Accent1 2" xfId="79" xr:uid="{00000000-0005-0000-0000-000042000000}"/>
    <cellStyle name="60% - Accent2 2" xfId="80" xr:uid="{00000000-0005-0000-0000-000043000000}"/>
    <cellStyle name="60% - Accent3 2" xfId="81" xr:uid="{00000000-0005-0000-0000-000044000000}"/>
    <cellStyle name="60% - Accent4 2" xfId="82" xr:uid="{00000000-0005-0000-0000-000045000000}"/>
    <cellStyle name="60% - Accent5 2" xfId="83" xr:uid="{00000000-0005-0000-0000-000046000000}"/>
    <cellStyle name="60% - Accent6 2" xfId="84" xr:uid="{00000000-0005-0000-0000-000047000000}"/>
    <cellStyle name="Accent1" xfId="311" builtinId="29" customBuiltin="1"/>
    <cellStyle name="Accent1 2" xfId="85" xr:uid="{00000000-0005-0000-0000-000048000000}"/>
    <cellStyle name="Accent2" xfId="314" builtinId="33" customBuiltin="1"/>
    <cellStyle name="Accent2 2" xfId="86" xr:uid="{00000000-0005-0000-0000-000049000000}"/>
    <cellStyle name="Accent3" xfId="317" builtinId="37" customBuiltin="1"/>
    <cellStyle name="Accent3 2" xfId="87" xr:uid="{00000000-0005-0000-0000-00004A000000}"/>
    <cellStyle name="Accent4" xfId="320" builtinId="41" customBuiltin="1"/>
    <cellStyle name="Accent4 2" xfId="88" xr:uid="{00000000-0005-0000-0000-00004B000000}"/>
    <cellStyle name="Accent5" xfId="323" builtinId="45" customBuiltin="1"/>
    <cellStyle name="Accent5 2" xfId="89" xr:uid="{00000000-0005-0000-0000-00004C000000}"/>
    <cellStyle name="Accent6" xfId="326" builtinId="49" customBuiltin="1"/>
    <cellStyle name="Accent6 2" xfId="90" xr:uid="{00000000-0005-0000-0000-00004D000000}"/>
    <cellStyle name="Bad" xfId="302" builtinId="27" customBuiltin="1"/>
    <cellStyle name="Bad 2" xfId="91" xr:uid="{00000000-0005-0000-0000-00004E000000}"/>
    <cellStyle name="Calculation" xfId="305" builtinId="22" customBuiltin="1"/>
    <cellStyle name="Calculation 2" xfId="92" xr:uid="{00000000-0005-0000-0000-00004F000000}"/>
    <cellStyle name="Check Cell" xfId="307" builtinId="23" customBuiltin="1"/>
    <cellStyle name="Check Cell 2" xfId="93" xr:uid="{00000000-0005-0000-0000-000050000000}"/>
    <cellStyle name="Comma" xfId="1" builtinId="3"/>
    <cellStyle name="Comma 19" xfId="331" xr:uid="{4DCE20C0-79C8-45B6-A5AB-6CFD4A11F733}"/>
    <cellStyle name="Comma 2" xfId="12" xr:uid="{00000000-0005-0000-0000-000052000000}"/>
    <cellStyle name="Comma 2 2" xfId="94" xr:uid="{00000000-0005-0000-0000-000053000000}"/>
    <cellStyle name="Comma 2 2 2" xfId="95" xr:uid="{00000000-0005-0000-0000-000054000000}"/>
    <cellStyle name="Comma 2 2 2 2" xfId="96" xr:uid="{00000000-0005-0000-0000-000055000000}"/>
    <cellStyle name="Comma 2 2 3" xfId="97" xr:uid="{00000000-0005-0000-0000-000056000000}"/>
    <cellStyle name="Comma 2 2 3 2" xfId="98" xr:uid="{00000000-0005-0000-0000-000057000000}"/>
    <cellStyle name="Comma 2 2 4" xfId="99" xr:uid="{00000000-0005-0000-0000-000058000000}"/>
    <cellStyle name="Comma 2 2 5" xfId="100" xr:uid="{00000000-0005-0000-0000-000059000000}"/>
    <cellStyle name="Comma 2 2 6" xfId="101" xr:uid="{00000000-0005-0000-0000-00005A000000}"/>
    <cellStyle name="Comma 2 2_Database" xfId="102" xr:uid="{00000000-0005-0000-0000-00005B000000}"/>
    <cellStyle name="Comma 2 3" xfId="291" xr:uid="{77A7F8B8-0C66-4690-B7D6-5885061729DA}"/>
    <cellStyle name="Comma 3" xfId="11" xr:uid="{00000000-0005-0000-0000-00005C000000}"/>
    <cellStyle name="Comma 3 2" xfId="103" xr:uid="{00000000-0005-0000-0000-00005D000000}"/>
    <cellStyle name="Comma 3 2 2" xfId="104" xr:uid="{00000000-0005-0000-0000-00005E000000}"/>
    <cellStyle name="Comma 3 3" xfId="105" xr:uid="{00000000-0005-0000-0000-00005F000000}"/>
    <cellStyle name="Comma 3 4" xfId="106" xr:uid="{00000000-0005-0000-0000-000060000000}"/>
    <cellStyle name="Comma 4" xfId="107" xr:uid="{00000000-0005-0000-0000-000061000000}"/>
    <cellStyle name="Comma 4 2" xfId="108" xr:uid="{00000000-0005-0000-0000-000062000000}"/>
    <cellStyle name="Comma 4 3" xfId="109" xr:uid="{00000000-0005-0000-0000-000063000000}"/>
    <cellStyle name="Comma 4 6" xfId="110" xr:uid="{00000000-0005-0000-0000-000064000000}"/>
    <cellStyle name="Comma 4 6 2" xfId="111" xr:uid="{00000000-0005-0000-0000-000065000000}"/>
    <cellStyle name="Comma 4 6 3" xfId="112" xr:uid="{00000000-0005-0000-0000-000066000000}"/>
    <cellStyle name="Comma 4 6 4" xfId="113" xr:uid="{00000000-0005-0000-0000-000067000000}"/>
    <cellStyle name="Comma 4 6 5" xfId="114" xr:uid="{00000000-0005-0000-0000-000068000000}"/>
    <cellStyle name="Comma 4 6 6" xfId="115" xr:uid="{00000000-0005-0000-0000-000069000000}"/>
    <cellStyle name="Comma 44" xfId="292" xr:uid="{1D32C292-B117-44A2-ABF0-33E04226B18E}"/>
    <cellStyle name="Comma 5" xfId="116" xr:uid="{00000000-0005-0000-0000-00006A000000}"/>
    <cellStyle name="Comma 5 14" xfId="8" xr:uid="{00000000-0005-0000-0000-00006B000000}"/>
    <cellStyle name="Comma 5 2" xfId="117" xr:uid="{00000000-0005-0000-0000-00006C000000}"/>
    <cellStyle name="Comma 6" xfId="118" xr:uid="{00000000-0005-0000-0000-00006D000000}"/>
    <cellStyle name="Comma 7" xfId="119" xr:uid="{00000000-0005-0000-0000-00006E000000}"/>
    <cellStyle name="Comma 8" xfId="289" xr:uid="{873523B7-D68D-4898-AB0D-FE55FBFE6AA1}"/>
    <cellStyle name="Comma 8 8" xfId="296" xr:uid="{B083BF34-41B3-475B-AAB9-CE0D5F44F3E0}"/>
    <cellStyle name="Comma0" xfId="120" xr:uid="{00000000-0005-0000-0000-00006F000000}"/>
    <cellStyle name="Currency 11" xfId="121" xr:uid="{00000000-0005-0000-0000-000070000000}"/>
    <cellStyle name="Currency 2" xfId="122" xr:uid="{00000000-0005-0000-0000-000071000000}"/>
    <cellStyle name="Currency 2 2" xfId="123" xr:uid="{00000000-0005-0000-0000-000072000000}"/>
    <cellStyle name="Currency 2 3" xfId="124" xr:uid="{00000000-0005-0000-0000-000073000000}"/>
    <cellStyle name="Currency 3" xfId="125" xr:uid="{00000000-0005-0000-0000-000074000000}"/>
    <cellStyle name="Currency 3 2" xfId="126" xr:uid="{00000000-0005-0000-0000-000075000000}"/>
    <cellStyle name="Currency 3 3" xfId="127" xr:uid="{00000000-0005-0000-0000-000076000000}"/>
    <cellStyle name="Currency 3 4" xfId="128" xr:uid="{00000000-0005-0000-0000-000077000000}"/>
    <cellStyle name="Currency 3 5" xfId="129" xr:uid="{00000000-0005-0000-0000-000078000000}"/>
    <cellStyle name="Currency 4" xfId="130" xr:uid="{00000000-0005-0000-0000-000079000000}"/>
    <cellStyle name="Currency 4 2" xfId="131" xr:uid="{00000000-0005-0000-0000-00007A000000}"/>
    <cellStyle name="Currency 4 2 2" xfId="132" xr:uid="{00000000-0005-0000-0000-00007B000000}"/>
    <cellStyle name="Currency 4 3" xfId="133" xr:uid="{00000000-0005-0000-0000-00007C000000}"/>
    <cellStyle name="Currency 4 3 2" xfId="134" xr:uid="{00000000-0005-0000-0000-00007D000000}"/>
    <cellStyle name="Currency 4 4" xfId="135" xr:uid="{00000000-0005-0000-0000-00007E000000}"/>
    <cellStyle name="Currency 4 5" xfId="136" xr:uid="{00000000-0005-0000-0000-00007F000000}"/>
    <cellStyle name="Currency 4 6" xfId="137" xr:uid="{00000000-0005-0000-0000-000080000000}"/>
    <cellStyle name="Currency 5" xfId="138" xr:uid="{00000000-0005-0000-0000-000081000000}"/>
    <cellStyle name="Currency 5 2" xfId="139" xr:uid="{00000000-0005-0000-0000-000082000000}"/>
    <cellStyle name="Currency 6" xfId="140" xr:uid="{00000000-0005-0000-0000-000083000000}"/>
    <cellStyle name="Currency 6 2" xfId="141" xr:uid="{00000000-0005-0000-0000-000084000000}"/>
    <cellStyle name="Currency 7" xfId="142" xr:uid="{00000000-0005-0000-0000-000085000000}"/>
    <cellStyle name="Currency 8" xfId="143" xr:uid="{00000000-0005-0000-0000-000086000000}"/>
    <cellStyle name="Currency 9" xfId="144" xr:uid="{00000000-0005-0000-0000-000087000000}"/>
    <cellStyle name="Currency0" xfId="145" xr:uid="{00000000-0005-0000-0000-000088000000}"/>
    <cellStyle name="Date" xfId="146" xr:uid="{00000000-0005-0000-0000-000089000000}"/>
    <cellStyle name="Explanatory Text" xfId="309" builtinId="53" customBuiltin="1"/>
    <cellStyle name="Explanatory Text 2" xfId="147" xr:uid="{00000000-0005-0000-0000-00008A000000}"/>
    <cellStyle name="Fixed" xfId="148" xr:uid="{00000000-0005-0000-0000-00008B000000}"/>
    <cellStyle name="Good" xfId="301" builtinId="26" customBuiltin="1"/>
    <cellStyle name="Good 2" xfId="149" xr:uid="{00000000-0005-0000-0000-00008C000000}"/>
    <cellStyle name="Grey" xfId="150" xr:uid="{00000000-0005-0000-0000-00008D000000}"/>
    <cellStyle name="Heading 1" xfId="297" builtinId="16" customBuiltin="1"/>
    <cellStyle name="Heading 1 2" xfId="151" xr:uid="{00000000-0005-0000-0000-00008E000000}"/>
    <cellStyle name="Heading 2" xfId="298" builtinId="17" customBuiltin="1"/>
    <cellStyle name="Heading 2 2" xfId="152" xr:uid="{00000000-0005-0000-0000-00008F000000}"/>
    <cellStyle name="Heading 3" xfId="299" builtinId="18" customBuiltin="1"/>
    <cellStyle name="Heading 3 2" xfId="153" xr:uid="{00000000-0005-0000-0000-000090000000}"/>
    <cellStyle name="Heading 4" xfId="300" builtinId="19" customBuiltin="1"/>
    <cellStyle name="Heading 4 2" xfId="154" xr:uid="{00000000-0005-0000-0000-000091000000}"/>
    <cellStyle name="Hyperlink" xfId="287" builtinId="8"/>
    <cellStyle name="Hyperlink 2" xfId="155" xr:uid="{00000000-0005-0000-0000-000092000000}"/>
    <cellStyle name="Input" xfId="303" builtinId="20" customBuiltin="1"/>
    <cellStyle name="Input [yellow]" xfId="156" xr:uid="{00000000-0005-0000-0000-000093000000}"/>
    <cellStyle name="Input 2" xfId="157" xr:uid="{00000000-0005-0000-0000-000094000000}"/>
    <cellStyle name="Linked Cell" xfId="306" builtinId="24" customBuiltin="1"/>
    <cellStyle name="Linked Cell 2" xfId="158" xr:uid="{00000000-0005-0000-0000-000095000000}"/>
    <cellStyle name="M" xfId="159" xr:uid="{00000000-0005-0000-0000-000096000000}"/>
    <cellStyle name="M.00" xfId="160" xr:uid="{00000000-0005-0000-0000-000097000000}"/>
    <cellStyle name="M_9. Rev2Cost_GDPIPI" xfId="161" xr:uid="{00000000-0005-0000-0000-000098000000}"/>
    <cellStyle name="M_9. Rev2Cost_GDPIPI 2" xfId="162" xr:uid="{00000000-0005-0000-0000-000099000000}"/>
    <cellStyle name="M_9. Rev2Cost_GDPIPI_6.2 CBR B" xfId="163" xr:uid="{00000000-0005-0000-0000-00009A000000}"/>
    <cellStyle name="M_9. Rev2Cost_GDPIPI_9. Shared Tax - Rate Rider" xfId="164" xr:uid="{00000000-0005-0000-0000-00009B000000}"/>
    <cellStyle name="M_lists" xfId="165" xr:uid="{00000000-0005-0000-0000-00009C000000}"/>
    <cellStyle name="M_lists 2" xfId="166" xr:uid="{00000000-0005-0000-0000-00009D000000}"/>
    <cellStyle name="M_lists_4. Current Monthly Fixed Charge" xfId="167" xr:uid="{00000000-0005-0000-0000-00009E000000}"/>
    <cellStyle name="M_lists_6.2 CBR B" xfId="168" xr:uid="{00000000-0005-0000-0000-00009F000000}"/>
    <cellStyle name="M_lists_9. Shared Tax - Rate Rider" xfId="169" xr:uid="{00000000-0005-0000-0000-0000A0000000}"/>
    <cellStyle name="M_Sheet4" xfId="170" xr:uid="{00000000-0005-0000-0000-0000A1000000}"/>
    <cellStyle name="M_Sheet4 2" xfId="171" xr:uid="{00000000-0005-0000-0000-0000A2000000}"/>
    <cellStyle name="M_Sheet4_6.2 CBR B" xfId="172" xr:uid="{00000000-0005-0000-0000-0000A3000000}"/>
    <cellStyle name="M_Sheet4_9. Shared Tax - Rate Rider" xfId="173" xr:uid="{00000000-0005-0000-0000-0000A4000000}"/>
    <cellStyle name="Neutral 2" xfId="174" xr:uid="{00000000-0005-0000-0000-0000A5000000}"/>
    <cellStyle name="Normal" xfId="0" builtinId="0"/>
    <cellStyle name="Normal - Style1" xfId="175" xr:uid="{00000000-0005-0000-0000-0000A7000000}"/>
    <cellStyle name="Normal 10" xfId="176" xr:uid="{00000000-0005-0000-0000-0000A8000000}"/>
    <cellStyle name="Normal 10 12" xfId="177" xr:uid="{00000000-0005-0000-0000-0000A9000000}"/>
    <cellStyle name="Normal 11" xfId="178" xr:uid="{00000000-0005-0000-0000-0000AA000000}"/>
    <cellStyle name="Normal 12" xfId="179" xr:uid="{00000000-0005-0000-0000-0000AB000000}"/>
    <cellStyle name="Normal 13" xfId="10" xr:uid="{00000000-0005-0000-0000-0000AC000000}"/>
    <cellStyle name="Normal 13 6" xfId="180" xr:uid="{00000000-0005-0000-0000-0000AD000000}"/>
    <cellStyle name="Normal 14" xfId="288" xr:uid="{50BAB62D-044A-4AFC-ABCD-E8EF18B09627}"/>
    <cellStyle name="Normal 14 2" xfId="294" xr:uid="{929D0C60-974A-42FE-8F70-7C2B04608D06}"/>
    <cellStyle name="Normal 15" xfId="181" xr:uid="{00000000-0005-0000-0000-0000AE000000}"/>
    <cellStyle name="Normal 16" xfId="329" xr:uid="{167E6E16-E207-4EAD-9C07-E267CFE5A933}"/>
    <cellStyle name="Normal 167" xfId="182" xr:uid="{00000000-0005-0000-0000-0000AF000000}"/>
    <cellStyle name="Normal 167 2" xfId="183" xr:uid="{00000000-0005-0000-0000-0000B0000000}"/>
    <cellStyle name="Normal 167_6.2 CBR B" xfId="184" xr:uid="{00000000-0005-0000-0000-0000B1000000}"/>
    <cellStyle name="Normal 168" xfId="185" xr:uid="{00000000-0005-0000-0000-0000B2000000}"/>
    <cellStyle name="Normal 168 2" xfId="186" xr:uid="{00000000-0005-0000-0000-0000B3000000}"/>
    <cellStyle name="Normal 168_6.2 CBR B" xfId="187" xr:uid="{00000000-0005-0000-0000-0000B4000000}"/>
    <cellStyle name="Normal 169" xfId="188" xr:uid="{00000000-0005-0000-0000-0000B5000000}"/>
    <cellStyle name="Normal 169 2" xfId="189" xr:uid="{00000000-0005-0000-0000-0000B6000000}"/>
    <cellStyle name="Normal 169_6.2 CBR B" xfId="190" xr:uid="{00000000-0005-0000-0000-0000B7000000}"/>
    <cellStyle name="Normal 170" xfId="191" xr:uid="{00000000-0005-0000-0000-0000B8000000}"/>
    <cellStyle name="Normal 170 2" xfId="192" xr:uid="{00000000-0005-0000-0000-0000B9000000}"/>
    <cellStyle name="Normal 170_6.2 CBR B" xfId="193" xr:uid="{00000000-0005-0000-0000-0000BA000000}"/>
    <cellStyle name="Normal 171" xfId="194" xr:uid="{00000000-0005-0000-0000-0000BB000000}"/>
    <cellStyle name="Normal 171 2" xfId="195" xr:uid="{00000000-0005-0000-0000-0000BC000000}"/>
    <cellStyle name="Normal 171_6.2 CBR B" xfId="196" xr:uid="{00000000-0005-0000-0000-0000BD000000}"/>
    <cellStyle name="Normal 19" xfId="197" xr:uid="{00000000-0005-0000-0000-0000BE000000}"/>
    <cellStyle name="Normal 2" xfId="198" xr:uid="{00000000-0005-0000-0000-0000BF000000}"/>
    <cellStyle name="Normal 2 2 2 2 2" xfId="4" xr:uid="{00000000-0005-0000-0000-0000C0000000}"/>
    <cellStyle name="Normal 25" xfId="199" xr:uid="{00000000-0005-0000-0000-0000C1000000}"/>
    <cellStyle name="Normal 3" xfId="5" xr:uid="{00000000-0005-0000-0000-0000C2000000}"/>
    <cellStyle name="Normal 3 2" xfId="201" xr:uid="{00000000-0005-0000-0000-0000C3000000}"/>
    <cellStyle name="Normal 3 3" xfId="200" xr:uid="{00000000-0005-0000-0000-0000C4000000}"/>
    <cellStyle name="Normal 3_6.2 CBR B" xfId="202" xr:uid="{00000000-0005-0000-0000-0000C5000000}"/>
    <cellStyle name="Normal 30" xfId="203" xr:uid="{00000000-0005-0000-0000-0000C6000000}"/>
    <cellStyle name="Normal 31" xfId="204" xr:uid="{00000000-0005-0000-0000-0000C7000000}"/>
    <cellStyle name="Normal 4" xfId="205" xr:uid="{00000000-0005-0000-0000-0000C8000000}"/>
    <cellStyle name="Normal 4 2" xfId="206" xr:uid="{00000000-0005-0000-0000-0000C9000000}"/>
    <cellStyle name="Normal 4_6.2 CBR B" xfId="207" xr:uid="{00000000-0005-0000-0000-0000CA000000}"/>
    <cellStyle name="Normal 41" xfId="208" xr:uid="{00000000-0005-0000-0000-0000CB000000}"/>
    <cellStyle name="Normal 42" xfId="209" xr:uid="{00000000-0005-0000-0000-0000CC000000}"/>
    <cellStyle name="Normal 5" xfId="210" xr:uid="{00000000-0005-0000-0000-0000CD000000}"/>
    <cellStyle name="Normal 5 2" xfId="211" xr:uid="{00000000-0005-0000-0000-0000CE000000}"/>
    <cellStyle name="Normal 5 2 2" xfId="212" xr:uid="{00000000-0005-0000-0000-0000CF000000}"/>
    <cellStyle name="Normal 5 2_6.2 CBR B" xfId="213" xr:uid="{00000000-0005-0000-0000-0000D0000000}"/>
    <cellStyle name="Normal 5 3" xfId="214" xr:uid="{00000000-0005-0000-0000-0000D1000000}"/>
    <cellStyle name="Normal 5_6.2 CBR B" xfId="215" xr:uid="{00000000-0005-0000-0000-0000D2000000}"/>
    <cellStyle name="Normal 50" xfId="216" xr:uid="{00000000-0005-0000-0000-0000D3000000}"/>
    <cellStyle name="Normal 51" xfId="217" xr:uid="{00000000-0005-0000-0000-0000D4000000}"/>
    <cellStyle name="Normal 52" xfId="218" xr:uid="{00000000-0005-0000-0000-0000D5000000}"/>
    <cellStyle name="Normal 6" xfId="219" xr:uid="{00000000-0005-0000-0000-0000D6000000}"/>
    <cellStyle name="Normal 6 2" xfId="220" xr:uid="{00000000-0005-0000-0000-0000D7000000}"/>
    <cellStyle name="Normal 6 3" xfId="221" xr:uid="{00000000-0005-0000-0000-0000D8000000}"/>
    <cellStyle name="Normal 6 4" xfId="222" xr:uid="{00000000-0005-0000-0000-0000D9000000}"/>
    <cellStyle name="Normal 6 5" xfId="223" xr:uid="{00000000-0005-0000-0000-0000DA000000}"/>
    <cellStyle name="Normal 6_6.2 CBR B" xfId="224" xr:uid="{00000000-0005-0000-0000-0000DB000000}"/>
    <cellStyle name="Normal 60" xfId="225" xr:uid="{00000000-0005-0000-0000-0000DC000000}"/>
    <cellStyle name="Normal 61" xfId="226" xr:uid="{00000000-0005-0000-0000-0000DD000000}"/>
    <cellStyle name="Normal 67" xfId="2" xr:uid="{00000000-0005-0000-0000-0000DE000000}"/>
    <cellStyle name="Normal 67 2" xfId="9" xr:uid="{00000000-0005-0000-0000-0000DF000000}"/>
    <cellStyle name="Normal 67 3" xfId="286" xr:uid="{00000000-0005-0000-0000-0000E0000000}"/>
    <cellStyle name="Normal 7" xfId="227" xr:uid="{00000000-0005-0000-0000-0000E1000000}"/>
    <cellStyle name="Normal 8" xfId="228" xr:uid="{00000000-0005-0000-0000-0000E2000000}"/>
    <cellStyle name="Normal 9" xfId="229" xr:uid="{00000000-0005-0000-0000-0000E3000000}"/>
    <cellStyle name="Note 2" xfId="230" xr:uid="{00000000-0005-0000-0000-0000E4000000}"/>
    <cellStyle name="Note 2 2" xfId="231" xr:uid="{00000000-0005-0000-0000-0000E5000000}"/>
    <cellStyle name="Note 3" xfId="232" xr:uid="{00000000-0005-0000-0000-0000E6000000}"/>
    <cellStyle name="Note 4" xfId="330" xr:uid="{A593146B-42AD-4699-8836-9048BEA83F73}"/>
    <cellStyle name="Output" xfId="304" builtinId="21" customBuiltin="1"/>
    <cellStyle name="Output 2" xfId="233" xr:uid="{00000000-0005-0000-0000-0000E7000000}"/>
    <cellStyle name="Percent" xfId="3" builtinId="5"/>
    <cellStyle name="Percent [2]" xfId="234" xr:uid="{00000000-0005-0000-0000-0000E9000000}"/>
    <cellStyle name="Percent 10" xfId="235" xr:uid="{00000000-0005-0000-0000-0000EA000000}"/>
    <cellStyle name="Percent 10 2" xfId="293" xr:uid="{C662090B-13B3-42B0-B4EF-0B771FEFAA10}"/>
    <cellStyle name="Percent 11" xfId="236" xr:uid="{00000000-0005-0000-0000-0000EB000000}"/>
    <cellStyle name="Percent 12" xfId="237" xr:uid="{00000000-0005-0000-0000-0000EC000000}"/>
    <cellStyle name="Percent 13" xfId="238" xr:uid="{00000000-0005-0000-0000-0000ED000000}"/>
    <cellStyle name="Percent 13 6" xfId="239" xr:uid="{00000000-0005-0000-0000-0000EE000000}"/>
    <cellStyle name="Percent 14" xfId="240" xr:uid="{00000000-0005-0000-0000-0000EF000000}"/>
    <cellStyle name="Percent 15" xfId="241" xr:uid="{00000000-0005-0000-0000-0000F0000000}"/>
    <cellStyle name="Percent 16" xfId="242" xr:uid="{00000000-0005-0000-0000-0000F1000000}"/>
    <cellStyle name="Percent 17" xfId="243" xr:uid="{00000000-0005-0000-0000-0000F2000000}"/>
    <cellStyle name="Percent 18" xfId="244" xr:uid="{00000000-0005-0000-0000-0000F3000000}"/>
    <cellStyle name="Percent 19" xfId="245" xr:uid="{00000000-0005-0000-0000-0000F4000000}"/>
    <cellStyle name="Percent 2" xfId="246" xr:uid="{00000000-0005-0000-0000-0000F5000000}"/>
    <cellStyle name="Percent 20" xfId="247" xr:uid="{00000000-0005-0000-0000-0000F6000000}"/>
    <cellStyle name="Percent 21" xfId="248" xr:uid="{00000000-0005-0000-0000-0000F7000000}"/>
    <cellStyle name="Percent 22" xfId="249" xr:uid="{00000000-0005-0000-0000-0000F8000000}"/>
    <cellStyle name="Percent 23" xfId="250" xr:uid="{00000000-0005-0000-0000-0000F9000000}"/>
    <cellStyle name="Percent 24" xfId="251" xr:uid="{00000000-0005-0000-0000-0000FA000000}"/>
    <cellStyle name="Percent 25" xfId="252" xr:uid="{00000000-0005-0000-0000-0000FB000000}"/>
    <cellStyle name="Percent 26" xfId="253" xr:uid="{00000000-0005-0000-0000-0000FC000000}"/>
    <cellStyle name="Percent 27" xfId="254" xr:uid="{00000000-0005-0000-0000-0000FD000000}"/>
    <cellStyle name="Percent 28" xfId="255" xr:uid="{00000000-0005-0000-0000-0000FE000000}"/>
    <cellStyle name="Percent 29" xfId="256" xr:uid="{00000000-0005-0000-0000-0000FF000000}"/>
    <cellStyle name="Percent 3" xfId="6" xr:uid="{00000000-0005-0000-0000-000000010000}"/>
    <cellStyle name="Percent 3 2" xfId="258" xr:uid="{00000000-0005-0000-0000-000001010000}"/>
    <cellStyle name="Percent 3 2 2" xfId="259" xr:uid="{00000000-0005-0000-0000-000002010000}"/>
    <cellStyle name="Percent 3 3" xfId="260" xr:uid="{00000000-0005-0000-0000-000003010000}"/>
    <cellStyle name="Percent 3 4" xfId="257" xr:uid="{00000000-0005-0000-0000-000004010000}"/>
    <cellStyle name="Percent 30" xfId="261" xr:uid="{00000000-0005-0000-0000-000005010000}"/>
    <cellStyle name="Percent 31" xfId="262" xr:uid="{00000000-0005-0000-0000-000006010000}"/>
    <cellStyle name="Percent 32" xfId="263" xr:uid="{00000000-0005-0000-0000-000007010000}"/>
    <cellStyle name="Percent 33" xfId="264" xr:uid="{00000000-0005-0000-0000-000008010000}"/>
    <cellStyle name="Percent 34" xfId="265" xr:uid="{00000000-0005-0000-0000-000009010000}"/>
    <cellStyle name="Percent 35" xfId="266" xr:uid="{00000000-0005-0000-0000-00000A010000}"/>
    <cellStyle name="Percent 36" xfId="267" xr:uid="{00000000-0005-0000-0000-00000B010000}"/>
    <cellStyle name="Percent 37" xfId="268" xr:uid="{00000000-0005-0000-0000-00000C010000}"/>
    <cellStyle name="Percent 38" xfId="269" xr:uid="{00000000-0005-0000-0000-00000D010000}"/>
    <cellStyle name="Percent 39" xfId="270" xr:uid="{00000000-0005-0000-0000-00000E010000}"/>
    <cellStyle name="Percent 4" xfId="271" xr:uid="{00000000-0005-0000-0000-00000F010000}"/>
    <cellStyle name="Percent 4 2" xfId="272" xr:uid="{00000000-0005-0000-0000-000010010000}"/>
    <cellStyle name="Percent 4 3" xfId="273" xr:uid="{00000000-0005-0000-0000-000011010000}"/>
    <cellStyle name="Percent 40" xfId="274" xr:uid="{00000000-0005-0000-0000-000012010000}"/>
    <cellStyle name="Percent 41" xfId="275" xr:uid="{00000000-0005-0000-0000-000013010000}"/>
    <cellStyle name="Percent 42" xfId="276" xr:uid="{00000000-0005-0000-0000-000014010000}"/>
    <cellStyle name="Percent 43" xfId="290" xr:uid="{8E4F17D3-A1E6-4A32-A7C6-17988F23C969}"/>
    <cellStyle name="Percent 43 2" xfId="295" xr:uid="{AC600A2A-9639-40B3-870C-940994E45C5C}"/>
    <cellStyle name="Percent 5" xfId="277" xr:uid="{00000000-0005-0000-0000-000015010000}"/>
    <cellStyle name="Percent 5 3" xfId="7" xr:uid="{00000000-0005-0000-0000-000016010000}"/>
    <cellStyle name="Percent 54" xfId="278" xr:uid="{00000000-0005-0000-0000-000017010000}"/>
    <cellStyle name="Percent 6" xfId="279" xr:uid="{00000000-0005-0000-0000-000018010000}"/>
    <cellStyle name="Percent 7" xfId="280" xr:uid="{00000000-0005-0000-0000-000019010000}"/>
    <cellStyle name="Percent 8" xfId="281" xr:uid="{00000000-0005-0000-0000-00001A010000}"/>
    <cellStyle name="Percent 9" xfId="282" xr:uid="{00000000-0005-0000-0000-00001B010000}"/>
    <cellStyle name="Title 2" xfId="283" xr:uid="{00000000-0005-0000-0000-00001C010000}"/>
    <cellStyle name="Total" xfId="310" builtinId="25" customBuiltin="1"/>
    <cellStyle name="Total 2" xfId="284" xr:uid="{00000000-0005-0000-0000-00001D010000}"/>
    <cellStyle name="Warning Text" xfId="308" builtinId="11" customBuiltin="1"/>
    <cellStyle name="Warning Text 2" xfId="285" xr:uid="{00000000-0005-0000-0000-00001E010000}"/>
  </cellStyles>
  <dxfs count="0"/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Billed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'Summary Tables'!$B$27</c:f>
              <c:strCache>
                <c:ptCount val="1"/>
                <c:pt idx="0">
                  <c:v>GS &gt; 50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Tables'!$AG$26:$AQ$26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Tables'!$AG$27:$AQ$27</c:f>
              <c:numCache>
                <c:formatCode>#,##0</c:formatCode>
                <c:ptCount val="11"/>
                <c:pt idx="0">
                  <c:v>3708563.0700000008</c:v>
                </c:pt>
                <c:pt idx="1">
                  <c:v>3744566.08</c:v>
                </c:pt>
                <c:pt idx="2">
                  <c:v>3636724.4299999997</c:v>
                </c:pt>
                <c:pt idx="3">
                  <c:v>3426345.0799999996</c:v>
                </c:pt>
                <c:pt idx="4">
                  <c:v>3496519.7399999998</c:v>
                </c:pt>
                <c:pt idx="5">
                  <c:v>3574256.7199999997</c:v>
                </c:pt>
                <c:pt idx="6">
                  <c:v>3541020.3</c:v>
                </c:pt>
                <c:pt idx="7">
                  <c:v>3656086</c:v>
                </c:pt>
                <c:pt idx="8">
                  <c:v>3705957.01</c:v>
                </c:pt>
                <c:pt idx="9">
                  <c:v>3651493.8006045213</c:v>
                </c:pt>
                <c:pt idx="10">
                  <c:v>3658332.2230457268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E2-4808-A1E4-AF8707305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645391"/>
        <c:axId val="150650191"/>
      </c:lineChart>
      <c:catAx>
        <c:axId val="150645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50191"/>
        <c:crosses val="autoZero"/>
        <c:auto val="1"/>
        <c:lblAlgn val="ctr"/>
        <c:lblOffset val="100"/>
        <c:noMultiLvlLbl val="0"/>
      </c:catAx>
      <c:valAx>
        <c:axId val="15065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45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Billed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'Summary Tables'!$B$28</c:f>
              <c:strCache>
                <c:ptCount val="1"/>
                <c:pt idx="0">
                  <c:v>GS Co Gen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Tables'!$AG$26:$AQ$26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Tables'!$AG$28:$AQ$28</c:f>
              <c:numCache>
                <c:formatCode>#,##0</c:formatCode>
                <c:ptCount val="11"/>
                <c:pt idx="0">
                  <c:v>74118.640000000014</c:v>
                </c:pt>
                <c:pt idx="1">
                  <c:v>88637.540000000008</c:v>
                </c:pt>
                <c:pt idx="2">
                  <c:v>55790.87999999999</c:v>
                </c:pt>
                <c:pt idx="3">
                  <c:v>60972.479999999996</c:v>
                </c:pt>
                <c:pt idx="4">
                  <c:v>50765.990000000005</c:v>
                </c:pt>
                <c:pt idx="5">
                  <c:v>72458.680000000008</c:v>
                </c:pt>
                <c:pt idx="6">
                  <c:v>81016.87999999999</c:v>
                </c:pt>
                <c:pt idx="7">
                  <c:v>69036</c:v>
                </c:pt>
                <c:pt idx="8">
                  <c:v>70644.329999999987</c:v>
                </c:pt>
                <c:pt idx="9">
                  <c:v>68137.894046668254</c:v>
                </c:pt>
                <c:pt idx="10">
                  <c:v>67531.955359512373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95-47E8-B119-EF122ABE3583}"/>
            </c:ext>
          </c:extLst>
        </c:ser>
        <c:ser>
          <c:idx val="2"/>
          <c:order val="1"/>
          <c:tx>
            <c:strRef>
              <c:f>'Summary Tables'!$B$29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Tables'!$AG$26:$AQ$26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Tables'!$AG$29:$AQ$29</c:f>
              <c:numCache>
                <c:formatCode>#,##0</c:formatCode>
                <c:ptCount val="11"/>
                <c:pt idx="0">
                  <c:v>227423.46000000002</c:v>
                </c:pt>
                <c:pt idx="1">
                  <c:v>221470.55</c:v>
                </c:pt>
                <c:pt idx="2">
                  <c:v>216188.63999999998</c:v>
                </c:pt>
                <c:pt idx="3">
                  <c:v>189813.83000000002</c:v>
                </c:pt>
                <c:pt idx="4">
                  <c:v>194965.44</c:v>
                </c:pt>
                <c:pt idx="5">
                  <c:v>213689.69</c:v>
                </c:pt>
                <c:pt idx="6">
                  <c:v>298641.74</c:v>
                </c:pt>
                <c:pt idx="7">
                  <c:v>311835.54000000004</c:v>
                </c:pt>
                <c:pt idx="8">
                  <c:v>310223.76000000007</c:v>
                </c:pt>
                <c:pt idx="9">
                  <c:v>302940.87640740536</c:v>
                </c:pt>
                <c:pt idx="10">
                  <c:v>308313.00551821408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95-47E8-B119-EF122ABE3583}"/>
            </c:ext>
          </c:extLst>
        </c:ser>
        <c:ser>
          <c:idx val="3"/>
          <c:order val="2"/>
          <c:tx>
            <c:strRef>
              <c:f>'Summary Tables'!$B$30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Tables'!$AG$26:$AQ$26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Tables'!$AG$30:$AQ$30</c:f>
              <c:numCache>
                <c:formatCode>#,##0</c:formatCode>
                <c:ptCount val="11"/>
                <c:pt idx="0">
                  <c:v>55752.55</c:v>
                </c:pt>
                <c:pt idx="1">
                  <c:v>47864.480000000003</c:v>
                </c:pt>
                <c:pt idx="2">
                  <c:v>46618.69</c:v>
                </c:pt>
                <c:pt idx="3">
                  <c:v>47272.400000000009</c:v>
                </c:pt>
                <c:pt idx="4">
                  <c:v>47347.969999999994</c:v>
                </c:pt>
                <c:pt idx="5">
                  <c:v>47685.229999999996</c:v>
                </c:pt>
                <c:pt idx="6">
                  <c:v>48191.71</c:v>
                </c:pt>
                <c:pt idx="7">
                  <c:v>48655.009999999995</c:v>
                </c:pt>
                <c:pt idx="8">
                  <c:v>48926.820000000007</c:v>
                </c:pt>
                <c:pt idx="9">
                  <c:v>49535.270487028029</c:v>
                </c:pt>
                <c:pt idx="10">
                  <c:v>50166.768464444751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95-47E8-B119-EF122ABE3583}"/>
            </c:ext>
          </c:extLst>
        </c:ser>
        <c:ser>
          <c:idx val="4"/>
          <c:order val="3"/>
          <c:tx>
            <c:strRef>
              <c:f>'Summary Tables'!$B$31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Tables'!$AG$26:$AQ$26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Tables'!$AG$31:$AQ$31</c:f>
              <c:numCache>
                <c:formatCode>#,##0</c:formatCode>
                <c:ptCount val="11"/>
                <c:pt idx="0">
                  <c:v>1579.19</c:v>
                </c:pt>
                <c:pt idx="1">
                  <c:v>1489.9299999999998</c:v>
                </c:pt>
                <c:pt idx="2">
                  <c:v>1467.4</c:v>
                </c:pt>
                <c:pt idx="3">
                  <c:v>1446.0000000000002</c:v>
                </c:pt>
                <c:pt idx="4">
                  <c:v>1433.2900000000002</c:v>
                </c:pt>
                <c:pt idx="5">
                  <c:v>1427.4699999999998</c:v>
                </c:pt>
                <c:pt idx="6">
                  <c:v>1416.03</c:v>
                </c:pt>
                <c:pt idx="7">
                  <c:v>1394.79</c:v>
                </c:pt>
                <c:pt idx="8">
                  <c:v>1371.2399999999998</c:v>
                </c:pt>
                <c:pt idx="9">
                  <c:v>1353.053944619983</c:v>
                </c:pt>
                <c:pt idx="10">
                  <c:v>1333.9778607983192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95-47E8-B119-EF122ABE3583}"/>
            </c:ext>
          </c:extLst>
        </c:ser>
        <c:ser>
          <c:idx val="0"/>
          <c:order val="4"/>
          <c:tx>
            <c:strRef>
              <c:f>'Summary Tables'!$B$32</c:f>
              <c:strCache>
                <c:ptCount val="1"/>
                <c:pt idx="0">
                  <c:v>Standby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'Summary Tables'!$AG$32:$AQ$32</c:f>
              <c:numCache>
                <c:formatCode>#,##0</c:formatCode>
                <c:ptCount val="11"/>
                <c:pt idx="0">
                  <c:v>157800</c:v>
                </c:pt>
                <c:pt idx="1">
                  <c:v>172800</c:v>
                </c:pt>
                <c:pt idx="2">
                  <c:v>172800</c:v>
                </c:pt>
                <c:pt idx="3">
                  <c:v>182800</c:v>
                </c:pt>
                <c:pt idx="4">
                  <c:v>194300</c:v>
                </c:pt>
                <c:pt idx="5">
                  <c:v>196800</c:v>
                </c:pt>
                <c:pt idx="6">
                  <c:v>196800</c:v>
                </c:pt>
                <c:pt idx="7">
                  <c:v>196800</c:v>
                </c:pt>
                <c:pt idx="8">
                  <c:v>196800</c:v>
                </c:pt>
                <c:pt idx="9">
                  <c:v>196800</c:v>
                </c:pt>
                <c:pt idx="10">
                  <c:v>196800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F6-4B36-BDC6-73F701CFB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645391"/>
        <c:axId val="150650191"/>
      </c:lineChart>
      <c:catAx>
        <c:axId val="150645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50191"/>
        <c:crosses val="autoZero"/>
        <c:auto val="1"/>
        <c:lblAlgn val="ctr"/>
        <c:lblOffset val="100"/>
        <c:noMultiLvlLbl val="0"/>
      </c:catAx>
      <c:valAx>
        <c:axId val="15065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45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'Summary Tables'!$B$3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Tables'!$AG$3:$AQ$3</c:f>
              <c:numCache>
                <c:formatCode>#,##0</c:formatCode>
                <c:ptCount val="11"/>
                <c:pt idx="0">
                  <c:v>1047993667</c:v>
                </c:pt>
                <c:pt idx="1">
                  <c:v>1139376021</c:v>
                </c:pt>
                <c:pt idx="2">
                  <c:v>1101433888.4783466</c:v>
                </c:pt>
                <c:pt idx="3">
                  <c:v>1174376356.2405562</c:v>
                </c:pt>
                <c:pt idx="4">
                  <c:v>1183155978.337724</c:v>
                </c:pt>
                <c:pt idx="5">
                  <c:v>1180210179.8745952</c:v>
                </c:pt>
                <c:pt idx="6">
                  <c:v>1127950490.8539553</c:v>
                </c:pt>
                <c:pt idx="7">
                  <c:v>1181706111.5087397</c:v>
                </c:pt>
                <c:pt idx="8">
                  <c:v>1217191863.2636447</c:v>
                </c:pt>
                <c:pt idx="9">
                  <c:v>1221708841.5844655</c:v>
                </c:pt>
                <c:pt idx="10">
                  <c:v>1246806816.5202808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6-45E4-82AA-61D9FA1A79AD}"/>
            </c:ext>
          </c:extLst>
        </c:ser>
        <c:ser>
          <c:idx val="4"/>
          <c:order val="1"/>
          <c:tx>
            <c:strRef>
              <c:f>'Summary Tables'!$B$4</c:f>
              <c:strCache>
                <c:ptCount val="1"/>
                <c:pt idx="0">
                  <c:v>GS &lt; 50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Tables'!$AG$4:$AQ$4</c:f>
              <c:numCache>
                <c:formatCode>#,##0</c:formatCode>
                <c:ptCount val="11"/>
                <c:pt idx="0">
                  <c:v>385223199</c:v>
                </c:pt>
                <c:pt idx="1">
                  <c:v>398801024</c:v>
                </c:pt>
                <c:pt idx="2">
                  <c:v>394237702.73931646</c:v>
                </c:pt>
                <c:pt idx="3">
                  <c:v>374506007.7641958</c:v>
                </c:pt>
                <c:pt idx="4">
                  <c:v>381478906.71076226</c:v>
                </c:pt>
                <c:pt idx="5">
                  <c:v>404904347.96509457</c:v>
                </c:pt>
                <c:pt idx="6">
                  <c:v>399918444.19770122</c:v>
                </c:pt>
                <c:pt idx="7">
                  <c:v>404233973.90292341</c:v>
                </c:pt>
                <c:pt idx="8">
                  <c:v>416596865.08434409</c:v>
                </c:pt>
                <c:pt idx="9">
                  <c:v>414457157.80414426</c:v>
                </c:pt>
                <c:pt idx="10">
                  <c:v>419590048.81029916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6-45E4-82AA-61D9FA1A79AD}"/>
            </c:ext>
          </c:extLst>
        </c:ser>
        <c:ser>
          <c:idx val="3"/>
          <c:order val="2"/>
          <c:tx>
            <c:strRef>
              <c:f>'Summary Tables'!$B$5</c:f>
              <c:strCache>
                <c:ptCount val="1"/>
                <c:pt idx="0">
                  <c:v>GS &gt; 50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Tables'!$AG$5:$AQ$5</c:f>
              <c:numCache>
                <c:formatCode>#,##0</c:formatCode>
                <c:ptCount val="11"/>
                <c:pt idx="0">
                  <c:v>1458855316</c:v>
                </c:pt>
                <c:pt idx="1">
                  <c:v>1485117370</c:v>
                </c:pt>
                <c:pt idx="2">
                  <c:v>1408341173.2980461</c:v>
                </c:pt>
                <c:pt idx="3">
                  <c:v>1365678433.9229021</c:v>
                </c:pt>
                <c:pt idx="4">
                  <c:v>1385380121.3308113</c:v>
                </c:pt>
                <c:pt idx="5">
                  <c:v>1424708525.6983182</c:v>
                </c:pt>
                <c:pt idx="6">
                  <c:v>1400393230.0632451</c:v>
                </c:pt>
                <c:pt idx="7">
                  <c:v>1446263151.7577271</c:v>
                </c:pt>
                <c:pt idx="8">
                  <c:v>1470647189.1957462</c:v>
                </c:pt>
                <c:pt idx="9">
                  <c:v>1442877696.6794028</c:v>
                </c:pt>
                <c:pt idx="10">
                  <c:v>1445764307.0847273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D6-45E4-82AA-61D9FA1A79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645391"/>
        <c:axId val="150650191"/>
      </c:lineChart>
      <c:catAx>
        <c:axId val="150645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50191"/>
        <c:crosses val="autoZero"/>
        <c:auto val="1"/>
        <c:lblAlgn val="ctr"/>
        <c:lblOffset val="100"/>
        <c:noMultiLvlLbl val="0"/>
      </c:catAx>
      <c:valAx>
        <c:axId val="15065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45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'Summary Tables'!$B$7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Tables'!$AG$7:$AQ$7</c:f>
              <c:numCache>
                <c:formatCode>#,##0</c:formatCode>
                <c:ptCount val="11"/>
                <c:pt idx="0">
                  <c:v>117991437</c:v>
                </c:pt>
                <c:pt idx="1">
                  <c:v>117777486</c:v>
                </c:pt>
                <c:pt idx="2">
                  <c:v>110589767.84308411</c:v>
                </c:pt>
                <c:pt idx="3">
                  <c:v>101893892.280927</c:v>
                </c:pt>
                <c:pt idx="4">
                  <c:v>105654509.1076003</c:v>
                </c:pt>
                <c:pt idx="5">
                  <c:v>112464987.29709665</c:v>
                </c:pt>
                <c:pt idx="6">
                  <c:v>153160749.79471761</c:v>
                </c:pt>
                <c:pt idx="7">
                  <c:v>162734021.88019371</c:v>
                </c:pt>
                <c:pt idx="8">
                  <c:v>160084660.45041481</c:v>
                </c:pt>
                <c:pt idx="9">
                  <c:v>158677986.92773831</c:v>
                </c:pt>
                <c:pt idx="10">
                  <c:v>161514993.61743999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F0-45D2-BB4D-4DBA328A0256}"/>
            </c:ext>
          </c:extLst>
        </c:ser>
        <c:ser>
          <c:idx val="4"/>
          <c:order val="1"/>
          <c:tx>
            <c:strRef>
              <c:f>'Summary Tables'!$B$6</c:f>
              <c:strCache>
                <c:ptCount val="1"/>
                <c:pt idx="0">
                  <c:v>GS Co Gen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Tables'!$AG$6:$AQ$6</c:f>
              <c:numCache>
                <c:formatCode>#,##0</c:formatCode>
                <c:ptCount val="11"/>
                <c:pt idx="0">
                  <c:v>46826076</c:v>
                </c:pt>
                <c:pt idx="1">
                  <c:v>47167618</c:v>
                </c:pt>
                <c:pt idx="2">
                  <c:v>34966867.902733505</c:v>
                </c:pt>
                <c:pt idx="3">
                  <c:v>36542441.547490597</c:v>
                </c:pt>
                <c:pt idx="4">
                  <c:v>28072541.583803825</c:v>
                </c:pt>
                <c:pt idx="5">
                  <c:v>43045721.021658659</c:v>
                </c:pt>
                <c:pt idx="6">
                  <c:v>51773685.92783922</c:v>
                </c:pt>
                <c:pt idx="7">
                  <c:v>34855427.423796594</c:v>
                </c:pt>
                <c:pt idx="8">
                  <c:v>31417818.32771375</c:v>
                </c:pt>
                <c:pt idx="9">
                  <c:v>38299276.110258639</c:v>
                </c:pt>
                <c:pt idx="10">
                  <c:v>37958687.17058029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F0-45D2-BB4D-4DBA328A0256}"/>
            </c:ext>
          </c:extLst>
        </c:ser>
        <c:ser>
          <c:idx val="3"/>
          <c:order val="2"/>
          <c:tx>
            <c:strRef>
              <c:f>'Summary Tables'!$B$8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Tables'!$AG$8:$AQ$8</c:f>
              <c:numCache>
                <c:formatCode>#,##0</c:formatCode>
                <c:ptCount val="11"/>
                <c:pt idx="0">
                  <c:v>19787895.879999999</c:v>
                </c:pt>
                <c:pt idx="1">
                  <c:v>17086178.68</c:v>
                </c:pt>
                <c:pt idx="2">
                  <c:v>16623912.16</c:v>
                </c:pt>
                <c:pt idx="3">
                  <c:v>16908317.240000002</c:v>
                </c:pt>
                <c:pt idx="4">
                  <c:v>16882808.740000002</c:v>
                </c:pt>
                <c:pt idx="5">
                  <c:v>17000378.439999998</c:v>
                </c:pt>
                <c:pt idx="6">
                  <c:v>17184523.530000001</c:v>
                </c:pt>
                <c:pt idx="7">
                  <c:v>17401184.109999996</c:v>
                </c:pt>
                <c:pt idx="8">
                  <c:v>17445300.079999998</c:v>
                </c:pt>
                <c:pt idx="9">
                  <c:v>17667700.63636383</c:v>
                </c:pt>
                <c:pt idx="10">
                  <c:v>17892936.455362532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F0-45D2-BB4D-4DBA328A0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645391"/>
        <c:axId val="150650191"/>
      </c:lineChart>
      <c:catAx>
        <c:axId val="150645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50191"/>
        <c:crosses val="autoZero"/>
        <c:auto val="1"/>
        <c:lblAlgn val="ctr"/>
        <c:lblOffset val="100"/>
        <c:noMultiLvlLbl val="0"/>
      </c:catAx>
      <c:valAx>
        <c:axId val="15065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45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Weather!$C$194:$C$313</c:f>
              <c:numCache>
                <c:formatCode>0.0</c:formatCode>
                <c:ptCount val="120"/>
              </c:numCache>
            </c:numRef>
          </c:xVal>
          <c:yVal>
            <c:numRef>
              <c:f>Weather!$R$194:$R$313</c:f>
              <c:numCache>
                <c:formatCode>_(* #,##0.00_);_(* \(#,##0.00\);_(* "-"??_);_(@_)</c:formatCode>
                <c:ptCount val="120"/>
                <c:pt idx="0">
                  <c:v>22.006502450013869</c:v>
                </c:pt>
                <c:pt idx="1">
                  <c:v>20.496207017927123</c:v>
                </c:pt>
                <c:pt idx="2">
                  <c:v>20.016662124559964</c:v>
                </c:pt>
                <c:pt idx="3">
                  <c:v>17.173744094521616</c:v>
                </c:pt>
                <c:pt idx="4">
                  <c:v>16.851154098279682</c:v>
                </c:pt>
                <c:pt idx="5">
                  <c:v>21.382061114593977</c:v>
                </c:pt>
                <c:pt idx="6">
                  <c:v>24.55568677411209</c:v>
                </c:pt>
                <c:pt idx="7">
                  <c:v>21.604107103338585</c:v>
                </c:pt>
                <c:pt idx="8">
                  <c:v>20.853743723376333</c:v>
                </c:pt>
                <c:pt idx="9">
                  <c:v>17.526418800832651</c:v>
                </c:pt>
                <c:pt idx="10">
                  <c:v>19.695720268700239</c:v>
                </c:pt>
                <c:pt idx="11">
                  <c:v>23.171861465019376</c:v>
                </c:pt>
                <c:pt idx="12">
                  <c:v>23.605170887382233</c:v>
                </c:pt>
                <c:pt idx="13">
                  <c:v>21.907392208405003</c:v>
                </c:pt>
                <c:pt idx="14">
                  <c:v>20.652568519622552</c:v>
                </c:pt>
                <c:pt idx="15">
                  <c:v>19.459547271514559</c:v>
                </c:pt>
                <c:pt idx="16">
                  <c:v>19.044337287154132</c:v>
                </c:pt>
                <c:pt idx="17">
                  <c:v>22.340421980268975</c:v>
                </c:pt>
                <c:pt idx="18">
                  <c:v>27.047792214547069</c:v>
                </c:pt>
                <c:pt idx="19">
                  <c:v>26.71789309706023</c:v>
                </c:pt>
                <c:pt idx="20">
                  <c:v>22.739390088427641</c:v>
                </c:pt>
                <c:pt idx="21">
                  <c:v>18.560817875008006</c:v>
                </c:pt>
                <c:pt idx="22">
                  <c:v>20.822346759263148</c:v>
                </c:pt>
                <c:pt idx="23">
                  <c:v>22.810473384328429</c:v>
                </c:pt>
                <c:pt idx="24">
                  <c:v>23.474165472902989</c:v>
                </c:pt>
                <c:pt idx="25">
                  <c:v>22.811474908947243</c:v>
                </c:pt>
                <c:pt idx="26">
                  <c:v>20.958263155255846</c:v>
                </c:pt>
                <c:pt idx="27">
                  <c:v>18.24290695257276</c:v>
                </c:pt>
                <c:pt idx="28">
                  <c:v>16.858997679871106</c:v>
                </c:pt>
                <c:pt idx="29">
                  <c:v>20.171753919597101</c:v>
                </c:pt>
                <c:pt idx="30">
                  <c:v>28.229436809118198</c:v>
                </c:pt>
                <c:pt idx="31">
                  <c:v>24.345881176823671</c:v>
                </c:pt>
                <c:pt idx="32">
                  <c:v>19.883091733835894</c:v>
                </c:pt>
                <c:pt idx="33">
                  <c:v>17.478963495513742</c:v>
                </c:pt>
                <c:pt idx="34">
                  <c:v>20.283228188766479</c:v>
                </c:pt>
                <c:pt idx="35">
                  <c:v>21.921338691604525</c:v>
                </c:pt>
                <c:pt idx="36">
                  <c:v>21.50169194089295</c:v>
                </c:pt>
                <c:pt idx="37">
                  <c:v>21.552125528980195</c:v>
                </c:pt>
                <c:pt idx="38">
                  <c:v>20.15942293865039</c:v>
                </c:pt>
                <c:pt idx="39">
                  <c:v>19.496596256959595</c:v>
                </c:pt>
                <c:pt idx="40">
                  <c:v>20.246310837749427</c:v>
                </c:pt>
                <c:pt idx="41">
                  <c:v>25.573313821856825</c:v>
                </c:pt>
                <c:pt idx="42">
                  <c:v>32.171609369297109</c:v>
                </c:pt>
                <c:pt idx="43">
                  <c:v>26.485973363364344</c:v>
                </c:pt>
                <c:pt idx="44">
                  <c:v>19.827557232110561</c:v>
                </c:pt>
                <c:pt idx="45">
                  <c:v>18.271729157011855</c:v>
                </c:pt>
                <c:pt idx="46">
                  <c:v>19.48557513915388</c:v>
                </c:pt>
                <c:pt idx="47">
                  <c:v>22.764507633202061</c:v>
                </c:pt>
                <c:pt idx="48">
                  <c:v>23.096681836092959</c:v>
                </c:pt>
                <c:pt idx="49">
                  <c:v>23.731200354879384</c:v>
                </c:pt>
                <c:pt idx="50">
                  <c:v>20.033166628249056</c:v>
                </c:pt>
                <c:pt idx="51">
                  <c:v>18.658058835596492</c:v>
                </c:pt>
                <c:pt idx="52">
                  <c:v>19.861905420209979</c:v>
                </c:pt>
                <c:pt idx="53">
                  <c:v>25.882117617095911</c:v>
                </c:pt>
                <c:pt idx="54">
                  <c:v>25.942557934920931</c:v>
                </c:pt>
                <c:pt idx="55">
                  <c:v>28.656779708564489</c:v>
                </c:pt>
                <c:pt idx="56">
                  <c:v>20.738437341860262</c:v>
                </c:pt>
                <c:pt idx="57">
                  <c:v>18.921782941321489</c:v>
                </c:pt>
                <c:pt idx="58">
                  <c:v>20.049726055135253</c:v>
                </c:pt>
                <c:pt idx="59">
                  <c:v>21.98139733176923</c:v>
                </c:pt>
                <c:pt idx="60">
                  <c:v>24.421217458023236</c:v>
                </c:pt>
                <c:pt idx="61">
                  <c:v>23.407877957005876</c:v>
                </c:pt>
                <c:pt idx="62">
                  <c:v>21.025111399498122</c:v>
                </c:pt>
                <c:pt idx="63">
                  <c:v>19.024470918867561</c:v>
                </c:pt>
                <c:pt idx="64">
                  <c:v>19.186330472901556</c:v>
                </c:pt>
                <c:pt idx="65">
                  <c:v>23.14739064985428</c:v>
                </c:pt>
                <c:pt idx="66">
                  <c:v>27.01096332337849</c:v>
                </c:pt>
                <c:pt idx="67">
                  <c:v>25.963290677023561</c:v>
                </c:pt>
                <c:pt idx="68">
                  <c:v>21.216746045641415</c:v>
                </c:pt>
                <c:pt idx="69">
                  <c:v>17.61509333852921</c:v>
                </c:pt>
                <c:pt idx="70">
                  <c:v>19.323102466988527</c:v>
                </c:pt>
                <c:pt idx="71">
                  <c:v>22.29183802186753</c:v>
                </c:pt>
                <c:pt idx="72">
                  <c:v>21.525942230790694</c:v>
                </c:pt>
                <c:pt idx="73">
                  <c:v>21.445211531891342</c:v>
                </c:pt>
                <c:pt idx="74">
                  <c:v>20.38686591153218</c:v>
                </c:pt>
                <c:pt idx="75">
                  <c:v>18.485098056859286</c:v>
                </c:pt>
                <c:pt idx="76">
                  <c:v>17.949608702303411</c:v>
                </c:pt>
                <c:pt idx="77">
                  <c:v>21.361320710332802</c:v>
                </c:pt>
                <c:pt idx="78">
                  <c:v>25.810335594435472</c:v>
                </c:pt>
                <c:pt idx="79">
                  <c:v>22.637488912631653</c:v>
                </c:pt>
                <c:pt idx="80">
                  <c:v>20.741083929137314</c:v>
                </c:pt>
                <c:pt idx="81">
                  <c:v>18.537013585888175</c:v>
                </c:pt>
                <c:pt idx="82">
                  <c:v>19.86976139090817</c:v>
                </c:pt>
                <c:pt idx="83">
                  <c:v>21.18026338091838</c:v>
                </c:pt>
                <c:pt idx="84">
                  <c:v>22.849854769958931</c:v>
                </c:pt>
                <c:pt idx="85">
                  <c:v>21.081466217547728</c:v>
                </c:pt>
                <c:pt idx="86">
                  <c:v>19.883781891217943</c:v>
                </c:pt>
                <c:pt idx="87">
                  <c:v>18.010886616743917</c:v>
                </c:pt>
                <c:pt idx="88">
                  <c:v>19.037996244953025</c:v>
                </c:pt>
                <c:pt idx="89">
                  <c:v>24.319914388128396</c:v>
                </c:pt>
                <c:pt idx="90">
                  <c:v>27.474584139450961</c:v>
                </c:pt>
                <c:pt idx="91">
                  <c:v>25.353806303381518</c:v>
                </c:pt>
                <c:pt idx="92">
                  <c:v>21.83867793655315</c:v>
                </c:pt>
                <c:pt idx="93">
                  <c:v>17.624590858315006</c:v>
                </c:pt>
                <c:pt idx="94">
                  <c:v>19.169395183462747</c:v>
                </c:pt>
                <c:pt idx="95">
                  <c:v>22.602247466546537</c:v>
                </c:pt>
                <c:pt idx="96">
                  <c:v>23.903674579633261</c:v>
                </c:pt>
                <c:pt idx="97">
                  <c:v>23.133132691461746</c:v>
                </c:pt>
                <c:pt idx="98">
                  <c:v>20.324622870979734</c:v>
                </c:pt>
                <c:pt idx="99">
                  <c:v>18.669528546067724</c:v>
                </c:pt>
                <c:pt idx="100">
                  <c:v>17.853740120785755</c:v>
                </c:pt>
                <c:pt idx="101">
                  <c:v>24.963424412358552</c:v>
                </c:pt>
                <c:pt idx="102">
                  <c:v>29.598517896808168</c:v>
                </c:pt>
                <c:pt idx="103">
                  <c:v>25.601097851730337</c:v>
                </c:pt>
                <c:pt idx="104">
                  <c:v>20.633812838129089</c:v>
                </c:pt>
                <c:pt idx="105">
                  <c:v>18.374045630213942</c:v>
                </c:pt>
                <c:pt idx="106">
                  <c:v>20.209884390669423</c:v>
                </c:pt>
                <c:pt idx="107">
                  <c:v>23.362020352389475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530-4760-B813-A6923811D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515712"/>
        <c:axId val="152584192"/>
      </c:scatterChart>
      <c:valAx>
        <c:axId val="174515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Average</a:t>
                </a:r>
                <a:r>
                  <a:rPr lang="en-US" baseline="0"/>
                  <a:t> Tempurature (°C)</a:t>
                </a:r>
                <a:endParaRPr lang="en-US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84192"/>
        <c:crosses val="autoZero"/>
        <c:crossBetween val="midCat"/>
      </c:valAx>
      <c:valAx>
        <c:axId val="15258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Avg. Monthly Consumption</a:t>
                </a:r>
              </a:p>
            </c:rich>
          </c:tx>
          <c:overlay val="0"/>
        </c:title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157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&lt; 50 kW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GS &lt; 50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Weather!$C$194:$C$313</c:f>
              <c:numCache>
                <c:formatCode>0.0</c:formatCode>
                <c:ptCount val="120"/>
              </c:numCache>
            </c:numRef>
          </c:xVal>
          <c:yVal>
            <c:numRef>
              <c:f>Weather!$S$194:$S$313</c:f>
              <c:numCache>
                <c:formatCode>_(* #,##0.00_);_(* \(#,##0.00\);_(* "-"??_);_(@_)</c:formatCode>
                <c:ptCount val="120"/>
                <c:pt idx="0">
                  <c:v>88.843645860201789</c:v>
                </c:pt>
                <c:pt idx="1">
                  <c:v>89.820388507997137</c:v>
                </c:pt>
                <c:pt idx="2">
                  <c:v>86.484523589578657</c:v>
                </c:pt>
                <c:pt idx="3">
                  <c:v>76.922299680593127</c:v>
                </c:pt>
                <c:pt idx="4">
                  <c:v>77.319479089744121</c:v>
                </c:pt>
                <c:pt idx="5">
                  <c:v>85.57613126985521</c:v>
                </c:pt>
                <c:pt idx="6">
                  <c:v>89.963521449733548</c:v>
                </c:pt>
                <c:pt idx="7">
                  <c:v>86.552527177455943</c:v>
                </c:pt>
                <c:pt idx="8">
                  <c:v>84.617632045197524</c:v>
                </c:pt>
                <c:pt idx="9">
                  <c:v>77.362965083416569</c:v>
                </c:pt>
                <c:pt idx="10">
                  <c:v>83.380789608385783</c:v>
                </c:pt>
                <c:pt idx="11">
                  <c:v>87.569026397929974</c:v>
                </c:pt>
                <c:pt idx="12">
                  <c:v>94.999041725194132</c:v>
                </c:pt>
                <c:pt idx="13">
                  <c:v>90.950227531340232</c:v>
                </c:pt>
                <c:pt idx="14">
                  <c:v>87.117764635637101</c:v>
                </c:pt>
                <c:pt idx="15">
                  <c:v>83.363111269887639</c:v>
                </c:pt>
                <c:pt idx="16">
                  <c:v>82.862235175131374</c:v>
                </c:pt>
                <c:pt idx="17">
                  <c:v>89.670748308345253</c:v>
                </c:pt>
                <c:pt idx="18">
                  <c:v>95.355416040988359</c:v>
                </c:pt>
                <c:pt idx="19">
                  <c:v>95.077715313750943</c:v>
                </c:pt>
                <c:pt idx="20">
                  <c:v>85.629747202498578</c:v>
                </c:pt>
                <c:pt idx="21">
                  <c:v>78.773874682467408</c:v>
                </c:pt>
                <c:pt idx="22">
                  <c:v>87.058226108192386</c:v>
                </c:pt>
                <c:pt idx="23">
                  <c:v>85.753678720476742</c:v>
                </c:pt>
                <c:pt idx="24">
                  <c:v>93.333943453652807</c:v>
                </c:pt>
                <c:pt idx="25">
                  <c:v>93.545413110322855</c:v>
                </c:pt>
                <c:pt idx="26">
                  <c:v>88.200884449127926</c:v>
                </c:pt>
                <c:pt idx="27">
                  <c:v>79.912016216054127</c:v>
                </c:pt>
                <c:pt idx="28">
                  <c:v>76.887862132258192</c:v>
                </c:pt>
                <c:pt idx="29">
                  <c:v>83.329319355711505</c:v>
                </c:pt>
                <c:pt idx="30">
                  <c:v>98.365131256178955</c:v>
                </c:pt>
                <c:pt idx="31">
                  <c:v>91.625765412684046</c:v>
                </c:pt>
                <c:pt idx="32">
                  <c:v>83.228749339027019</c:v>
                </c:pt>
                <c:pt idx="33">
                  <c:v>77.682210840526949</c:v>
                </c:pt>
                <c:pt idx="34">
                  <c:v>86.407135000876806</c:v>
                </c:pt>
                <c:pt idx="35">
                  <c:v>87.518099879252574</c:v>
                </c:pt>
                <c:pt idx="36">
                  <c:v>89.365171486107954</c:v>
                </c:pt>
                <c:pt idx="37">
                  <c:v>90.470893446036044</c:v>
                </c:pt>
                <c:pt idx="38">
                  <c:v>80.066252343822228</c:v>
                </c:pt>
                <c:pt idx="39">
                  <c:v>68.39986001949552</c:v>
                </c:pt>
                <c:pt idx="40">
                  <c:v>69.068710752341403</c:v>
                </c:pt>
                <c:pt idx="41">
                  <c:v>82.808367420661071</c:v>
                </c:pt>
                <c:pt idx="42">
                  <c:v>96.902879111035276</c:v>
                </c:pt>
                <c:pt idx="43">
                  <c:v>88.370860037036849</c:v>
                </c:pt>
                <c:pt idx="44">
                  <c:v>77.667790408252998</c:v>
                </c:pt>
                <c:pt idx="45">
                  <c:v>73.740366901900842</c:v>
                </c:pt>
                <c:pt idx="46">
                  <c:v>78.044503496723365</c:v>
                </c:pt>
                <c:pt idx="47">
                  <c:v>83.24289464757959</c:v>
                </c:pt>
                <c:pt idx="48">
                  <c:v>82.499983664165057</c:v>
                </c:pt>
                <c:pt idx="49">
                  <c:v>88.075701491498805</c:v>
                </c:pt>
                <c:pt idx="50">
                  <c:v>81.42193483269881</c:v>
                </c:pt>
                <c:pt idx="51">
                  <c:v>73.23602894177148</c:v>
                </c:pt>
                <c:pt idx="52">
                  <c:v>73.164324024215716</c:v>
                </c:pt>
                <c:pt idx="53">
                  <c:v>86.623488476250841</c:v>
                </c:pt>
                <c:pt idx="54">
                  <c:v>89.064251536139707</c:v>
                </c:pt>
                <c:pt idx="55">
                  <c:v>95.405043004569293</c:v>
                </c:pt>
                <c:pt idx="56">
                  <c:v>81.60972190610255</c:v>
                </c:pt>
                <c:pt idx="57">
                  <c:v>76.702169134202606</c:v>
                </c:pt>
                <c:pt idx="58">
                  <c:v>81.560889755773204</c:v>
                </c:pt>
                <c:pt idx="59">
                  <c:v>83.93059815764525</c:v>
                </c:pt>
                <c:pt idx="60">
                  <c:v>91.183941771017416</c:v>
                </c:pt>
                <c:pt idx="61">
                  <c:v>92.777235837594233</c:v>
                </c:pt>
                <c:pt idx="62">
                  <c:v>87.427646768984786</c:v>
                </c:pt>
                <c:pt idx="63">
                  <c:v>80.441984547303363</c:v>
                </c:pt>
                <c:pt idx="64">
                  <c:v>80.383558310808937</c:v>
                </c:pt>
                <c:pt idx="65">
                  <c:v>89.708173965236909</c:v>
                </c:pt>
                <c:pt idx="66">
                  <c:v>95.524348881726112</c:v>
                </c:pt>
                <c:pt idx="67">
                  <c:v>95.271022987898476</c:v>
                </c:pt>
                <c:pt idx="68">
                  <c:v>85.321792238382855</c:v>
                </c:pt>
                <c:pt idx="69">
                  <c:v>76.918179268406746</c:v>
                </c:pt>
                <c:pt idx="70">
                  <c:v>83.554253936876776</c:v>
                </c:pt>
                <c:pt idx="71">
                  <c:v>88.340196212638332</c:v>
                </c:pt>
                <c:pt idx="72">
                  <c:v>89.442667027736093</c:v>
                </c:pt>
                <c:pt idx="73">
                  <c:v>90.952535282472383</c:v>
                </c:pt>
                <c:pt idx="74">
                  <c:v>88.644069640949951</c:v>
                </c:pt>
                <c:pt idx="75">
                  <c:v>80.593372771386186</c:v>
                </c:pt>
                <c:pt idx="76">
                  <c:v>80.728749336517154</c:v>
                </c:pt>
                <c:pt idx="77">
                  <c:v>86.820988063755621</c:v>
                </c:pt>
                <c:pt idx="78">
                  <c:v>93.447560438315676</c:v>
                </c:pt>
                <c:pt idx="79">
                  <c:v>88.815330713175356</c:v>
                </c:pt>
                <c:pt idx="80">
                  <c:v>84.643489527807375</c:v>
                </c:pt>
                <c:pt idx="81">
                  <c:v>79.953774966133935</c:v>
                </c:pt>
                <c:pt idx="82">
                  <c:v>85.474651269291797</c:v>
                </c:pt>
                <c:pt idx="83">
                  <c:v>85.838605392628892</c:v>
                </c:pt>
                <c:pt idx="84">
                  <c:v>92.978824700499729</c:v>
                </c:pt>
                <c:pt idx="85">
                  <c:v>89.00095126310076</c:v>
                </c:pt>
                <c:pt idx="86">
                  <c:v>83.812615297561621</c:v>
                </c:pt>
                <c:pt idx="87">
                  <c:v>80.084107110777282</c:v>
                </c:pt>
                <c:pt idx="88">
                  <c:v>81.362357249121402</c:v>
                </c:pt>
                <c:pt idx="89">
                  <c:v>90.714240804738751</c:v>
                </c:pt>
                <c:pt idx="90">
                  <c:v>96.560120275101269</c:v>
                </c:pt>
                <c:pt idx="91">
                  <c:v>92.296391855641915</c:v>
                </c:pt>
                <c:pt idx="92">
                  <c:v>85.937553896108952</c:v>
                </c:pt>
                <c:pt idx="93">
                  <c:v>78.104299825966947</c:v>
                </c:pt>
                <c:pt idx="94">
                  <c:v>81.50585872784491</c:v>
                </c:pt>
                <c:pt idx="95">
                  <c:v>88.265649666910889</c:v>
                </c:pt>
                <c:pt idx="96">
                  <c:v>96.260496780015558</c:v>
                </c:pt>
                <c:pt idx="97">
                  <c:v>95.914887127384162</c:v>
                </c:pt>
                <c:pt idx="98">
                  <c:v>86.600773167431669</c:v>
                </c:pt>
                <c:pt idx="99">
                  <c:v>82.349870506807605</c:v>
                </c:pt>
                <c:pt idx="100">
                  <c:v>78.52137110372577</c:v>
                </c:pt>
                <c:pt idx="101">
                  <c:v>92.849377713881211</c:v>
                </c:pt>
                <c:pt idx="102">
                  <c:v>102.17941414361083</c:v>
                </c:pt>
                <c:pt idx="103">
                  <c:v>93.452962322461744</c:v>
                </c:pt>
                <c:pt idx="104">
                  <c:v>85.695706547547346</c:v>
                </c:pt>
                <c:pt idx="105">
                  <c:v>80.439078034709667</c:v>
                </c:pt>
                <c:pt idx="106">
                  <c:v>85.472530340258302</c:v>
                </c:pt>
                <c:pt idx="107">
                  <c:v>92.804748678769613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118-493C-A18D-374F6CA8F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621824"/>
        <c:axId val="152624128"/>
      </c:scatterChart>
      <c:valAx>
        <c:axId val="152621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Average Tempurature (°C)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624128"/>
        <c:crosses val="autoZero"/>
        <c:crossBetween val="midCat"/>
      </c:valAx>
      <c:valAx>
        <c:axId val="152624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Avg. Daily Consumption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621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&gt; 50 kW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Weather!$C$194:$C$313</c:f>
              <c:numCache>
                <c:formatCode>0.0</c:formatCode>
                <c:ptCount val="120"/>
              </c:numCache>
            </c:numRef>
          </c:xVal>
          <c:yVal>
            <c:numRef>
              <c:f>Weather!$T$194:$T$313</c:f>
              <c:numCache>
                <c:formatCode>_(* #,##0_);_(* \(#,##0\);_(* "-"??_);_(@_)</c:formatCode>
                <c:ptCount val="120"/>
                <c:pt idx="0">
                  <c:v>2346.5158273926604</c:v>
                </c:pt>
                <c:pt idx="1">
                  <c:v>2760.0447288030728</c:v>
                </c:pt>
                <c:pt idx="2">
                  <c:v>2544.4948372313843</c:v>
                </c:pt>
                <c:pt idx="3">
                  <c:v>2355.0415120428033</c:v>
                </c:pt>
                <c:pt idx="4">
                  <c:v>2432.587493026138</c:v>
                </c:pt>
                <c:pt idx="5">
                  <c:v>2663.9725306832056</c:v>
                </c:pt>
                <c:pt idx="6">
                  <c:v>2678.8870076945873</c:v>
                </c:pt>
                <c:pt idx="7">
                  <c:v>2644.4521220452184</c:v>
                </c:pt>
                <c:pt idx="8">
                  <c:v>2607.4619652485444</c:v>
                </c:pt>
                <c:pt idx="9">
                  <c:v>2415.2058667304755</c:v>
                </c:pt>
                <c:pt idx="10">
                  <c:v>2447.7391481720119</c:v>
                </c:pt>
                <c:pt idx="11">
                  <c:v>2425.3411618563227</c:v>
                </c:pt>
                <c:pt idx="12">
                  <c:v>2599.088509175881</c:v>
                </c:pt>
                <c:pt idx="13">
                  <c:v>2553.7390623446017</c:v>
                </c:pt>
                <c:pt idx="14">
                  <c:v>2501.6673661036966</c:v>
                </c:pt>
                <c:pt idx="15">
                  <c:v>2464.8425986740494</c:v>
                </c:pt>
                <c:pt idx="16">
                  <c:v>2531.2606524346088</c:v>
                </c:pt>
                <c:pt idx="17">
                  <c:v>2674.891215674832</c:v>
                </c:pt>
                <c:pt idx="18">
                  <c:v>2775.8531646176898</c:v>
                </c:pt>
                <c:pt idx="19">
                  <c:v>2890.4404515309875</c:v>
                </c:pt>
                <c:pt idx="20">
                  <c:v>2678.0133078909153</c:v>
                </c:pt>
                <c:pt idx="21">
                  <c:v>2466.9369851913602</c:v>
                </c:pt>
                <c:pt idx="22">
                  <c:v>2510.2480413354665</c:v>
                </c:pt>
                <c:pt idx="23">
                  <c:v>2396.1481801006526</c:v>
                </c:pt>
                <c:pt idx="24">
                  <c:v>2505.3659596782359</c:v>
                </c:pt>
                <c:pt idx="25">
                  <c:v>2554.4336492672205</c:v>
                </c:pt>
                <c:pt idx="26">
                  <c:v>2472.9735667925834</c:v>
                </c:pt>
                <c:pt idx="27">
                  <c:v>2372.8080922638114</c:v>
                </c:pt>
                <c:pt idx="28">
                  <c:v>2392.9783033098288</c:v>
                </c:pt>
                <c:pt idx="29">
                  <c:v>2562.2550060783478</c:v>
                </c:pt>
                <c:pt idx="30">
                  <c:v>2872.8584266503362</c:v>
                </c:pt>
                <c:pt idx="31">
                  <c:v>2756.4067812973644</c:v>
                </c:pt>
                <c:pt idx="32">
                  <c:v>2634.859719026912</c:v>
                </c:pt>
                <c:pt idx="33">
                  <c:v>2455.1019059175305</c:v>
                </c:pt>
                <c:pt idx="34">
                  <c:v>2519.6897053937441</c:v>
                </c:pt>
                <c:pt idx="35">
                  <c:v>2428.2029115743931</c:v>
                </c:pt>
                <c:pt idx="36">
                  <c:v>2632.494536667954</c:v>
                </c:pt>
                <c:pt idx="37">
                  <c:v>2668.8443808971042</c:v>
                </c:pt>
                <c:pt idx="38">
                  <c:v>2460.1641192657635</c:v>
                </c:pt>
                <c:pt idx="39">
                  <c:v>2135.66217573527</c:v>
                </c:pt>
                <c:pt idx="40">
                  <c:v>2204.3869183235738</c:v>
                </c:pt>
                <c:pt idx="41">
                  <c:v>2633.4880922230736</c:v>
                </c:pt>
                <c:pt idx="42">
                  <c:v>2929.533542459907</c:v>
                </c:pt>
                <c:pt idx="43">
                  <c:v>2800.9765737340645</c:v>
                </c:pt>
                <c:pt idx="44">
                  <c:v>2595.7953269622503</c:v>
                </c:pt>
                <c:pt idx="45">
                  <c:v>2427.4906179434456</c:v>
                </c:pt>
                <c:pt idx="46">
                  <c:v>2491.6456575552252</c:v>
                </c:pt>
                <c:pt idx="47">
                  <c:v>2462.0854356367286</c:v>
                </c:pt>
                <c:pt idx="48">
                  <c:v>2526.7907166240152</c:v>
                </c:pt>
                <c:pt idx="49">
                  <c:v>2661.6742292627669</c:v>
                </c:pt>
                <c:pt idx="50">
                  <c:v>2565.6454232481115</c:v>
                </c:pt>
                <c:pt idx="51">
                  <c:v>2402.7615090517065</c:v>
                </c:pt>
                <c:pt idx="52">
                  <c:v>2442.4693495273073</c:v>
                </c:pt>
                <c:pt idx="53">
                  <c:v>2810.0309001183045</c:v>
                </c:pt>
                <c:pt idx="54">
                  <c:v>2810.8944646306627</c:v>
                </c:pt>
                <c:pt idx="55">
                  <c:v>2993.3800034919727</c:v>
                </c:pt>
                <c:pt idx="56">
                  <c:v>2675.7627492557936</c:v>
                </c:pt>
                <c:pt idx="57">
                  <c:v>2559.560004113107</c:v>
                </c:pt>
                <c:pt idx="58">
                  <c:v>2584.9858384473778</c:v>
                </c:pt>
                <c:pt idx="59">
                  <c:v>2464.2899461137672</c:v>
                </c:pt>
                <c:pt idx="60">
                  <c:v>2774.6875636413606</c:v>
                </c:pt>
                <c:pt idx="61">
                  <c:v>2841.5085489820203</c:v>
                </c:pt>
                <c:pt idx="62">
                  <c:v>2785.0720704195883</c:v>
                </c:pt>
                <c:pt idx="63">
                  <c:v>2633.0312055303107</c:v>
                </c:pt>
                <c:pt idx="64">
                  <c:v>2709.5187202571942</c:v>
                </c:pt>
                <c:pt idx="65">
                  <c:v>2968.0779863459879</c:v>
                </c:pt>
                <c:pt idx="66">
                  <c:v>3055.9694867964217</c:v>
                </c:pt>
                <c:pt idx="67">
                  <c:v>3131.7314020471176</c:v>
                </c:pt>
                <c:pt idx="68">
                  <c:v>2924.8235818671315</c:v>
                </c:pt>
                <c:pt idx="69">
                  <c:v>2597.0851275365544</c:v>
                </c:pt>
                <c:pt idx="70">
                  <c:v>2717.807477823319</c:v>
                </c:pt>
                <c:pt idx="71">
                  <c:v>2659.0209834858197</c:v>
                </c:pt>
                <c:pt idx="72">
                  <c:v>2774.7475921315995</c:v>
                </c:pt>
                <c:pt idx="73">
                  <c:v>2831.8633825866859</c:v>
                </c:pt>
                <c:pt idx="74">
                  <c:v>2770.2311308311942</c:v>
                </c:pt>
                <c:pt idx="75">
                  <c:v>2609.9009351928444</c:v>
                </c:pt>
                <c:pt idx="76">
                  <c:v>2719.0021291196763</c:v>
                </c:pt>
                <c:pt idx="77">
                  <c:v>2891.342722639215</c:v>
                </c:pt>
                <c:pt idx="78">
                  <c:v>3023.438857452968</c:v>
                </c:pt>
                <c:pt idx="79">
                  <c:v>2943.9696444889764</c:v>
                </c:pt>
                <c:pt idx="80">
                  <c:v>2856.4894765084155</c:v>
                </c:pt>
                <c:pt idx="81">
                  <c:v>2699.3033856236525</c:v>
                </c:pt>
                <c:pt idx="82">
                  <c:v>2750.9088492296632</c:v>
                </c:pt>
                <c:pt idx="83">
                  <c:v>2611.6080272247359</c:v>
                </c:pt>
                <c:pt idx="84">
                  <c:v>2835.0310092795453</c:v>
                </c:pt>
                <c:pt idx="85">
                  <c:v>2788.4146047729973</c:v>
                </c:pt>
                <c:pt idx="86">
                  <c:v>2677.57295912168</c:v>
                </c:pt>
                <c:pt idx="87">
                  <c:v>2672.1638826161443</c:v>
                </c:pt>
                <c:pt idx="88">
                  <c:v>2762.0943788360923</c:v>
                </c:pt>
                <c:pt idx="89">
                  <c:v>2986.0243782192892</c:v>
                </c:pt>
                <c:pt idx="90">
                  <c:v>3108.9360889923068</c:v>
                </c:pt>
                <c:pt idx="91">
                  <c:v>3019.4389101552356</c:v>
                </c:pt>
                <c:pt idx="92">
                  <c:v>2920.5151413647086</c:v>
                </c:pt>
                <c:pt idx="93">
                  <c:v>2700.9443157128053</c:v>
                </c:pt>
                <c:pt idx="94">
                  <c:v>2695.2372838536699</c:v>
                </c:pt>
                <c:pt idx="95">
                  <c:v>2666.6321944874167</c:v>
                </c:pt>
                <c:pt idx="96">
                  <c:v>2931.7503693380522</c:v>
                </c:pt>
                <c:pt idx="97">
                  <c:v>2905.4462779251403</c:v>
                </c:pt>
                <c:pt idx="98">
                  <c:v>2741.6806463281564</c:v>
                </c:pt>
                <c:pt idx="99">
                  <c:v>2698.9736033037689</c:v>
                </c:pt>
                <c:pt idx="100">
                  <c:v>2677.1056676928306</c:v>
                </c:pt>
                <c:pt idx="101">
                  <c:v>3045.2003552594711</c:v>
                </c:pt>
                <c:pt idx="102">
                  <c:v>3222.9506808806764</c:v>
                </c:pt>
                <c:pt idx="103">
                  <c:v>2999.2472454087028</c:v>
                </c:pt>
                <c:pt idx="104">
                  <c:v>2860.6454062713997</c:v>
                </c:pt>
                <c:pt idx="105">
                  <c:v>2694.2188768376009</c:v>
                </c:pt>
                <c:pt idx="106">
                  <c:v>2682.9860844223108</c:v>
                </c:pt>
                <c:pt idx="107">
                  <c:v>2704.8291000779195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D8D-4301-9ADB-BDBD32FAA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472640"/>
        <c:axId val="175474944"/>
      </c:scatterChart>
      <c:valAx>
        <c:axId val="175472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Average Tempurature (°C)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474944"/>
        <c:crosses val="autoZero"/>
        <c:crossBetween val="midCat"/>
      </c:valAx>
      <c:valAx>
        <c:axId val="175474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Avg. Daily Consumption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4726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&lt; 50 kW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GS&lt;50 kW</c:v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(Weather!$C$194:$C$256,Weather!$C$259:$C$269,Weather!$C$271:$C$313)</c:f>
              <c:numCache>
                <c:formatCode>0.0</c:formatCode>
                <c:ptCount val="117"/>
              </c:numCache>
            </c:numRef>
          </c:xVal>
          <c:yVal>
            <c:numRef>
              <c:f>(Weather!$W$194:$W$256,Weather!$W$259:$W$269,Weather!$W$271:$W$313)</c:f>
              <c:numCache>
                <c:formatCode>_(* #,##0_);_(* \(#,##0\);_(* "-"??_);_(@_)</c:formatCode>
                <c:ptCount val="117"/>
                <c:pt idx="0">
                  <c:v>88.843645860201789</c:v>
                </c:pt>
                <c:pt idx="1">
                  <c:v>89.820388507997137</c:v>
                </c:pt>
                <c:pt idx="2">
                  <c:v>86.484523589578657</c:v>
                </c:pt>
                <c:pt idx="3">
                  <c:v>76.922299680593127</c:v>
                </c:pt>
                <c:pt idx="4">
                  <c:v>77.319479089744121</c:v>
                </c:pt>
                <c:pt idx="5">
                  <c:v>85.57613126985521</c:v>
                </c:pt>
                <c:pt idx="6">
                  <c:v>89.963521449733548</c:v>
                </c:pt>
                <c:pt idx="7">
                  <c:v>86.552527177455943</c:v>
                </c:pt>
                <c:pt idx="8">
                  <c:v>84.617632045197524</c:v>
                </c:pt>
                <c:pt idx="9">
                  <c:v>77.362965083416569</c:v>
                </c:pt>
                <c:pt idx="10">
                  <c:v>83.380789608385783</c:v>
                </c:pt>
                <c:pt idx="11">
                  <c:v>87.569026397929974</c:v>
                </c:pt>
                <c:pt idx="12">
                  <c:v>94.999041725194132</c:v>
                </c:pt>
                <c:pt idx="13">
                  <c:v>90.950227531340232</c:v>
                </c:pt>
                <c:pt idx="14">
                  <c:v>87.117764635637101</c:v>
                </c:pt>
                <c:pt idx="15">
                  <c:v>83.363111269887639</c:v>
                </c:pt>
                <c:pt idx="16">
                  <c:v>82.862235175131374</c:v>
                </c:pt>
                <c:pt idx="17">
                  <c:v>89.670748308345253</c:v>
                </c:pt>
                <c:pt idx="18">
                  <c:v>95.355416040988359</c:v>
                </c:pt>
                <c:pt idx="19">
                  <c:v>95.077715313750943</c:v>
                </c:pt>
                <c:pt idx="20">
                  <c:v>85.629747202498578</c:v>
                </c:pt>
                <c:pt idx="21">
                  <c:v>78.773874682467408</c:v>
                </c:pt>
                <c:pt idx="22">
                  <c:v>87.058226108192386</c:v>
                </c:pt>
                <c:pt idx="23">
                  <c:v>85.753678720476742</c:v>
                </c:pt>
                <c:pt idx="24">
                  <c:v>93.333943453652807</c:v>
                </c:pt>
                <c:pt idx="25">
                  <c:v>93.545413110322855</c:v>
                </c:pt>
                <c:pt idx="26">
                  <c:v>88.200884449127926</c:v>
                </c:pt>
                <c:pt idx="27">
                  <c:v>79.912016216054127</c:v>
                </c:pt>
                <c:pt idx="28">
                  <c:v>76.887862132258192</c:v>
                </c:pt>
                <c:pt idx="29">
                  <c:v>83.329319355711505</c:v>
                </c:pt>
                <c:pt idx="30">
                  <c:v>98.365131256178955</c:v>
                </c:pt>
                <c:pt idx="31">
                  <c:v>91.625765412684046</c:v>
                </c:pt>
                <c:pt idx="32">
                  <c:v>83.228749339027019</c:v>
                </c:pt>
                <c:pt idx="33">
                  <c:v>77.682210840526949</c:v>
                </c:pt>
                <c:pt idx="34">
                  <c:v>86.407135000876806</c:v>
                </c:pt>
                <c:pt idx="35">
                  <c:v>87.518099879252574</c:v>
                </c:pt>
                <c:pt idx="36">
                  <c:v>89.365171486107954</c:v>
                </c:pt>
                <c:pt idx="37">
                  <c:v>90.470893446036044</c:v>
                </c:pt>
                <c:pt idx="38">
                  <c:v>80.066252343822228</c:v>
                </c:pt>
                <c:pt idx="39">
                  <c:v>68.39986001949552</c:v>
                </c:pt>
                <c:pt idx="40">
                  <c:v>69.068710752341403</c:v>
                </c:pt>
                <c:pt idx="41">
                  <c:v>82.808367420661071</c:v>
                </c:pt>
                <c:pt idx="42">
                  <c:v>96.902879111035276</c:v>
                </c:pt>
                <c:pt idx="43">
                  <c:v>88.370860037036849</c:v>
                </c:pt>
                <c:pt idx="44">
                  <c:v>77.667790408252998</c:v>
                </c:pt>
                <c:pt idx="45">
                  <c:v>73.740366901900842</c:v>
                </c:pt>
                <c:pt idx="46">
                  <c:v>78.044503496723365</c:v>
                </c:pt>
                <c:pt idx="47">
                  <c:v>83.24289464757959</c:v>
                </c:pt>
                <c:pt idx="48">
                  <c:v>82.499983664165057</c:v>
                </c:pt>
                <c:pt idx="49">
                  <c:v>88.075701491498805</c:v>
                </c:pt>
                <c:pt idx="50">
                  <c:v>81.42193483269881</c:v>
                </c:pt>
                <c:pt idx="51">
                  <c:v>73.23602894177148</c:v>
                </c:pt>
                <c:pt idx="52">
                  <c:v>73.164324024215716</c:v>
                </c:pt>
                <c:pt idx="53">
                  <c:v>86.623488476250841</c:v>
                </c:pt>
                <c:pt idx="54">
                  <c:v>89.064251536139707</c:v>
                </c:pt>
                <c:pt idx="55">
                  <c:v>95.405043004569293</c:v>
                </c:pt>
                <c:pt idx="56">
                  <c:v>81.60972190610255</c:v>
                </c:pt>
                <c:pt idx="57">
                  <c:v>76.702169134202606</c:v>
                </c:pt>
                <c:pt idx="58">
                  <c:v>81.560889755773204</c:v>
                </c:pt>
                <c:pt idx="59">
                  <c:v>83.93059815764525</c:v>
                </c:pt>
                <c:pt idx="60">
                  <c:v>91.183941771017416</c:v>
                </c:pt>
                <c:pt idx="61">
                  <c:v>92.777235837594233</c:v>
                </c:pt>
                <c:pt idx="62">
                  <c:v>87.427646768984786</c:v>
                </c:pt>
                <c:pt idx="63">
                  <c:v>89.708173965236909</c:v>
                </c:pt>
                <c:pt idx="64">
                  <c:v>95.524348881726112</c:v>
                </c:pt>
                <c:pt idx="65">
                  <c:v>95.271022987898476</c:v>
                </c:pt>
                <c:pt idx="66">
                  <c:v>85.321792238382855</c:v>
                </c:pt>
                <c:pt idx="67">
                  <c:v>76.918179268406746</c:v>
                </c:pt>
                <c:pt idx="68">
                  <c:v>83.554253936876776</c:v>
                </c:pt>
                <c:pt idx="69">
                  <c:v>88.340196212638332</c:v>
                </c:pt>
                <c:pt idx="70">
                  <c:v>89.442667027736093</c:v>
                </c:pt>
                <c:pt idx="71">
                  <c:v>90.952535282472383</c:v>
                </c:pt>
                <c:pt idx="72">
                  <c:v>88.644069640949951</c:v>
                </c:pt>
                <c:pt idx="73">
                  <c:v>80.593372771386186</c:v>
                </c:pt>
                <c:pt idx="74">
                  <c:v>86.820988063755621</c:v>
                </c:pt>
                <c:pt idx="75">
                  <c:v>93.447560438315676</c:v>
                </c:pt>
                <c:pt idx="76">
                  <c:v>88.815330713175356</c:v>
                </c:pt>
                <c:pt idx="77">
                  <c:v>84.643489527807375</c:v>
                </c:pt>
                <c:pt idx="78">
                  <c:v>79.953774966133935</c:v>
                </c:pt>
                <c:pt idx="79">
                  <c:v>85.474651269291797</c:v>
                </c:pt>
                <c:pt idx="80">
                  <c:v>85.838605392628892</c:v>
                </c:pt>
                <c:pt idx="81">
                  <c:v>92.978824700499729</c:v>
                </c:pt>
                <c:pt idx="82">
                  <c:v>89.00095126310076</c:v>
                </c:pt>
                <c:pt idx="83">
                  <c:v>83.812615297561621</c:v>
                </c:pt>
                <c:pt idx="84">
                  <c:v>80.084107110777282</c:v>
                </c:pt>
                <c:pt idx="85">
                  <c:v>81.362357249121402</c:v>
                </c:pt>
                <c:pt idx="86">
                  <c:v>90.714240804738751</c:v>
                </c:pt>
                <c:pt idx="87">
                  <c:v>96.560120275101269</c:v>
                </c:pt>
                <c:pt idx="88">
                  <c:v>92.296391855641915</c:v>
                </c:pt>
                <c:pt idx="89">
                  <c:v>85.937553896108952</c:v>
                </c:pt>
                <c:pt idx="90">
                  <c:v>78.104299825966947</c:v>
                </c:pt>
                <c:pt idx="91">
                  <c:v>81.50585872784491</c:v>
                </c:pt>
                <c:pt idx="92">
                  <c:v>88.265649666910889</c:v>
                </c:pt>
                <c:pt idx="93">
                  <c:v>96.260496780015558</c:v>
                </c:pt>
                <c:pt idx="94">
                  <c:v>95.914887127384162</c:v>
                </c:pt>
                <c:pt idx="95">
                  <c:v>86.600773167431669</c:v>
                </c:pt>
                <c:pt idx="96">
                  <c:v>82.349870506807605</c:v>
                </c:pt>
                <c:pt idx="97">
                  <c:v>78.52137110372577</c:v>
                </c:pt>
                <c:pt idx="98">
                  <c:v>92.849377713881211</c:v>
                </c:pt>
                <c:pt idx="99">
                  <c:v>102.17941414361083</c:v>
                </c:pt>
                <c:pt idx="100">
                  <c:v>93.452962322461744</c:v>
                </c:pt>
                <c:pt idx="101">
                  <c:v>85.695706547547346</c:v>
                </c:pt>
                <c:pt idx="102">
                  <c:v>80.439078034709667</c:v>
                </c:pt>
                <c:pt idx="103">
                  <c:v>85.472530340258302</c:v>
                </c:pt>
                <c:pt idx="104">
                  <c:v>92.804748678769613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0C-4CBE-A334-3E02689B822E}"/>
            </c:ext>
          </c:extLst>
        </c:ser>
        <c:ser>
          <c:idx val="1"/>
          <c:order val="1"/>
          <c:tx>
            <c:v>Apr/May 2020</c:v>
          </c:tx>
          <c:spPr>
            <a:ln w="19050">
              <a:noFill/>
            </a:ln>
          </c:spPr>
          <c:xVal>
            <c:numRef>
              <c:f>Weather!$V$257:$V$258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Weather!$W$257:$W$258</c:f>
              <c:numCache>
                <c:formatCode>_(* #,##0_);_(* \(#,##0\);_(* "-"??_);_(@_)</c:formatCode>
                <c:ptCount val="2"/>
                <c:pt idx="0">
                  <c:v>80.441984547303363</c:v>
                </c:pt>
                <c:pt idx="1">
                  <c:v>80.383558310808937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E0C-4CBE-A334-3E02689B822E}"/>
            </c:ext>
          </c:extLst>
        </c:ser>
        <c:ser>
          <c:idx val="2"/>
          <c:order val="2"/>
          <c:tx>
            <c:v>May-21</c:v>
          </c:tx>
          <c:spPr>
            <a:ln w="19050"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xVal>
            <c:numRef>
              <c:f>Weather!$V$270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Weather!$W$270</c:f>
              <c:numCache>
                <c:formatCode>_(* #,##0_);_(* \(#,##0\);_(* "-"??_);_(@_)</c:formatCode>
                <c:ptCount val="1"/>
                <c:pt idx="0">
                  <c:v>80.728749336517154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E0C-4CBE-A334-3E02689B8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621824"/>
        <c:axId val="152624128"/>
      </c:scatterChart>
      <c:valAx>
        <c:axId val="152621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Average Tempurature (°C)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624128"/>
        <c:crosses val="autoZero"/>
        <c:crossBetween val="midCat"/>
      </c:valAx>
      <c:valAx>
        <c:axId val="152624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Avg. Daily Consumption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621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/>
              <a:t>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Weather!$C$1</c:f>
              <c:strCache>
                <c:ptCount val="1"/>
                <c:pt idx="0">
                  <c:v>MeanTemp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Weather!$C$194:$C$313</c:f>
              <c:numCache>
                <c:formatCode>0.0</c:formatCode>
                <c:ptCount val="120"/>
              </c:numCache>
            </c:numRef>
          </c:xVal>
          <c:yVal>
            <c:numRef>
              <c:f>Weather!$DO$194:$DO$313</c:f>
              <c:numCache>
                <c:formatCode>_(* #,##0_);_(* \(#,##0\);_(* "-"??_);_(@_)</c:formatCode>
                <c:ptCount val="120"/>
                <c:pt idx="0">
                  <c:v>96528111.989106089</c:v>
                </c:pt>
                <c:pt idx="1">
                  <c:v>81300090.78765358</c:v>
                </c:pt>
                <c:pt idx="2">
                  <c:v>87978694.586201057</c:v>
                </c:pt>
                <c:pt idx="3">
                  <c:v>73074109.384748533</c:v>
                </c:pt>
                <c:pt idx="4">
                  <c:v>74177213.18329601</c:v>
                </c:pt>
                <c:pt idx="5">
                  <c:v>91127350.981843486</c:v>
                </c:pt>
                <c:pt idx="6">
                  <c:v>108227347.78039098</c:v>
                </c:pt>
                <c:pt idx="7">
                  <c:v>95371179.578938454</c:v>
                </c:pt>
                <c:pt idx="8">
                  <c:v>89157887.377485931</c:v>
                </c:pt>
                <c:pt idx="9">
                  <c:v>77506626.176033407</c:v>
                </c:pt>
                <c:pt idx="10">
                  <c:v>84425507.974580884</c:v>
                </c:pt>
                <c:pt idx="11">
                  <c:v>102733791.77312838</c:v>
                </c:pt>
                <c:pt idx="12">
                  <c:v>104765390.03404444</c:v>
                </c:pt>
                <c:pt idx="13">
                  <c:v>87909194.787768081</c:v>
                </c:pt>
                <c:pt idx="14">
                  <c:v>91818531.541491702</c:v>
                </c:pt>
                <c:pt idx="15">
                  <c:v>83778021.295215338</c:v>
                </c:pt>
                <c:pt idx="16">
                  <c:v>84852159.04893896</c:v>
                </c:pt>
                <c:pt idx="17">
                  <c:v>96396686.802662596</c:v>
                </c:pt>
                <c:pt idx="18">
                  <c:v>120736313.55638622</c:v>
                </c:pt>
                <c:pt idx="19">
                  <c:v>119361439.31010985</c:v>
                </c:pt>
                <c:pt idx="20">
                  <c:v>98395160.063833475</c:v>
                </c:pt>
                <c:pt idx="21">
                  <c:v>83137429.817557111</c:v>
                </c:pt>
                <c:pt idx="22">
                  <c:v>90326715.571280748</c:v>
                </c:pt>
                <c:pt idx="23">
                  <c:v>102342861.32500437</c:v>
                </c:pt>
                <c:pt idx="24">
                  <c:v>105416679.01993552</c:v>
                </c:pt>
                <c:pt idx="25">
                  <c:v>92620975.343300313</c:v>
                </c:pt>
                <c:pt idx="26">
                  <c:v>94241177.603081301</c:v>
                </c:pt>
                <c:pt idx="27">
                  <c:v>79477048.429578483</c:v>
                </c:pt>
                <c:pt idx="28">
                  <c:v>75969863.614056066</c:v>
                </c:pt>
                <c:pt idx="29">
                  <c:v>87994636.970840842</c:v>
                </c:pt>
                <c:pt idx="30">
                  <c:v>127394508.16810884</c:v>
                </c:pt>
                <c:pt idx="31">
                  <c:v>109911720.39383872</c:v>
                </c:pt>
                <c:pt idx="32">
                  <c:v>86984748.548102602</c:v>
                </c:pt>
                <c:pt idx="33">
                  <c:v>79074026.821383372</c:v>
                </c:pt>
                <c:pt idx="34">
                  <c:v>88890436.20814155</c:v>
                </c:pt>
                <c:pt idx="35">
                  <c:v>99357327.710085541</c:v>
                </c:pt>
                <c:pt idx="36">
                  <c:v>97545951.767339185</c:v>
                </c:pt>
                <c:pt idx="37">
                  <c:v>91493578.994513884</c:v>
                </c:pt>
                <c:pt idx="38">
                  <c:v>91571517.654991493</c:v>
                </c:pt>
                <c:pt idx="39">
                  <c:v>85758313.193750188</c:v>
                </c:pt>
                <c:pt idx="40">
                  <c:v>92128124.461526498</c:v>
                </c:pt>
                <c:pt idx="41">
                  <c:v>112735350.78716789</c:v>
                </c:pt>
                <c:pt idx="42">
                  <c:v>146625970.2936959</c:v>
                </c:pt>
                <c:pt idx="43">
                  <c:v>120844372.34821889</c:v>
                </c:pt>
                <c:pt idx="44">
                  <c:v>87619165.062130496</c:v>
                </c:pt>
                <c:pt idx="45">
                  <c:v>83474979.349141687</c:v>
                </c:pt>
                <c:pt idx="46">
                  <c:v>86270435.371089891</c:v>
                </c:pt>
                <c:pt idx="47">
                  <c:v>104207857.30909689</c:v>
                </c:pt>
                <c:pt idx="48">
                  <c:v>105751345.12864499</c:v>
                </c:pt>
                <c:pt idx="49">
                  <c:v>98306877.169293538</c:v>
                </c:pt>
                <c:pt idx="50">
                  <c:v>91973029.250623286</c:v>
                </c:pt>
                <c:pt idx="51">
                  <c:v>82981156.929550335</c:v>
                </c:pt>
                <c:pt idx="52">
                  <c:v>91340076.58452858</c:v>
                </c:pt>
                <c:pt idx="53">
                  <c:v>115361515.82174373</c:v>
                </c:pt>
                <c:pt idx="54">
                  <c:v>119528701.30399828</c:v>
                </c:pt>
                <c:pt idx="55">
                  <c:v>132199542.12188883</c:v>
                </c:pt>
                <c:pt idx="56">
                  <c:v>92658508.505937979</c:v>
                </c:pt>
                <c:pt idx="57">
                  <c:v>87440775.674946621</c:v>
                </c:pt>
                <c:pt idx="58">
                  <c:v>89753400.674855173</c:v>
                </c:pt>
                <c:pt idx="59">
                  <c:v>101925936.95283271</c:v>
                </c:pt>
                <c:pt idx="60">
                  <c:v>113400436.11189753</c:v>
                </c:pt>
                <c:pt idx="61">
                  <c:v>98271140.502125725</c:v>
                </c:pt>
                <c:pt idx="62">
                  <c:v>97810437.164043024</c:v>
                </c:pt>
                <c:pt idx="63">
                  <c:v>85783051.575556532</c:v>
                </c:pt>
                <c:pt idx="64">
                  <c:v>89296731.492021337</c:v>
                </c:pt>
                <c:pt idx="65">
                  <c:v>104358390.42752253</c:v>
                </c:pt>
                <c:pt idx="66">
                  <c:v>125884000.32741234</c:v>
                </c:pt>
                <c:pt idx="67">
                  <c:v>121150244.47990614</c:v>
                </c:pt>
                <c:pt idx="68">
                  <c:v>95896085.279471442</c:v>
                </c:pt>
                <c:pt idx="69">
                  <c:v>82407651.875134245</c:v>
                </c:pt>
                <c:pt idx="70">
                  <c:v>87684954.067774549</c:v>
                </c:pt>
                <c:pt idx="71">
                  <c:v>104600325.92757934</c:v>
                </c:pt>
                <c:pt idx="72">
                  <c:v>101095920.38269933</c:v>
                </c:pt>
                <c:pt idx="73">
                  <c:v>91047446.956413373</c:v>
                </c:pt>
                <c:pt idx="74">
                  <c:v>95849298.594118595</c:v>
                </c:pt>
                <c:pt idx="75">
                  <c:v>84098508.162623033</c:v>
                </c:pt>
                <c:pt idx="76">
                  <c:v>84438333.862071276</c:v>
                </c:pt>
                <c:pt idx="77">
                  <c:v>97286503.750689998</c:v>
                </c:pt>
                <c:pt idx="78">
                  <c:v>121481480.73199384</c:v>
                </c:pt>
                <c:pt idx="79">
                  <c:v>106591355.68128458</c:v>
                </c:pt>
                <c:pt idx="80">
                  <c:v>94551964.486079708</c:v>
                </c:pt>
                <c:pt idx="81">
                  <c:v>87394678.400082737</c:v>
                </c:pt>
                <c:pt idx="82">
                  <c:v>90724734.418044969</c:v>
                </c:pt>
                <c:pt idx="83">
                  <c:v>100027267.37958151</c:v>
                </c:pt>
                <c:pt idx="84">
                  <c:v>107987271.15008742</c:v>
                </c:pt>
                <c:pt idx="85">
                  <c:v>93237063.884746984</c:v>
                </c:pt>
                <c:pt idx="86">
                  <c:v>94045575.889152646</c:v>
                </c:pt>
                <c:pt idx="87">
                  <c:v>82535428.2478275</c:v>
                </c:pt>
                <c:pt idx="88">
                  <c:v>90145540.473728657</c:v>
                </c:pt>
                <c:pt idx="89">
                  <c:v>111435063.72212371</c:v>
                </c:pt>
                <c:pt idx="90">
                  <c:v>130191861.16614237</c:v>
                </c:pt>
                <c:pt idx="91">
                  <c:v>120170576.65742104</c:v>
                </c:pt>
                <c:pt idx="92">
                  <c:v>100285392.95244572</c:v>
                </c:pt>
                <c:pt idx="93">
                  <c:v>83692326.02029407</c:v>
                </c:pt>
                <c:pt idx="94">
                  <c:v>88124968.455559433</c:v>
                </c:pt>
                <c:pt idx="95">
                  <c:v>107392341.21479669</c:v>
                </c:pt>
                <c:pt idx="96">
                  <c:v>113660418.88730848</c:v>
                </c:pt>
                <c:pt idx="97">
                  <c:v>99387988.37269628</c:v>
                </c:pt>
                <c:pt idx="98">
                  <c:v>96704636.918613061</c:v>
                </c:pt>
                <c:pt idx="99">
                  <c:v>85992221.873758852</c:v>
                </c:pt>
                <c:pt idx="100">
                  <c:v>84993551.117046133</c:v>
                </c:pt>
                <c:pt idx="101">
                  <c:v>115056173.48231643</c:v>
                </c:pt>
                <c:pt idx="102">
                  <c:v>140976675.19585302</c:v>
                </c:pt>
                <c:pt idx="103">
                  <c:v>121948218.3047366</c:v>
                </c:pt>
                <c:pt idx="104">
                  <c:v>95222363.852296785</c:v>
                </c:pt>
                <c:pt idx="105">
                  <c:v>87631115.335631788</c:v>
                </c:pt>
                <c:pt idx="106">
                  <c:v>93364815.512638971</c:v>
                </c:pt>
                <c:pt idx="107">
                  <c:v>111581704.96910296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7E3-46FD-8B6A-AB48D1FFCD7F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Weather!$C$194:$C$313</c:f>
              <c:numCache>
                <c:formatCode>0.0</c:formatCode>
                <c:ptCount val="120"/>
              </c:numCache>
            </c:numRef>
          </c:xVal>
          <c:yVal>
            <c:numRef>
              <c:f>Weather!$DR$194:$DR$313</c:f>
              <c:numCache>
                <c:formatCode>_(* #,##0_);_(* \(#,##0\);_(* "-"??_);_(@_)</c:formatCode>
                <c:ptCount val="120"/>
                <c:pt idx="0">
                  <c:v>35298963.860157602</c:v>
                </c:pt>
                <c:pt idx="1">
                  <c:v>35298963.860157602</c:v>
                </c:pt>
                <c:pt idx="2">
                  <c:v>35298963.860157602</c:v>
                </c:pt>
                <c:pt idx="3">
                  <c:v>35298963.860157602</c:v>
                </c:pt>
                <c:pt idx="4">
                  <c:v>35298963.860157602</c:v>
                </c:pt>
                <c:pt idx="5">
                  <c:v>35298963.860157602</c:v>
                </c:pt>
                <c:pt idx="6">
                  <c:v>35298963.860157602</c:v>
                </c:pt>
                <c:pt idx="7">
                  <c:v>35298963.860157602</c:v>
                </c:pt>
                <c:pt idx="8">
                  <c:v>35298963.860157602</c:v>
                </c:pt>
                <c:pt idx="9">
                  <c:v>35298963.860157602</c:v>
                </c:pt>
                <c:pt idx="10">
                  <c:v>35298963.860157602</c:v>
                </c:pt>
                <c:pt idx="11">
                  <c:v>35298963.860157602</c:v>
                </c:pt>
                <c:pt idx="12">
                  <c:v>35298963.860157602</c:v>
                </c:pt>
                <c:pt idx="13">
                  <c:v>35298963.860157602</c:v>
                </c:pt>
                <c:pt idx="14">
                  <c:v>35298963.860157602</c:v>
                </c:pt>
                <c:pt idx="15">
                  <c:v>35298963.860157602</c:v>
                </c:pt>
                <c:pt idx="16">
                  <c:v>35298963.860157602</c:v>
                </c:pt>
                <c:pt idx="17">
                  <c:v>35298963.860157602</c:v>
                </c:pt>
                <c:pt idx="18">
                  <c:v>35298963.860157602</c:v>
                </c:pt>
                <c:pt idx="19">
                  <c:v>35298963.860157602</c:v>
                </c:pt>
                <c:pt idx="20">
                  <c:v>35298963.860157602</c:v>
                </c:pt>
                <c:pt idx="21">
                  <c:v>35298963.860157602</c:v>
                </c:pt>
                <c:pt idx="22">
                  <c:v>35298963.860157602</c:v>
                </c:pt>
                <c:pt idx="23">
                  <c:v>35298963.860157602</c:v>
                </c:pt>
                <c:pt idx="24">
                  <c:v>35298963.860157602</c:v>
                </c:pt>
                <c:pt idx="25">
                  <c:v>35298963.860157602</c:v>
                </c:pt>
                <c:pt idx="26">
                  <c:v>35298963.860157602</c:v>
                </c:pt>
                <c:pt idx="27">
                  <c:v>35298963.860157602</c:v>
                </c:pt>
                <c:pt idx="28">
                  <c:v>35298963.860157602</c:v>
                </c:pt>
                <c:pt idx="29">
                  <c:v>35298963.860157602</c:v>
                </c:pt>
                <c:pt idx="30">
                  <c:v>35298963.860157602</c:v>
                </c:pt>
                <c:pt idx="31">
                  <c:v>35298963.860157602</c:v>
                </c:pt>
                <c:pt idx="32">
                  <c:v>35298963.860157602</c:v>
                </c:pt>
                <c:pt idx="33">
                  <c:v>35298963.860157602</c:v>
                </c:pt>
                <c:pt idx="34">
                  <c:v>35298963.860157602</c:v>
                </c:pt>
                <c:pt idx="35">
                  <c:v>35298963.860157602</c:v>
                </c:pt>
                <c:pt idx="36">
                  <c:v>35298963.860157602</c:v>
                </c:pt>
                <c:pt idx="37">
                  <c:v>35298963.860157602</c:v>
                </c:pt>
                <c:pt idx="38">
                  <c:v>35298963.860157602</c:v>
                </c:pt>
                <c:pt idx="39">
                  <c:v>35298963.860157602</c:v>
                </c:pt>
                <c:pt idx="40">
                  <c:v>35298963.860157602</c:v>
                </c:pt>
                <c:pt idx="41">
                  <c:v>35298963.860157602</c:v>
                </c:pt>
                <c:pt idx="42">
                  <c:v>35298963.860157602</c:v>
                </c:pt>
                <c:pt idx="43">
                  <c:v>35298963.860157602</c:v>
                </c:pt>
                <c:pt idx="44">
                  <c:v>35298963.860157602</c:v>
                </c:pt>
                <c:pt idx="45">
                  <c:v>35298963.860157602</c:v>
                </c:pt>
                <c:pt idx="46">
                  <c:v>35298963.860157602</c:v>
                </c:pt>
                <c:pt idx="47">
                  <c:v>35298963.860157602</c:v>
                </c:pt>
                <c:pt idx="48">
                  <c:v>35298963.860157602</c:v>
                </c:pt>
                <c:pt idx="49">
                  <c:v>35298963.860157602</c:v>
                </c:pt>
                <c:pt idx="50">
                  <c:v>35298963.860157602</c:v>
                </c:pt>
                <c:pt idx="51">
                  <c:v>35298963.860157602</c:v>
                </c:pt>
                <c:pt idx="52">
                  <c:v>35298963.860157602</c:v>
                </c:pt>
                <c:pt idx="53">
                  <c:v>35298963.860157602</c:v>
                </c:pt>
                <c:pt idx="54">
                  <c:v>35298963.860157602</c:v>
                </c:pt>
                <c:pt idx="55">
                  <c:v>35298963.860157602</c:v>
                </c:pt>
                <c:pt idx="56">
                  <c:v>35298963.860157602</c:v>
                </c:pt>
                <c:pt idx="57">
                  <c:v>35298963.860157602</c:v>
                </c:pt>
                <c:pt idx="58">
                  <c:v>35298963.860157602</c:v>
                </c:pt>
                <c:pt idx="59">
                  <c:v>35298963.860157602</c:v>
                </c:pt>
                <c:pt idx="60">
                  <c:v>35298963.860157602</c:v>
                </c:pt>
                <c:pt idx="61">
                  <c:v>35298963.860157602</c:v>
                </c:pt>
                <c:pt idx="62">
                  <c:v>35298963.860157602</c:v>
                </c:pt>
                <c:pt idx="63">
                  <c:v>35298963.860157602</c:v>
                </c:pt>
                <c:pt idx="64">
                  <c:v>35298963.860157602</c:v>
                </c:pt>
                <c:pt idx="65">
                  <c:v>35298963.860157602</c:v>
                </c:pt>
                <c:pt idx="66">
                  <c:v>35298963.860157602</c:v>
                </c:pt>
                <c:pt idx="67">
                  <c:v>35298963.860157602</c:v>
                </c:pt>
                <c:pt idx="68">
                  <c:v>35298963.860157602</c:v>
                </c:pt>
                <c:pt idx="69">
                  <c:v>35298963.860157602</c:v>
                </c:pt>
                <c:pt idx="70">
                  <c:v>35298963.860157602</c:v>
                </c:pt>
                <c:pt idx="71">
                  <c:v>35298963.860157602</c:v>
                </c:pt>
                <c:pt idx="72">
                  <c:v>35298963.860157602</c:v>
                </c:pt>
                <c:pt idx="73">
                  <c:v>35298963.860157602</c:v>
                </c:pt>
                <c:pt idx="74">
                  <c:v>35298963.860157602</c:v>
                </c:pt>
                <c:pt idx="75">
                  <c:v>35298963.860157602</c:v>
                </c:pt>
                <c:pt idx="76">
                  <c:v>35298963.860157602</c:v>
                </c:pt>
                <c:pt idx="77">
                  <c:v>35298963.860157602</c:v>
                </c:pt>
                <c:pt idx="78">
                  <c:v>35298963.860157602</c:v>
                </c:pt>
                <c:pt idx="79">
                  <c:v>35298963.860157602</c:v>
                </c:pt>
                <c:pt idx="80">
                  <c:v>35298963.860157602</c:v>
                </c:pt>
                <c:pt idx="81">
                  <c:v>35298963.860157602</c:v>
                </c:pt>
                <c:pt idx="82">
                  <c:v>35298963.860157602</c:v>
                </c:pt>
                <c:pt idx="83">
                  <c:v>35298963.860157602</c:v>
                </c:pt>
                <c:pt idx="84">
                  <c:v>35298963.860157602</c:v>
                </c:pt>
                <c:pt idx="85">
                  <c:v>35298963.860157602</c:v>
                </c:pt>
                <c:pt idx="86">
                  <c:v>35298963.860157602</c:v>
                </c:pt>
                <c:pt idx="87">
                  <c:v>35298963.860157602</c:v>
                </c:pt>
                <c:pt idx="88">
                  <c:v>35298963.860157602</c:v>
                </c:pt>
                <c:pt idx="89">
                  <c:v>35298963.860157602</c:v>
                </c:pt>
                <c:pt idx="90">
                  <c:v>35298963.860157602</c:v>
                </c:pt>
                <c:pt idx="91">
                  <c:v>35298963.860157602</c:v>
                </c:pt>
                <c:pt idx="92">
                  <c:v>35298963.860157602</c:v>
                </c:pt>
                <c:pt idx="93">
                  <c:v>35298963.860157602</c:v>
                </c:pt>
                <c:pt idx="94">
                  <c:v>35298963.860157602</c:v>
                </c:pt>
                <c:pt idx="95">
                  <c:v>35298963.860157602</c:v>
                </c:pt>
                <c:pt idx="96">
                  <c:v>35298963.860157602</c:v>
                </c:pt>
                <c:pt idx="97">
                  <c:v>35298963.860157602</c:v>
                </c:pt>
                <c:pt idx="98">
                  <c:v>35298963.860157602</c:v>
                </c:pt>
                <c:pt idx="99">
                  <c:v>35298963.860157602</c:v>
                </c:pt>
                <c:pt idx="100">
                  <c:v>35298963.860157602</c:v>
                </c:pt>
                <c:pt idx="101">
                  <c:v>35298963.860157602</c:v>
                </c:pt>
                <c:pt idx="102">
                  <c:v>35298963.860157602</c:v>
                </c:pt>
                <c:pt idx="103">
                  <c:v>35298963.860157602</c:v>
                </c:pt>
                <c:pt idx="104">
                  <c:v>35298963.860157602</c:v>
                </c:pt>
                <c:pt idx="105">
                  <c:v>35298963.860157602</c:v>
                </c:pt>
                <c:pt idx="106">
                  <c:v>35298963.860157602</c:v>
                </c:pt>
                <c:pt idx="107">
                  <c:v>35298963.860157602</c:v>
                </c:pt>
                <c:pt idx="108">
                  <c:v>35298963.860157602</c:v>
                </c:pt>
                <c:pt idx="109">
                  <c:v>35298963.860157602</c:v>
                </c:pt>
                <c:pt idx="110">
                  <c:v>35298963.860157602</c:v>
                </c:pt>
                <c:pt idx="111">
                  <c:v>35298963.860157602</c:v>
                </c:pt>
                <c:pt idx="112">
                  <c:v>35298963.860157602</c:v>
                </c:pt>
                <c:pt idx="113">
                  <c:v>35298963.860157602</c:v>
                </c:pt>
                <c:pt idx="114">
                  <c:v>35298963.860157602</c:v>
                </c:pt>
                <c:pt idx="115">
                  <c:v>35298963.860157602</c:v>
                </c:pt>
                <c:pt idx="116">
                  <c:v>35298963.860157602</c:v>
                </c:pt>
                <c:pt idx="117">
                  <c:v>35298963.860157602</c:v>
                </c:pt>
                <c:pt idx="118">
                  <c:v>35298963.860157602</c:v>
                </c:pt>
                <c:pt idx="119">
                  <c:v>35298963.860157602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7E3-46FD-8B6A-AB48D1FFC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6257311"/>
        <c:axId val="1096240031"/>
      </c:scatterChart>
      <c:valAx>
        <c:axId val="10962573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6240031"/>
        <c:crosses val="autoZero"/>
        <c:crossBetween val="midCat"/>
      </c:valAx>
      <c:valAx>
        <c:axId val="10962400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(* #,##0_);_(* \(#,##0\);_(* &quot;-&quot;??_);_(@_)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6257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/>
              <a:t>GS &lt; 50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973040367518006"/>
          <c:y val="0.15406616862326575"/>
          <c:w val="0.76454487038084917"/>
          <c:h val="0.65210968159396299"/>
        </c:manualLayout>
      </c:layout>
      <c:scatterChart>
        <c:scatterStyle val="lineMarker"/>
        <c:varyColors val="0"/>
        <c:ser>
          <c:idx val="0"/>
          <c:order val="0"/>
          <c:tx>
            <c:strRef>
              <c:f>Weather!$C$1</c:f>
              <c:strCache>
                <c:ptCount val="1"/>
                <c:pt idx="0">
                  <c:v>MeanTemp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Weather!$C$194:$C$313</c:f>
              <c:numCache>
                <c:formatCode>0.0</c:formatCode>
                <c:ptCount val="120"/>
              </c:numCache>
            </c:numRef>
          </c:xVal>
          <c:yVal>
            <c:numRef>
              <c:f>Weather!$DP$194:$DP$313</c:f>
              <c:numCache>
                <c:formatCode>_(* #,##0_);_(* \(#,##0\);_(* "-"??_);_(@_)</c:formatCode>
                <c:ptCount val="120"/>
                <c:pt idx="0">
                  <c:v>34683049.001843154</c:v>
                </c:pt>
                <c:pt idx="1">
                  <c:v>31630788.735422239</c:v>
                </c:pt>
                <c:pt idx="2">
                  <c:v>33721872.46900133</c:v>
                </c:pt>
                <c:pt idx="3">
                  <c:v>29000476.202580415</c:v>
                </c:pt>
                <c:pt idx="4">
                  <c:v>30141065.936159503</c:v>
                </c:pt>
                <c:pt idx="5">
                  <c:v>32275893.669738587</c:v>
                </c:pt>
                <c:pt idx="6">
                  <c:v>35056085.403317675</c:v>
                </c:pt>
                <c:pt idx="7">
                  <c:v>33724240.136896759</c:v>
                </c:pt>
                <c:pt idx="8">
                  <c:v>31894077.870475851</c:v>
                </c:pt>
                <c:pt idx="9">
                  <c:v>30146026.604054935</c:v>
                </c:pt>
                <c:pt idx="10">
                  <c:v>31440394.337634023</c:v>
                </c:pt>
                <c:pt idx="11">
                  <c:v>34201747.071213111</c:v>
                </c:pt>
                <c:pt idx="12">
                  <c:v>37147855.281969562</c:v>
                </c:pt>
                <c:pt idx="13">
                  <c:v>32130532.581361752</c:v>
                </c:pt>
                <c:pt idx="14">
                  <c:v>34082211.880753942</c:v>
                </c:pt>
                <c:pt idx="15">
                  <c:v>31578780.180146135</c:v>
                </c:pt>
                <c:pt idx="16">
                  <c:v>32437913.479538325</c:v>
                </c:pt>
                <c:pt idx="17">
                  <c:v>33981626.778930515</c:v>
                </c:pt>
                <c:pt idx="18">
                  <c:v>37340418.078322709</c:v>
                </c:pt>
                <c:pt idx="19">
                  <c:v>37258199.377714895</c:v>
                </c:pt>
                <c:pt idx="20">
                  <c:v>32457955.677107088</c:v>
                </c:pt>
                <c:pt idx="21">
                  <c:v>30886290.976499278</c:v>
                </c:pt>
                <c:pt idx="22">
                  <c:v>33064714.275891468</c:v>
                </c:pt>
                <c:pt idx="23">
                  <c:v>33697422.575283661</c:v>
                </c:pt>
                <c:pt idx="24">
                  <c:v>36829480.752867945</c:v>
                </c:pt>
                <c:pt idx="25">
                  <c:v>33366900.493147276</c:v>
                </c:pt>
                <c:pt idx="26">
                  <c:v>34872336.488189504</c:v>
                </c:pt>
                <c:pt idx="27">
                  <c:v>30563948.842154223</c:v>
                </c:pt>
                <c:pt idx="28">
                  <c:v>30439981.506023146</c:v>
                </c:pt>
                <c:pt idx="29">
                  <c:v>31958460.559302475</c:v>
                </c:pt>
                <c:pt idx="30">
                  <c:v>39000790.891762398</c:v>
                </c:pt>
                <c:pt idx="31">
                  <c:v>36320178.532291718</c:v>
                </c:pt>
                <c:pt idx="32">
                  <c:v>31962336.608666547</c:v>
                </c:pt>
                <c:pt idx="33">
                  <c:v>30759281.251047574</c:v>
                </c:pt>
                <c:pt idx="34">
                  <c:v>33141456.629586298</c:v>
                </c:pt>
                <c:pt idx="35">
                  <c:v>34727182.032087423</c:v>
                </c:pt>
                <c:pt idx="36">
                  <c:v>35587534.780226827</c:v>
                </c:pt>
                <c:pt idx="37">
                  <c:v>33755956.937224291</c:v>
                </c:pt>
                <c:pt idx="38">
                  <c:v>31961407.074373361</c:v>
                </c:pt>
                <c:pt idx="39">
                  <c:v>26435861.898934826</c:v>
                </c:pt>
                <c:pt idx="40">
                  <c:v>27588460.479361489</c:v>
                </c:pt>
                <c:pt idx="41">
                  <c:v>32012058.677479155</c:v>
                </c:pt>
                <c:pt idx="42">
                  <c:v>38745453.377998121</c:v>
                </c:pt>
                <c:pt idx="43">
                  <c:v>35336767.432149887</c:v>
                </c:pt>
                <c:pt idx="44">
                  <c:v>30064424.989130653</c:v>
                </c:pt>
                <c:pt idx="45">
                  <c:v>29507060.335061818</c:v>
                </c:pt>
                <c:pt idx="46">
                  <c:v>30257073.560644682</c:v>
                </c:pt>
                <c:pt idx="47">
                  <c:v>33353346.81291895</c:v>
                </c:pt>
                <c:pt idx="48">
                  <c:v>33188670.928305969</c:v>
                </c:pt>
                <c:pt idx="49">
                  <c:v>32029961.907204423</c:v>
                </c:pt>
                <c:pt idx="50">
                  <c:v>32767606.297940973</c:v>
                </c:pt>
                <c:pt idx="51">
                  <c:v>28526897.993398827</c:v>
                </c:pt>
                <c:pt idx="52">
                  <c:v>29460273.547266677</c:v>
                </c:pt>
                <c:pt idx="53">
                  <c:v>33741581.231269225</c:v>
                </c:pt>
                <c:pt idx="54">
                  <c:v>35821107.582326174</c:v>
                </c:pt>
                <c:pt idx="55">
                  <c:v>38356548.084514029</c:v>
                </c:pt>
                <c:pt idx="56">
                  <c:v>31815550.085094079</c:v>
                </c:pt>
                <c:pt idx="57">
                  <c:v>30918107.462813132</c:v>
                </c:pt>
                <c:pt idx="58">
                  <c:v>31869917.672068384</c:v>
                </c:pt>
                <c:pt idx="59">
                  <c:v>33904688.36236053</c:v>
                </c:pt>
                <c:pt idx="60">
                  <c:v>37072199.286133692</c:v>
                </c:pt>
                <c:pt idx="61">
                  <c:v>34106025.220729686</c:v>
                </c:pt>
                <c:pt idx="62">
                  <c:v>35656141.74767568</c:v>
                </c:pt>
                <c:pt idx="63">
                  <c:v>31746429.201593272</c:v>
                </c:pt>
                <c:pt idx="64">
                  <c:v>32818195.351553965</c:v>
                </c:pt>
                <c:pt idx="65">
                  <c:v>35352197.196220562</c:v>
                </c:pt>
                <c:pt idx="66">
                  <c:v>38896081.999405652</c:v>
                </c:pt>
                <c:pt idx="67">
                  <c:v>38840185.92272944</c:v>
                </c:pt>
                <c:pt idx="68">
                  <c:v>33654327.730507731</c:v>
                </c:pt>
                <c:pt idx="69">
                  <c:v>31415307.367699027</c:v>
                </c:pt>
                <c:pt idx="70">
                  <c:v>33054898.399967819</c:v>
                </c:pt>
                <c:pt idx="71">
                  <c:v>36113207.191137917</c:v>
                </c:pt>
                <c:pt idx="72">
                  <c:v>36644302.910595365</c:v>
                </c:pt>
                <c:pt idx="73">
                  <c:v>33697550.512014888</c:v>
                </c:pt>
                <c:pt idx="74">
                  <c:v>36355592.281842805</c:v>
                </c:pt>
                <c:pt idx="75">
                  <c:v>31973002.845864329</c:v>
                </c:pt>
                <c:pt idx="76">
                  <c:v>33099271.600468054</c:v>
                </c:pt>
                <c:pt idx="77">
                  <c:v>34472273.31071417</c:v>
                </c:pt>
                <c:pt idx="78">
                  <c:v>38328544.836939998</c:v>
                </c:pt>
                <c:pt idx="79">
                  <c:v>36428584.860646717</c:v>
                </c:pt>
                <c:pt idx="80">
                  <c:v>33579765.16547174</c:v>
                </c:pt>
                <c:pt idx="81">
                  <c:v>32793920.29388446</c:v>
                </c:pt>
                <c:pt idx="82">
                  <c:v>33988995.077233881</c:v>
                </c:pt>
                <c:pt idx="83">
                  <c:v>35287478.129461206</c:v>
                </c:pt>
                <c:pt idx="84">
                  <c:v>38219875.681387417</c:v>
                </c:pt>
                <c:pt idx="85">
                  <c:v>34257979.157338955</c:v>
                </c:pt>
                <c:pt idx="86">
                  <c:v>34527361.185368188</c:v>
                </c:pt>
                <c:pt idx="87">
                  <c:v>31963168.830053426</c:v>
                </c:pt>
                <c:pt idx="88">
                  <c:v>33702078.344445564</c:v>
                </c:pt>
                <c:pt idx="89">
                  <c:v>36390924.841228999</c:v>
                </c:pt>
                <c:pt idx="90">
                  <c:v>40087127.052448839</c:v>
                </c:pt>
                <c:pt idx="91">
                  <c:v>38411450.880521774</c:v>
                </c:pt>
                <c:pt idx="92">
                  <c:v>34606193.578424111</c:v>
                </c:pt>
                <c:pt idx="93">
                  <c:v>32483265.88042035</c:v>
                </c:pt>
                <c:pt idx="94">
                  <c:v>32809368.372306686</c:v>
                </c:pt>
                <c:pt idx="95">
                  <c:v>36744901.690685332</c:v>
                </c:pt>
                <c:pt idx="96">
                  <c:v>40183559.338830374</c:v>
                </c:pt>
                <c:pt idx="97">
                  <c:v>36188686.913162045</c:v>
                </c:pt>
                <c:pt idx="98">
                  <c:v>36194100.339142725</c:v>
                </c:pt>
                <c:pt idx="99">
                  <c:v>33302287.632952996</c:v>
                </c:pt>
                <c:pt idx="100">
                  <c:v>32819813.044337571</c:v>
                </c:pt>
                <c:pt idx="101">
                  <c:v>37612354.418116137</c:v>
                </c:pt>
                <c:pt idx="102">
                  <c:v>42809598.246677913</c:v>
                </c:pt>
                <c:pt idx="103">
                  <c:v>39144829.233934194</c:v>
                </c:pt>
                <c:pt idx="104">
                  <c:v>34783887.287649468</c:v>
                </c:pt>
                <c:pt idx="105">
                  <c:v>33721107.220164739</c:v>
                </c:pt>
                <c:pt idx="106">
                  <c:v>34683043.361470014</c:v>
                </c:pt>
                <c:pt idx="107">
                  <c:v>38907834.05508209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49A-4CD0-AC49-1E833B7BC0F3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Weather!$C$194:$C$313</c:f>
              <c:numCache>
                <c:formatCode>0.0</c:formatCode>
                <c:ptCount val="120"/>
              </c:numCache>
            </c:numRef>
          </c:xVal>
          <c:yVal>
            <c:numRef>
              <c:f>Weather!$DS$194:$DS$313</c:f>
              <c:numCache>
                <c:formatCode>_(* #,##0_);_(* \(#,##0\);_(* "-"??_);_(@_)</c:formatCode>
                <c:ptCount val="120"/>
                <c:pt idx="0">
                  <c:v>12682532.251424899</c:v>
                </c:pt>
                <c:pt idx="1">
                  <c:v>12682532.251424899</c:v>
                </c:pt>
                <c:pt idx="2">
                  <c:v>12682532.251424899</c:v>
                </c:pt>
                <c:pt idx="3">
                  <c:v>12682532.251424899</c:v>
                </c:pt>
                <c:pt idx="4">
                  <c:v>12682532.251424899</c:v>
                </c:pt>
                <c:pt idx="5">
                  <c:v>12682532.251424899</c:v>
                </c:pt>
                <c:pt idx="6">
                  <c:v>12682532.251424899</c:v>
                </c:pt>
                <c:pt idx="7">
                  <c:v>12682532.251424899</c:v>
                </c:pt>
                <c:pt idx="8">
                  <c:v>12682532.251424899</c:v>
                </c:pt>
                <c:pt idx="9">
                  <c:v>12682532.251424899</c:v>
                </c:pt>
                <c:pt idx="10">
                  <c:v>12682532.251424899</c:v>
                </c:pt>
                <c:pt idx="11">
                  <c:v>12682532.251424899</c:v>
                </c:pt>
                <c:pt idx="12">
                  <c:v>12682532.251424899</c:v>
                </c:pt>
                <c:pt idx="13">
                  <c:v>12682532.251424899</c:v>
                </c:pt>
                <c:pt idx="14">
                  <c:v>12682532.251424899</c:v>
                </c:pt>
                <c:pt idx="15">
                  <c:v>12682532.251424899</c:v>
                </c:pt>
                <c:pt idx="16">
                  <c:v>12682532.251424899</c:v>
                </c:pt>
                <c:pt idx="17">
                  <c:v>12682532.251424899</c:v>
                </c:pt>
                <c:pt idx="18">
                  <c:v>12682532.251424899</c:v>
                </c:pt>
                <c:pt idx="19">
                  <c:v>12682532.251424899</c:v>
                </c:pt>
                <c:pt idx="20">
                  <c:v>12682532.251424899</c:v>
                </c:pt>
                <c:pt idx="21">
                  <c:v>12682532.251424899</c:v>
                </c:pt>
                <c:pt idx="22">
                  <c:v>12682532.251424899</c:v>
                </c:pt>
                <c:pt idx="23">
                  <c:v>12682532.251424899</c:v>
                </c:pt>
                <c:pt idx="24">
                  <c:v>12682532.251424899</c:v>
                </c:pt>
                <c:pt idx="25">
                  <c:v>12682532.251424899</c:v>
                </c:pt>
                <c:pt idx="26">
                  <c:v>12682532.251424899</c:v>
                </c:pt>
                <c:pt idx="27">
                  <c:v>12682532.251424899</c:v>
                </c:pt>
                <c:pt idx="28">
                  <c:v>12682532.251424899</c:v>
                </c:pt>
                <c:pt idx="29">
                  <c:v>12682532.251424899</c:v>
                </c:pt>
                <c:pt idx="30">
                  <c:v>12682532.251424899</c:v>
                </c:pt>
                <c:pt idx="31">
                  <c:v>12682532.251424899</c:v>
                </c:pt>
                <c:pt idx="32">
                  <c:v>12682532.251424899</c:v>
                </c:pt>
                <c:pt idx="33">
                  <c:v>12682532.251424899</c:v>
                </c:pt>
                <c:pt idx="34">
                  <c:v>12682532.251424899</c:v>
                </c:pt>
                <c:pt idx="35">
                  <c:v>12682532.251424899</c:v>
                </c:pt>
                <c:pt idx="36">
                  <c:v>12682532.251424899</c:v>
                </c:pt>
                <c:pt idx="37">
                  <c:v>12682532.251424899</c:v>
                </c:pt>
                <c:pt idx="38">
                  <c:v>12682532.251424899</c:v>
                </c:pt>
                <c:pt idx="39">
                  <c:v>12682532.251424899</c:v>
                </c:pt>
                <c:pt idx="40">
                  <c:v>12682532.251424899</c:v>
                </c:pt>
                <c:pt idx="41">
                  <c:v>12682532.251424899</c:v>
                </c:pt>
                <c:pt idx="42">
                  <c:v>12682532.251424899</c:v>
                </c:pt>
                <c:pt idx="43">
                  <c:v>12682532.251424899</c:v>
                </c:pt>
                <c:pt idx="44">
                  <c:v>12682532.251424899</c:v>
                </c:pt>
                <c:pt idx="45">
                  <c:v>12682532.251424899</c:v>
                </c:pt>
                <c:pt idx="46">
                  <c:v>12682532.251424899</c:v>
                </c:pt>
                <c:pt idx="47">
                  <c:v>12682532.251424899</c:v>
                </c:pt>
                <c:pt idx="48">
                  <c:v>12682532.251424899</c:v>
                </c:pt>
                <c:pt idx="49">
                  <c:v>12682532.251424899</c:v>
                </c:pt>
                <c:pt idx="50">
                  <c:v>12682532.251424899</c:v>
                </c:pt>
                <c:pt idx="51">
                  <c:v>12682532.251424899</c:v>
                </c:pt>
                <c:pt idx="52">
                  <c:v>12682532.251424899</c:v>
                </c:pt>
                <c:pt idx="53">
                  <c:v>12682532.251424899</c:v>
                </c:pt>
                <c:pt idx="54">
                  <c:v>12682532.251424899</c:v>
                </c:pt>
                <c:pt idx="55">
                  <c:v>12682532.251424899</c:v>
                </c:pt>
                <c:pt idx="56">
                  <c:v>12682532.251424899</c:v>
                </c:pt>
                <c:pt idx="57">
                  <c:v>12682532.251424899</c:v>
                </c:pt>
                <c:pt idx="58">
                  <c:v>12682532.251424899</c:v>
                </c:pt>
                <c:pt idx="59">
                  <c:v>12682532.251424899</c:v>
                </c:pt>
                <c:pt idx="60">
                  <c:v>12682532.251424899</c:v>
                </c:pt>
                <c:pt idx="61">
                  <c:v>12682532.251424899</c:v>
                </c:pt>
                <c:pt idx="62">
                  <c:v>12682532.251424899</c:v>
                </c:pt>
                <c:pt idx="63">
                  <c:v>12682532.251424899</c:v>
                </c:pt>
                <c:pt idx="64">
                  <c:v>12682532.251424899</c:v>
                </c:pt>
                <c:pt idx="65">
                  <c:v>12682532.251424899</c:v>
                </c:pt>
                <c:pt idx="66">
                  <c:v>12682532.251424899</c:v>
                </c:pt>
                <c:pt idx="67">
                  <c:v>12682532.251424899</c:v>
                </c:pt>
                <c:pt idx="68">
                  <c:v>12682532.251424899</c:v>
                </c:pt>
                <c:pt idx="69">
                  <c:v>12682532.251424899</c:v>
                </c:pt>
                <c:pt idx="70">
                  <c:v>12682532.251424899</c:v>
                </c:pt>
                <c:pt idx="71">
                  <c:v>12682532.251424899</c:v>
                </c:pt>
                <c:pt idx="72">
                  <c:v>12682532.251424899</c:v>
                </c:pt>
                <c:pt idx="73">
                  <c:v>12682532.251424899</c:v>
                </c:pt>
                <c:pt idx="74">
                  <c:v>12682532.251424899</c:v>
                </c:pt>
                <c:pt idx="75">
                  <c:v>12682532.251424899</c:v>
                </c:pt>
                <c:pt idx="76">
                  <c:v>12682532.251424899</c:v>
                </c:pt>
                <c:pt idx="77">
                  <c:v>12682532.251424899</c:v>
                </c:pt>
                <c:pt idx="78">
                  <c:v>12682532.251424899</c:v>
                </c:pt>
                <c:pt idx="79">
                  <c:v>12682532.251424899</c:v>
                </c:pt>
                <c:pt idx="80">
                  <c:v>12682532.251424899</c:v>
                </c:pt>
                <c:pt idx="81">
                  <c:v>12682532.251424899</c:v>
                </c:pt>
                <c:pt idx="82">
                  <c:v>12682532.251424899</c:v>
                </c:pt>
                <c:pt idx="83">
                  <c:v>12682532.251424899</c:v>
                </c:pt>
                <c:pt idx="84">
                  <c:v>12682532.251424899</c:v>
                </c:pt>
                <c:pt idx="85">
                  <c:v>12682532.251424899</c:v>
                </c:pt>
                <c:pt idx="86">
                  <c:v>12682532.251424899</c:v>
                </c:pt>
                <c:pt idx="87">
                  <c:v>12682532.251424899</c:v>
                </c:pt>
                <c:pt idx="88">
                  <c:v>12682532.251424899</c:v>
                </c:pt>
                <c:pt idx="89">
                  <c:v>12682532.251424899</c:v>
                </c:pt>
                <c:pt idx="90">
                  <c:v>12682532.251424899</c:v>
                </c:pt>
                <c:pt idx="91">
                  <c:v>12682532.251424899</c:v>
                </c:pt>
                <c:pt idx="92">
                  <c:v>12682532.251424899</c:v>
                </c:pt>
                <c:pt idx="93">
                  <c:v>12682532.251424899</c:v>
                </c:pt>
                <c:pt idx="94">
                  <c:v>12682532.251424899</c:v>
                </c:pt>
                <c:pt idx="95">
                  <c:v>12682532.251424899</c:v>
                </c:pt>
                <c:pt idx="96">
                  <c:v>12682532.251424899</c:v>
                </c:pt>
                <c:pt idx="97">
                  <c:v>12682532.251424899</c:v>
                </c:pt>
                <c:pt idx="98">
                  <c:v>12682532.251424899</c:v>
                </c:pt>
                <c:pt idx="99">
                  <c:v>12682532.251424899</c:v>
                </c:pt>
                <c:pt idx="100">
                  <c:v>12682532.251424899</c:v>
                </c:pt>
                <c:pt idx="101">
                  <c:v>12682532.251424899</c:v>
                </c:pt>
                <c:pt idx="102">
                  <c:v>12682532.251424899</c:v>
                </c:pt>
                <c:pt idx="103">
                  <c:v>12682532.251424899</c:v>
                </c:pt>
                <c:pt idx="104">
                  <c:v>12682532.251424899</c:v>
                </c:pt>
                <c:pt idx="105">
                  <c:v>12682532.251424899</c:v>
                </c:pt>
                <c:pt idx="106">
                  <c:v>12682532.251424899</c:v>
                </c:pt>
                <c:pt idx="107">
                  <c:v>12682532.251424899</c:v>
                </c:pt>
                <c:pt idx="108">
                  <c:v>12682532.251424899</c:v>
                </c:pt>
                <c:pt idx="109">
                  <c:v>12682532.251424899</c:v>
                </c:pt>
                <c:pt idx="110">
                  <c:v>12682532.251424899</c:v>
                </c:pt>
                <c:pt idx="111">
                  <c:v>12682532.251424899</c:v>
                </c:pt>
                <c:pt idx="112">
                  <c:v>12682532.251424899</c:v>
                </c:pt>
                <c:pt idx="113">
                  <c:v>12682532.251424899</c:v>
                </c:pt>
                <c:pt idx="114">
                  <c:v>12682532.251424899</c:v>
                </c:pt>
                <c:pt idx="115">
                  <c:v>12682532.251424899</c:v>
                </c:pt>
                <c:pt idx="116">
                  <c:v>12682532.251424899</c:v>
                </c:pt>
                <c:pt idx="117">
                  <c:v>12682532.251424899</c:v>
                </c:pt>
                <c:pt idx="118">
                  <c:v>12682532.251424899</c:v>
                </c:pt>
                <c:pt idx="119">
                  <c:v>12682532.251424899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49A-4CD0-AC49-1E833B7BC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6257311"/>
        <c:axId val="1096240031"/>
      </c:scatterChart>
      <c:valAx>
        <c:axId val="10962573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6240031"/>
        <c:crosses val="autoZero"/>
        <c:crossBetween val="midCat"/>
      </c:valAx>
      <c:valAx>
        <c:axId val="10962400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(* #,##0_);_(* \(#,##0\);_(* &quot;-&quot;??_);_(@_)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6257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/>
              <a:t>GS &gt; 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Weather!$C$1</c:f>
              <c:strCache>
                <c:ptCount val="1"/>
                <c:pt idx="0">
                  <c:v>MeanTemp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Weather!$C$194:$C$313</c:f>
              <c:numCache>
                <c:formatCode>0.0</c:formatCode>
                <c:ptCount val="120"/>
              </c:numCache>
            </c:numRef>
          </c:xVal>
          <c:yVal>
            <c:numRef>
              <c:f>Weather!$DQ$194:$DQ$313</c:f>
              <c:numCache>
                <c:formatCode>_(* #,##0_);_(* \(#,##0\);_(* "-"??_);_(@_)</c:formatCode>
                <c:ptCount val="120"/>
                <c:pt idx="0">
                  <c:v>115950733.09478092</c:v>
                </c:pt>
                <c:pt idx="1">
                  <c:v>123340878.84075171</c:v>
                </c:pt>
                <c:pt idx="2">
                  <c:v>126128064.58672249</c:v>
                </c:pt>
                <c:pt idx="3">
                  <c:v>112971341.33269329</c:v>
                </c:pt>
                <c:pt idx="4">
                  <c:v>120807160.07866408</c:v>
                </c:pt>
                <c:pt idx="5">
                  <c:v>128030519.82463486</c:v>
                </c:pt>
                <c:pt idx="6">
                  <c:v>133204977.57060567</c:v>
                </c:pt>
                <c:pt idx="7">
                  <c:v>131492737.31657645</c:v>
                </c:pt>
                <c:pt idx="8">
                  <c:v>125862189.06254724</c:v>
                </c:pt>
                <c:pt idx="9">
                  <c:v>120542924.80851802</c:v>
                </c:pt>
                <c:pt idx="10">
                  <c:v>118519529.55448882</c:v>
                </c:pt>
                <c:pt idx="11">
                  <c:v>121951004.30045961</c:v>
                </c:pt>
                <c:pt idx="12">
                  <c:v>130123366.21189049</c:v>
                </c:pt>
                <c:pt idx="13">
                  <c:v>115694594.48045985</c:v>
                </c:pt>
                <c:pt idx="14">
                  <c:v>125478631.74902922</c:v>
                </c:pt>
                <c:pt idx="15">
                  <c:v>119717405.01759858</c:v>
                </c:pt>
                <c:pt idx="16">
                  <c:v>127433786.28616795</c:v>
                </c:pt>
                <c:pt idx="17">
                  <c:v>130160206.55473731</c:v>
                </c:pt>
                <c:pt idx="18">
                  <c:v>139575448.82330668</c:v>
                </c:pt>
                <c:pt idx="19">
                  <c:v>145516334.09187603</c:v>
                </c:pt>
                <c:pt idx="20">
                  <c:v>130472808.3604454</c:v>
                </c:pt>
                <c:pt idx="21">
                  <c:v>124271950.62901476</c:v>
                </c:pt>
                <c:pt idx="22">
                  <c:v>122525206.89758413</c:v>
                </c:pt>
                <c:pt idx="23">
                  <c:v>120780245.16615349</c:v>
                </c:pt>
                <c:pt idx="24">
                  <c:v>122557492.01553993</c:v>
                </c:pt>
                <c:pt idx="25">
                  <c:v>112793572.2170434</c:v>
                </c:pt>
                <c:pt idx="26">
                  <c:v>121279569.66264187</c:v>
                </c:pt>
                <c:pt idx="27">
                  <c:v>112755840.54437633</c:v>
                </c:pt>
                <c:pt idx="28">
                  <c:v>116762983.33169977</c:v>
                </c:pt>
                <c:pt idx="29">
                  <c:v>120912813.73683724</c:v>
                </c:pt>
                <c:pt idx="30">
                  <c:v>140267312.68120268</c:v>
                </c:pt>
                <c:pt idx="31">
                  <c:v>134325215.26618317</c:v>
                </c:pt>
                <c:pt idx="32">
                  <c:v>124892350.68187562</c:v>
                </c:pt>
                <c:pt idx="33">
                  <c:v>120326999.51092409</c:v>
                </c:pt>
                <c:pt idx="34">
                  <c:v>119811245.49147254</c:v>
                </c:pt>
                <c:pt idx="35">
                  <c:v>119234475.76994899</c:v>
                </c:pt>
                <c:pt idx="36">
                  <c:v>125430467.18861799</c:v>
                </c:pt>
                <c:pt idx="37">
                  <c:v>118571418.15449654</c:v>
                </c:pt>
                <c:pt idx="38">
                  <c:v>117295704.87835306</c:v>
                </c:pt>
                <c:pt idx="39">
                  <c:v>98603522.653697401</c:v>
                </c:pt>
                <c:pt idx="40">
                  <c:v>105305767.47523543</c:v>
                </c:pt>
                <c:pt idx="41">
                  <c:v>121746154.50347269</c:v>
                </c:pt>
                <c:pt idx="42">
                  <c:v>139946746.85685223</c:v>
                </c:pt>
                <c:pt idx="43">
                  <c:v>133892282.17763576</c:v>
                </c:pt>
                <c:pt idx="44">
                  <c:v>120315113.40470029</c:v>
                </c:pt>
                <c:pt idx="45">
                  <c:v>116415167.56471382</c:v>
                </c:pt>
                <c:pt idx="46">
                  <c:v>115562525.59741136</c:v>
                </c:pt>
                <c:pt idx="47">
                  <c:v>117692607.99430689</c:v>
                </c:pt>
                <c:pt idx="48">
                  <c:v>118984048.05510825</c:v>
                </c:pt>
                <c:pt idx="49">
                  <c:v>113057274.56216528</c:v>
                </c:pt>
                <c:pt idx="50">
                  <c:v>120813677.33533032</c:v>
                </c:pt>
                <c:pt idx="51">
                  <c:v>109638007.65802936</c:v>
                </c:pt>
                <c:pt idx="52">
                  <c:v>115240588.84939741</c:v>
                </c:pt>
                <c:pt idx="53">
                  <c:v>128558913.68041244</c:v>
                </c:pt>
                <c:pt idx="54">
                  <c:v>132710760.35860747</c:v>
                </c:pt>
                <c:pt idx="55">
                  <c:v>140955270.9844335</c:v>
                </c:pt>
                <c:pt idx="56">
                  <c:v>122416145.77845256</c:v>
                </c:pt>
                <c:pt idx="57">
                  <c:v>120765160.1140646</c:v>
                </c:pt>
                <c:pt idx="58">
                  <c:v>118650849.98473464</c:v>
                </c:pt>
                <c:pt idx="59">
                  <c:v>116117342.26088069</c:v>
                </c:pt>
                <c:pt idx="60">
                  <c:v>125926420.38829951</c:v>
                </c:pt>
                <c:pt idx="61">
                  <c:v>115603933.80678451</c:v>
                </c:pt>
                <c:pt idx="62">
                  <c:v>125620675.73627552</c:v>
                </c:pt>
                <c:pt idx="63">
                  <c:v>115405757.73839353</c:v>
                </c:pt>
                <c:pt idx="64">
                  <c:v>122884802.51982453</c:v>
                </c:pt>
                <c:pt idx="65">
                  <c:v>130536069.83949654</c:v>
                </c:pt>
                <c:pt idx="66">
                  <c:v>139071059.40513155</c:v>
                </c:pt>
                <c:pt idx="67">
                  <c:v>143004251.01167753</c:v>
                </c:pt>
                <c:pt idx="68">
                  <c:v>129335698.79016455</c:v>
                </c:pt>
                <c:pt idx="69">
                  <c:v>118832227.09556258</c:v>
                </c:pt>
                <c:pt idx="70">
                  <c:v>120344515.11801657</c:v>
                </c:pt>
                <c:pt idx="71">
                  <c:v>122243171.67379358</c:v>
                </c:pt>
                <c:pt idx="72">
                  <c:v>125499058.84452012</c:v>
                </c:pt>
                <c:pt idx="73">
                  <c:v>115607990.73071887</c:v>
                </c:pt>
                <c:pt idx="74">
                  <c:v>125466538.14647563</c:v>
                </c:pt>
                <c:pt idx="75">
                  <c:v>114391957.98950237</c:v>
                </c:pt>
                <c:pt idx="76">
                  <c:v>123483481.6939701</c:v>
                </c:pt>
                <c:pt idx="77">
                  <c:v>127247993.22335185</c:v>
                </c:pt>
                <c:pt idx="78">
                  <c:v>137496928.92038861</c:v>
                </c:pt>
                <c:pt idx="79">
                  <c:v>133974170.58140434</c:v>
                </c:pt>
                <c:pt idx="80">
                  <c:v>125628407.1768401</c:v>
                </c:pt>
                <c:pt idx="81">
                  <c:v>122505184.85314384</c:v>
                </c:pt>
                <c:pt idx="82">
                  <c:v>120984971.18912058</c:v>
                </c:pt>
                <c:pt idx="83">
                  <c:v>118768098.25409932</c:v>
                </c:pt>
                <c:pt idx="84">
                  <c:v>130159108.66703321</c:v>
                </c:pt>
                <c:pt idx="85">
                  <c:v>119840482.88393389</c:v>
                </c:pt>
                <c:pt idx="86">
                  <c:v>123262071.17316654</c:v>
                </c:pt>
                <c:pt idx="87">
                  <c:v>119205230.8035062</c:v>
                </c:pt>
                <c:pt idx="88">
                  <c:v>127838014.13567087</c:v>
                </c:pt>
                <c:pt idx="89">
                  <c:v>133833612.63178854</c:v>
                </c:pt>
                <c:pt idx="90">
                  <c:v>144180020.06310722</c:v>
                </c:pt>
                <c:pt idx="91">
                  <c:v>140684717.14086288</c:v>
                </c:pt>
                <c:pt idx="92">
                  <c:v>131948874.08685753</c:v>
                </c:pt>
                <c:pt idx="93">
                  <c:v>126263744.87094221</c:v>
                </c:pt>
                <c:pt idx="94">
                  <c:v>122175106.07708685</c:v>
                </c:pt>
                <c:pt idx="95">
                  <c:v>125238381.01410152</c:v>
                </c:pt>
                <c:pt idx="96">
                  <c:v>137053466.26581526</c:v>
                </c:pt>
                <c:pt idx="97">
                  <c:v>122760916.13489303</c:v>
                </c:pt>
                <c:pt idx="98">
                  <c:v>128253078.95458482</c:v>
                </c:pt>
                <c:pt idx="99">
                  <c:v>122182535.02156162</c:v>
                </c:pt>
                <c:pt idx="100">
                  <c:v>125315316.3047014</c:v>
                </c:pt>
                <c:pt idx="101">
                  <c:v>138313000.13588518</c:v>
                </c:pt>
                <c:pt idx="102">
                  <c:v>151365878.72756097</c:v>
                </c:pt>
                <c:pt idx="103">
                  <c:v>141417506.86826575</c:v>
                </c:pt>
                <c:pt idx="104">
                  <c:v>131475262.87223354</c:v>
                </c:pt>
                <c:pt idx="105">
                  <c:v>127953842.89877133</c:v>
                </c:pt>
                <c:pt idx="106">
                  <c:v>123873467.5177781</c:v>
                </c:pt>
                <c:pt idx="107">
                  <c:v>129128541.23771989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DF-44A9-B151-4EB8849D4CED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Weather!$C$194:$C$313</c:f>
              <c:numCache>
                <c:formatCode>0.0</c:formatCode>
                <c:ptCount val="120"/>
              </c:numCache>
            </c:numRef>
          </c:xVal>
          <c:yVal>
            <c:numRef>
              <c:f>Weather!$DT$194:$DT$313</c:f>
              <c:numCache>
                <c:formatCode>_(* #,##0_);_(* \(#,##0\);_(* "-"??_);_(@_)</c:formatCode>
                <c:ptCount val="120"/>
                <c:pt idx="0">
                  <c:v>66646817.550756402</c:v>
                </c:pt>
                <c:pt idx="1">
                  <c:v>66646817.550756402</c:v>
                </c:pt>
                <c:pt idx="2">
                  <c:v>66646817.550756402</c:v>
                </c:pt>
                <c:pt idx="3">
                  <c:v>66646817.550756402</c:v>
                </c:pt>
                <c:pt idx="4">
                  <c:v>66646817.550756402</c:v>
                </c:pt>
                <c:pt idx="5">
                  <c:v>66646817.550756402</c:v>
                </c:pt>
                <c:pt idx="6">
                  <c:v>66646817.550756402</c:v>
                </c:pt>
                <c:pt idx="7">
                  <c:v>66646817.550756402</c:v>
                </c:pt>
                <c:pt idx="8">
                  <c:v>66646817.550756402</c:v>
                </c:pt>
                <c:pt idx="9">
                  <c:v>66646817.550756402</c:v>
                </c:pt>
                <c:pt idx="10">
                  <c:v>66646817.550756402</c:v>
                </c:pt>
                <c:pt idx="11">
                  <c:v>66646817.550756402</c:v>
                </c:pt>
                <c:pt idx="12">
                  <c:v>66646817.550756402</c:v>
                </c:pt>
                <c:pt idx="13">
                  <c:v>66646817.550756402</c:v>
                </c:pt>
                <c:pt idx="14">
                  <c:v>66646817.550756402</c:v>
                </c:pt>
                <c:pt idx="15">
                  <c:v>66646817.550756402</c:v>
                </c:pt>
                <c:pt idx="16">
                  <c:v>66646817.550756402</c:v>
                </c:pt>
                <c:pt idx="17">
                  <c:v>66646817.550756402</c:v>
                </c:pt>
                <c:pt idx="18">
                  <c:v>66646817.550756402</c:v>
                </c:pt>
                <c:pt idx="19">
                  <c:v>66646817.550756402</c:v>
                </c:pt>
                <c:pt idx="20">
                  <c:v>66646817.550756402</c:v>
                </c:pt>
                <c:pt idx="21">
                  <c:v>66646817.550756402</c:v>
                </c:pt>
                <c:pt idx="22">
                  <c:v>66646817.550756402</c:v>
                </c:pt>
                <c:pt idx="23">
                  <c:v>66646817.550756402</c:v>
                </c:pt>
                <c:pt idx="24">
                  <c:v>66646817.550756402</c:v>
                </c:pt>
                <c:pt idx="25">
                  <c:v>66646817.550756402</c:v>
                </c:pt>
                <c:pt idx="26">
                  <c:v>66646817.550756402</c:v>
                </c:pt>
                <c:pt idx="27">
                  <c:v>66646817.550756402</c:v>
                </c:pt>
                <c:pt idx="28">
                  <c:v>66646817.550756402</c:v>
                </c:pt>
                <c:pt idx="29">
                  <c:v>66646817.550756402</c:v>
                </c:pt>
                <c:pt idx="30">
                  <c:v>66646817.550756402</c:v>
                </c:pt>
                <c:pt idx="31">
                  <c:v>66646817.550756402</c:v>
                </c:pt>
                <c:pt idx="32">
                  <c:v>66646817.550756402</c:v>
                </c:pt>
                <c:pt idx="33">
                  <c:v>66646817.550756402</c:v>
                </c:pt>
                <c:pt idx="34">
                  <c:v>66646817.550756402</c:v>
                </c:pt>
                <c:pt idx="35">
                  <c:v>66646817.550756402</c:v>
                </c:pt>
                <c:pt idx="36">
                  <c:v>66646817.550756402</c:v>
                </c:pt>
                <c:pt idx="37">
                  <c:v>66646817.550756402</c:v>
                </c:pt>
                <c:pt idx="38">
                  <c:v>66646817.550756402</c:v>
                </c:pt>
                <c:pt idx="39">
                  <c:v>66646817.550756402</c:v>
                </c:pt>
                <c:pt idx="40">
                  <c:v>66646817.550756402</c:v>
                </c:pt>
                <c:pt idx="41">
                  <c:v>66646817.550756402</c:v>
                </c:pt>
                <c:pt idx="42">
                  <c:v>66646817.550756402</c:v>
                </c:pt>
                <c:pt idx="43">
                  <c:v>66646817.550756402</c:v>
                </c:pt>
                <c:pt idx="44">
                  <c:v>66646817.550756402</c:v>
                </c:pt>
                <c:pt idx="45">
                  <c:v>66646817.550756402</c:v>
                </c:pt>
                <c:pt idx="46">
                  <c:v>66646817.550756402</c:v>
                </c:pt>
                <c:pt idx="47">
                  <c:v>66646817.550756402</c:v>
                </c:pt>
                <c:pt idx="48">
                  <c:v>66646817.550756402</c:v>
                </c:pt>
                <c:pt idx="49">
                  <c:v>66646817.550756402</c:v>
                </c:pt>
                <c:pt idx="50">
                  <c:v>66646817.550756402</c:v>
                </c:pt>
                <c:pt idx="51">
                  <c:v>66646817.550756402</c:v>
                </c:pt>
                <c:pt idx="52">
                  <c:v>66646817.550756402</c:v>
                </c:pt>
                <c:pt idx="53">
                  <c:v>66646817.550756402</c:v>
                </c:pt>
                <c:pt idx="54">
                  <c:v>66646817.550756402</c:v>
                </c:pt>
                <c:pt idx="55">
                  <c:v>66646817.550756402</c:v>
                </c:pt>
                <c:pt idx="56">
                  <c:v>66646817.550756402</c:v>
                </c:pt>
                <c:pt idx="57">
                  <c:v>66646817.550756402</c:v>
                </c:pt>
                <c:pt idx="58">
                  <c:v>66646817.550756402</c:v>
                </c:pt>
                <c:pt idx="59">
                  <c:v>66646817.550756402</c:v>
                </c:pt>
                <c:pt idx="60">
                  <c:v>66646817.550756402</c:v>
                </c:pt>
                <c:pt idx="61">
                  <c:v>66646817.550756402</c:v>
                </c:pt>
                <c:pt idx="62">
                  <c:v>66646817.550756402</c:v>
                </c:pt>
                <c:pt idx="63">
                  <c:v>66646817.550756402</c:v>
                </c:pt>
                <c:pt idx="64">
                  <c:v>66646817.550756402</c:v>
                </c:pt>
                <c:pt idx="65">
                  <c:v>66646817.550756402</c:v>
                </c:pt>
                <c:pt idx="66">
                  <c:v>66646817.550756402</c:v>
                </c:pt>
                <c:pt idx="67">
                  <c:v>66646817.550756402</c:v>
                </c:pt>
                <c:pt idx="68">
                  <c:v>66646817.550756402</c:v>
                </c:pt>
                <c:pt idx="69">
                  <c:v>66646817.550756402</c:v>
                </c:pt>
                <c:pt idx="70">
                  <c:v>66646817.550756402</c:v>
                </c:pt>
                <c:pt idx="71">
                  <c:v>66646817.550756402</c:v>
                </c:pt>
                <c:pt idx="72">
                  <c:v>66646817.550756402</c:v>
                </c:pt>
                <c:pt idx="73">
                  <c:v>66646817.550756402</c:v>
                </c:pt>
                <c:pt idx="74">
                  <c:v>66646817.550756402</c:v>
                </c:pt>
                <c:pt idx="75">
                  <c:v>66646817.550756402</c:v>
                </c:pt>
                <c:pt idx="76">
                  <c:v>66646817.550756402</c:v>
                </c:pt>
                <c:pt idx="77">
                  <c:v>66646817.550756402</c:v>
                </c:pt>
                <c:pt idx="78">
                  <c:v>66646817.550756402</c:v>
                </c:pt>
                <c:pt idx="79">
                  <c:v>66646817.550756402</c:v>
                </c:pt>
                <c:pt idx="80">
                  <c:v>66646817.550756402</c:v>
                </c:pt>
                <c:pt idx="81">
                  <c:v>66646817.550756402</c:v>
                </c:pt>
                <c:pt idx="82">
                  <c:v>66646817.550756402</c:v>
                </c:pt>
                <c:pt idx="83">
                  <c:v>66646817.550756402</c:v>
                </c:pt>
                <c:pt idx="84">
                  <c:v>66646817.550756402</c:v>
                </c:pt>
                <c:pt idx="85">
                  <c:v>66646817.550756402</c:v>
                </c:pt>
                <c:pt idx="86">
                  <c:v>66646817.550756402</c:v>
                </c:pt>
                <c:pt idx="87">
                  <c:v>66646817.550756402</c:v>
                </c:pt>
                <c:pt idx="88">
                  <c:v>66646817.550756402</c:v>
                </c:pt>
                <c:pt idx="89">
                  <c:v>66646817.550756402</c:v>
                </c:pt>
                <c:pt idx="90">
                  <c:v>66646817.550756402</c:v>
                </c:pt>
                <c:pt idx="91">
                  <c:v>66646817.550756402</c:v>
                </c:pt>
                <c:pt idx="92">
                  <c:v>66646817.550756402</c:v>
                </c:pt>
                <c:pt idx="93">
                  <c:v>66646817.550756402</c:v>
                </c:pt>
                <c:pt idx="94">
                  <c:v>66646817.550756402</c:v>
                </c:pt>
                <c:pt idx="95">
                  <c:v>66646817.550756402</c:v>
                </c:pt>
                <c:pt idx="96">
                  <c:v>66646817.550756402</c:v>
                </c:pt>
                <c:pt idx="97">
                  <c:v>66646817.550756402</c:v>
                </c:pt>
                <c:pt idx="98">
                  <c:v>66646817.550756402</c:v>
                </c:pt>
                <c:pt idx="99">
                  <c:v>66646817.550756402</c:v>
                </c:pt>
                <c:pt idx="100">
                  <c:v>66646817.550756402</c:v>
                </c:pt>
                <c:pt idx="101">
                  <c:v>66646817.550756402</c:v>
                </c:pt>
                <c:pt idx="102">
                  <c:v>66646817.550756402</c:v>
                </c:pt>
                <c:pt idx="103">
                  <c:v>66646817.550756402</c:v>
                </c:pt>
                <c:pt idx="104">
                  <c:v>66646817.550756402</c:v>
                </c:pt>
                <c:pt idx="105">
                  <c:v>66646817.550756402</c:v>
                </c:pt>
                <c:pt idx="106">
                  <c:v>66646817.550756402</c:v>
                </c:pt>
                <c:pt idx="107">
                  <c:v>66646817.550756402</c:v>
                </c:pt>
                <c:pt idx="108">
                  <c:v>66646817.550756402</c:v>
                </c:pt>
                <c:pt idx="109">
                  <c:v>66646817.550756402</c:v>
                </c:pt>
                <c:pt idx="110">
                  <c:v>66646817.550756402</c:v>
                </c:pt>
                <c:pt idx="111">
                  <c:v>66646817.550756402</c:v>
                </c:pt>
                <c:pt idx="112">
                  <c:v>66646817.550756402</c:v>
                </c:pt>
                <c:pt idx="113">
                  <c:v>66646817.550756402</c:v>
                </c:pt>
                <c:pt idx="114">
                  <c:v>66646817.550756402</c:v>
                </c:pt>
                <c:pt idx="115">
                  <c:v>66646817.550756402</c:v>
                </c:pt>
                <c:pt idx="116">
                  <c:v>66646817.550756402</c:v>
                </c:pt>
                <c:pt idx="117">
                  <c:v>66646817.550756402</c:v>
                </c:pt>
                <c:pt idx="118">
                  <c:v>66646817.550756402</c:v>
                </c:pt>
                <c:pt idx="119">
                  <c:v>66646817.550756402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FDF-44A9-B151-4EB8849D4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6257311"/>
        <c:axId val="1096240031"/>
      </c:scatterChart>
      <c:valAx>
        <c:axId val="10962573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6240031"/>
        <c:crosses val="autoZero"/>
        <c:crossBetween val="midCat"/>
      </c:valAx>
      <c:valAx>
        <c:axId val="10962400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(* #,##0_);_(* \(#,##0\);_(* &quot;-&quot;??_);_(@_)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6257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Residential</a:t>
            </a:r>
            <a:r>
              <a:rPr lang="en-US" baseline="0"/>
              <a:t> Predicted Monthly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'Res Predicted Monthly'!$D$1</c:f>
              <c:strCache>
                <c:ptCount val="1"/>
                <c:pt idx="0">
                  <c:v> Res_NoCDM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'Res Predicted Monthly'!$A$2:$A$127</c:f>
              <c:numCache>
                <c:formatCode>m/d/yyyy</c:formatCode>
                <c:ptCount val="12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</c:numCache>
            </c:numRef>
          </c:cat>
          <c:val>
            <c:numRef>
              <c:f>'Res Predicted Monthly'!$D$2:$D$127</c:f>
              <c:numCache>
                <c:formatCode>_(* #,##0_);_(* \(#,##0\);_(* "-"??_);_(@_)</c:formatCode>
                <c:ptCount val="126"/>
                <c:pt idx="0">
                  <c:v>96528111.989106089</c:v>
                </c:pt>
                <c:pt idx="1">
                  <c:v>81300090.78765358</c:v>
                </c:pt>
                <c:pt idx="2">
                  <c:v>87978694.586201057</c:v>
                </c:pt>
                <c:pt idx="3">
                  <c:v>73074109.384748533</c:v>
                </c:pt>
                <c:pt idx="4">
                  <c:v>74177213.18329601</c:v>
                </c:pt>
                <c:pt idx="5">
                  <c:v>91127350.981843486</c:v>
                </c:pt>
                <c:pt idx="6">
                  <c:v>108227347.78039098</c:v>
                </c:pt>
                <c:pt idx="7">
                  <c:v>95371179.578938454</c:v>
                </c:pt>
                <c:pt idx="8">
                  <c:v>89157887.377485931</c:v>
                </c:pt>
                <c:pt idx="9">
                  <c:v>77506626.176033407</c:v>
                </c:pt>
                <c:pt idx="10">
                  <c:v>84425507.974580884</c:v>
                </c:pt>
                <c:pt idx="11">
                  <c:v>102733791.77312838</c:v>
                </c:pt>
                <c:pt idx="12">
                  <c:v>104765390.03404444</c:v>
                </c:pt>
                <c:pt idx="13">
                  <c:v>87909194.787768081</c:v>
                </c:pt>
                <c:pt idx="14">
                  <c:v>91818531.541491702</c:v>
                </c:pt>
                <c:pt idx="15">
                  <c:v>83778021.295215338</c:v>
                </c:pt>
                <c:pt idx="16">
                  <c:v>84852159.04893896</c:v>
                </c:pt>
                <c:pt idx="17">
                  <c:v>96396686.802662596</c:v>
                </c:pt>
                <c:pt idx="18">
                  <c:v>120736313.55638622</c:v>
                </c:pt>
                <c:pt idx="19">
                  <c:v>119361439.31010985</c:v>
                </c:pt>
                <c:pt idx="20">
                  <c:v>98395160.063833475</c:v>
                </c:pt>
                <c:pt idx="21">
                  <c:v>83137429.817557111</c:v>
                </c:pt>
                <c:pt idx="22">
                  <c:v>90326715.571280748</c:v>
                </c:pt>
                <c:pt idx="23">
                  <c:v>102342861.32500437</c:v>
                </c:pt>
                <c:pt idx="24">
                  <c:v>105416679.01993552</c:v>
                </c:pt>
                <c:pt idx="25">
                  <c:v>92620975.343300313</c:v>
                </c:pt>
                <c:pt idx="26">
                  <c:v>94241177.603081301</c:v>
                </c:pt>
                <c:pt idx="27">
                  <c:v>79477048.429578483</c:v>
                </c:pt>
                <c:pt idx="28">
                  <c:v>75969863.614056066</c:v>
                </c:pt>
                <c:pt idx="29">
                  <c:v>87994636.970840842</c:v>
                </c:pt>
                <c:pt idx="30">
                  <c:v>127394508.16810884</c:v>
                </c:pt>
                <c:pt idx="31">
                  <c:v>109911720.39383872</c:v>
                </c:pt>
                <c:pt idx="32">
                  <c:v>86984748.548102602</c:v>
                </c:pt>
                <c:pt idx="33">
                  <c:v>79074026.821383372</c:v>
                </c:pt>
                <c:pt idx="34">
                  <c:v>88890436.20814155</c:v>
                </c:pt>
                <c:pt idx="35">
                  <c:v>99357327.710085541</c:v>
                </c:pt>
                <c:pt idx="36">
                  <c:v>97545951.767339185</c:v>
                </c:pt>
                <c:pt idx="37">
                  <c:v>91493578.994513884</c:v>
                </c:pt>
                <c:pt idx="38">
                  <c:v>91571517.654991493</c:v>
                </c:pt>
                <c:pt idx="39">
                  <c:v>85758313.193750188</c:v>
                </c:pt>
                <c:pt idx="40">
                  <c:v>92128124.461526498</c:v>
                </c:pt>
                <c:pt idx="41">
                  <c:v>112735350.78716789</c:v>
                </c:pt>
                <c:pt idx="42">
                  <c:v>146625970.2936959</c:v>
                </c:pt>
                <c:pt idx="43">
                  <c:v>120844372.34821889</c:v>
                </c:pt>
                <c:pt idx="44">
                  <c:v>87619165.062130496</c:v>
                </c:pt>
                <c:pt idx="45">
                  <c:v>83474979.349141687</c:v>
                </c:pt>
                <c:pt idx="46">
                  <c:v>86270435.371089891</c:v>
                </c:pt>
                <c:pt idx="47">
                  <c:v>104207857.30909689</c:v>
                </c:pt>
                <c:pt idx="48">
                  <c:v>105751345.12864499</c:v>
                </c:pt>
                <c:pt idx="49">
                  <c:v>98306877.169293538</c:v>
                </c:pt>
                <c:pt idx="50">
                  <c:v>91973029.250623286</c:v>
                </c:pt>
                <c:pt idx="51">
                  <c:v>82981156.929550335</c:v>
                </c:pt>
                <c:pt idx="52">
                  <c:v>91340076.58452858</c:v>
                </c:pt>
                <c:pt idx="53">
                  <c:v>115361515.82174373</c:v>
                </c:pt>
                <c:pt idx="54">
                  <c:v>119528701.30399828</c:v>
                </c:pt>
                <c:pt idx="55">
                  <c:v>132199542.12188883</c:v>
                </c:pt>
                <c:pt idx="56">
                  <c:v>92658508.505937979</c:v>
                </c:pt>
                <c:pt idx="57">
                  <c:v>87440775.674946621</c:v>
                </c:pt>
                <c:pt idx="58">
                  <c:v>89753400.674855173</c:v>
                </c:pt>
                <c:pt idx="59">
                  <c:v>101925936.95283271</c:v>
                </c:pt>
                <c:pt idx="60">
                  <c:v>113400436.11189753</c:v>
                </c:pt>
                <c:pt idx="61">
                  <c:v>98271140.502125725</c:v>
                </c:pt>
                <c:pt idx="62">
                  <c:v>97810437.164043024</c:v>
                </c:pt>
                <c:pt idx="63">
                  <c:v>85783051.575556532</c:v>
                </c:pt>
                <c:pt idx="64">
                  <c:v>89296731.492021337</c:v>
                </c:pt>
                <c:pt idx="65">
                  <c:v>104358390.42752253</c:v>
                </c:pt>
                <c:pt idx="66">
                  <c:v>125884000.32741234</c:v>
                </c:pt>
                <c:pt idx="67">
                  <c:v>121150244.47990614</c:v>
                </c:pt>
                <c:pt idx="68">
                  <c:v>95896085.279471442</c:v>
                </c:pt>
                <c:pt idx="69">
                  <c:v>82407651.875134245</c:v>
                </c:pt>
                <c:pt idx="70">
                  <c:v>87684954.067774549</c:v>
                </c:pt>
                <c:pt idx="71">
                  <c:v>104600325.92757934</c:v>
                </c:pt>
                <c:pt idx="72">
                  <c:v>101095920.38269933</c:v>
                </c:pt>
                <c:pt idx="73">
                  <c:v>91047446.956413373</c:v>
                </c:pt>
                <c:pt idx="74">
                  <c:v>95849298.594118595</c:v>
                </c:pt>
                <c:pt idx="75">
                  <c:v>84098508.162623033</c:v>
                </c:pt>
                <c:pt idx="76">
                  <c:v>84438333.862071276</c:v>
                </c:pt>
                <c:pt idx="77">
                  <c:v>97286503.750689998</c:v>
                </c:pt>
                <c:pt idx="78">
                  <c:v>121481480.73199384</c:v>
                </c:pt>
                <c:pt idx="79">
                  <c:v>106591355.68128458</c:v>
                </c:pt>
                <c:pt idx="80">
                  <c:v>94551964.486079708</c:v>
                </c:pt>
                <c:pt idx="81">
                  <c:v>87394678.400082737</c:v>
                </c:pt>
                <c:pt idx="82">
                  <c:v>90724734.418044969</c:v>
                </c:pt>
                <c:pt idx="83">
                  <c:v>100027267.37958151</c:v>
                </c:pt>
                <c:pt idx="84">
                  <c:v>107987271.15008742</c:v>
                </c:pt>
                <c:pt idx="85">
                  <c:v>93237063.884746984</c:v>
                </c:pt>
                <c:pt idx="86">
                  <c:v>94045575.889152646</c:v>
                </c:pt>
                <c:pt idx="87">
                  <c:v>82535428.2478275</c:v>
                </c:pt>
                <c:pt idx="88">
                  <c:v>90145540.473728657</c:v>
                </c:pt>
                <c:pt idx="89">
                  <c:v>111435063.72212371</c:v>
                </c:pt>
                <c:pt idx="90">
                  <c:v>130191861.16614237</c:v>
                </c:pt>
                <c:pt idx="91">
                  <c:v>120170576.65742104</c:v>
                </c:pt>
                <c:pt idx="92">
                  <c:v>100285392.95244572</c:v>
                </c:pt>
                <c:pt idx="93">
                  <c:v>83692326.02029407</c:v>
                </c:pt>
                <c:pt idx="94">
                  <c:v>88124968.455559433</c:v>
                </c:pt>
                <c:pt idx="95">
                  <c:v>107392341.21479669</c:v>
                </c:pt>
                <c:pt idx="96">
                  <c:v>113660418.88730848</c:v>
                </c:pt>
                <c:pt idx="97">
                  <c:v>99387988.37269628</c:v>
                </c:pt>
                <c:pt idx="98">
                  <c:v>96704636.918613061</c:v>
                </c:pt>
                <c:pt idx="99">
                  <c:v>85992221.873758852</c:v>
                </c:pt>
                <c:pt idx="100">
                  <c:v>84993551.117046133</c:v>
                </c:pt>
                <c:pt idx="101">
                  <c:v>115056173.48231643</c:v>
                </c:pt>
                <c:pt idx="102">
                  <c:v>140976675.19585302</c:v>
                </c:pt>
                <c:pt idx="103">
                  <c:v>121948218.3047366</c:v>
                </c:pt>
                <c:pt idx="104">
                  <c:v>95222363.852296785</c:v>
                </c:pt>
                <c:pt idx="105">
                  <c:v>87631115.335631788</c:v>
                </c:pt>
                <c:pt idx="106">
                  <c:v>93364815.512638971</c:v>
                </c:pt>
                <c:pt idx="107">
                  <c:v>111581704.96910296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0E-45FF-B359-C8A24C015BBE}"/>
            </c:ext>
          </c:extLst>
        </c:ser>
        <c:ser>
          <c:idx val="1"/>
          <c:order val="1"/>
          <c:tx>
            <c:strRef>
              <c:f>'Res Predicted Monthly'!$W$1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'Res Predicted Monthly'!$A$2:$A$127</c:f>
              <c:numCache>
                <c:formatCode>m/d/yyyy</c:formatCode>
                <c:ptCount val="12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</c:numCache>
            </c:numRef>
          </c:cat>
          <c:val>
            <c:numRef>
              <c:f>'Res Predicted Monthly'!$W$2:$W$127</c:f>
              <c:numCache>
                <c:formatCode>_(* #,##0_);_(* \(#,##0\);_(* "-"??_);_(@_)</c:formatCode>
                <c:ptCount val="126"/>
                <c:pt idx="0">
                  <c:v>93913537.221966788</c:v>
                </c:pt>
                <c:pt idx="1">
                  <c:v>79620172.52852799</c:v>
                </c:pt>
                <c:pt idx="2">
                  <c:v>90041640.249580517</c:v>
                </c:pt>
                <c:pt idx="3">
                  <c:v>72376737.887680635</c:v>
                </c:pt>
                <c:pt idx="4">
                  <c:v>75074387.949452981</c:v>
                </c:pt>
                <c:pt idx="5">
                  <c:v>94555421.210201249</c:v>
                </c:pt>
                <c:pt idx="6">
                  <c:v>111839472.21799543</c:v>
                </c:pt>
                <c:pt idx="7">
                  <c:v>96893751.364213526</c:v>
                </c:pt>
                <c:pt idx="8">
                  <c:v>90318894.726789385</c:v>
                </c:pt>
                <c:pt idx="9">
                  <c:v>78094873.927606374</c:v>
                </c:pt>
                <c:pt idx="10">
                  <c:v>81972690.842252776</c:v>
                </c:pt>
                <c:pt idx="11">
                  <c:v>104364924.60469216</c:v>
                </c:pt>
                <c:pt idx="12">
                  <c:v>102883737.44686806</c:v>
                </c:pt>
                <c:pt idx="13">
                  <c:v>85446288.562183723</c:v>
                </c:pt>
                <c:pt idx="14">
                  <c:v>93642962.489515588</c:v>
                </c:pt>
                <c:pt idx="15">
                  <c:v>83192324.888720915</c:v>
                </c:pt>
                <c:pt idx="16">
                  <c:v>89550512.84766835</c:v>
                </c:pt>
                <c:pt idx="17">
                  <c:v>97771488.907638848</c:v>
                </c:pt>
                <c:pt idx="18">
                  <c:v>118771219.58126509</c:v>
                </c:pt>
                <c:pt idx="19">
                  <c:v>120665184.26367784</c:v>
                </c:pt>
                <c:pt idx="20">
                  <c:v>96759063.083317086</c:v>
                </c:pt>
                <c:pt idx="21">
                  <c:v>82414376.833470598</c:v>
                </c:pt>
                <c:pt idx="22">
                  <c:v>87800601.503722161</c:v>
                </c:pt>
                <c:pt idx="23">
                  <c:v>97272140.526262164</c:v>
                </c:pt>
                <c:pt idx="24">
                  <c:v>106277156.23538163</c:v>
                </c:pt>
                <c:pt idx="25">
                  <c:v>90530909.823223189</c:v>
                </c:pt>
                <c:pt idx="26">
                  <c:v>96274899.549805865</c:v>
                </c:pt>
                <c:pt idx="27">
                  <c:v>78383691.122407973</c:v>
                </c:pt>
                <c:pt idx="28">
                  <c:v>72989284.58486706</c:v>
                </c:pt>
                <c:pt idx="29">
                  <c:v>92082613.59590736</c:v>
                </c:pt>
                <c:pt idx="30">
                  <c:v>128015418.97050102</c:v>
                </c:pt>
                <c:pt idx="31">
                  <c:v>108876962.48132332</c:v>
                </c:pt>
                <c:pt idx="32">
                  <c:v>89038631.472761065</c:v>
                </c:pt>
                <c:pt idx="33">
                  <c:v>77544194.252629086</c:v>
                </c:pt>
                <c:pt idx="34">
                  <c:v>89573786.164116427</c:v>
                </c:pt>
                <c:pt idx="35">
                  <c:v>99138779.415764451</c:v>
                </c:pt>
                <c:pt idx="36">
                  <c:v>96932575.20385994</c:v>
                </c:pt>
                <c:pt idx="37">
                  <c:v>93051139.103358001</c:v>
                </c:pt>
                <c:pt idx="38">
                  <c:v>91525868.821162552</c:v>
                </c:pt>
                <c:pt idx="39">
                  <c:v>85683722.287846923</c:v>
                </c:pt>
                <c:pt idx="40">
                  <c:v>91031872.125166073</c:v>
                </c:pt>
                <c:pt idx="41">
                  <c:v>108695009.28346589</c:v>
                </c:pt>
                <c:pt idx="42">
                  <c:v>145884469.58001938</c:v>
                </c:pt>
                <c:pt idx="43">
                  <c:v>119681285.74595663</c:v>
                </c:pt>
                <c:pt idx="44">
                  <c:v>86635344.934093624</c:v>
                </c:pt>
                <c:pt idx="45">
                  <c:v>81239993.448574618</c:v>
                </c:pt>
                <c:pt idx="46">
                  <c:v>83597227.248530924</c:v>
                </c:pt>
                <c:pt idx="47">
                  <c:v>103611196.40369552</c:v>
                </c:pt>
                <c:pt idx="48">
                  <c:v>104496450.61019525</c:v>
                </c:pt>
                <c:pt idx="49">
                  <c:v>100268539.9252174</c:v>
                </c:pt>
                <c:pt idx="50">
                  <c:v>91831812.744244263</c:v>
                </c:pt>
                <c:pt idx="51">
                  <c:v>82536554.34787643</c:v>
                </c:pt>
                <c:pt idx="52">
                  <c:v>91464744.022132978</c:v>
                </c:pt>
                <c:pt idx="53">
                  <c:v>119414433.96045765</c:v>
                </c:pt>
                <c:pt idx="54">
                  <c:v>119404672.67418382</c:v>
                </c:pt>
                <c:pt idx="55">
                  <c:v>131929208.43164571</c:v>
                </c:pt>
                <c:pt idx="56">
                  <c:v>90707705.832070783</c:v>
                </c:pt>
                <c:pt idx="57">
                  <c:v>88719582.891596213</c:v>
                </c:pt>
                <c:pt idx="58">
                  <c:v>90411239.511429399</c:v>
                </c:pt>
                <c:pt idx="59">
                  <c:v>102002402.1323866</c:v>
                </c:pt>
                <c:pt idx="60">
                  <c:v>114850748.81804773</c:v>
                </c:pt>
                <c:pt idx="61">
                  <c:v>97740193.031986907</c:v>
                </c:pt>
                <c:pt idx="62">
                  <c:v>97967327.161277622</c:v>
                </c:pt>
                <c:pt idx="63">
                  <c:v>85915787.749689296</c:v>
                </c:pt>
                <c:pt idx="64">
                  <c:v>92193833.381498918</c:v>
                </c:pt>
                <c:pt idx="65">
                  <c:v>103456533.12454841</c:v>
                </c:pt>
                <c:pt idx="66">
                  <c:v>127710459.78780586</c:v>
                </c:pt>
                <c:pt idx="67">
                  <c:v>123019963.86265153</c:v>
                </c:pt>
                <c:pt idx="68">
                  <c:v>96486928.725965559</c:v>
                </c:pt>
                <c:pt idx="69">
                  <c:v>82306031.536818773</c:v>
                </c:pt>
                <c:pt idx="70">
                  <c:v>89522491.663318217</c:v>
                </c:pt>
                <c:pt idx="71">
                  <c:v>106614338.51029901</c:v>
                </c:pt>
                <c:pt idx="72">
                  <c:v>101237154.03779</c:v>
                </c:pt>
                <c:pt idx="73">
                  <c:v>91863136.535291031</c:v>
                </c:pt>
                <c:pt idx="74">
                  <c:v>99095370.658269569</c:v>
                </c:pt>
                <c:pt idx="75">
                  <c:v>87408201.667941973</c:v>
                </c:pt>
                <c:pt idx="76">
                  <c:v>85862191.344462022</c:v>
                </c:pt>
                <c:pt idx="77">
                  <c:v>99163342.462180227</c:v>
                </c:pt>
                <c:pt idx="78">
                  <c:v>120419679.24607065</c:v>
                </c:pt>
                <c:pt idx="79">
                  <c:v>104776467.54648694</c:v>
                </c:pt>
                <c:pt idx="80">
                  <c:v>92701970.123603016</c:v>
                </c:pt>
                <c:pt idx="81">
                  <c:v>89757587.541044191</c:v>
                </c:pt>
                <c:pt idx="82">
                  <c:v>90678335.179990754</c:v>
                </c:pt>
                <c:pt idx="83">
                  <c:v>99054092.824836284</c:v>
                </c:pt>
                <c:pt idx="84">
                  <c:v>106172161.03417359</c:v>
                </c:pt>
                <c:pt idx="85">
                  <c:v>93636445.211215675</c:v>
                </c:pt>
                <c:pt idx="86">
                  <c:v>94125429.11175479</c:v>
                </c:pt>
                <c:pt idx="87">
                  <c:v>82971348.37714313</c:v>
                </c:pt>
                <c:pt idx="88">
                  <c:v>89150990.506109074</c:v>
                </c:pt>
                <c:pt idx="89">
                  <c:v>110969822.06328502</c:v>
                </c:pt>
                <c:pt idx="90">
                  <c:v>126665659.4054341</c:v>
                </c:pt>
                <c:pt idx="91">
                  <c:v>116542196.96994433</c:v>
                </c:pt>
                <c:pt idx="92">
                  <c:v>100150402.96437116</c:v>
                </c:pt>
                <c:pt idx="93">
                  <c:v>85416302.239183471</c:v>
                </c:pt>
                <c:pt idx="94">
                  <c:v>88771524.65045315</c:v>
                </c:pt>
                <c:pt idx="95">
                  <c:v>107405460.57597443</c:v>
                </c:pt>
                <c:pt idx="96">
                  <c:v>113300031.36211048</c:v>
                </c:pt>
                <c:pt idx="97">
                  <c:v>100649247.8410859</c:v>
                </c:pt>
                <c:pt idx="98">
                  <c:v>96145958.731375143</c:v>
                </c:pt>
                <c:pt idx="99">
                  <c:v>87036868.934095457</c:v>
                </c:pt>
                <c:pt idx="100">
                  <c:v>83556860.388750643</c:v>
                </c:pt>
                <c:pt idx="101">
                  <c:v>116720275.34950322</c:v>
                </c:pt>
                <c:pt idx="102">
                  <c:v>137032954.73519596</c:v>
                </c:pt>
                <c:pt idx="103">
                  <c:v>116829976.69432738</c:v>
                </c:pt>
                <c:pt idx="104">
                  <c:v>96082143.346423492</c:v>
                </c:pt>
                <c:pt idx="105">
                  <c:v>89124349.044685781</c:v>
                </c:pt>
                <c:pt idx="106">
                  <c:v>92663219.800071388</c:v>
                </c:pt>
                <c:pt idx="107">
                  <c:v>113609174.61386085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0E-45FF-B359-C8A24C015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769856"/>
        <c:axId val="175784320"/>
      </c:lineChart>
      <c:dateAx>
        <c:axId val="17576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0"/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784320"/>
        <c:crosses val="autoZero"/>
        <c:auto val="1"/>
        <c:lblOffset val="100"/>
        <c:baseTimeUnit val="months"/>
      </c:dateAx>
      <c:valAx>
        <c:axId val="17578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Monthly Consumption (kWh)</a:t>
                </a:r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76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&lt; 50 kW Predicted Monthly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'GS&lt;50 Predicted Monthly'!$D$1</c:f>
              <c:strCache>
                <c:ptCount val="1"/>
                <c:pt idx="0">
                  <c:v> GS_lt_50_NoCDM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'GS&lt;50 Predicted Monthly'!$A$2:$A$117</c:f>
              <c:numCache>
                <c:formatCode>m/d/yyyy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</c:numCache>
            </c:numRef>
          </c:cat>
          <c:val>
            <c:numRef>
              <c:f>'GS&lt;50 Predicted Monthly'!$D$2:$D$117</c:f>
              <c:numCache>
                <c:formatCode>_(* #,##0_);_(* \(#,##0\);_(* "-"??_);_(@_)</c:formatCode>
                <c:ptCount val="116"/>
                <c:pt idx="0">
                  <c:v>34683049.001843154</c:v>
                </c:pt>
                <c:pt idx="1">
                  <c:v>31630788.735422239</c:v>
                </c:pt>
                <c:pt idx="2">
                  <c:v>33721872.46900133</c:v>
                </c:pt>
                <c:pt idx="3">
                  <c:v>29000476.202580415</c:v>
                </c:pt>
                <c:pt idx="4">
                  <c:v>30141065.936159503</c:v>
                </c:pt>
                <c:pt idx="5">
                  <c:v>32275893.669738587</c:v>
                </c:pt>
                <c:pt idx="6">
                  <c:v>35056085.403317675</c:v>
                </c:pt>
                <c:pt idx="7">
                  <c:v>33724240.136896759</c:v>
                </c:pt>
                <c:pt idx="8">
                  <c:v>31894077.870475851</c:v>
                </c:pt>
                <c:pt idx="9">
                  <c:v>30146026.604054935</c:v>
                </c:pt>
                <c:pt idx="10">
                  <c:v>31440394.337634023</c:v>
                </c:pt>
                <c:pt idx="11">
                  <c:v>34201747.071213111</c:v>
                </c:pt>
                <c:pt idx="12">
                  <c:v>37147855.281969562</c:v>
                </c:pt>
                <c:pt idx="13">
                  <c:v>32130532.581361752</c:v>
                </c:pt>
                <c:pt idx="14">
                  <c:v>34082211.880753942</c:v>
                </c:pt>
                <c:pt idx="15">
                  <c:v>31578780.180146135</c:v>
                </c:pt>
                <c:pt idx="16">
                  <c:v>32437913.479538325</c:v>
                </c:pt>
                <c:pt idx="17">
                  <c:v>33981626.778930515</c:v>
                </c:pt>
                <c:pt idx="18">
                  <c:v>37340418.078322709</c:v>
                </c:pt>
                <c:pt idx="19">
                  <c:v>37258199.377714895</c:v>
                </c:pt>
                <c:pt idx="20">
                  <c:v>32457955.677107088</c:v>
                </c:pt>
                <c:pt idx="21">
                  <c:v>30886290.976499278</c:v>
                </c:pt>
                <c:pt idx="22">
                  <c:v>33064714.275891468</c:v>
                </c:pt>
                <c:pt idx="23">
                  <c:v>33697422.575283661</c:v>
                </c:pt>
                <c:pt idx="24">
                  <c:v>36829480.752867945</c:v>
                </c:pt>
                <c:pt idx="25">
                  <c:v>33366900.493147276</c:v>
                </c:pt>
                <c:pt idx="26">
                  <c:v>34872336.488189504</c:v>
                </c:pt>
                <c:pt idx="27">
                  <c:v>30563948.842154223</c:v>
                </c:pt>
                <c:pt idx="28">
                  <c:v>30439981.506023146</c:v>
                </c:pt>
                <c:pt idx="29">
                  <c:v>31958460.559302475</c:v>
                </c:pt>
                <c:pt idx="30">
                  <c:v>39000790.891762398</c:v>
                </c:pt>
                <c:pt idx="31">
                  <c:v>36320178.532291718</c:v>
                </c:pt>
                <c:pt idx="32">
                  <c:v>31962336.608666547</c:v>
                </c:pt>
                <c:pt idx="33">
                  <c:v>30759281.251047574</c:v>
                </c:pt>
                <c:pt idx="34">
                  <c:v>33141456.629586298</c:v>
                </c:pt>
                <c:pt idx="35">
                  <c:v>34727182.032087423</c:v>
                </c:pt>
                <c:pt idx="36">
                  <c:v>35587534.780226827</c:v>
                </c:pt>
                <c:pt idx="37">
                  <c:v>33755956.937224291</c:v>
                </c:pt>
                <c:pt idx="38">
                  <c:v>31961407.074373361</c:v>
                </c:pt>
                <c:pt idx="39">
                  <c:v>26435861.898934826</c:v>
                </c:pt>
                <c:pt idx="40">
                  <c:v>27588460.479361489</c:v>
                </c:pt>
                <c:pt idx="41">
                  <c:v>32012058.677479155</c:v>
                </c:pt>
                <c:pt idx="42">
                  <c:v>38745453.377998121</c:v>
                </c:pt>
                <c:pt idx="43">
                  <c:v>35336767.432149887</c:v>
                </c:pt>
                <c:pt idx="44">
                  <c:v>30064424.989130653</c:v>
                </c:pt>
                <c:pt idx="45">
                  <c:v>29507060.335061818</c:v>
                </c:pt>
                <c:pt idx="46">
                  <c:v>30257073.560644682</c:v>
                </c:pt>
                <c:pt idx="47">
                  <c:v>33353346.81291895</c:v>
                </c:pt>
                <c:pt idx="48">
                  <c:v>33188670.928305969</c:v>
                </c:pt>
                <c:pt idx="49">
                  <c:v>32029961.907204423</c:v>
                </c:pt>
                <c:pt idx="50">
                  <c:v>32767606.297940973</c:v>
                </c:pt>
                <c:pt idx="51">
                  <c:v>28526897.993398827</c:v>
                </c:pt>
                <c:pt idx="52">
                  <c:v>29460273.547266677</c:v>
                </c:pt>
                <c:pt idx="53">
                  <c:v>33741581.231269225</c:v>
                </c:pt>
                <c:pt idx="54">
                  <c:v>35821107.582326174</c:v>
                </c:pt>
                <c:pt idx="55">
                  <c:v>38356548.084514029</c:v>
                </c:pt>
                <c:pt idx="56">
                  <c:v>31815550.085094079</c:v>
                </c:pt>
                <c:pt idx="57">
                  <c:v>30918107.462813132</c:v>
                </c:pt>
                <c:pt idx="58">
                  <c:v>31869917.672068384</c:v>
                </c:pt>
                <c:pt idx="59">
                  <c:v>33904688.36236053</c:v>
                </c:pt>
                <c:pt idx="60">
                  <c:v>37072199.286133692</c:v>
                </c:pt>
                <c:pt idx="61">
                  <c:v>34106025.220729686</c:v>
                </c:pt>
                <c:pt idx="62">
                  <c:v>35656141.74767568</c:v>
                </c:pt>
                <c:pt idx="63">
                  <c:v>31746429.201593272</c:v>
                </c:pt>
                <c:pt idx="64">
                  <c:v>32818195.351553965</c:v>
                </c:pt>
                <c:pt idx="65">
                  <c:v>35352197.196220562</c:v>
                </c:pt>
                <c:pt idx="66">
                  <c:v>38896081.999405652</c:v>
                </c:pt>
                <c:pt idx="67">
                  <c:v>38840185.92272944</c:v>
                </c:pt>
                <c:pt idx="68">
                  <c:v>33654327.730507731</c:v>
                </c:pt>
                <c:pt idx="69">
                  <c:v>31415307.367699027</c:v>
                </c:pt>
                <c:pt idx="70">
                  <c:v>33054898.399967819</c:v>
                </c:pt>
                <c:pt idx="71">
                  <c:v>36113207.191137917</c:v>
                </c:pt>
                <c:pt idx="72">
                  <c:v>36644302.910595365</c:v>
                </c:pt>
                <c:pt idx="73">
                  <c:v>33697550.512014888</c:v>
                </c:pt>
                <c:pt idx="74">
                  <c:v>36355592.281842805</c:v>
                </c:pt>
                <c:pt idx="75">
                  <c:v>31973002.845864329</c:v>
                </c:pt>
                <c:pt idx="76">
                  <c:v>33099271.600468054</c:v>
                </c:pt>
                <c:pt idx="77">
                  <c:v>34472273.31071417</c:v>
                </c:pt>
                <c:pt idx="78">
                  <c:v>38328544.836939998</c:v>
                </c:pt>
                <c:pt idx="79">
                  <c:v>36428584.860646717</c:v>
                </c:pt>
                <c:pt idx="80">
                  <c:v>33579765.16547174</c:v>
                </c:pt>
                <c:pt idx="81">
                  <c:v>32793920.29388446</c:v>
                </c:pt>
                <c:pt idx="82">
                  <c:v>33988995.077233881</c:v>
                </c:pt>
                <c:pt idx="83">
                  <c:v>35287478.129461206</c:v>
                </c:pt>
                <c:pt idx="84">
                  <c:v>38219875.681387417</c:v>
                </c:pt>
                <c:pt idx="85">
                  <c:v>34257979.157338955</c:v>
                </c:pt>
                <c:pt idx="86">
                  <c:v>34527361.185368188</c:v>
                </c:pt>
                <c:pt idx="87">
                  <c:v>31963168.830053426</c:v>
                </c:pt>
                <c:pt idx="88">
                  <c:v>33702078.344445564</c:v>
                </c:pt>
                <c:pt idx="89">
                  <c:v>36390924.841228999</c:v>
                </c:pt>
                <c:pt idx="90">
                  <c:v>40087127.052448839</c:v>
                </c:pt>
                <c:pt idx="91">
                  <c:v>38411450.880521774</c:v>
                </c:pt>
                <c:pt idx="92">
                  <c:v>34606193.578424111</c:v>
                </c:pt>
                <c:pt idx="93">
                  <c:v>32483265.88042035</c:v>
                </c:pt>
                <c:pt idx="94">
                  <c:v>32809368.372306686</c:v>
                </c:pt>
                <c:pt idx="95">
                  <c:v>36744901.690685332</c:v>
                </c:pt>
                <c:pt idx="96">
                  <c:v>40183559.338830374</c:v>
                </c:pt>
                <c:pt idx="97">
                  <c:v>36188686.913162045</c:v>
                </c:pt>
                <c:pt idx="98">
                  <c:v>36194100.339142725</c:v>
                </c:pt>
                <c:pt idx="99">
                  <c:v>33302287.632952996</c:v>
                </c:pt>
                <c:pt idx="100">
                  <c:v>32819813.044337571</c:v>
                </c:pt>
                <c:pt idx="101">
                  <c:v>37612354.418116137</c:v>
                </c:pt>
                <c:pt idx="102">
                  <c:v>42809598.246677913</c:v>
                </c:pt>
                <c:pt idx="103">
                  <c:v>39144829.233934194</c:v>
                </c:pt>
                <c:pt idx="104">
                  <c:v>34783887.287649468</c:v>
                </c:pt>
                <c:pt idx="105">
                  <c:v>33721107.220164739</c:v>
                </c:pt>
                <c:pt idx="106">
                  <c:v>34683043.361470014</c:v>
                </c:pt>
                <c:pt idx="107">
                  <c:v>38907834.05508209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B5-4C03-A1C2-4F4A0569D7D6}"/>
            </c:ext>
          </c:extLst>
        </c:ser>
        <c:ser>
          <c:idx val="1"/>
          <c:order val="1"/>
          <c:tx>
            <c:strRef>
              <c:f>'GS&lt;50 Predicted Monthly'!$S$1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'GS&lt;50 Predicted Monthly'!$A$2:$A$117</c:f>
              <c:numCache>
                <c:formatCode>m/d/yyyy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</c:numCache>
            </c:numRef>
          </c:cat>
          <c:val>
            <c:numRef>
              <c:f>'GS&lt;50 Predicted Monthly'!$S$2:$S$117</c:f>
              <c:numCache>
                <c:formatCode>_(* #,##0_);_(* \(#,##0\);_(* "-"??_);_(@_)</c:formatCode>
                <c:ptCount val="116"/>
                <c:pt idx="0">
                  <c:v>33913786.628957264</c:v>
                </c:pt>
                <c:pt idx="1">
                  <c:v>30342645.08877892</c:v>
                </c:pt>
                <c:pt idx="2">
                  <c:v>33500492.893620864</c:v>
                </c:pt>
                <c:pt idx="3">
                  <c:v>29011621.850531712</c:v>
                </c:pt>
                <c:pt idx="4">
                  <c:v>29990879.440265838</c:v>
                </c:pt>
                <c:pt idx="5">
                  <c:v>32794531.514092281</c:v>
                </c:pt>
                <c:pt idx="6">
                  <c:v>36029061.519857854</c:v>
                </c:pt>
                <c:pt idx="7">
                  <c:v>33548426.301540703</c:v>
                </c:pt>
                <c:pt idx="8">
                  <c:v>31590886.680728659</c:v>
                </c:pt>
                <c:pt idx="9">
                  <c:v>30135190.5639784</c:v>
                </c:pt>
                <c:pt idx="10">
                  <c:v>31199775.566001117</c:v>
                </c:pt>
                <c:pt idx="11">
                  <c:v>35481576.177656919</c:v>
                </c:pt>
                <c:pt idx="12">
                  <c:v>36161540.430450656</c:v>
                </c:pt>
                <c:pt idx="13">
                  <c:v>31888385.611592222</c:v>
                </c:pt>
                <c:pt idx="14">
                  <c:v>34549326.600397542</c:v>
                </c:pt>
                <c:pt idx="15">
                  <c:v>31692410.141738087</c:v>
                </c:pt>
                <c:pt idx="16">
                  <c:v>32478175.065287899</c:v>
                </c:pt>
                <c:pt idx="17">
                  <c:v>33721331.679747224</c:v>
                </c:pt>
                <c:pt idx="18">
                  <c:v>37572939.17706196</c:v>
                </c:pt>
                <c:pt idx="19">
                  <c:v>37835252.832156777</c:v>
                </c:pt>
                <c:pt idx="20">
                  <c:v>33114114.783328559</c:v>
                </c:pt>
                <c:pt idx="21">
                  <c:v>31529023.138028987</c:v>
                </c:pt>
                <c:pt idx="22">
                  <c:v>32871753.436614346</c:v>
                </c:pt>
                <c:pt idx="23">
                  <c:v>34246459.207763061</c:v>
                </c:pt>
                <c:pt idx="24">
                  <c:v>37098273.450776324</c:v>
                </c:pt>
                <c:pt idx="25">
                  <c:v>33205052.01767341</c:v>
                </c:pt>
                <c:pt idx="26">
                  <c:v>35327351.083673522</c:v>
                </c:pt>
                <c:pt idx="27">
                  <c:v>30792217.339035712</c:v>
                </c:pt>
                <c:pt idx="28">
                  <c:v>30131205.713483386</c:v>
                </c:pt>
                <c:pt idx="29">
                  <c:v>33082908.487536617</c:v>
                </c:pt>
                <c:pt idx="30">
                  <c:v>39168780.644546114</c:v>
                </c:pt>
                <c:pt idx="31">
                  <c:v>36183158.010215655</c:v>
                </c:pt>
                <c:pt idx="32">
                  <c:v>32124609.285688031</c:v>
                </c:pt>
                <c:pt idx="33">
                  <c:v>30578011.583188914</c:v>
                </c:pt>
                <c:pt idx="34">
                  <c:v>33260887.565426953</c:v>
                </c:pt>
                <c:pt idx="35">
                  <c:v>34657957.597237185</c:v>
                </c:pt>
                <c:pt idx="36">
                  <c:v>34679481.187202662</c:v>
                </c:pt>
                <c:pt idx="37">
                  <c:v>33585140.06518659</c:v>
                </c:pt>
                <c:pt idx="38">
                  <c:v>32338293.918968491</c:v>
                </c:pt>
                <c:pt idx="39">
                  <c:v>26480375.065398157</c:v>
                </c:pt>
                <c:pt idx="40">
                  <c:v>27503004.943279438</c:v>
                </c:pt>
                <c:pt idx="41">
                  <c:v>31113923.52116657</c:v>
                </c:pt>
                <c:pt idx="42">
                  <c:v>38731867.637182131</c:v>
                </c:pt>
                <c:pt idx="43">
                  <c:v>35016788.841982894</c:v>
                </c:pt>
                <c:pt idx="44">
                  <c:v>29200118.920656964</c:v>
                </c:pt>
                <c:pt idx="45">
                  <c:v>29381975.841776311</c:v>
                </c:pt>
                <c:pt idx="46">
                  <c:v>29688243.823456116</c:v>
                </c:pt>
                <c:pt idx="47">
                  <c:v>33217840.768311739</c:v>
                </c:pt>
                <c:pt idx="48">
                  <c:v>34492710.017045051</c:v>
                </c:pt>
                <c:pt idx="49">
                  <c:v>33127830.134816125</c:v>
                </c:pt>
                <c:pt idx="50">
                  <c:v>32308926.704087913</c:v>
                </c:pt>
                <c:pt idx="51">
                  <c:v>29460865.386667453</c:v>
                </c:pt>
                <c:pt idx="52">
                  <c:v>31253226.744077675</c:v>
                </c:pt>
                <c:pt idx="53">
                  <c:v>34992160.975326426</c:v>
                </c:pt>
                <c:pt idx="54">
                  <c:v>35868054.792740203</c:v>
                </c:pt>
                <c:pt idx="55">
                  <c:v>37623090.08511816</c:v>
                </c:pt>
                <c:pt idx="56">
                  <c:v>30698109.789078671</c:v>
                </c:pt>
                <c:pt idx="57">
                  <c:v>31325839.060078673</c:v>
                </c:pt>
                <c:pt idx="58">
                  <c:v>31911019.622178257</c:v>
                </c:pt>
                <c:pt idx="59">
                  <c:v>33617936.84320502</c:v>
                </c:pt>
                <c:pt idx="60">
                  <c:v>38153317.624617234</c:v>
                </c:pt>
                <c:pt idx="61">
                  <c:v>34050873.783858493</c:v>
                </c:pt>
                <c:pt idx="62">
                  <c:v>34973964.926819354</c:v>
                </c:pt>
                <c:pt idx="63">
                  <c:v>31845220.332616594</c:v>
                </c:pt>
                <c:pt idx="64">
                  <c:v>33029224.113713037</c:v>
                </c:pt>
                <c:pt idx="65">
                  <c:v>34437131.927330986</c:v>
                </c:pt>
                <c:pt idx="66">
                  <c:v>38681486.914454781</c:v>
                </c:pt>
                <c:pt idx="67">
                  <c:v>37964585.937077709</c:v>
                </c:pt>
                <c:pt idx="68">
                  <c:v>33046198.494269274</c:v>
                </c:pt>
                <c:pt idx="69">
                  <c:v>31106561.628948934</c:v>
                </c:pt>
                <c:pt idx="70">
                  <c:v>32459701.877776533</c:v>
                </c:pt>
                <c:pt idx="71">
                  <c:v>35486166.897604063</c:v>
                </c:pt>
                <c:pt idx="72">
                  <c:v>36221703.652356744</c:v>
                </c:pt>
                <c:pt idx="73">
                  <c:v>33766530.084338486</c:v>
                </c:pt>
                <c:pt idx="74">
                  <c:v>36225530.722048298</c:v>
                </c:pt>
                <c:pt idx="75">
                  <c:v>32916449.689442135</c:v>
                </c:pt>
                <c:pt idx="76">
                  <c:v>32959735.971411373</c:v>
                </c:pt>
                <c:pt idx="77">
                  <c:v>34911883.912768513</c:v>
                </c:pt>
                <c:pt idx="78">
                  <c:v>38794261.596579827</c:v>
                </c:pt>
                <c:pt idx="79">
                  <c:v>36250100.907529846</c:v>
                </c:pt>
                <c:pt idx="80">
                  <c:v>33344231.148247518</c:v>
                </c:pt>
                <c:pt idx="81">
                  <c:v>33499978.683910139</c:v>
                </c:pt>
                <c:pt idx="82">
                  <c:v>33927763.234675892</c:v>
                </c:pt>
                <c:pt idx="83">
                  <c:v>35052979.415845148</c:v>
                </c:pt>
                <c:pt idx="84">
                  <c:v>37609251.600564964</c:v>
                </c:pt>
                <c:pt idx="85">
                  <c:v>34564182.805352315</c:v>
                </c:pt>
                <c:pt idx="86">
                  <c:v>35392886.121496059</c:v>
                </c:pt>
                <c:pt idx="87">
                  <c:v>32232526.068095341</c:v>
                </c:pt>
                <c:pt idx="88">
                  <c:v>33708951.581342101</c:v>
                </c:pt>
                <c:pt idx="89">
                  <c:v>36993999.327370957</c:v>
                </c:pt>
                <c:pt idx="90">
                  <c:v>39922299.093471006</c:v>
                </c:pt>
                <c:pt idx="91">
                  <c:v>38277679.189206839</c:v>
                </c:pt>
                <c:pt idx="92">
                  <c:v>34948511.324447542</c:v>
                </c:pt>
                <c:pt idx="93">
                  <c:v>32815004.923492063</c:v>
                </c:pt>
                <c:pt idx="94">
                  <c:v>33546671.899494782</c:v>
                </c:pt>
                <c:pt idx="95">
                  <c:v>37064380.388736092</c:v>
                </c:pt>
                <c:pt idx="96">
                  <c:v>39328838.844279729</c:v>
                </c:pt>
                <c:pt idx="97">
                  <c:v>36152453.848467827</c:v>
                </c:pt>
                <c:pt idx="98">
                  <c:v>35968413.348770633</c:v>
                </c:pt>
                <c:pt idx="99">
                  <c:v>33147610.715841919</c:v>
                </c:pt>
                <c:pt idx="100">
                  <c:v>32865906.200873747</c:v>
                </c:pt>
                <c:pt idx="101">
                  <c:v>38045026.04269094</c:v>
                </c:pt>
                <c:pt idx="102">
                  <c:v>41698234.76590424</c:v>
                </c:pt>
                <c:pt idx="103">
                  <c:v>38432324.241271198</c:v>
                </c:pt>
                <c:pt idx="104">
                  <c:v>34464153.790109053</c:v>
                </c:pt>
                <c:pt idx="105">
                  <c:v>33563828.158045433</c:v>
                </c:pt>
                <c:pt idx="106">
                  <c:v>34493030.054126926</c:v>
                </c:pt>
                <c:pt idx="107">
                  <c:v>38461788.582185984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B5-4C03-A1C2-4F4A0569D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301760"/>
        <c:axId val="175303680"/>
      </c:lineChart>
      <c:dateAx>
        <c:axId val="175301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0"/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303680"/>
        <c:crosses val="autoZero"/>
        <c:auto val="1"/>
        <c:lblOffset val="100"/>
        <c:baseTimeUnit val="months"/>
      </c:dateAx>
      <c:valAx>
        <c:axId val="175303680"/>
        <c:scaling>
          <c:orientation val="minMax"/>
          <c:min val="8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Monthly Consumption (kWh)</a:t>
                </a:r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301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&gt; 50 kW Predicted Monthly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 &gt; 50 Predicted Monthly'!$D$1</c:f>
              <c:strCache>
                <c:ptCount val="1"/>
                <c:pt idx="0">
                  <c:v> GS_gt_50_NoCDM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 &gt; 50 Predicted Monthly'!$A$2:$A$117</c:f>
              <c:numCache>
                <c:formatCode>m/d/yyyy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</c:numCache>
            </c:numRef>
          </c:cat>
          <c:val>
            <c:numRef>
              <c:f>'GS &gt; 50 Predicted Monthly'!$D$2:$D$117</c:f>
              <c:numCache>
                <c:formatCode>_(* #,##0_);_(* \(#,##0\);_(* "-"??_);_(@_)</c:formatCode>
                <c:ptCount val="116"/>
                <c:pt idx="0">
                  <c:v>115950733.09478092</c:v>
                </c:pt>
                <c:pt idx="1">
                  <c:v>123340878.84075171</c:v>
                </c:pt>
                <c:pt idx="2">
                  <c:v>126128064.58672249</c:v>
                </c:pt>
                <c:pt idx="3">
                  <c:v>112971341.33269329</c:v>
                </c:pt>
                <c:pt idx="4">
                  <c:v>120807160.07866408</c:v>
                </c:pt>
                <c:pt idx="5">
                  <c:v>128030519.82463486</c:v>
                </c:pt>
                <c:pt idx="6">
                  <c:v>133204977.57060567</c:v>
                </c:pt>
                <c:pt idx="7">
                  <c:v>131492737.31657645</c:v>
                </c:pt>
                <c:pt idx="8">
                  <c:v>125862189.06254724</c:v>
                </c:pt>
                <c:pt idx="9">
                  <c:v>120542924.80851802</c:v>
                </c:pt>
                <c:pt idx="10">
                  <c:v>118519529.55448882</c:v>
                </c:pt>
                <c:pt idx="11">
                  <c:v>121951004.30045961</c:v>
                </c:pt>
                <c:pt idx="12">
                  <c:v>130123366.21189049</c:v>
                </c:pt>
                <c:pt idx="13">
                  <c:v>115694594.48045985</c:v>
                </c:pt>
                <c:pt idx="14">
                  <c:v>125478631.74902922</c:v>
                </c:pt>
                <c:pt idx="15">
                  <c:v>119717405.01759858</c:v>
                </c:pt>
                <c:pt idx="16">
                  <c:v>127433786.28616795</c:v>
                </c:pt>
                <c:pt idx="17">
                  <c:v>130160206.55473731</c:v>
                </c:pt>
                <c:pt idx="18">
                  <c:v>139575448.82330668</c:v>
                </c:pt>
                <c:pt idx="19">
                  <c:v>145516334.09187603</c:v>
                </c:pt>
                <c:pt idx="20">
                  <c:v>130472808.3604454</c:v>
                </c:pt>
                <c:pt idx="21">
                  <c:v>124271950.62901476</c:v>
                </c:pt>
                <c:pt idx="22">
                  <c:v>122525206.89758413</c:v>
                </c:pt>
                <c:pt idx="23">
                  <c:v>120780245.16615349</c:v>
                </c:pt>
                <c:pt idx="24">
                  <c:v>122557492.01553993</c:v>
                </c:pt>
                <c:pt idx="25">
                  <c:v>112793572.2170434</c:v>
                </c:pt>
                <c:pt idx="26">
                  <c:v>121279569.66264187</c:v>
                </c:pt>
                <c:pt idx="27">
                  <c:v>112755840.54437633</c:v>
                </c:pt>
                <c:pt idx="28">
                  <c:v>116762983.33169977</c:v>
                </c:pt>
                <c:pt idx="29">
                  <c:v>120912813.73683724</c:v>
                </c:pt>
                <c:pt idx="30">
                  <c:v>140267312.68120268</c:v>
                </c:pt>
                <c:pt idx="31">
                  <c:v>134325215.26618317</c:v>
                </c:pt>
                <c:pt idx="32">
                  <c:v>124892350.68187562</c:v>
                </c:pt>
                <c:pt idx="33">
                  <c:v>120326999.51092409</c:v>
                </c:pt>
                <c:pt idx="34">
                  <c:v>119811245.49147254</c:v>
                </c:pt>
                <c:pt idx="35">
                  <c:v>119234475.76994899</c:v>
                </c:pt>
                <c:pt idx="36">
                  <c:v>125430467.18861799</c:v>
                </c:pt>
                <c:pt idx="37">
                  <c:v>118571418.15449654</c:v>
                </c:pt>
                <c:pt idx="38">
                  <c:v>117295704.87835306</c:v>
                </c:pt>
                <c:pt idx="39">
                  <c:v>98603522.653697401</c:v>
                </c:pt>
                <c:pt idx="40">
                  <c:v>105305767.47523543</c:v>
                </c:pt>
                <c:pt idx="41">
                  <c:v>121746154.50347269</c:v>
                </c:pt>
                <c:pt idx="42">
                  <c:v>139946746.85685223</c:v>
                </c:pt>
                <c:pt idx="43">
                  <c:v>133892282.17763576</c:v>
                </c:pt>
                <c:pt idx="44">
                  <c:v>120315113.40470029</c:v>
                </c:pt>
                <c:pt idx="45">
                  <c:v>116415167.56471382</c:v>
                </c:pt>
                <c:pt idx="46">
                  <c:v>115562525.59741136</c:v>
                </c:pt>
                <c:pt idx="47">
                  <c:v>117692607.99430689</c:v>
                </c:pt>
                <c:pt idx="48">
                  <c:v>118984048.05510825</c:v>
                </c:pt>
                <c:pt idx="49">
                  <c:v>113057274.56216528</c:v>
                </c:pt>
                <c:pt idx="50">
                  <c:v>120813677.33533032</c:v>
                </c:pt>
                <c:pt idx="51">
                  <c:v>109638007.65802936</c:v>
                </c:pt>
                <c:pt idx="52">
                  <c:v>115240588.84939741</c:v>
                </c:pt>
                <c:pt idx="53">
                  <c:v>128558913.68041244</c:v>
                </c:pt>
                <c:pt idx="54">
                  <c:v>132710760.35860747</c:v>
                </c:pt>
                <c:pt idx="55">
                  <c:v>140955270.9844335</c:v>
                </c:pt>
                <c:pt idx="56">
                  <c:v>122416145.77845256</c:v>
                </c:pt>
                <c:pt idx="57">
                  <c:v>120765160.1140646</c:v>
                </c:pt>
                <c:pt idx="58">
                  <c:v>118650849.98473464</c:v>
                </c:pt>
                <c:pt idx="59">
                  <c:v>116117342.26088069</c:v>
                </c:pt>
                <c:pt idx="60">
                  <c:v>125926420.38829951</c:v>
                </c:pt>
                <c:pt idx="61">
                  <c:v>115603933.80678451</c:v>
                </c:pt>
                <c:pt idx="62">
                  <c:v>125620675.73627552</c:v>
                </c:pt>
                <c:pt idx="63">
                  <c:v>115405757.73839353</c:v>
                </c:pt>
                <c:pt idx="64">
                  <c:v>122884802.51982453</c:v>
                </c:pt>
                <c:pt idx="65">
                  <c:v>130536069.83949654</c:v>
                </c:pt>
                <c:pt idx="66">
                  <c:v>139071059.40513155</c:v>
                </c:pt>
                <c:pt idx="67">
                  <c:v>143004251.01167753</c:v>
                </c:pt>
                <c:pt idx="68">
                  <c:v>129335698.79016455</c:v>
                </c:pt>
                <c:pt idx="69">
                  <c:v>118832227.09556258</c:v>
                </c:pt>
                <c:pt idx="70">
                  <c:v>120344515.11801657</c:v>
                </c:pt>
                <c:pt idx="71">
                  <c:v>122243171.67379358</c:v>
                </c:pt>
                <c:pt idx="72">
                  <c:v>125499058.84452012</c:v>
                </c:pt>
                <c:pt idx="73">
                  <c:v>115607990.73071887</c:v>
                </c:pt>
                <c:pt idx="74">
                  <c:v>125466538.14647563</c:v>
                </c:pt>
                <c:pt idx="75">
                  <c:v>114391957.98950237</c:v>
                </c:pt>
                <c:pt idx="76">
                  <c:v>123483481.6939701</c:v>
                </c:pt>
                <c:pt idx="77">
                  <c:v>127247993.22335185</c:v>
                </c:pt>
                <c:pt idx="78">
                  <c:v>137496928.92038861</c:v>
                </c:pt>
                <c:pt idx="79">
                  <c:v>133974170.58140434</c:v>
                </c:pt>
                <c:pt idx="80">
                  <c:v>125628407.1768401</c:v>
                </c:pt>
                <c:pt idx="81">
                  <c:v>122505184.85314384</c:v>
                </c:pt>
                <c:pt idx="82">
                  <c:v>120984971.18912058</c:v>
                </c:pt>
                <c:pt idx="83">
                  <c:v>118768098.25409932</c:v>
                </c:pt>
                <c:pt idx="84">
                  <c:v>130159108.66703321</c:v>
                </c:pt>
                <c:pt idx="85">
                  <c:v>119840482.88393389</c:v>
                </c:pt>
                <c:pt idx="86">
                  <c:v>123262071.17316654</c:v>
                </c:pt>
                <c:pt idx="87">
                  <c:v>119205230.8035062</c:v>
                </c:pt>
                <c:pt idx="88">
                  <c:v>127838014.13567087</c:v>
                </c:pt>
                <c:pt idx="89">
                  <c:v>133833612.63178854</c:v>
                </c:pt>
                <c:pt idx="90">
                  <c:v>144180020.06310722</c:v>
                </c:pt>
                <c:pt idx="91">
                  <c:v>140684717.14086288</c:v>
                </c:pt>
                <c:pt idx="92">
                  <c:v>131948874.08685753</c:v>
                </c:pt>
                <c:pt idx="93">
                  <c:v>126263744.87094221</c:v>
                </c:pt>
                <c:pt idx="94">
                  <c:v>122175106.07708685</c:v>
                </c:pt>
                <c:pt idx="95">
                  <c:v>125238381.01410152</c:v>
                </c:pt>
                <c:pt idx="96">
                  <c:v>137053466.26581526</c:v>
                </c:pt>
                <c:pt idx="97">
                  <c:v>122760916.13489303</c:v>
                </c:pt>
                <c:pt idx="98">
                  <c:v>128253078.95458482</c:v>
                </c:pt>
                <c:pt idx="99">
                  <c:v>122182535.02156162</c:v>
                </c:pt>
                <c:pt idx="100">
                  <c:v>125315316.3047014</c:v>
                </c:pt>
                <c:pt idx="101">
                  <c:v>138313000.13588518</c:v>
                </c:pt>
                <c:pt idx="102">
                  <c:v>151365878.72756097</c:v>
                </c:pt>
                <c:pt idx="103">
                  <c:v>141417506.86826575</c:v>
                </c:pt>
                <c:pt idx="104">
                  <c:v>131475262.87223354</c:v>
                </c:pt>
                <c:pt idx="105">
                  <c:v>127953842.89877133</c:v>
                </c:pt>
                <c:pt idx="106">
                  <c:v>123873467.5177781</c:v>
                </c:pt>
                <c:pt idx="107">
                  <c:v>129128541.23771989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60-4583-B7A0-0837BEAB063A}"/>
            </c:ext>
          </c:extLst>
        </c:ser>
        <c:ser>
          <c:idx val="1"/>
          <c:order val="1"/>
          <c:tx>
            <c:strRef>
              <c:f>'GS &gt; 50 Predicted Monthly'!$U$1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 &gt; 50 Predicted Monthly'!$A$2:$A$117</c:f>
              <c:numCache>
                <c:formatCode>m/d/yyyy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</c:numCache>
            </c:numRef>
          </c:cat>
          <c:val>
            <c:numRef>
              <c:f>'GS &gt; 50 Predicted Monthly'!$U$2:$U$117</c:f>
              <c:numCache>
                <c:formatCode>_(* #,##0_);_(* \(#,##0\);_(* "-"??_);_(@_)</c:formatCode>
                <c:ptCount val="116"/>
                <c:pt idx="0">
                  <c:v>121825238.84797318</c:v>
                </c:pt>
                <c:pt idx="1">
                  <c:v>111716171.05597703</c:v>
                </c:pt>
                <c:pt idx="2">
                  <c:v>120380981.21013574</c:v>
                </c:pt>
                <c:pt idx="3">
                  <c:v>113345095.79264638</c:v>
                </c:pt>
                <c:pt idx="4">
                  <c:v>117731708.91595426</c:v>
                </c:pt>
                <c:pt idx="5">
                  <c:v>126245864.1388918</c:v>
                </c:pt>
                <c:pt idx="6">
                  <c:v>135877303.06828853</c:v>
                </c:pt>
                <c:pt idx="7">
                  <c:v>131851387.31642489</c:v>
                </c:pt>
                <c:pt idx="8">
                  <c:v>126091194.21482606</c:v>
                </c:pt>
                <c:pt idx="9">
                  <c:v>121468184.14811863</c:v>
                </c:pt>
                <c:pt idx="10">
                  <c:v>119657360.91808702</c:v>
                </c:pt>
                <c:pt idx="11">
                  <c:v>124302906.78941646</c:v>
                </c:pt>
                <c:pt idx="12">
                  <c:v>125384208.06243484</c:v>
                </c:pt>
                <c:pt idx="13">
                  <c:v>114191147.04706179</c:v>
                </c:pt>
                <c:pt idx="14">
                  <c:v>122088673.10903604</c:v>
                </c:pt>
                <c:pt idx="15">
                  <c:v>116972760.20798351</c:v>
                </c:pt>
                <c:pt idx="16">
                  <c:v>125290187.7594384</c:v>
                </c:pt>
                <c:pt idx="17">
                  <c:v>128167748.05782163</c:v>
                </c:pt>
                <c:pt idx="18">
                  <c:v>139308994.6337508</c:v>
                </c:pt>
                <c:pt idx="19">
                  <c:v>142831528.85202742</c:v>
                </c:pt>
                <c:pt idx="20">
                  <c:v>129478435.52003573</c:v>
                </c:pt>
                <c:pt idx="21">
                  <c:v>122993116.33688247</c:v>
                </c:pt>
                <c:pt idx="22">
                  <c:v>122347910.25911787</c:v>
                </c:pt>
                <c:pt idx="23">
                  <c:v>122504550.85966875</c:v>
                </c:pt>
                <c:pt idx="24">
                  <c:v>126911240.08162814</c:v>
                </c:pt>
                <c:pt idx="25">
                  <c:v>116304842.06537667</c:v>
                </c:pt>
                <c:pt idx="26">
                  <c:v>123370639.99359632</c:v>
                </c:pt>
                <c:pt idx="27">
                  <c:v>115665252.58006737</c:v>
                </c:pt>
                <c:pt idx="28">
                  <c:v>117241365.43998381</c:v>
                </c:pt>
                <c:pt idx="29">
                  <c:v>125816344.65802291</c:v>
                </c:pt>
                <c:pt idx="30">
                  <c:v>143252481.27330032</c:v>
                </c:pt>
                <c:pt idx="31">
                  <c:v>137836866.90828484</c:v>
                </c:pt>
                <c:pt idx="32">
                  <c:v>126610540.73812203</c:v>
                </c:pt>
                <c:pt idx="33">
                  <c:v>120949557.79590829</c:v>
                </c:pt>
                <c:pt idx="34">
                  <c:v>122995658.75324382</c:v>
                </c:pt>
                <c:pt idx="35">
                  <c:v>123186832.47124299</c:v>
                </c:pt>
                <c:pt idx="36">
                  <c:v>123178259.06340268</c:v>
                </c:pt>
                <c:pt idx="37">
                  <c:v>118425268.11743096</c:v>
                </c:pt>
                <c:pt idx="38">
                  <c:v>115439280.00418431</c:v>
                </c:pt>
                <c:pt idx="39">
                  <c:v>101984776.01991925</c:v>
                </c:pt>
                <c:pt idx="40">
                  <c:v>107987087.99692419</c:v>
                </c:pt>
                <c:pt idx="41">
                  <c:v>121151802.175722</c:v>
                </c:pt>
                <c:pt idx="42">
                  <c:v>140891979.45180011</c:v>
                </c:pt>
                <c:pt idx="43">
                  <c:v>133468940.38080411</c:v>
                </c:pt>
                <c:pt idx="44">
                  <c:v>117005468.08691899</c:v>
                </c:pt>
                <c:pt idx="45">
                  <c:v>115371570.38798206</c:v>
                </c:pt>
                <c:pt idx="46">
                  <c:v>114265118.90452495</c:v>
                </c:pt>
                <c:pt idx="47">
                  <c:v>117588428.03484362</c:v>
                </c:pt>
                <c:pt idx="48">
                  <c:v>119605539.51529433</c:v>
                </c:pt>
                <c:pt idx="49">
                  <c:v>112903205.98153046</c:v>
                </c:pt>
                <c:pt idx="50">
                  <c:v>115427432.30155039</c:v>
                </c:pt>
                <c:pt idx="51">
                  <c:v>110698163.67708004</c:v>
                </c:pt>
                <c:pt idx="52">
                  <c:v>118051618.85455328</c:v>
                </c:pt>
                <c:pt idx="53">
                  <c:v>129158672.05591559</c:v>
                </c:pt>
                <c:pt idx="54">
                  <c:v>131828165.22506279</c:v>
                </c:pt>
                <c:pt idx="55">
                  <c:v>139458590.30036503</c:v>
                </c:pt>
                <c:pt idx="56">
                  <c:v>120260908.77336006</c:v>
                </c:pt>
                <c:pt idx="57">
                  <c:v>120949813.63198651</c:v>
                </c:pt>
                <c:pt idx="58">
                  <c:v>117701599.22413121</c:v>
                </c:pt>
                <c:pt idx="59">
                  <c:v>118371214.39558065</c:v>
                </c:pt>
                <c:pt idx="60">
                  <c:v>127060668.3296541</c:v>
                </c:pt>
                <c:pt idx="61">
                  <c:v>116131205.66638634</c:v>
                </c:pt>
                <c:pt idx="62">
                  <c:v>121345281.83737865</c:v>
                </c:pt>
                <c:pt idx="63">
                  <c:v>115948359.87031642</c:v>
                </c:pt>
                <c:pt idx="64">
                  <c:v>123373041.8890976</c:v>
                </c:pt>
                <c:pt idx="65">
                  <c:v>127244266.38258508</c:v>
                </c:pt>
                <c:pt idx="66">
                  <c:v>139606582.60415033</c:v>
                </c:pt>
                <c:pt idx="67">
                  <c:v>140434370.03553227</c:v>
                </c:pt>
                <c:pt idx="68">
                  <c:v>126466911.14619012</c:v>
                </c:pt>
                <c:pt idx="69">
                  <c:v>119939232.76412277</c:v>
                </c:pt>
                <c:pt idx="70">
                  <c:v>120492713.80787532</c:v>
                </c:pt>
                <c:pt idx="71">
                  <c:v>122978035.33056954</c:v>
                </c:pt>
                <c:pt idx="72">
                  <c:v>125811796.86406718</c:v>
                </c:pt>
                <c:pt idx="73">
                  <c:v>117425918.29949082</c:v>
                </c:pt>
                <c:pt idx="74">
                  <c:v>125011624.08859865</c:v>
                </c:pt>
                <c:pt idx="75">
                  <c:v>120371268.26022947</c:v>
                </c:pt>
                <c:pt idx="76">
                  <c:v>123381518.80045134</c:v>
                </c:pt>
                <c:pt idx="77">
                  <c:v>129048153.09728825</c:v>
                </c:pt>
                <c:pt idx="78">
                  <c:v>140386801.89604264</c:v>
                </c:pt>
                <c:pt idx="79">
                  <c:v>136185997.88516274</c:v>
                </c:pt>
                <c:pt idx="80">
                  <c:v>128098826.25473641</c:v>
                </c:pt>
                <c:pt idx="81">
                  <c:v>127105819.91014785</c:v>
                </c:pt>
                <c:pt idx="82">
                  <c:v>124286136.9496845</c:v>
                </c:pt>
                <c:pt idx="83">
                  <c:v>124057535.51414555</c:v>
                </c:pt>
                <c:pt idx="84">
                  <c:v>128025969.45963936</c:v>
                </c:pt>
                <c:pt idx="85">
                  <c:v>120260819.56651118</c:v>
                </c:pt>
                <c:pt idx="86">
                  <c:v>123797551.44930407</c:v>
                </c:pt>
                <c:pt idx="87">
                  <c:v>118640885.5805686</c:v>
                </c:pt>
                <c:pt idx="88">
                  <c:v>125821377.3079361</c:v>
                </c:pt>
                <c:pt idx="89">
                  <c:v>134350862.12733206</c:v>
                </c:pt>
                <c:pt idx="90">
                  <c:v>143127929.24374145</c:v>
                </c:pt>
                <c:pt idx="91">
                  <c:v>141397677.23016617</c:v>
                </c:pt>
                <c:pt idx="92">
                  <c:v>132143456.23195304</c:v>
                </c:pt>
                <c:pt idx="93">
                  <c:v>125152531.57958215</c:v>
                </c:pt>
                <c:pt idx="94">
                  <c:v>124129838.40828285</c:v>
                </c:pt>
                <c:pt idx="95">
                  <c:v>127212955.63125801</c:v>
                </c:pt>
                <c:pt idx="96">
                  <c:v>130728638.05928762</c:v>
                </c:pt>
                <c:pt idx="97">
                  <c:v>121229122.0122121</c:v>
                </c:pt>
                <c:pt idx="98">
                  <c:v>124733653.31493084</c:v>
                </c:pt>
                <c:pt idx="99">
                  <c:v>120114206.92702556</c:v>
                </c:pt>
                <c:pt idx="100">
                  <c:v>122325841.89429612</c:v>
                </c:pt>
                <c:pt idx="101">
                  <c:v>137009278.89410996</c:v>
                </c:pt>
                <c:pt idx="102">
                  <c:v>147689476.75042605</c:v>
                </c:pt>
                <c:pt idx="103">
                  <c:v>141461085.48375851</c:v>
                </c:pt>
                <c:pt idx="104">
                  <c:v>130504403.86037524</c:v>
                </c:pt>
                <c:pt idx="105">
                  <c:v>126855641.42336644</c:v>
                </c:pt>
                <c:pt idx="106">
                  <c:v>125234812.83163355</c:v>
                </c:pt>
                <c:pt idx="107">
                  <c:v>129396983.94702011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60-4583-B7A0-0837BEAB0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950464"/>
        <c:axId val="176296704"/>
      </c:lineChart>
      <c:dateAx>
        <c:axId val="175950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0"/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296704"/>
        <c:crosses val="autoZero"/>
        <c:auto val="1"/>
        <c:lblOffset val="100"/>
        <c:baseTimeUnit val="months"/>
      </c:dateAx>
      <c:valAx>
        <c:axId val="176296704"/>
        <c:scaling>
          <c:orientation val="minMax"/>
          <c:min val="4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Mnthly Consumption</a:t>
                </a:r>
                <a:r>
                  <a:rPr lang="en-US" baseline="0"/>
                  <a:t> (kWh)</a:t>
                </a:r>
                <a:endParaRPr lang="en-US"/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95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&gt; 50 kW Predicted Monthly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 Co Gen Predicted Monthly'!$D$1</c:f>
              <c:strCache>
                <c:ptCount val="1"/>
                <c:pt idx="0">
                  <c:v> GS_gt_50_CoGen_NoCDM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 Co Gen Predicted Monthly'!$A$2:$A$117</c:f>
              <c:numCache>
                <c:formatCode>m/d/yyyy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</c:numCache>
            </c:numRef>
          </c:cat>
          <c:val>
            <c:numRef>
              <c:f>'GS Co Gen Predicted Monthly'!$D$2:$D$129</c:f>
              <c:numCache>
                <c:formatCode>_(* #,##0_);_(* \(#,##0\);_(* "-"??_);_(@_)</c:formatCode>
                <c:ptCount val="128"/>
                <c:pt idx="0">
                  <c:v>1975229.7103848916</c:v>
                </c:pt>
                <c:pt idx="1">
                  <c:v>2202382.3384362105</c:v>
                </c:pt>
                <c:pt idx="2">
                  <c:v>3298889.9664875292</c:v>
                </c:pt>
                <c:pt idx="3">
                  <c:v>3834797.5945388479</c:v>
                </c:pt>
                <c:pt idx="4">
                  <c:v>4110768.2225901671</c:v>
                </c:pt>
                <c:pt idx="5">
                  <c:v>5743560.8506414862</c:v>
                </c:pt>
                <c:pt idx="6">
                  <c:v>5624575.4786928045</c:v>
                </c:pt>
                <c:pt idx="7">
                  <c:v>4805886.1067441236</c:v>
                </c:pt>
                <c:pt idx="8">
                  <c:v>3970931.7347954423</c:v>
                </c:pt>
                <c:pt idx="9">
                  <c:v>5177643.362846761</c:v>
                </c:pt>
                <c:pt idx="10">
                  <c:v>3296588.9908980802</c:v>
                </c:pt>
                <c:pt idx="11">
                  <c:v>3331855.6189493993</c:v>
                </c:pt>
                <c:pt idx="12">
                  <c:v>3880776.3635845515</c:v>
                </c:pt>
                <c:pt idx="13">
                  <c:v>2504493.9234402059</c:v>
                </c:pt>
                <c:pt idx="14">
                  <c:v>2696023.4832958602</c:v>
                </c:pt>
                <c:pt idx="15">
                  <c:v>2447627.0431515141</c:v>
                </c:pt>
                <c:pt idx="16">
                  <c:v>4551338.6030071685</c:v>
                </c:pt>
                <c:pt idx="17">
                  <c:v>6710847.1628628224</c:v>
                </c:pt>
                <c:pt idx="18">
                  <c:v>7368543.7227184772</c:v>
                </c:pt>
                <c:pt idx="19">
                  <c:v>6976940.2825741312</c:v>
                </c:pt>
                <c:pt idx="20">
                  <c:v>5331752.8424297851</c:v>
                </c:pt>
                <c:pt idx="21">
                  <c:v>2940054.4022854394</c:v>
                </c:pt>
                <c:pt idx="22">
                  <c:v>1832037.9621410936</c:v>
                </c:pt>
                <c:pt idx="23">
                  <c:v>1067103.5219967477</c:v>
                </c:pt>
                <c:pt idx="24">
                  <c:v>974399.68585805758</c:v>
                </c:pt>
                <c:pt idx="25">
                  <c:v>1021148.6465925851</c:v>
                </c:pt>
                <c:pt idx="26">
                  <c:v>1585107.5608721885</c:v>
                </c:pt>
                <c:pt idx="27">
                  <c:v>1359530.64393672</c:v>
                </c:pt>
                <c:pt idx="28">
                  <c:v>3085749.3748756615</c:v>
                </c:pt>
                <c:pt idx="29">
                  <c:v>5783735.5531390533</c:v>
                </c:pt>
                <c:pt idx="30">
                  <c:v>6779873.4461094243</c:v>
                </c:pt>
                <c:pt idx="31">
                  <c:v>4268866.6845833659</c:v>
                </c:pt>
                <c:pt idx="32">
                  <c:v>5664547.3962547369</c:v>
                </c:pt>
                <c:pt idx="33">
                  <c:v>3090561.7950364789</c:v>
                </c:pt>
                <c:pt idx="34">
                  <c:v>1482477.7429550102</c:v>
                </c:pt>
                <c:pt idx="35">
                  <c:v>1009435.6612457265</c:v>
                </c:pt>
                <c:pt idx="36">
                  <c:v>998532.39409482549</c:v>
                </c:pt>
                <c:pt idx="37">
                  <c:v>1252939.9736270586</c:v>
                </c:pt>
                <c:pt idx="38">
                  <c:v>1164437.6812405386</c:v>
                </c:pt>
                <c:pt idx="39">
                  <c:v>1121055.5596983887</c:v>
                </c:pt>
                <c:pt idx="40">
                  <c:v>2424185.9781487486</c:v>
                </c:pt>
                <c:pt idx="41">
                  <c:v>4259731.9798160084</c:v>
                </c:pt>
                <c:pt idx="42">
                  <c:v>7280535.8722648388</c:v>
                </c:pt>
                <c:pt idx="43">
                  <c:v>6309964.7820981592</c:v>
                </c:pt>
                <c:pt idx="44">
                  <c:v>4783504.4640561193</c:v>
                </c:pt>
                <c:pt idx="45">
                  <c:v>3658910.8829854284</c:v>
                </c:pt>
                <c:pt idx="46">
                  <c:v>2825236.0058438084</c:v>
                </c:pt>
                <c:pt idx="47">
                  <c:v>1601972.2623421687</c:v>
                </c:pt>
                <c:pt idx="48">
                  <c:v>1171515.8824397286</c:v>
                </c:pt>
                <c:pt idx="49">
                  <c:v>1176631.0139222587</c:v>
                </c:pt>
                <c:pt idx="50">
                  <c:v>929052.76174393552</c:v>
                </c:pt>
                <c:pt idx="51">
                  <c:v>1370379.1031432985</c:v>
                </c:pt>
                <c:pt idx="52">
                  <c:v>1835106.5363508987</c:v>
                </c:pt>
                <c:pt idx="53">
                  <c:v>3942469.7375949784</c:v>
                </c:pt>
                <c:pt idx="54">
                  <c:v>3408979.3014047383</c:v>
                </c:pt>
                <c:pt idx="55">
                  <c:v>4426996.8036107589</c:v>
                </c:pt>
                <c:pt idx="56">
                  <c:v>2726526.6582645886</c:v>
                </c:pt>
                <c:pt idx="57">
                  <c:v>2613160.4865051284</c:v>
                </c:pt>
                <c:pt idx="58">
                  <c:v>3086375.0493431385</c:v>
                </c:pt>
                <c:pt idx="59">
                  <c:v>2523914.5382058783</c:v>
                </c:pt>
                <c:pt idx="60">
                  <c:v>1022059.6169857765</c:v>
                </c:pt>
                <c:pt idx="61">
                  <c:v>1744892.6852793817</c:v>
                </c:pt>
                <c:pt idx="62">
                  <c:v>1190079.078040208</c:v>
                </c:pt>
                <c:pt idx="63">
                  <c:v>1361343.5260930443</c:v>
                </c:pt>
                <c:pt idx="64">
                  <c:v>5350720.1149436207</c:v>
                </c:pt>
                <c:pt idx="65">
                  <c:v>4689316.800036367</c:v>
                </c:pt>
                <c:pt idx="66">
                  <c:v>5115119.137130823</c:v>
                </c:pt>
                <c:pt idx="67">
                  <c:v>7061111.8252039393</c:v>
                </c:pt>
                <c:pt idx="68">
                  <c:v>5290385.8347192556</c:v>
                </c:pt>
                <c:pt idx="69">
                  <c:v>4236739.3971533719</c:v>
                </c:pt>
                <c:pt idx="70">
                  <c:v>5119153.7080734884</c:v>
                </c:pt>
                <c:pt idx="71">
                  <c:v>2153000.0512014646</c:v>
                </c:pt>
                <c:pt idx="72">
                  <c:v>2475906.2124542031</c:v>
                </c:pt>
                <c:pt idx="73">
                  <c:v>3051393.3752032155</c:v>
                </c:pt>
                <c:pt idx="74">
                  <c:v>4360884.6742221788</c:v>
                </c:pt>
                <c:pt idx="75">
                  <c:v>1982541.2606718806</c:v>
                </c:pt>
                <c:pt idx="76">
                  <c:v>5249179.5430356627</c:v>
                </c:pt>
                <c:pt idx="77">
                  <c:v>5648220.3218985656</c:v>
                </c:pt>
                <c:pt idx="78">
                  <c:v>6322903.5001553874</c:v>
                </c:pt>
                <c:pt idx="79">
                  <c:v>6992371.2423237106</c:v>
                </c:pt>
                <c:pt idx="80">
                  <c:v>5494894.0473569827</c:v>
                </c:pt>
                <c:pt idx="81">
                  <c:v>4240327.1673253356</c:v>
                </c:pt>
                <c:pt idx="82">
                  <c:v>3874440.0590346674</c:v>
                </c:pt>
                <c:pt idx="83">
                  <c:v>3620292.7286042501</c:v>
                </c:pt>
                <c:pt idx="84">
                  <c:v>4134836.494755582</c:v>
                </c:pt>
                <c:pt idx="85">
                  <c:v>3340371.8788483315</c:v>
                </c:pt>
                <c:pt idx="86">
                  <c:v>3571437.4403881808</c:v>
                </c:pt>
                <c:pt idx="87">
                  <c:v>3559296.6426970703</c:v>
                </c:pt>
                <c:pt idx="88">
                  <c:v>3685994.6039710096</c:v>
                </c:pt>
                <c:pt idx="89">
                  <c:v>4407100.2006814191</c:v>
                </c:pt>
                <c:pt idx="90">
                  <c:v>2729070.3712969488</c:v>
                </c:pt>
                <c:pt idx="91">
                  <c:v>2759475.7435549381</c:v>
                </c:pt>
                <c:pt idx="92">
                  <c:v>2325797.1800787374</c:v>
                </c:pt>
                <c:pt idx="93">
                  <c:v>1986048.5879870269</c:v>
                </c:pt>
                <c:pt idx="94">
                  <c:v>2700816.8671933762</c:v>
                </c:pt>
                <c:pt idx="95">
                  <c:v>1434683.3089578557</c:v>
                </c:pt>
                <c:pt idx="96">
                  <c:v>744626.86911603797</c:v>
                </c:pt>
                <c:pt idx="97">
                  <c:v>934363.69084218494</c:v>
                </c:pt>
                <c:pt idx="98">
                  <c:v>1463704.6201513631</c:v>
                </c:pt>
                <c:pt idx="99">
                  <c:v>3015672.0979135549</c:v>
                </c:pt>
                <c:pt idx="100">
                  <c:v>2717419.6950709871</c:v>
                </c:pt>
                <c:pt idx="101">
                  <c:v>6664300.3948202198</c:v>
                </c:pt>
                <c:pt idx="102">
                  <c:v>5559636.5173280817</c:v>
                </c:pt>
                <c:pt idx="103">
                  <c:v>4475437.8092067335</c:v>
                </c:pt>
                <c:pt idx="104">
                  <c:v>2469394.5411401149</c:v>
                </c:pt>
                <c:pt idx="105">
                  <c:v>2893984.997376537</c:v>
                </c:pt>
                <c:pt idx="106">
                  <c:v>1206040.1878856791</c:v>
                </c:pt>
                <c:pt idx="107">
                  <c:v>1366926.3633808512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E-40F3-A504-D9A134A283C8}"/>
            </c:ext>
          </c:extLst>
        </c:ser>
        <c:ser>
          <c:idx val="1"/>
          <c:order val="1"/>
          <c:tx>
            <c:strRef>
              <c:f>'GS Co Gen Predicted Monthly'!$M$1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 Co Gen Predicted Monthly'!$A$2:$A$117</c:f>
              <c:numCache>
                <c:formatCode>m/d/yyyy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</c:numCache>
            </c:numRef>
          </c:cat>
          <c:val>
            <c:numRef>
              <c:f>'GS Co Gen Predicted Monthly'!$M$2:$M$129</c:f>
              <c:numCache>
                <c:formatCode>_(* #,##0_);_(* \(#,##0\);_(* "-"??_);_(@_)</c:formatCode>
                <c:ptCount val="128"/>
                <c:pt idx="0">
                  <c:v>2565295.7413617242</c:v>
                </c:pt>
                <c:pt idx="1">
                  <c:v>2066598.3285423331</c:v>
                </c:pt>
                <c:pt idx="2">
                  <c:v>2731528.2123015211</c:v>
                </c:pt>
                <c:pt idx="3">
                  <c:v>2259667.3528410154</c:v>
                </c:pt>
                <c:pt idx="4">
                  <c:v>3197570.2268081247</c:v>
                </c:pt>
                <c:pt idx="5">
                  <c:v>5067186.8922002818</c:v>
                </c:pt>
                <c:pt idx="6">
                  <c:v>5060833.6671751607</c:v>
                </c:pt>
                <c:pt idx="7">
                  <c:v>4413393.6033435892</c:v>
                </c:pt>
                <c:pt idx="8">
                  <c:v>4147650.4144165115</c:v>
                </c:pt>
                <c:pt idx="9">
                  <c:v>3028007.7580180387</c:v>
                </c:pt>
                <c:pt idx="10">
                  <c:v>2565295.7413617242</c:v>
                </c:pt>
                <c:pt idx="11">
                  <c:v>2066598.3285423331</c:v>
                </c:pt>
                <c:pt idx="12">
                  <c:v>2565295.7413617242</c:v>
                </c:pt>
                <c:pt idx="13">
                  <c:v>2066598.3285423331</c:v>
                </c:pt>
                <c:pt idx="14">
                  <c:v>2399063.2704219269</c:v>
                </c:pt>
                <c:pt idx="15">
                  <c:v>2399063.2704219269</c:v>
                </c:pt>
                <c:pt idx="16">
                  <c:v>4387796.4797231946</c:v>
                </c:pt>
                <c:pt idx="17">
                  <c:v>5035783.9086881522</c:v>
                </c:pt>
                <c:pt idx="18">
                  <c:v>5532788.2811787445</c:v>
                </c:pt>
                <c:pt idx="19">
                  <c:v>5802640.3660770068</c:v>
                </c:pt>
                <c:pt idx="20">
                  <c:v>4283030.7274912065</c:v>
                </c:pt>
                <c:pt idx="21">
                  <c:v>2953488.4694837355</c:v>
                </c:pt>
                <c:pt idx="22">
                  <c:v>2565295.7413617242</c:v>
                </c:pt>
                <c:pt idx="23">
                  <c:v>2066598.3285423331</c:v>
                </c:pt>
                <c:pt idx="24">
                  <c:v>2565295.7413617242</c:v>
                </c:pt>
                <c:pt idx="25">
                  <c:v>2066598.3285423331</c:v>
                </c:pt>
                <c:pt idx="26">
                  <c:v>2565295.7413617242</c:v>
                </c:pt>
                <c:pt idx="27">
                  <c:v>2399063.2704219269</c:v>
                </c:pt>
                <c:pt idx="28">
                  <c:v>2581205.2554368535</c:v>
                </c:pt>
                <c:pt idx="29">
                  <c:v>4728412.7491969252</c:v>
                </c:pt>
                <c:pt idx="30">
                  <c:v>6162563.5379806077</c:v>
                </c:pt>
                <c:pt idx="31">
                  <c:v>4650712.5489539038</c:v>
                </c:pt>
                <c:pt idx="32">
                  <c:v>4156983.3057932137</c:v>
                </c:pt>
                <c:pt idx="33">
                  <c:v>2583842.725603932</c:v>
                </c:pt>
                <c:pt idx="34">
                  <c:v>2399063.2704219269</c:v>
                </c:pt>
                <c:pt idx="35">
                  <c:v>2399063.2704219269</c:v>
                </c:pt>
                <c:pt idx="36">
                  <c:v>2565295.7413617242</c:v>
                </c:pt>
                <c:pt idx="37">
                  <c:v>2066598.3285423331</c:v>
                </c:pt>
                <c:pt idx="38">
                  <c:v>2565295.7413617242</c:v>
                </c:pt>
                <c:pt idx="39">
                  <c:v>2399063.2704219269</c:v>
                </c:pt>
                <c:pt idx="40">
                  <c:v>3178550.1889642626</c:v>
                </c:pt>
                <c:pt idx="41">
                  <c:v>5408830.501436336</c:v>
                </c:pt>
                <c:pt idx="42">
                  <c:v>6736881.8906283583</c:v>
                </c:pt>
                <c:pt idx="43">
                  <c:v>4936879.8110245038</c:v>
                </c:pt>
                <c:pt idx="44">
                  <c:v>3618196.7387182312</c:v>
                </c:pt>
                <c:pt idx="45">
                  <c:v>2467257.3753347644</c:v>
                </c:pt>
                <c:pt idx="46">
                  <c:v>2451634.7258456415</c:v>
                </c:pt>
                <c:pt idx="47">
                  <c:v>2399063.2704219269</c:v>
                </c:pt>
                <c:pt idx="48">
                  <c:v>2232830.79948213</c:v>
                </c:pt>
                <c:pt idx="49">
                  <c:v>2066598.3285423331</c:v>
                </c:pt>
                <c:pt idx="50">
                  <c:v>2731528.2123015211</c:v>
                </c:pt>
                <c:pt idx="51">
                  <c:v>2535947.4373742403</c:v>
                </c:pt>
                <c:pt idx="52">
                  <c:v>3368608.0449940665</c:v>
                </c:pt>
                <c:pt idx="53">
                  <c:v>5946377.1756947245</c:v>
                </c:pt>
                <c:pt idx="54">
                  <c:v>4999067.5618972853</c:v>
                </c:pt>
                <c:pt idx="55">
                  <c:v>5526112.302980464</c:v>
                </c:pt>
                <c:pt idx="56">
                  <c:v>3706673.6778165121</c:v>
                </c:pt>
                <c:pt idx="57">
                  <c:v>3089773.8632959146</c:v>
                </c:pt>
                <c:pt idx="58">
                  <c:v>2565295.7413617242</c:v>
                </c:pt>
                <c:pt idx="59">
                  <c:v>2399063.2704219269</c:v>
                </c:pt>
                <c:pt idx="60">
                  <c:v>2232830.79948213</c:v>
                </c:pt>
                <c:pt idx="61">
                  <c:v>2066598.3285423331</c:v>
                </c:pt>
                <c:pt idx="62">
                  <c:v>2731528.2123015211</c:v>
                </c:pt>
                <c:pt idx="63">
                  <c:v>2276049.9205177985</c:v>
                </c:pt>
                <c:pt idx="64">
                  <c:v>3771695.4694129443</c:v>
                </c:pt>
                <c:pt idx="65">
                  <c:v>4993926.9394939207</c:v>
                </c:pt>
                <c:pt idx="66">
                  <c:v>5368575.0642545465</c:v>
                </c:pt>
                <c:pt idx="67">
                  <c:v>5417848.4868233772</c:v>
                </c:pt>
                <c:pt idx="68">
                  <c:v>3963154.3633068716</c:v>
                </c:pt>
                <c:pt idx="69">
                  <c:v>2306799.262369405</c:v>
                </c:pt>
                <c:pt idx="70">
                  <c:v>2637847.1838871739</c:v>
                </c:pt>
                <c:pt idx="71">
                  <c:v>2232830.79948213</c:v>
                </c:pt>
                <c:pt idx="72">
                  <c:v>2399063.2704219269</c:v>
                </c:pt>
                <c:pt idx="73">
                  <c:v>2066598.3285423331</c:v>
                </c:pt>
                <c:pt idx="74">
                  <c:v>2731528.2123015211</c:v>
                </c:pt>
                <c:pt idx="75">
                  <c:v>2449477.2303075003</c:v>
                </c:pt>
                <c:pt idx="76">
                  <c:v>3409910.7280276292</c:v>
                </c:pt>
                <c:pt idx="77">
                  <c:v>4778256.4404241256</c:v>
                </c:pt>
                <c:pt idx="78">
                  <c:v>4999016.1538905371</c:v>
                </c:pt>
                <c:pt idx="79">
                  <c:v>4326459.4041456152</c:v>
                </c:pt>
                <c:pt idx="80">
                  <c:v>3778587.46117914</c:v>
                </c:pt>
                <c:pt idx="81">
                  <c:v>3036368.1781528066</c:v>
                </c:pt>
                <c:pt idx="82">
                  <c:v>2565295.7413617242</c:v>
                </c:pt>
                <c:pt idx="83">
                  <c:v>2066598.3285423331</c:v>
                </c:pt>
                <c:pt idx="84">
                  <c:v>2565295.7413617242</c:v>
                </c:pt>
                <c:pt idx="85">
                  <c:v>2232830.79948213</c:v>
                </c:pt>
                <c:pt idx="86">
                  <c:v>2232830.79948213</c:v>
                </c:pt>
                <c:pt idx="87">
                  <c:v>2708414.7979060686</c:v>
                </c:pt>
                <c:pt idx="88">
                  <c:v>3810289.8312613377</c:v>
                </c:pt>
                <c:pt idx="89">
                  <c:v>5109346.7084782235</c:v>
                </c:pt>
                <c:pt idx="90">
                  <c:v>5641879.4060279382</c:v>
                </c:pt>
                <c:pt idx="91">
                  <c:v>4990581.4222240364</c:v>
                </c:pt>
                <c:pt idx="92">
                  <c:v>4274792.5663812775</c:v>
                </c:pt>
                <c:pt idx="93">
                  <c:v>2893477.6571604386</c:v>
                </c:pt>
                <c:pt idx="94">
                  <c:v>2524186.1683710916</c:v>
                </c:pt>
                <c:pt idx="95">
                  <c:v>2232830.79948213</c:v>
                </c:pt>
                <c:pt idx="96">
                  <c:v>2565295.7413617242</c:v>
                </c:pt>
                <c:pt idx="97">
                  <c:v>2066598.3285423331</c:v>
                </c:pt>
                <c:pt idx="98">
                  <c:v>2399063.2704219269</c:v>
                </c:pt>
                <c:pt idx="99">
                  <c:v>2553093.3837523255</c:v>
                </c:pt>
                <c:pt idx="100">
                  <c:v>2917763.5738680381</c:v>
                </c:pt>
                <c:pt idx="101">
                  <c:v>5605426.0941418782</c:v>
                </c:pt>
                <c:pt idx="102">
                  <c:v>6222149.2441953551</c:v>
                </c:pt>
                <c:pt idx="103">
                  <c:v>4752258.0403763829</c:v>
                </c:pt>
                <c:pt idx="104">
                  <c:v>4134842.3626396954</c:v>
                </c:pt>
                <c:pt idx="105">
                  <c:v>3063732.6536337351</c:v>
                </c:pt>
                <c:pt idx="106">
                  <c:v>2232830.79948213</c:v>
                </c:pt>
                <c:pt idx="107">
                  <c:v>2399063.2704219269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0E-40F3-A504-D9A134A28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950464"/>
        <c:axId val="176296704"/>
      </c:lineChart>
      <c:dateAx>
        <c:axId val="175950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0"/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296704"/>
        <c:crosses val="autoZero"/>
        <c:auto val="1"/>
        <c:lblOffset val="100"/>
        <c:baseTimeUnit val="months"/>
      </c:dateAx>
      <c:valAx>
        <c:axId val="17629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Mnthly Consumption</a:t>
                </a:r>
                <a:r>
                  <a:rPr lang="en-US" baseline="0"/>
                  <a:t> (kWh)</a:t>
                </a:r>
                <a:endParaRPr lang="en-US"/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95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&gt; 50 kW Predicted Monthly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 Co Gen Predicted (-HDD)'!$D$1</c:f>
              <c:strCache>
                <c:ptCount val="1"/>
                <c:pt idx="0">
                  <c:v> GS_gt_50_CoGen_NoCDM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 Co Gen Predicted (-HDD)'!$A$2:$A$97</c:f>
              <c:numCache>
                <c:formatCode>m/d/yyyy</c:formatCode>
                <c:ptCount val="9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</c:numCache>
            </c:numRef>
          </c:cat>
          <c:val>
            <c:numRef>
              <c:f>'GS Co Gen Predicted (-HDD)'!$D$2:$D$129</c:f>
              <c:numCache>
                <c:formatCode>_(* #,##0_);_(* \(#,##0\);_(* "-"??_);_(@_)</c:formatCode>
                <c:ptCount val="128"/>
                <c:pt idx="0">
                  <c:v>1975229.7103848916</c:v>
                </c:pt>
                <c:pt idx="1">
                  <c:v>2202382.3384362105</c:v>
                </c:pt>
                <c:pt idx="2">
                  <c:v>3298889.9664875292</c:v>
                </c:pt>
                <c:pt idx="3">
                  <c:v>3834797.5945388479</c:v>
                </c:pt>
                <c:pt idx="4">
                  <c:v>4110768.2225901671</c:v>
                </c:pt>
                <c:pt idx="5">
                  <c:v>5743560.8506414862</c:v>
                </c:pt>
                <c:pt idx="6">
                  <c:v>5624575.4786928045</c:v>
                </c:pt>
                <c:pt idx="7">
                  <c:v>4805886.1067441236</c:v>
                </c:pt>
                <c:pt idx="8">
                  <c:v>3970931.7347954423</c:v>
                </c:pt>
                <c:pt idx="9">
                  <c:v>5177643.362846761</c:v>
                </c:pt>
                <c:pt idx="10">
                  <c:v>3296588.9908980802</c:v>
                </c:pt>
                <c:pt idx="11">
                  <c:v>3331855.6189493993</c:v>
                </c:pt>
                <c:pt idx="12">
                  <c:v>3880776.3635845515</c:v>
                </c:pt>
                <c:pt idx="13">
                  <c:v>2504493.9234402059</c:v>
                </c:pt>
                <c:pt idx="14">
                  <c:v>2696023.4832958602</c:v>
                </c:pt>
                <c:pt idx="15">
                  <c:v>2447627.0431515141</c:v>
                </c:pt>
                <c:pt idx="16">
                  <c:v>4551338.6030071685</c:v>
                </c:pt>
                <c:pt idx="17">
                  <c:v>6710847.1628628224</c:v>
                </c:pt>
                <c:pt idx="18">
                  <c:v>7368543.7227184772</c:v>
                </c:pt>
                <c:pt idx="19">
                  <c:v>6976940.2825741312</c:v>
                </c:pt>
                <c:pt idx="20">
                  <c:v>5331752.8424297851</c:v>
                </c:pt>
                <c:pt idx="21">
                  <c:v>2940054.4022854394</c:v>
                </c:pt>
                <c:pt idx="22">
                  <c:v>1832037.9621410936</c:v>
                </c:pt>
                <c:pt idx="23">
                  <c:v>1067103.5219967477</c:v>
                </c:pt>
                <c:pt idx="24">
                  <c:v>974399.68585805758</c:v>
                </c:pt>
                <c:pt idx="25">
                  <c:v>1021148.6465925851</c:v>
                </c:pt>
                <c:pt idx="26">
                  <c:v>1585107.5608721885</c:v>
                </c:pt>
                <c:pt idx="27">
                  <c:v>1359530.64393672</c:v>
                </c:pt>
                <c:pt idx="28">
                  <c:v>3085749.3748756615</c:v>
                </c:pt>
                <c:pt idx="29">
                  <c:v>5783735.5531390533</c:v>
                </c:pt>
                <c:pt idx="30">
                  <c:v>6779873.4461094243</c:v>
                </c:pt>
                <c:pt idx="31">
                  <c:v>4268866.6845833659</c:v>
                </c:pt>
                <c:pt idx="32">
                  <c:v>5664547.3962547369</c:v>
                </c:pt>
                <c:pt idx="33">
                  <c:v>3090561.7950364789</c:v>
                </c:pt>
                <c:pt idx="34">
                  <c:v>1482477.7429550102</c:v>
                </c:pt>
                <c:pt idx="35">
                  <c:v>1009435.6612457265</c:v>
                </c:pt>
                <c:pt idx="36">
                  <c:v>998532.39409482549</c:v>
                </c:pt>
                <c:pt idx="37">
                  <c:v>1252939.9736270586</c:v>
                </c:pt>
                <c:pt idx="38">
                  <c:v>1164437.6812405386</c:v>
                </c:pt>
                <c:pt idx="39">
                  <c:v>1121055.5596983887</c:v>
                </c:pt>
                <c:pt idx="40">
                  <c:v>2424185.9781487486</c:v>
                </c:pt>
                <c:pt idx="41">
                  <c:v>4259731.9798160084</c:v>
                </c:pt>
                <c:pt idx="42">
                  <c:v>7280535.8722648388</c:v>
                </c:pt>
                <c:pt idx="43">
                  <c:v>6309964.7820981592</c:v>
                </c:pt>
                <c:pt idx="44">
                  <c:v>4783504.4640561193</c:v>
                </c:pt>
                <c:pt idx="45">
                  <c:v>3658910.8829854284</c:v>
                </c:pt>
                <c:pt idx="46">
                  <c:v>2825236.0058438084</c:v>
                </c:pt>
                <c:pt idx="47">
                  <c:v>1601972.2623421687</c:v>
                </c:pt>
                <c:pt idx="48">
                  <c:v>1171515.8824397286</c:v>
                </c:pt>
                <c:pt idx="49">
                  <c:v>1176631.0139222587</c:v>
                </c:pt>
                <c:pt idx="50">
                  <c:v>929052.76174393552</c:v>
                </c:pt>
                <c:pt idx="51">
                  <c:v>1370379.1031432985</c:v>
                </c:pt>
                <c:pt idx="52">
                  <c:v>1835106.5363508987</c:v>
                </c:pt>
                <c:pt idx="53">
                  <c:v>3942469.7375949784</c:v>
                </c:pt>
                <c:pt idx="54">
                  <c:v>3408979.3014047383</c:v>
                </c:pt>
                <c:pt idx="55">
                  <c:v>4426996.8036107589</c:v>
                </c:pt>
                <c:pt idx="56">
                  <c:v>2726526.6582645886</c:v>
                </c:pt>
                <c:pt idx="57">
                  <c:v>2613160.4865051284</c:v>
                </c:pt>
                <c:pt idx="58">
                  <c:v>3086375.0493431385</c:v>
                </c:pt>
                <c:pt idx="59">
                  <c:v>2523914.5382058783</c:v>
                </c:pt>
                <c:pt idx="60">
                  <c:v>1022059.6169857765</c:v>
                </c:pt>
                <c:pt idx="61">
                  <c:v>1744892.6852793817</c:v>
                </c:pt>
                <c:pt idx="62">
                  <c:v>1190079.078040208</c:v>
                </c:pt>
                <c:pt idx="63">
                  <c:v>1361343.5260930443</c:v>
                </c:pt>
                <c:pt idx="64">
                  <c:v>5350720.1149436207</c:v>
                </c:pt>
                <c:pt idx="65">
                  <c:v>4689316.800036367</c:v>
                </c:pt>
                <c:pt idx="66">
                  <c:v>5115119.137130823</c:v>
                </c:pt>
                <c:pt idx="67">
                  <c:v>7061111.8252039393</c:v>
                </c:pt>
                <c:pt idx="68">
                  <c:v>5290385.8347192556</c:v>
                </c:pt>
                <c:pt idx="69">
                  <c:v>4236739.3971533719</c:v>
                </c:pt>
                <c:pt idx="70">
                  <c:v>5119153.7080734884</c:v>
                </c:pt>
                <c:pt idx="71">
                  <c:v>2153000.0512014646</c:v>
                </c:pt>
                <c:pt idx="72">
                  <c:v>2475906.2124542031</c:v>
                </c:pt>
                <c:pt idx="73">
                  <c:v>3051393.3752032155</c:v>
                </c:pt>
                <c:pt idx="74">
                  <c:v>4360884.6742221788</c:v>
                </c:pt>
                <c:pt idx="75">
                  <c:v>1982541.2606718806</c:v>
                </c:pt>
                <c:pt idx="76">
                  <c:v>5249179.5430356627</c:v>
                </c:pt>
                <c:pt idx="77">
                  <c:v>5648220.3218985656</c:v>
                </c:pt>
                <c:pt idx="78">
                  <c:v>6322903.5001553874</c:v>
                </c:pt>
                <c:pt idx="79">
                  <c:v>6992371.2423237106</c:v>
                </c:pt>
                <c:pt idx="80">
                  <c:v>5494894.0473569827</c:v>
                </c:pt>
                <c:pt idx="81">
                  <c:v>4240327.1673253356</c:v>
                </c:pt>
                <c:pt idx="82">
                  <c:v>3874440.0590346674</c:v>
                </c:pt>
                <c:pt idx="83">
                  <c:v>3620292.7286042501</c:v>
                </c:pt>
                <c:pt idx="84">
                  <c:v>4134836.494755582</c:v>
                </c:pt>
                <c:pt idx="85">
                  <c:v>3340371.8788483315</c:v>
                </c:pt>
                <c:pt idx="86">
                  <c:v>3571437.4403881808</c:v>
                </c:pt>
                <c:pt idx="87">
                  <c:v>3559296.6426970703</c:v>
                </c:pt>
                <c:pt idx="88">
                  <c:v>3685994.6039710096</c:v>
                </c:pt>
                <c:pt idx="89">
                  <c:v>4407100.2006814191</c:v>
                </c:pt>
                <c:pt idx="90">
                  <c:v>2729070.3712969488</c:v>
                </c:pt>
                <c:pt idx="91">
                  <c:v>2759475.7435549381</c:v>
                </c:pt>
                <c:pt idx="92">
                  <c:v>2325797.1800787374</c:v>
                </c:pt>
                <c:pt idx="93">
                  <c:v>1986048.5879870269</c:v>
                </c:pt>
                <c:pt idx="94">
                  <c:v>2700816.8671933762</c:v>
                </c:pt>
                <c:pt idx="95">
                  <c:v>1434683.3089578557</c:v>
                </c:pt>
                <c:pt idx="96">
                  <c:v>744626.86911603797</c:v>
                </c:pt>
                <c:pt idx="97">
                  <c:v>934363.69084218494</c:v>
                </c:pt>
                <c:pt idx="98">
                  <c:v>1463704.6201513631</c:v>
                </c:pt>
                <c:pt idx="99">
                  <c:v>3015672.0979135549</c:v>
                </c:pt>
                <c:pt idx="100">
                  <c:v>2717419.6950709871</c:v>
                </c:pt>
                <c:pt idx="101">
                  <c:v>6664300.3948202198</c:v>
                </c:pt>
                <c:pt idx="102">
                  <c:v>5559636.5173280817</c:v>
                </c:pt>
                <c:pt idx="103">
                  <c:v>4475437.8092067335</c:v>
                </c:pt>
                <c:pt idx="104">
                  <c:v>2469394.5411401149</c:v>
                </c:pt>
                <c:pt idx="105">
                  <c:v>2893984.997376537</c:v>
                </c:pt>
                <c:pt idx="106">
                  <c:v>1206040.1878856791</c:v>
                </c:pt>
                <c:pt idx="107">
                  <c:v>1366926.3633808512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C1-4EC0-8EEA-C12A025A2165}"/>
            </c:ext>
          </c:extLst>
        </c:ser>
        <c:ser>
          <c:idx val="1"/>
          <c:order val="1"/>
          <c:tx>
            <c:strRef>
              <c:f>'GS Co Gen Predicted (-HDD)'!$M$1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 Co Gen Predicted (-HDD)'!$A$2:$A$97</c:f>
              <c:numCache>
                <c:formatCode>m/d/yyyy</c:formatCode>
                <c:ptCount val="9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</c:numCache>
            </c:numRef>
          </c:cat>
          <c:val>
            <c:numRef>
              <c:f>'GS Co Gen Predicted (-HDD)'!$M$2:$M$129</c:f>
              <c:numCache>
                <c:formatCode>_(* #,##0_);_(* \(#,##0\);_(* "-"??_);_(@_)</c:formatCode>
                <c:ptCount val="128"/>
                <c:pt idx="0">
                  <c:v>2169400.2628769553</c:v>
                </c:pt>
                <c:pt idx="1">
                  <c:v>1906405.2699340442</c:v>
                </c:pt>
                <c:pt idx="2">
                  <c:v>2495099.9936112273</c:v>
                </c:pt>
                <c:pt idx="3">
                  <c:v>2590431.5495148664</c:v>
                </c:pt>
                <c:pt idx="4">
                  <c:v>3543792.4726880798</c:v>
                </c:pt>
                <c:pt idx="5">
                  <c:v>5043024.9302467732</c:v>
                </c:pt>
                <c:pt idx="6">
                  <c:v>5401875.2707600882</c:v>
                </c:pt>
                <c:pt idx="7">
                  <c:v>5069653.0939116366</c:v>
                </c:pt>
                <c:pt idx="8">
                  <c:v>4246532.985830076</c:v>
                </c:pt>
                <c:pt idx="9">
                  <c:v>3372844.9107611636</c:v>
                </c:pt>
                <c:pt idx="10">
                  <c:v>2566885.4276163382</c:v>
                </c:pt>
                <c:pt idx="11">
                  <c:v>1457981.2180711096</c:v>
                </c:pt>
                <c:pt idx="12">
                  <c:v>1900200.9238693449</c:v>
                </c:pt>
                <c:pt idx="13">
                  <c:v>1751956.0424017669</c:v>
                </c:pt>
                <c:pt idx="14">
                  <c:v>2076249.4665421415</c:v>
                </c:pt>
                <c:pt idx="15">
                  <c:v>2371899.2002489865</c:v>
                </c:pt>
                <c:pt idx="16">
                  <c:v>4540557.3100263514</c:v>
                </c:pt>
                <c:pt idx="17">
                  <c:v>4955265.8560358817</c:v>
                </c:pt>
                <c:pt idx="18">
                  <c:v>5786170.4003353938</c:v>
                </c:pt>
                <c:pt idx="19">
                  <c:v>6030661.5418566782</c:v>
                </c:pt>
                <c:pt idx="20">
                  <c:v>4284035.3898549946</c:v>
                </c:pt>
                <c:pt idx="21">
                  <c:v>3172878.2146558203</c:v>
                </c:pt>
                <c:pt idx="22">
                  <c:v>2414802.7152981688</c:v>
                </c:pt>
                <c:pt idx="23">
                  <c:v>1781088.1740235493</c:v>
                </c:pt>
                <c:pt idx="24">
                  <c:v>1836874.29408427</c:v>
                </c:pt>
                <c:pt idx="25">
                  <c:v>1626526.0312524275</c:v>
                </c:pt>
                <c:pt idx="26">
                  <c:v>2211677.6102208402</c:v>
                </c:pt>
                <c:pt idx="27">
                  <c:v>2610945.4656835999</c:v>
                </c:pt>
                <c:pt idx="28">
                  <c:v>3040754.8223182512</c:v>
                </c:pt>
                <c:pt idx="29">
                  <c:v>4800746.3529019188</c:v>
                </c:pt>
                <c:pt idx="30">
                  <c:v>6279637.6187416669</c:v>
                </c:pt>
                <c:pt idx="31">
                  <c:v>5118174.8729158472</c:v>
                </c:pt>
                <c:pt idx="32">
                  <c:v>4353539.5461415481</c:v>
                </c:pt>
                <c:pt idx="33">
                  <c:v>2982856.0675312118</c:v>
                </c:pt>
                <c:pt idx="34">
                  <c:v>2230604.598042049</c:v>
                </c:pt>
                <c:pt idx="35">
                  <c:v>2111671.9179278649</c:v>
                </c:pt>
                <c:pt idx="36">
                  <c:v>2234392.3924349817</c:v>
                </c:pt>
                <c:pt idx="37">
                  <c:v>1675973.4962629136</c:v>
                </c:pt>
                <c:pt idx="38">
                  <c:v>2531566.4818662223</c:v>
                </c:pt>
                <c:pt idx="39">
                  <c:v>2543144.5695593264</c:v>
                </c:pt>
                <c:pt idx="40">
                  <c:v>3358139.4907118594</c:v>
                </c:pt>
                <c:pt idx="41">
                  <c:v>5273061.1345669236</c:v>
                </c:pt>
                <c:pt idx="42">
                  <c:v>6676921.0989049934</c:v>
                </c:pt>
                <c:pt idx="43">
                  <c:v>5316130.4584549153</c:v>
                </c:pt>
                <c:pt idx="44">
                  <c:v>3926852.2081440762</c:v>
                </c:pt>
                <c:pt idx="45">
                  <c:v>2815273.0789500214</c:v>
                </c:pt>
                <c:pt idx="46">
                  <c:v>2638508.9726129873</c:v>
                </c:pt>
                <c:pt idx="47">
                  <c:v>2112876.3471422018</c:v>
                </c:pt>
                <c:pt idx="48">
                  <c:v>1785769.8807239975</c:v>
                </c:pt>
                <c:pt idx="49">
                  <c:v>1507767.4287981279</c:v>
                </c:pt>
                <c:pt idx="50">
                  <c:v>2746496.3632944156</c:v>
                </c:pt>
                <c:pt idx="51">
                  <c:v>2795642.3523255219</c:v>
                </c:pt>
                <c:pt idx="52">
                  <c:v>3543603.9055511709</c:v>
                </c:pt>
                <c:pt idx="53">
                  <c:v>5650920.6220838754</c:v>
                </c:pt>
                <c:pt idx="54">
                  <c:v>5416970.2453797627</c:v>
                </c:pt>
                <c:pt idx="55">
                  <c:v>5723730.7622765657</c:v>
                </c:pt>
                <c:pt idx="56">
                  <c:v>3972972.8130382458</c:v>
                </c:pt>
                <c:pt idx="57">
                  <c:v>3380511.7663718145</c:v>
                </c:pt>
                <c:pt idx="58">
                  <c:v>2573665.0467486037</c:v>
                </c:pt>
                <c:pt idx="59">
                  <c:v>2231272.6798718767</c:v>
                </c:pt>
                <c:pt idx="60">
                  <c:v>1433022.6745749777</c:v>
                </c:pt>
                <c:pt idx="61">
                  <c:v>1602498.609386723</c:v>
                </c:pt>
                <c:pt idx="62">
                  <c:v>2556483.54032786</c:v>
                </c:pt>
                <c:pt idx="63">
                  <c:v>2433237.6940171202</c:v>
                </c:pt>
                <c:pt idx="64">
                  <c:v>3991670.0077809766</c:v>
                </c:pt>
                <c:pt idx="65">
                  <c:v>4992371.0401802454</c:v>
                </c:pt>
                <c:pt idx="66">
                  <c:v>5614754.7176006269</c:v>
                </c:pt>
                <c:pt idx="67">
                  <c:v>5764482.590368025</c:v>
                </c:pt>
                <c:pt idx="68">
                  <c:v>4110900.6685524471</c:v>
                </c:pt>
                <c:pt idx="69">
                  <c:v>2706497.659524729</c:v>
                </c:pt>
                <c:pt idx="70">
                  <c:v>2719943.2186919991</c:v>
                </c:pt>
                <c:pt idx="71">
                  <c:v>1908838.0814608475</c:v>
                </c:pt>
                <c:pt idx="72">
                  <c:v>2090392.1002073674</c:v>
                </c:pt>
                <c:pt idx="73">
                  <c:v>1817795.036251124</c:v>
                </c:pt>
                <c:pt idx="74">
                  <c:v>2520722.3432256049</c:v>
                </c:pt>
                <c:pt idx="75">
                  <c:v>2625725.9405173571</c:v>
                </c:pt>
                <c:pt idx="76">
                  <c:v>3756988.0298536774</c:v>
                </c:pt>
                <c:pt idx="77">
                  <c:v>4841228.9455326004</c:v>
                </c:pt>
                <c:pt idx="78">
                  <c:v>5359113.1394447051</c:v>
                </c:pt>
                <c:pt idx="79">
                  <c:v>5009507.1397537002</c:v>
                </c:pt>
                <c:pt idx="80">
                  <c:v>4029493.9317071326</c:v>
                </c:pt>
                <c:pt idx="81">
                  <c:v>3295983.6681038192</c:v>
                </c:pt>
                <c:pt idx="82">
                  <c:v>2584871.884203882</c:v>
                </c:pt>
                <c:pt idx="83">
                  <c:v>1991938.5633584624</c:v>
                </c:pt>
                <c:pt idx="84">
                  <c:v>2116193.6613732842</c:v>
                </c:pt>
                <c:pt idx="85">
                  <c:v>2049450.4874331024</c:v>
                </c:pt>
                <c:pt idx="86">
                  <c:v>2218183.4926791601</c:v>
                </c:pt>
                <c:pt idx="87">
                  <c:v>3056362.7362330602</c:v>
                </c:pt>
                <c:pt idx="88">
                  <c:v>4142630.3272563084</c:v>
                </c:pt>
                <c:pt idx="89">
                  <c:v>4954325.1366312038</c:v>
                </c:pt>
                <c:pt idx="90">
                  <c:v>5919455.4949173015</c:v>
                </c:pt>
                <c:pt idx="91">
                  <c:v>5468244.0297115538</c:v>
                </c:pt>
                <c:pt idx="92">
                  <c:v>4371782.9621108165</c:v>
                </c:pt>
                <c:pt idx="93">
                  <c:v>3294236.6872581379</c:v>
                </c:pt>
                <c:pt idx="94">
                  <c:v>2667905.7579478668</c:v>
                </c:pt>
                <c:pt idx="95">
                  <c:v>1891195.0753914546</c:v>
                </c:pt>
                <c:pt idx="96">
                  <c:v>1887935.5060499026</c:v>
                </c:pt>
                <c:pt idx="97">
                  <c:v>1560414.158909197</c:v>
                </c:pt>
                <c:pt idx="98">
                  <c:v>2349744.2894274471</c:v>
                </c:pt>
                <c:pt idx="99">
                  <c:v>2776065.5392898396</c:v>
                </c:pt>
                <c:pt idx="100">
                  <c:v>3334702.0371685731</c:v>
                </c:pt>
                <c:pt idx="101">
                  <c:v>5350029.7374872668</c:v>
                </c:pt>
                <c:pt idx="102">
                  <c:v>6320855.9023362072</c:v>
                </c:pt>
                <c:pt idx="103">
                  <c:v>5240632.1683408897</c:v>
                </c:pt>
                <c:pt idx="104">
                  <c:v>4335447.7635751031</c:v>
                </c:pt>
                <c:pt idx="105">
                  <c:v>3389314.25038327</c:v>
                </c:pt>
                <c:pt idx="106">
                  <c:v>2231328.7084012628</c:v>
                </c:pt>
                <c:pt idx="107">
                  <c:v>1864843.9106162447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C1-4EC0-8EEA-C12A025A2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950464"/>
        <c:axId val="176296704"/>
      </c:lineChart>
      <c:dateAx>
        <c:axId val="175950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0"/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296704"/>
        <c:crosses val="autoZero"/>
        <c:auto val="1"/>
        <c:lblOffset val="100"/>
        <c:baseTimeUnit val="months"/>
      </c:dateAx>
      <c:valAx>
        <c:axId val="17629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Mnthly Consumption</a:t>
                </a:r>
                <a:r>
                  <a:rPr lang="en-US" baseline="0"/>
                  <a:t> (kWh)</a:t>
                </a:r>
                <a:endParaRPr lang="en-US"/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95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Large Use Predicted Monthly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'Large Use Predicted Monthly'!$D$1</c:f>
              <c:strCache>
                <c:ptCount val="1"/>
                <c:pt idx="0">
                  <c:v> Large_Use_NoCDM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'Large Use Predicted Monthly'!$A$2:$A$117</c:f>
              <c:numCache>
                <c:formatCode>m/d/yyyy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</c:numCache>
            </c:numRef>
          </c:cat>
          <c:val>
            <c:numRef>
              <c:f>'Large Use Predicted Monthly'!$D$2:$D$129</c:f>
              <c:numCache>
                <c:formatCode>_(* #,##0_);_(* \(#,##0\);_(* "-"??_);_(@_)</c:formatCode>
                <c:ptCount val="128"/>
                <c:pt idx="0">
                  <c:v>8999446.6822758783</c:v>
                </c:pt>
                <c:pt idx="1">
                  <c:v>8124930.9065793287</c:v>
                </c:pt>
                <c:pt idx="2">
                  <c:v>9234224.1308827791</c:v>
                </c:pt>
                <c:pt idx="3">
                  <c:v>8840028.3551862296</c:v>
                </c:pt>
                <c:pt idx="4">
                  <c:v>9326722.57948968</c:v>
                </c:pt>
                <c:pt idx="5">
                  <c:v>10997553.80379313</c:v>
                </c:pt>
                <c:pt idx="6">
                  <c:v>12310894.028096581</c:v>
                </c:pt>
                <c:pt idx="7">
                  <c:v>11685596.252400031</c:v>
                </c:pt>
                <c:pt idx="8">
                  <c:v>11271867.476703482</c:v>
                </c:pt>
                <c:pt idx="9">
                  <c:v>9994517.7010069322</c:v>
                </c:pt>
                <c:pt idx="10">
                  <c:v>8686801.9253103826</c:v>
                </c:pt>
                <c:pt idx="11">
                  <c:v>8551960.1496138331</c:v>
                </c:pt>
                <c:pt idx="12">
                  <c:v>9103066.0429361481</c:v>
                </c:pt>
                <c:pt idx="13">
                  <c:v>8069983.3265349884</c:v>
                </c:pt>
                <c:pt idx="14">
                  <c:v>9022606.6101338267</c:v>
                </c:pt>
                <c:pt idx="15">
                  <c:v>8607346.893732667</c:v>
                </c:pt>
                <c:pt idx="16">
                  <c:v>10249196.177331505</c:v>
                </c:pt>
                <c:pt idx="17">
                  <c:v>10702581.460930346</c:v>
                </c:pt>
                <c:pt idx="18">
                  <c:v>12327687.744529184</c:v>
                </c:pt>
                <c:pt idx="19">
                  <c:v>12834453.028128022</c:v>
                </c:pt>
                <c:pt idx="20">
                  <c:v>11555740.311726863</c:v>
                </c:pt>
                <c:pt idx="21">
                  <c:v>9663556.5953257009</c:v>
                </c:pt>
                <c:pt idx="22">
                  <c:v>8876990.8789245412</c:v>
                </c:pt>
                <c:pt idx="23">
                  <c:v>8567404.1625233795</c:v>
                </c:pt>
                <c:pt idx="24">
                  <c:v>8989278.2746889144</c:v>
                </c:pt>
                <c:pt idx="25">
                  <c:v>8097545.3515033722</c:v>
                </c:pt>
                <c:pt idx="26">
                  <c:v>8985392.6473651007</c:v>
                </c:pt>
                <c:pt idx="27">
                  <c:v>8504581.5898450892</c:v>
                </c:pt>
                <c:pt idx="28">
                  <c:v>9087651.3384452276</c:v>
                </c:pt>
                <c:pt idx="29">
                  <c:v>10150109.924780237</c:v>
                </c:pt>
                <c:pt idx="30">
                  <c:v>12285416.778856665</c:v>
                </c:pt>
                <c:pt idx="31">
                  <c:v>11478159.279289683</c:v>
                </c:pt>
                <c:pt idx="32">
                  <c:v>10722555.998619301</c:v>
                </c:pt>
                <c:pt idx="33">
                  <c:v>9195841.3160605505</c:v>
                </c:pt>
                <c:pt idx="34">
                  <c:v>8525347.6827713586</c:v>
                </c:pt>
                <c:pt idx="35">
                  <c:v>8302879.6970118778</c:v>
                </c:pt>
                <c:pt idx="36">
                  <c:v>8600262.0200518575</c:v>
                </c:pt>
                <c:pt idx="37">
                  <c:v>8180470.246807198</c:v>
                </c:pt>
                <c:pt idx="38">
                  <c:v>8146171.5943440981</c:v>
                </c:pt>
                <c:pt idx="39">
                  <c:v>7110674.2288400885</c:v>
                </c:pt>
                <c:pt idx="40">
                  <c:v>8099810.9285269296</c:v>
                </c:pt>
                <c:pt idx="41">
                  <c:v>9661634.6249788105</c:v>
                </c:pt>
                <c:pt idx="42">
                  <c:v>11633464.73742496</c:v>
                </c:pt>
                <c:pt idx="43">
                  <c:v>10881748.22689686</c:v>
                </c:pt>
                <c:pt idx="44">
                  <c:v>9412013.6198623907</c:v>
                </c:pt>
                <c:pt idx="45">
                  <c:v>8181488.4837523811</c:v>
                </c:pt>
                <c:pt idx="46">
                  <c:v>7873386.2840596009</c:v>
                </c:pt>
                <c:pt idx="47">
                  <c:v>8025859.8760891212</c:v>
                </c:pt>
                <c:pt idx="48">
                  <c:v>8267121.5026186379</c:v>
                </c:pt>
                <c:pt idx="49">
                  <c:v>7860890.0394344553</c:v>
                </c:pt>
                <c:pt idx="50">
                  <c:v>8617027.7213605233</c:v>
                </c:pt>
                <c:pt idx="51">
                  <c:v>8151550.2276455313</c:v>
                </c:pt>
                <c:pt idx="52">
                  <c:v>9085951.214230109</c:v>
                </c:pt>
                <c:pt idx="53">
                  <c:v>10943993.453054408</c:v>
                </c:pt>
                <c:pt idx="54">
                  <c:v>11368752.713587916</c:v>
                </c:pt>
                <c:pt idx="55">
                  <c:v>12536881.909072623</c:v>
                </c:pt>
                <c:pt idx="56">
                  <c:v>10749580.623415139</c:v>
                </c:pt>
                <c:pt idx="57">
                  <c:v>10356128.307750057</c:v>
                </c:pt>
                <c:pt idx="58">
                  <c:v>9055135.6095071044</c:v>
                </c:pt>
                <c:pt idx="59">
                  <c:v>9104376.5640171226</c:v>
                </c:pt>
                <c:pt idx="60">
                  <c:v>9110751.0308836643</c:v>
                </c:pt>
                <c:pt idx="61">
                  <c:v>8626632.1104067359</c:v>
                </c:pt>
                <c:pt idx="62">
                  <c:v>9589247.0186625384</c:v>
                </c:pt>
                <c:pt idx="63">
                  <c:v>9180227.9473527595</c:v>
                </c:pt>
                <c:pt idx="64">
                  <c:v>10077830.463332593</c:v>
                </c:pt>
                <c:pt idx="65">
                  <c:v>10583328.764044672</c:v>
                </c:pt>
                <c:pt idx="66">
                  <c:v>11652875.177961215</c:v>
                </c:pt>
                <c:pt idx="67">
                  <c:v>11707751.467102198</c:v>
                </c:pt>
                <c:pt idx="68">
                  <c:v>10939336.920596739</c:v>
                </c:pt>
                <c:pt idx="69">
                  <c:v>12833984.256122762</c:v>
                </c:pt>
                <c:pt idx="70">
                  <c:v>12654963.870489843</c:v>
                </c:pt>
                <c:pt idx="71">
                  <c:v>12881327.663235825</c:v>
                </c:pt>
                <c:pt idx="72">
                  <c:v>12735778.584634606</c:v>
                </c:pt>
                <c:pt idx="73">
                  <c:v>11767083.564607263</c:v>
                </c:pt>
                <c:pt idx="74">
                  <c:v>13459049.055932319</c:v>
                </c:pt>
                <c:pt idx="75">
                  <c:v>13160905.919451777</c:v>
                </c:pt>
                <c:pt idx="76">
                  <c:v>13788454.644214533</c:v>
                </c:pt>
                <c:pt idx="77">
                  <c:v>14703192.83696259</c:v>
                </c:pt>
                <c:pt idx="78">
                  <c:v>16655581.63047855</c:v>
                </c:pt>
                <c:pt idx="79">
                  <c:v>16706591.428423306</c:v>
                </c:pt>
                <c:pt idx="80">
                  <c:v>15701047.359710263</c:v>
                </c:pt>
                <c:pt idx="81">
                  <c:v>14743057.004624922</c:v>
                </c:pt>
                <c:pt idx="82">
                  <c:v>13765936.609469777</c:v>
                </c:pt>
                <c:pt idx="83">
                  <c:v>13779390.384411534</c:v>
                </c:pt>
                <c:pt idx="84">
                  <c:v>14260589.724485524</c:v>
                </c:pt>
                <c:pt idx="85">
                  <c:v>13283794.127959238</c:v>
                </c:pt>
                <c:pt idx="86">
                  <c:v>14003296.408531051</c:v>
                </c:pt>
                <c:pt idx="87">
                  <c:v>13877323.379148966</c:v>
                </c:pt>
                <c:pt idx="88">
                  <c:v>15404708.31516158</c:v>
                </c:pt>
                <c:pt idx="89">
                  <c:v>16166675.685287094</c:v>
                </c:pt>
                <c:pt idx="90">
                  <c:v>17648326.53122801</c:v>
                </c:pt>
                <c:pt idx="91">
                  <c:v>17363128.283993222</c:v>
                </c:pt>
                <c:pt idx="92">
                  <c:v>16364222.048419036</c:v>
                </c:pt>
                <c:pt idx="93">
                  <c:v>14807290.144618651</c:v>
                </c:pt>
                <c:pt idx="94">
                  <c:v>13992711.462041363</c:v>
                </c:pt>
                <c:pt idx="95">
                  <c:v>13601921.748472378</c:v>
                </c:pt>
                <c:pt idx="96">
                  <c:v>14361905.166353663</c:v>
                </c:pt>
                <c:pt idx="97">
                  <c:v>12945592.518201813</c:v>
                </c:pt>
                <c:pt idx="98">
                  <c:v>14237317.45575696</c:v>
                </c:pt>
                <c:pt idx="99">
                  <c:v>14137926.302662909</c:v>
                </c:pt>
                <c:pt idx="100">
                  <c:v>14378587.136586657</c:v>
                </c:pt>
                <c:pt idx="101">
                  <c:v>16220607.002538506</c:v>
                </c:pt>
                <c:pt idx="102">
                  <c:v>18141297.038824454</c:v>
                </c:pt>
                <c:pt idx="103">
                  <c:v>16333866.322163202</c:v>
                </c:pt>
                <c:pt idx="104">
                  <c:v>15806074.315778051</c:v>
                </c:pt>
                <c:pt idx="105">
                  <c:v>14876887.0161887</c:v>
                </c:pt>
                <c:pt idx="106">
                  <c:v>13663366.431718748</c:v>
                </c:pt>
                <c:pt idx="107">
                  <c:v>13605458.244193096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0C-471A-AA07-F92C9321F5FE}"/>
            </c:ext>
          </c:extLst>
        </c:ser>
        <c:ser>
          <c:idx val="1"/>
          <c:order val="1"/>
          <c:tx>
            <c:strRef>
              <c:f>'Large Use Predicted Monthly'!$W$1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'Large Use Predicted Monthly'!$A$2:$A$117</c:f>
              <c:numCache>
                <c:formatCode>m/d/yyyy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</c:numCache>
            </c:numRef>
          </c:cat>
          <c:val>
            <c:numRef>
              <c:f>'Large Use Predicted Monthly'!$W$2:$W$129</c:f>
              <c:numCache>
                <c:formatCode>_(* #,##0_);_(* \(#,##0\);_(* "-"??_);_(@_)</c:formatCode>
                <c:ptCount val="128"/>
                <c:pt idx="0">
                  <c:v>8528650.6342964973</c:v>
                </c:pt>
                <c:pt idx="1">
                  <c:v>7461672.2967302054</c:v>
                </c:pt>
                <c:pt idx="2">
                  <c:v>8521336.4754888508</c:v>
                </c:pt>
                <c:pt idx="3">
                  <c:v>8345705.831962049</c:v>
                </c:pt>
                <c:pt idx="4">
                  <c:v>8836901.9819483086</c:v>
                </c:pt>
                <c:pt idx="5">
                  <c:v>10431499.897791421</c:v>
                </c:pt>
                <c:pt idx="6">
                  <c:v>11643481.715524804</c:v>
                </c:pt>
                <c:pt idx="7">
                  <c:v>10872651.881237591</c:v>
                </c:pt>
                <c:pt idx="8">
                  <c:v>10555481.872076709</c:v>
                </c:pt>
                <c:pt idx="9">
                  <c:v>9749071.8916695677</c:v>
                </c:pt>
                <c:pt idx="10">
                  <c:v>8642748.7444314491</c:v>
                </c:pt>
                <c:pt idx="11">
                  <c:v>8770779.9766710922</c:v>
                </c:pt>
                <c:pt idx="12">
                  <c:v>8808816.1564793531</c:v>
                </c:pt>
                <c:pt idx="13">
                  <c:v>7710498.4885326754</c:v>
                </c:pt>
                <c:pt idx="14">
                  <c:v>8747979.7152746376</c:v>
                </c:pt>
                <c:pt idx="15">
                  <c:v>8347734.8752541691</c:v>
                </c:pt>
                <c:pt idx="16">
                  <c:v>10368296.788441379</c:v>
                </c:pt>
                <c:pt idx="17">
                  <c:v>10710358.442540027</c:v>
                </c:pt>
                <c:pt idx="18">
                  <c:v>12095991.436365064</c:v>
                </c:pt>
                <c:pt idx="19">
                  <c:v>12196543.841023255</c:v>
                </c:pt>
                <c:pt idx="20">
                  <c:v>11021437.073639922</c:v>
                </c:pt>
                <c:pt idx="21">
                  <c:v>9627718.1322475281</c:v>
                </c:pt>
                <c:pt idx="22">
                  <c:v>8889333.2023808882</c:v>
                </c:pt>
                <c:pt idx="23">
                  <c:v>8889181.1011947375</c:v>
                </c:pt>
                <c:pt idx="24">
                  <c:v>9032755.9132343717</c:v>
                </c:pt>
                <c:pt idx="25">
                  <c:v>7951399.260499713</c:v>
                </c:pt>
                <c:pt idx="26">
                  <c:v>8964834.3934024591</c:v>
                </c:pt>
                <c:pt idx="27">
                  <c:v>8516557.7151961848</c:v>
                </c:pt>
                <c:pt idx="28">
                  <c:v>9001317.1289168</c:v>
                </c:pt>
                <c:pt idx="29">
                  <c:v>10555136.854344973</c:v>
                </c:pt>
                <c:pt idx="30">
                  <c:v>12675422.228103831</c:v>
                </c:pt>
                <c:pt idx="31">
                  <c:v>11744167.578950291</c:v>
                </c:pt>
                <c:pt idx="32">
                  <c:v>11025447.999632603</c:v>
                </c:pt>
                <c:pt idx="33">
                  <c:v>9537845.6322200187</c:v>
                </c:pt>
                <c:pt idx="34">
                  <c:v>9099087.3827767707</c:v>
                </c:pt>
                <c:pt idx="35">
                  <c:v>9099933.6686224174</c:v>
                </c:pt>
                <c:pt idx="36">
                  <c:v>9130834.657713078</c:v>
                </c:pt>
                <c:pt idx="37">
                  <c:v>8482684.3510701917</c:v>
                </c:pt>
                <c:pt idx="38">
                  <c:v>8589554.0937796198</c:v>
                </c:pt>
                <c:pt idx="39">
                  <c:v>7723710.3774697948</c:v>
                </c:pt>
                <c:pt idx="40">
                  <c:v>8768081.1798904706</c:v>
                </c:pt>
                <c:pt idx="41">
                  <c:v>10795227.234236043</c:v>
                </c:pt>
                <c:pt idx="42">
                  <c:v>12849379.617769727</c:v>
                </c:pt>
                <c:pt idx="43">
                  <c:v>11686390.73950542</c:v>
                </c:pt>
                <c:pt idx="44">
                  <c:v>10124051.892462028</c:v>
                </c:pt>
                <c:pt idx="45">
                  <c:v>9158147.591872897</c:v>
                </c:pt>
                <c:pt idx="46">
                  <c:v>8825482.8179900423</c:v>
                </c:pt>
                <c:pt idx="47">
                  <c:v>8811689.0755451173</c:v>
                </c:pt>
                <c:pt idx="48">
                  <c:v>8871048.5922809076</c:v>
                </c:pt>
                <c:pt idx="49">
                  <c:v>7902562.3560806345</c:v>
                </c:pt>
                <c:pt idx="50">
                  <c:v>8850905.8823312018</c:v>
                </c:pt>
                <c:pt idx="51">
                  <c:v>8668022.6865693368</c:v>
                </c:pt>
                <c:pt idx="52">
                  <c:v>9629494.8498664163</c:v>
                </c:pt>
                <c:pt idx="53">
                  <c:v>11468940.301132828</c:v>
                </c:pt>
                <c:pt idx="54">
                  <c:v>11792141.120849125</c:v>
                </c:pt>
                <c:pt idx="55">
                  <c:v>12366902.554711729</c:v>
                </c:pt>
                <c:pt idx="56">
                  <c:v>10652751.210196394</c:v>
                </c:pt>
                <c:pt idx="57">
                  <c:v>10279257.987289095</c:v>
                </c:pt>
                <c:pt idx="58">
                  <c:v>8971320.0812028646</c:v>
                </c:pt>
                <c:pt idx="59">
                  <c:v>8985998.588924069</c:v>
                </c:pt>
                <c:pt idx="60">
                  <c:v>9421311.9761837851</c:v>
                </c:pt>
                <c:pt idx="61">
                  <c:v>8330615.2007539626</c:v>
                </c:pt>
                <c:pt idx="62">
                  <c:v>9290515.20200569</c:v>
                </c:pt>
                <c:pt idx="63">
                  <c:v>8985492.8199630212</c:v>
                </c:pt>
                <c:pt idx="64">
                  <c:v>10360851.016086672</c:v>
                </c:pt>
                <c:pt idx="65">
                  <c:v>11158662.621473182</c:v>
                </c:pt>
                <c:pt idx="66">
                  <c:v>12676913.829525786</c:v>
                </c:pt>
                <c:pt idx="67">
                  <c:v>12466388.529775267</c:v>
                </c:pt>
                <c:pt idx="68">
                  <c:v>11193813.761045922</c:v>
                </c:pt>
                <c:pt idx="69">
                  <c:v>13393855.724750744</c:v>
                </c:pt>
                <c:pt idx="70">
                  <c:v>13042987.768238464</c:v>
                </c:pt>
                <c:pt idx="71">
                  <c:v>12980786.461388426</c:v>
                </c:pt>
                <c:pt idx="72">
                  <c:v>13242899.614974773</c:v>
                </c:pt>
                <c:pt idx="73">
                  <c:v>12225740.404817592</c:v>
                </c:pt>
                <c:pt idx="74">
                  <c:v>13254206.594989289</c:v>
                </c:pt>
                <c:pt idx="75">
                  <c:v>13260167.566056209</c:v>
                </c:pt>
                <c:pt idx="76">
                  <c:v>13921161.45970089</c:v>
                </c:pt>
                <c:pt idx="77">
                  <c:v>14927852.813509235</c:v>
                </c:pt>
                <c:pt idx="78">
                  <c:v>16333635.224759733</c:v>
                </c:pt>
                <c:pt idx="79">
                  <c:v>15542551.870220317</c:v>
                </c:pt>
                <c:pt idx="80">
                  <c:v>15155557.996920738</c:v>
                </c:pt>
                <c:pt idx="81">
                  <c:v>14364048.657572746</c:v>
                </c:pt>
                <c:pt idx="82">
                  <c:v>13376108.881468307</c:v>
                </c:pt>
                <c:pt idx="83">
                  <c:v>13364819.046959598</c:v>
                </c:pt>
                <c:pt idx="84">
                  <c:v>13489694.339727985</c:v>
                </c:pt>
                <c:pt idx="85">
                  <c:v>12754459.499374557</c:v>
                </c:pt>
                <c:pt idx="86">
                  <c:v>13401887.314485377</c:v>
                </c:pt>
                <c:pt idx="87">
                  <c:v>13241509.934755858</c:v>
                </c:pt>
                <c:pt idx="88">
                  <c:v>14590367.276227711</c:v>
                </c:pt>
                <c:pt idx="89">
                  <c:v>15666449.075313229</c:v>
                </c:pt>
                <c:pt idx="90">
                  <c:v>16789905.569922917</c:v>
                </c:pt>
                <c:pt idx="91">
                  <c:v>16279427.593050849</c:v>
                </c:pt>
                <c:pt idx="92">
                  <c:v>15767387.15765409</c:v>
                </c:pt>
                <c:pt idx="93">
                  <c:v>14339628.363487691</c:v>
                </c:pt>
                <c:pt idx="94">
                  <c:v>13706942.728741683</c:v>
                </c:pt>
                <c:pt idx="95">
                  <c:v>13646174.410058085</c:v>
                </c:pt>
                <c:pt idx="96">
                  <c:v>13758678.441124858</c:v>
                </c:pt>
                <c:pt idx="97">
                  <c:v>12709322.85534893</c:v>
                </c:pt>
                <c:pt idx="98">
                  <c:v>13653586.841037625</c:v>
                </c:pt>
                <c:pt idx="99">
                  <c:v>13508858.307993919</c:v>
                </c:pt>
                <c:pt idx="100">
                  <c:v>13899594.08595599</c:v>
                </c:pt>
                <c:pt idx="101">
                  <c:v>16139175.1144829</c:v>
                </c:pt>
                <c:pt idx="102">
                  <c:v>17463209.521843635</c:v>
                </c:pt>
                <c:pt idx="103">
                  <c:v>16399585.486202281</c:v>
                </c:pt>
                <c:pt idx="104">
                  <c:v>15731687.00792421</c:v>
                </c:pt>
                <c:pt idx="105">
                  <c:v>14668310.129509969</c:v>
                </c:pt>
                <c:pt idx="106">
                  <c:v>13791560.732788527</c:v>
                </c:pt>
                <c:pt idx="107">
                  <c:v>13907212.532813204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0C-471A-AA07-F92C9321F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950464"/>
        <c:axId val="176296704"/>
      </c:lineChart>
      <c:dateAx>
        <c:axId val="175950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0"/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296704"/>
        <c:crosses val="autoZero"/>
        <c:auto val="1"/>
        <c:lblOffset val="100"/>
        <c:baseTimeUnit val="months"/>
      </c:dateAx>
      <c:valAx>
        <c:axId val="17629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Mnthly Consumption</a:t>
                </a:r>
                <a:r>
                  <a:rPr lang="en-US" baseline="0"/>
                  <a:t> (kWh)</a:t>
                </a:r>
                <a:endParaRPr lang="en-US"/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95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 kWh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2"/>
          <c:order val="0"/>
          <c:tx>
            <c:strRef>
              <c:f>'Model Summary'!$C$3</c:f>
              <c:strCache>
                <c:ptCount val="1"/>
                <c:pt idx="0">
                  <c:v>CDM Added Back</c:v>
                </c:pt>
              </c:strCache>
            </c:strRef>
          </c:tx>
          <c:spPr>
            <a:ln w="19050" cap="rnd" cmpd="sng" algn="ctr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'Model Summary'!$B$5:$B$13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'Model Summary'!$C$5:$C$13</c:f>
              <c:numCache>
                <c:formatCode>#,##0</c:formatCode>
                <c:ptCount val="9"/>
                <c:pt idx="0">
                  <c:v>1061607911.5734068</c:v>
                </c:pt>
                <c:pt idx="1">
                  <c:v>1163819903.1542928</c:v>
                </c:pt>
                <c:pt idx="2">
                  <c:v>1127333148.8304532</c:v>
                </c:pt>
                <c:pt idx="3">
                  <c:v>1200275616.5926628</c:v>
                </c:pt>
                <c:pt idx="4">
                  <c:v>1209220866.118844</c:v>
                </c:pt>
                <c:pt idx="5">
                  <c:v>1206543449.2304447</c:v>
                </c:pt>
                <c:pt idx="6">
                  <c:v>1154587492.8056829</c:v>
                </c:pt>
                <c:pt idx="7">
                  <c:v>1209243409.8343263</c:v>
                </c:pt>
                <c:pt idx="8">
                  <c:v>1246519883.8219993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8B-4816-B55E-9CA300298653}"/>
            </c:ext>
          </c:extLst>
        </c:ser>
        <c:ser>
          <c:idx val="0"/>
          <c:order val="1"/>
          <c:tx>
            <c:strRef>
              <c:f>'Model Summary'!$D$3</c:f>
              <c:strCache>
                <c:ptCount val="1"/>
                <c:pt idx="0">
                  <c:v>Predicted</c:v>
                </c:pt>
              </c:strCache>
            </c:strRef>
          </c:tx>
          <c:spPr>
            <a:ln w="19050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'Model Summary'!$B$5:$B$13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'Model Summary'!$D$5:$D$13</c:f>
              <c:numCache>
                <c:formatCode>#,##0</c:formatCode>
                <c:ptCount val="9"/>
                <c:pt idx="0">
                  <c:v>1069066504.7309597</c:v>
                </c:pt>
                <c:pt idx="1">
                  <c:v>1156169900.9343104</c:v>
                </c:pt>
                <c:pt idx="2">
                  <c:v>1128726327.6686883</c:v>
                </c:pt>
                <c:pt idx="3">
                  <c:v>1187569704.1857302</c:v>
                </c:pt>
                <c:pt idx="4">
                  <c:v>1213187347.0834367</c:v>
                </c:pt>
                <c:pt idx="5">
                  <c:v>1217784637.3539076</c:v>
                </c:pt>
                <c:pt idx="6">
                  <c:v>1162017529.1679668</c:v>
                </c:pt>
                <c:pt idx="7">
                  <c:v>1201977743.1090419</c:v>
                </c:pt>
                <c:pt idx="8">
                  <c:v>1242751060.8414857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8B-4816-B55E-9CA300298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336256"/>
        <c:axId val="176354432"/>
      </c:lineChart>
      <c:catAx>
        <c:axId val="17633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354432"/>
        <c:crosses val="autoZero"/>
        <c:auto val="1"/>
        <c:lblAlgn val="ctr"/>
        <c:lblOffset val="100"/>
        <c:noMultiLvlLbl val="0"/>
      </c:catAx>
      <c:valAx>
        <c:axId val="17635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33625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1715721957119594"/>
          <c:y val="0.88854677939255144"/>
          <c:w val="0.24757020584833503"/>
          <c:h val="0.111453207686194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GS&lt;50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Summary'!$I$3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Summary'!$H$5:$H$13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'Model Summary'!$I$5:$I$13</c:f>
              <c:numCache>
                <c:formatCode>#,##0</c:formatCode>
                <c:ptCount val="9"/>
                <c:pt idx="0">
                  <c:v>387915717.43833762</c:v>
                </c:pt>
                <c:pt idx="1">
                  <c:v>406063921.14351928</c:v>
                </c:pt>
                <c:pt idx="2">
                  <c:v>403942334.58712649</c:v>
                </c:pt>
                <c:pt idx="3">
                  <c:v>384605406.35550404</c:v>
                </c:pt>
                <c:pt idx="4">
                  <c:v>392400911.15456241</c:v>
                </c:pt>
                <c:pt idx="5">
                  <c:v>418725196.61535454</c:v>
                </c:pt>
                <c:pt idx="6">
                  <c:v>416649281.82513767</c:v>
                </c:pt>
                <c:pt idx="7">
                  <c:v>424203695.49462956</c:v>
                </c:pt>
                <c:pt idx="8">
                  <c:v>440351101.09152019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49-4DF8-BB13-414F3FA7538F}"/>
            </c:ext>
          </c:extLst>
        </c:ser>
        <c:ser>
          <c:idx val="2"/>
          <c:order val="1"/>
          <c:tx>
            <c:strRef>
              <c:f>'Model Summary'!$J$3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Summary'!$H$5:$H$13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'Model Summary'!$J$5:$J$13</c:f>
              <c:numCache>
                <c:formatCode>#,##0</c:formatCode>
                <c:ptCount val="9"/>
                <c:pt idx="0">
                  <c:v>387538874.22601056</c:v>
                </c:pt>
                <c:pt idx="1">
                  <c:v>407660712.10416728</c:v>
                </c:pt>
                <c:pt idx="2">
                  <c:v>405610412.77848178</c:v>
                </c:pt>
                <c:pt idx="3">
                  <c:v>380937054.53456807</c:v>
                </c:pt>
                <c:pt idx="4">
                  <c:v>396679770.1544196</c:v>
                </c:pt>
                <c:pt idx="5">
                  <c:v>415234434.45908695</c:v>
                </c:pt>
                <c:pt idx="6">
                  <c:v>417871149.01915395</c:v>
                </c:pt>
                <c:pt idx="7">
                  <c:v>427076344.32306999</c:v>
                </c:pt>
                <c:pt idx="8">
                  <c:v>436621608.59256756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49-4DF8-BB13-414F3FA75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999616"/>
        <c:axId val="176009600"/>
      </c:lineChart>
      <c:catAx>
        <c:axId val="17599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009600"/>
        <c:crosses val="autoZero"/>
        <c:auto val="1"/>
        <c:lblAlgn val="ctr"/>
        <c:lblOffset val="100"/>
        <c:noMultiLvlLbl val="0"/>
      </c:catAx>
      <c:valAx>
        <c:axId val="1760096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59996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GS&gt;50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Summary'!$O$3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Summary'!$N$5:$N$13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'Model Summary'!$O$5:$O$13</c:f>
              <c:numCache>
                <c:formatCode>#,##0</c:formatCode>
                <c:ptCount val="9"/>
                <c:pt idx="0">
                  <c:v>1478802060.3714433</c:v>
                </c:pt>
                <c:pt idx="1">
                  <c:v>1531749984.2682638</c:v>
                </c:pt>
                <c:pt idx="2">
                  <c:v>1465919870.9097455</c:v>
                </c:pt>
                <c:pt idx="3">
                  <c:v>1430777478.4494934</c:v>
                </c:pt>
                <c:pt idx="4">
                  <c:v>1457908039.6216164</c:v>
                </c:pt>
                <c:pt idx="5">
                  <c:v>1508808583.1234202</c:v>
                </c:pt>
                <c:pt idx="6">
                  <c:v>1491054781.6035359</c:v>
                </c:pt>
                <c:pt idx="7">
                  <c:v>1544629363.5480573</c:v>
                </c:pt>
                <c:pt idx="8">
                  <c:v>1579092812.9397707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01-45C4-9E84-D2732F09EE2B}"/>
            </c:ext>
          </c:extLst>
        </c:ser>
        <c:ser>
          <c:idx val="2"/>
          <c:order val="1"/>
          <c:tx>
            <c:strRef>
              <c:f>'Model Summary'!$P$3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Summary'!$N$5:$N$13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'Model Summary'!$P$5:$P$13</c:f>
              <c:numCache>
                <c:formatCode>#,##0</c:formatCode>
                <c:ptCount val="9"/>
                <c:pt idx="0">
                  <c:v>1470493396.4167402</c:v>
                </c:pt>
                <c:pt idx="1">
                  <c:v>1511559260.7052591</c:v>
                </c:pt>
                <c:pt idx="2">
                  <c:v>1500141622.7587774</c:v>
                </c:pt>
                <c:pt idx="3">
                  <c:v>1426757978.6244574</c:v>
                </c:pt>
                <c:pt idx="4">
                  <c:v>1454414923.9364104</c:v>
                </c:pt>
                <c:pt idx="5">
                  <c:v>1501020669.6638584</c:v>
                </c:pt>
                <c:pt idx="6">
                  <c:v>1521171397.8200452</c:v>
                </c:pt>
                <c:pt idx="7">
                  <c:v>1544061853.8162751</c:v>
                </c:pt>
                <c:pt idx="8">
                  <c:v>1557283145.398442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01-45C4-9E84-D2732F09E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GS&gt;1,000</a:t>
            </a:r>
            <a:r>
              <a:rPr lang="en-US" baseline="0"/>
              <a:t> Co Gen</a:t>
            </a:r>
            <a:r>
              <a:rPr lang="en-US"/>
              <a:t>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Summary'!$U$3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Summary'!$T$5:$T$13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'Model Summary'!$U$5:$U$13</c:f>
              <c:numCache>
                <c:formatCode>#,##0</c:formatCode>
                <c:ptCount val="9"/>
                <c:pt idx="0">
                  <c:v>47373109.97600574</c:v>
                </c:pt>
                <c:pt idx="1">
                  <c:v>48307539.313487798</c:v>
                </c:pt>
                <c:pt idx="2">
                  <c:v>36105434.191459</c:v>
                </c:pt>
                <c:pt idx="3">
                  <c:v>37681007.836216092</c:v>
                </c:pt>
                <c:pt idx="4">
                  <c:v>29211107.872529332</c:v>
                </c:pt>
                <c:pt idx="5">
                  <c:v>44333921.77486074</c:v>
                </c:pt>
                <c:pt idx="6">
                  <c:v>53313354.132286042</c:v>
                </c:pt>
                <c:pt idx="7">
                  <c:v>36634929.320410475</c:v>
                </c:pt>
                <c:pt idx="8">
                  <c:v>33511507.784232348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AF-43B6-9C7A-960E440F0432}"/>
            </c:ext>
          </c:extLst>
        </c:ser>
        <c:ser>
          <c:idx val="2"/>
          <c:order val="1"/>
          <c:tx>
            <c:strRef>
              <c:f>'Model Summary'!$V$3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Summary'!$T$5:$T$13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'Model Summary'!$V$5:$V$13</c:f>
              <c:numCache>
                <c:formatCode>#,##0</c:formatCode>
                <c:ptCount val="9"/>
                <c:pt idx="0">
                  <c:v>39169626.266912356</c:v>
                </c:pt>
                <c:pt idx="1">
                  <c:v>42057442.913294002</c:v>
                </c:pt>
                <c:pt idx="2">
                  <c:v>39258099.745497003</c:v>
                </c:pt>
                <c:pt idx="3">
                  <c:v>40793547.584061734</c:v>
                </c:pt>
                <c:pt idx="4">
                  <c:v>41167876.416162841</c:v>
                </c:pt>
                <c:pt idx="5">
                  <c:v>39999684.82987415</c:v>
                </c:pt>
                <c:pt idx="6">
                  <c:v>38607159.477297187</c:v>
                </c:pt>
                <c:pt idx="7">
                  <c:v>41216756.697618522</c:v>
                </c:pt>
                <c:pt idx="8">
                  <c:v>40912116.762837455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AF-43B6-9C7A-960E440F0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Large Use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Summary'!$AA$3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Summary'!$Z$5:$Z$13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'Model Summary'!$AA$5:$AA$13</c:f>
              <c:numCache>
                <c:formatCode>#,##0</c:formatCode>
                <c:ptCount val="9"/>
                <c:pt idx="0">
                  <c:v>118024543.99133827</c:v>
                </c:pt>
                <c:pt idx="1">
                  <c:v>119580613.2327572</c:v>
                </c:pt>
                <c:pt idx="2">
                  <c:v>114324759.87923737</c:v>
                </c:pt>
                <c:pt idx="3">
                  <c:v>105806984.8716343</c:v>
                </c:pt>
                <c:pt idx="4">
                  <c:v>116097389.88569362</c:v>
                </c:pt>
                <c:pt idx="5">
                  <c:v>129838256.69019155</c:v>
                </c:pt>
                <c:pt idx="6">
                  <c:v>170966069.02292144</c:v>
                </c:pt>
                <c:pt idx="7">
                  <c:v>180773987.85934609</c:v>
                </c:pt>
                <c:pt idx="8">
                  <c:v>178708884.95096678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93-4DF1-B3CA-EE4BFED301D7}"/>
            </c:ext>
          </c:extLst>
        </c:ser>
        <c:ser>
          <c:idx val="2"/>
          <c:order val="1"/>
          <c:tx>
            <c:strRef>
              <c:f>'Model Summary'!$AB$3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Summary'!$Z$5:$Z$13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'Model Summary'!$AB$5:$AB$13</c:f>
              <c:numCache>
                <c:formatCode>#,##0</c:formatCode>
                <c:ptCount val="9"/>
                <c:pt idx="0">
                  <c:v>112359983.19982857</c:v>
                </c:pt>
                <c:pt idx="1">
                  <c:v>117413889.25337362</c:v>
                </c:pt>
                <c:pt idx="2">
                  <c:v>117203905.75590041</c:v>
                </c:pt>
                <c:pt idx="3">
                  <c:v>114945233.62930442</c:v>
                </c:pt>
                <c:pt idx="4">
                  <c:v>118439346.2114346</c:v>
                </c:pt>
                <c:pt idx="5">
                  <c:v>133302194.91119091</c:v>
                </c:pt>
                <c:pt idx="6">
                  <c:v>168968750.13194939</c:v>
                </c:pt>
                <c:pt idx="7">
                  <c:v>173673833.26280004</c:v>
                </c:pt>
                <c:pt idx="8">
                  <c:v>175630781.05702603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93-4DF1-B3CA-EE4BFED30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Residential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'Res Normalized Monthly'!$D$1</c:f>
              <c:strCache>
                <c:ptCount val="1"/>
                <c:pt idx="0">
                  <c:v> Res_NoCDM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'Res Normalized Monthly'!$A$2:$A$145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'Res Normalized Monthly'!$D$2:$D$145</c:f>
              <c:numCache>
                <c:formatCode>_(* #,##0.00_);_(* \(#,##0.00\);_(* "-"??_);_(@_)</c:formatCode>
                <c:ptCount val="144"/>
                <c:pt idx="0">
                  <c:v>96528111.989106089</c:v>
                </c:pt>
                <c:pt idx="1">
                  <c:v>81300090.78765358</c:v>
                </c:pt>
                <c:pt idx="2">
                  <c:v>87978694.586201057</c:v>
                </c:pt>
                <c:pt idx="3">
                  <c:v>73074109.384748533</c:v>
                </c:pt>
                <c:pt idx="4">
                  <c:v>74177213.18329601</c:v>
                </c:pt>
                <c:pt idx="5">
                  <c:v>91127350.981843486</c:v>
                </c:pt>
                <c:pt idx="6">
                  <c:v>108227347.78039098</c:v>
                </c:pt>
                <c:pt idx="7">
                  <c:v>95371179.578938454</c:v>
                </c:pt>
                <c:pt idx="8">
                  <c:v>89157887.377485931</c:v>
                </c:pt>
                <c:pt idx="9">
                  <c:v>77506626.176033407</c:v>
                </c:pt>
                <c:pt idx="10">
                  <c:v>84425507.974580884</c:v>
                </c:pt>
                <c:pt idx="11">
                  <c:v>102733791.77312838</c:v>
                </c:pt>
                <c:pt idx="12">
                  <c:v>104765390.03404444</c:v>
                </c:pt>
                <c:pt idx="13">
                  <c:v>87909194.787768081</c:v>
                </c:pt>
                <c:pt idx="14">
                  <c:v>91818531.541491702</c:v>
                </c:pt>
                <c:pt idx="15">
                  <c:v>83778021.295215338</c:v>
                </c:pt>
                <c:pt idx="16">
                  <c:v>84852159.04893896</c:v>
                </c:pt>
                <c:pt idx="17">
                  <c:v>96396686.802662596</c:v>
                </c:pt>
                <c:pt idx="18">
                  <c:v>120736313.55638622</c:v>
                </c:pt>
                <c:pt idx="19">
                  <c:v>119361439.31010985</c:v>
                </c:pt>
                <c:pt idx="20">
                  <c:v>98395160.063833475</c:v>
                </c:pt>
                <c:pt idx="21">
                  <c:v>83137429.817557111</c:v>
                </c:pt>
                <c:pt idx="22">
                  <c:v>90326715.571280748</c:v>
                </c:pt>
                <c:pt idx="23">
                  <c:v>102342861.32500437</c:v>
                </c:pt>
                <c:pt idx="24">
                  <c:v>105416679.01993552</c:v>
                </c:pt>
                <c:pt idx="25">
                  <c:v>92620975.343300313</c:v>
                </c:pt>
                <c:pt idx="26">
                  <c:v>94241177.603081301</c:v>
                </c:pt>
                <c:pt idx="27">
                  <c:v>79477048.429578483</c:v>
                </c:pt>
                <c:pt idx="28">
                  <c:v>75969863.614056066</c:v>
                </c:pt>
                <c:pt idx="29">
                  <c:v>87994636.970840842</c:v>
                </c:pt>
                <c:pt idx="30">
                  <c:v>127394508.16810884</c:v>
                </c:pt>
                <c:pt idx="31">
                  <c:v>109911720.39383872</c:v>
                </c:pt>
                <c:pt idx="32">
                  <c:v>86984748.548102602</c:v>
                </c:pt>
                <c:pt idx="33">
                  <c:v>79074026.821383372</c:v>
                </c:pt>
                <c:pt idx="34">
                  <c:v>88890436.20814155</c:v>
                </c:pt>
                <c:pt idx="35">
                  <c:v>99357327.710085541</c:v>
                </c:pt>
                <c:pt idx="36">
                  <c:v>97545951.767339185</c:v>
                </c:pt>
                <c:pt idx="37">
                  <c:v>91493578.994513884</c:v>
                </c:pt>
                <c:pt idx="38">
                  <c:v>91571517.654991493</c:v>
                </c:pt>
                <c:pt idx="39">
                  <c:v>85758313.193750188</c:v>
                </c:pt>
                <c:pt idx="40">
                  <c:v>92128124.461526498</c:v>
                </c:pt>
                <c:pt idx="41">
                  <c:v>112735350.78716789</c:v>
                </c:pt>
                <c:pt idx="42">
                  <c:v>146625970.2936959</c:v>
                </c:pt>
                <c:pt idx="43">
                  <c:v>120844372.34821889</c:v>
                </c:pt>
                <c:pt idx="44">
                  <c:v>87619165.062130496</c:v>
                </c:pt>
                <c:pt idx="45">
                  <c:v>83474979.349141687</c:v>
                </c:pt>
                <c:pt idx="46">
                  <c:v>86270435.371089891</c:v>
                </c:pt>
                <c:pt idx="47">
                  <c:v>104207857.30909689</c:v>
                </c:pt>
                <c:pt idx="48">
                  <c:v>105751345.12864499</c:v>
                </c:pt>
                <c:pt idx="49">
                  <c:v>98306877.169293538</c:v>
                </c:pt>
                <c:pt idx="50">
                  <c:v>91973029.250623286</c:v>
                </c:pt>
                <c:pt idx="51">
                  <c:v>82981156.929550335</c:v>
                </c:pt>
                <c:pt idx="52">
                  <c:v>91340076.58452858</c:v>
                </c:pt>
                <c:pt idx="53">
                  <c:v>115361515.82174373</c:v>
                </c:pt>
                <c:pt idx="54">
                  <c:v>119528701.30399828</c:v>
                </c:pt>
                <c:pt idx="55">
                  <c:v>132199542.12188883</c:v>
                </c:pt>
                <c:pt idx="56">
                  <c:v>92658508.505937979</c:v>
                </c:pt>
                <c:pt idx="57">
                  <c:v>87440775.674946621</c:v>
                </c:pt>
                <c:pt idx="58">
                  <c:v>89753400.674855173</c:v>
                </c:pt>
                <c:pt idx="59">
                  <c:v>101925936.95283271</c:v>
                </c:pt>
                <c:pt idx="60">
                  <c:v>113400436.11189753</c:v>
                </c:pt>
                <c:pt idx="61">
                  <c:v>98271140.502125725</c:v>
                </c:pt>
                <c:pt idx="62">
                  <c:v>97810437.164043024</c:v>
                </c:pt>
                <c:pt idx="63">
                  <c:v>85783051.575556532</c:v>
                </c:pt>
                <c:pt idx="64">
                  <c:v>89296731.492021337</c:v>
                </c:pt>
                <c:pt idx="65">
                  <c:v>104358390.42752253</c:v>
                </c:pt>
                <c:pt idx="66">
                  <c:v>125884000.32741234</c:v>
                </c:pt>
                <c:pt idx="67">
                  <c:v>121150244.47990614</c:v>
                </c:pt>
                <c:pt idx="68">
                  <c:v>95896085.279471442</c:v>
                </c:pt>
                <c:pt idx="69">
                  <c:v>82407651.875134245</c:v>
                </c:pt>
                <c:pt idx="70">
                  <c:v>87684954.067774549</c:v>
                </c:pt>
                <c:pt idx="71">
                  <c:v>104600325.92757934</c:v>
                </c:pt>
                <c:pt idx="72">
                  <c:v>101095920.38269933</c:v>
                </c:pt>
                <c:pt idx="73">
                  <c:v>91047446.956413373</c:v>
                </c:pt>
                <c:pt idx="74">
                  <c:v>95849298.594118595</c:v>
                </c:pt>
                <c:pt idx="75">
                  <c:v>84098508.162623033</c:v>
                </c:pt>
                <c:pt idx="76">
                  <c:v>84438333.862071276</c:v>
                </c:pt>
                <c:pt idx="77">
                  <c:v>97286503.750689998</c:v>
                </c:pt>
                <c:pt idx="78">
                  <c:v>121481480.73199384</c:v>
                </c:pt>
                <c:pt idx="79">
                  <c:v>106591355.68128458</c:v>
                </c:pt>
                <c:pt idx="80">
                  <c:v>94551964.486079708</c:v>
                </c:pt>
                <c:pt idx="81">
                  <c:v>87394678.400082737</c:v>
                </c:pt>
                <c:pt idx="82">
                  <c:v>90724734.418044969</c:v>
                </c:pt>
                <c:pt idx="83">
                  <c:v>100027267.37958151</c:v>
                </c:pt>
                <c:pt idx="84">
                  <c:v>107987271.15008742</c:v>
                </c:pt>
                <c:pt idx="85">
                  <c:v>93237063.884746984</c:v>
                </c:pt>
                <c:pt idx="86">
                  <c:v>94045575.889152646</c:v>
                </c:pt>
                <c:pt idx="87">
                  <c:v>82535428.2478275</c:v>
                </c:pt>
                <c:pt idx="88">
                  <c:v>90145540.473728657</c:v>
                </c:pt>
                <c:pt idx="89">
                  <c:v>111435063.72212371</c:v>
                </c:pt>
                <c:pt idx="90">
                  <c:v>130191861.16614237</c:v>
                </c:pt>
                <c:pt idx="91">
                  <c:v>120170576.65742104</c:v>
                </c:pt>
                <c:pt idx="92">
                  <c:v>100285392.95244572</c:v>
                </c:pt>
                <c:pt idx="93">
                  <c:v>83692326.02029407</c:v>
                </c:pt>
                <c:pt idx="94">
                  <c:v>88124968.455559433</c:v>
                </c:pt>
                <c:pt idx="95">
                  <c:v>107392341.21479669</c:v>
                </c:pt>
                <c:pt idx="96">
                  <c:v>113660418.88730848</c:v>
                </c:pt>
                <c:pt idx="97">
                  <c:v>99387988.37269628</c:v>
                </c:pt>
                <c:pt idx="98">
                  <c:v>96704636.918613061</c:v>
                </c:pt>
                <c:pt idx="99">
                  <c:v>85992221.873758852</c:v>
                </c:pt>
                <c:pt idx="100">
                  <c:v>84993551.117046133</c:v>
                </c:pt>
                <c:pt idx="101">
                  <c:v>115056173.48231643</c:v>
                </c:pt>
                <c:pt idx="102">
                  <c:v>140976675.19585302</c:v>
                </c:pt>
                <c:pt idx="103">
                  <c:v>121948218.3047366</c:v>
                </c:pt>
                <c:pt idx="104">
                  <c:v>95222363.852296785</c:v>
                </c:pt>
                <c:pt idx="105">
                  <c:v>87631115.335631788</c:v>
                </c:pt>
                <c:pt idx="106">
                  <c:v>93364815.512638971</c:v>
                </c:pt>
                <c:pt idx="107">
                  <c:v>111581704.96910296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11-42B8-9E06-6EB880D1DA70}"/>
            </c:ext>
          </c:extLst>
        </c:ser>
        <c:ser>
          <c:idx val="1"/>
          <c:order val="1"/>
          <c:tx>
            <c:strRef>
              <c:f>'Res Normalized Monthly'!$W$1</c:f>
              <c:strCache>
                <c:ptCount val="1"/>
                <c:pt idx="0">
                  <c:v>WN 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'Res Normalized Monthly'!$A$2:$A$145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'Res Normalized Monthly'!$W$2:$W$145</c:f>
              <c:numCache>
                <c:formatCode>_(* #,##0.00_);_(* \(#,##0.00\);_(* "-"??_);_(@_)</c:formatCode>
                <c:ptCount val="144"/>
                <c:pt idx="0">
                  <c:v>97106046.791409701</c:v>
                </c:pt>
                <c:pt idx="1">
                  <c:v>84769355.354482979</c:v>
                </c:pt>
                <c:pt idx="2">
                  <c:v>87512861.573703676</c:v>
                </c:pt>
                <c:pt idx="3">
                  <c:v>76177244.908969223</c:v>
                </c:pt>
                <c:pt idx="4">
                  <c:v>78698483.396453232</c:v>
                </c:pt>
                <c:pt idx="5">
                  <c:v>97131259.74498491</c:v>
                </c:pt>
                <c:pt idx="6">
                  <c:v>118853133.34595318</c:v>
                </c:pt>
                <c:pt idx="7">
                  <c:v>109434782.03918543</c:v>
                </c:pt>
                <c:pt idx="8">
                  <c:v>86960992.022512421</c:v>
                </c:pt>
                <c:pt idx="9">
                  <c:v>77399717.704076156</c:v>
                </c:pt>
                <c:pt idx="10">
                  <c:v>80658648.978655696</c:v>
                </c:pt>
                <c:pt idx="11">
                  <c:v>96718725.065818399</c:v>
                </c:pt>
                <c:pt idx="12">
                  <c:v>98758231.406527758</c:v>
                </c:pt>
                <c:pt idx="13">
                  <c:v>86396865.766866326</c:v>
                </c:pt>
                <c:pt idx="14">
                  <c:v>89123593.528227389</c:v>
                </c:pt>
                <c:pt idx="15">
                  <c:v>77830416.492196679</c:v>
                </c:pt>
                <c:pt idx="16">
                  <c:v>80404951.257587701</c:v>
                </c:pt>
                <c:pt idx="17">
                  <c:v>98876219.362385586</c:v>
                </c:pt>
                <c:pt idx="18">
                  <c:v>120648428.3369327</c:v>
                </c:pt>
                <c:pt idx="19">
                  <c:v>111121510.53813213</c:v>
                </c:pt>
                <c:pt idx="20">
                  <c:v>88661538.074990585</c:v>
                </c:pt>
                <c:pt idx="21">
                  <c:v>79211791.152915314</c:v>
                </c:pt>
                <c:pt idx="22">
                  <c:v>82352286.254368097</c:v>
                </c:pt>
                <c:pt idx="23">
                  <c:v>98409401.437202662</c:v>
                </c:pt>
                <c:pt idx="24">
                  <c:v>100430155.38383362</c:v>
                </c:pt>
                <c:pt idx="25">
                  <c:v>88071750.648500353</c:v>
                </c:pt>
                <c:pt idx="26">
                  <c:v>90739260.323298037</c:v>
                </c:pt>
                <c:pt idx="27">
                  <c:v>79520105.895471543</c:v>
                </c:pt>
                <c:pt idx="28">
                  <c:v>82018644.116439581</c:v>
                </c:pt>
                <c:pt idx="29">
                  <c:v>100434642.00711165</c:v>
                </c:pt>
                <c:pt idx="30">
                  <c:v>122208824.91787757</c:v>
                </c:pt>
                <c:pt idx="31">
                  <c:v>112621702.06440419</c:v>
                </c:pt>
                <c:pt idx="32">
                  <c:v>90231804.337029323</c:v>
                </c:pt>
                <c:pt idx="33">
                  <c:v>80636973.102873787</c:v>
                </c:pt>
                <c:pt idx="34">
                  <c:v>83815959.960592777</c:v>
                </c:pt>
                <c:pt idx="35">
                  <c:v>99867153.334771007</c:v>
                </c:pt>
                <c:pt idx="36">
                  <c:v>101891855.1538395</c:v>
                </c:pt>
                <c:pt idx="37">
                  <c:v>91690615.918848678</c:v>
                </c:pt>
                <c:pt idx="38">
                  <c:v>94958541.100642562</c:v>
                </c:pt>
                <c:pt idx="39">
                  <c:v>84848422.601453513</c:v>
                </c:pt>
                <c:pt idx="40">
                  <c:v>87813139.196177915</c:v>
                </c:pt>
                <c:pt idx="41">
                  <c:v>105870634.24821965</c:v>
                </c:pt>
                <c:pt idx="42">
                  <c:v>129185130.06754355</c:v>
                </c:pt>
                <c:pt idx="43">
                  <c:v>118886851.83653869</c:v>
                </c:pt>
                <c:pt idx="44">
                  <c:v>94481285.775351629</c:v>
                </c:pt>
                <c:pt idx="45">
                  <c:v>83860422.748073146</c:v>
                </c:pt>
                <c:pt idx="46">
                  <c:v>87566640.296284333</c:v>
                </c:pt>
                <c:pt idx="47">
                  <c:v>104437898.79953276</c:v>
                </c:pt>
                <c:pt idx="48">
                  <c:v>106841883.51814978</c:v>
                </c:pt>
                <c:pt idx="49">
                  <c:v>94090896.179625303</c:v>
                </c:pt>
                <c:pt idx="50">
                  <c:v>96508081.032384127</c:v>
                </c:pt>
                <c:pt idx="51">
                  <c:v>84482419.491176039</c:v>
                </c:pt>
                <c:pt idx="52">
                  <c:v>87159763.653005838</c:v>
                </c:pt>
                <c:pt idx="53">
                  <c:v>107478405.29841517</c:v>
                </c:pt>
                <c:pt idx="54">
                  <c:v>130771187.81933253</c:v>
                </c:pt>
                <c:pt idx="55">
                  <c:v>120498570.75917177</c:v>
                </c:pt>
                <c:pt idx="56">
                  <c:v>96090043.793656543</c:v>
                </c:pt>
                <c:pt idx="57">
                  <c:v>85536294.597816572</c:v>
                </c:pt>
                <c:pt idx="58">
                  <c:v>89183294.05946438</c:v>
                </c:pt>
                <c:pt idx="59">
                  <c:v>106324981.82468553</c:v>
                </c:pt>
                <c:pt idx="60">
                  <c:v>107100770.99900363</c:v>
                </c:pt>
                <c:pt idx="61">
                  <c:v>94493765.652277097</c:v>
                </c:pt>
                <c:pt idx="62">
                  <c:v>97070163.315829292</c:v>
                </c:pt>
                <c:pt idx="63">
                  <c:v>85523258.391680345</c:v>
                </c:pt>
                <c:pt idx="64">
                  <c:v>87827446.251629725</c:v>
                </c:pt>
                <c:pt idx="65">
                  <c:v>107203648.73265496</c:v>
                </c:pt>
                <c:pt idx="66">
                  <c:v>129684822.13869892</c:v>
                </c:pt>
                <c:pt idx="67">
                  <c:v>119817624.65682811</c:v>
                </c:pt>
                <c:pt idx="68">
                  <c:v>96399659.916304663</c:v>
                </c:pt>
                <c:pt idx="69">
                  <c:v>86451208.135254085</c:v>
                </c:pt>
                <c:pt idx="70">
                  <c:v>90063568.853034124</c:v>
                </c:pt>
                <c:pt idx="71">
                  <c:v>106522820.85552868</c:v>
                </c:pt>
                <c:pt idx="72">
                  <c:v>106979675.75774249</c:v>
                </c:pt>
                <c:pt idx="73">
                  <c:v>94603505.596440226</c:v>
                </c:pt>
                <c:pt idx="74">
                  <c:v>97263119.526362807</c:v>
                </c:pt>
                <c:pt idx="75">
                  <c:v>85867297.806955576</c:v>
                </c:pt>
                <c:pt idx="76">
                  <c:v>88322409.431110471</c:v>
                </c:pt>
                <c:pt idx="77">
                  <c:v>106753211.84342338</c:v>
                </c:pt>
                <c:pt idx="78">
                  <c:v>128381323.47399963</c:v>
                </c:pt>
                <c:pt idx="79">
                  <c:v>118799135.46107322</c:v>
                </c:pt>
                <c:pt idx="80">
                  <c:v>96280931.879477724</c:v>
                </c:pt>
                <c:pt idx="81">
                  <c:v>86706826.975619391</c:v>
                </c:pt>
                <c:pt idx="82">
                  <c:v>89853243.885728508</c:v>
                </c:pt>
                <c:pt idx="83">
                  <c:v>105923189.65398511</c:v>
                </c:pt>
                <c:pt idx="84">
                  <c:v>107918282.42977193</c:v>
                </c:pt>
                <c:pt idx="85">
                  <c:v>97730860.748312578</c:v>
                </c:pt>
                <c:pt idx="86">
                  <c:v>98162247.474016666</c:v>
                </c:pt>
                <c:pt idx="87">
                  <c:v>86952962.727284074</c:v>
                </c:pt>
                <c:pt idx="88">
                  <c:v>89304442.699953049</c:v>
                </c:pt>
                <c:pt idx="89">
                  <c:v>107665170.37649931</c:v>
                </c:pt>
                <c:pt idx="90">
                  <c:v>129397900.62667085</c:v>
                </c:pt>
                <c:pt idx="91">
                  <c:v>119790051.44290033</c:v>
                </c:pt>
                <c:pt idx="92">
                  <c:v>97380414.353337631</c:v>
                </c:pt>
                <c:pt idx="93">
                  <c:v>87789530.991619691</c:v>
                </c:pt>
                <c:pt idx="94">
                  <c:v>90879690.719493598</c:v>
                </c:pt>
                <c:pt idx="95">
                  <c:v>106838109.09138921</c:v>
                </c:pt>
                <c:pt idx="96">
                  <c:v>108841097.61205113</c:v>
                </c:pt>
                <c:pt idx="97">
                  <c:v>96392878.778763443</c:v>
                </c:pt>
                <c:pt idx="98">
                  <c:v>99061375.421670526</c:v>
                </c:pt>
                <c:pt idx="99">
                  <c:v>87725758.756936073</c:v>
                </c:pt>
                <c:pt idx="100">
                  <c:v>90116717.453980625</c:v>
                </c:pt>
                <c:pt idx="101">
                  <c:v>108551467.7387311</c:v>
                </c:pt>
                <c:pt idx="102">
                  <c:v>130172670.59254162</c:v>
                </c:pt>
                <c:pt idx="103">
                  <c:v>120543108.11036453</c:v>
                </c:pt>
                <c:pt idx="104">
                  <c:v>98129523.148364291</c:v>
                </c:pt>
                <c:pt idx="105">
                  <c:v>88447838.7205825</c:v>
                </c:pt>
                <c:pt idx="106">
                  <c:v>91622877.705863923</c:v>
                </c:pt>
                <c:pt idx="107">
                  <c:v>107627683.57890084</c:v>
                </c:pt>
                <c:pt idx="108">
                  <c:v>109817250.36328188</c:v>
                </c:pt>
                <c:pt idx="109">
                  <c:v>97420457.811454713</c:v>
                </c:pt>
                <c:pt idx="110">
                  <c:v>100153286.03884479</c:v>
                </c:pt>
                <c:pt idx="111">
                  <c:v>88875166.951751322</c:v>
                </c:pt>
                <c:pt idx="112">
                  <c:v>91341463.474689633</c:v>
                </c:pt>
                <c:pt idx="113">
                  <c:v>109817082.5761856</c:v>
                </c:pt>
                <c:pt idx="114">
                  <c:v>131534499.38798125</c:v>
                </c:pt>
                <c:pt idx="115">
                  <c:v>121998264.93904495</c:v>
                </c:pt>
                <c:pt idx="116">
                  <c:v>99523129.04920207</c:v>
                </c:pt>
                <c:pt idx="117">
                  <c:v>89929987.930839136</c:v>
                </c:pt>
                <c:pt idx="118">
                  <c:v>93070274.349080384</c:v>
                </c:pt>
                <c:pt idx="119">
                  <c:v>109104555.77201933</c:v>
                </c:pt>
                <c:pt idx="120">
                  <c:v>111102551.20124063</c:v>
                </c:pt>
                <c:pt idx="121">
                  <c:v>98706658.722033799</c:v>
                </c:pt>
                <c:pt idx="122">
                  <c:v>101440387.65234852</c:v>
                </c:pt>
                <c:pt idx="123">
                  <c:v>90163169.898925483</c:v>
                </c:pt>
                <c:pt idx="124">
                  <c:v>92630368.386721671</c:v>
                </c:pt>
                <c:pt idx="125">
                  <c:v>111106890.08470498</c:v>
                </c:pt>
                <c:pt idx="126">
                  <c:v>132825210.12505974</c:v>
                </c:pt>
                <c:pt idx="127">
                  <c:v>123289879.53719696</c:v>
                </c:pt>
                <c:pt idx="128">
                  <c:v>100815648.14138494</c:v>
                </c:pt>
                <c:pt idx="129">
                  <c:v>91223412.150453463</c:v>
                </c:pt>
                <c:pt idx="130">
                  <c:v>94364604.32997033</c:v>
                </c:pt>
                <c:pt idx="131">
                  <c:v>110399792.14847291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11-42B8-9E06-6EB880D1D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750976"/>
        <c:axId val="176752512"/>
      </c:lineChart>
      <c:dateAx>
        <c:axId val="17675097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752512"/>
        <c:crosses val="autoZero"/>
        <c:auto val="1"/>
        <c:lblOffset val="100"/>
        <c:baseTimeUnit val="months"/>
      </c:dateAx>
      <c:valAx>
        <c:axId val="17675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750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&lt; 50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'GS&lt;50 Normalized Monthly'!$D$1</c:f>
              <c:strCache>
                <c:ptCount val="1"/>
                <c:pt idx="0">
                  <c:v> GS_lt_50_NoCDM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'GS&lt;50 Normalized Monthly'!$A$2:$A$145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'GS&lt;50 Normalized Monthly'!$D$2:$D$145</c:f>
              <c:numCache>
                <c:formatCode>_(* #,##0.00_);_(* \(#,##0.00\);_(* "-"??_);_(@_)</c:formatCode>
                <c:ptCount val="144"/>
                <c:pt idx="0">
                  <c:v>34683049.001843154</c:v>
                </c:pt>
                <c:pt idx="1">
                  <c:v>31630788.735422239</c:v>
                </c:pt>
                <c:pt idx="2">
                  <c:v>33721872.46900133</c:v>
                </c:pt>
                <c:pt idx="3">
                  <c:v>29000476.202580415</c:v>
                </c:pt>
                <c:pt idx="4">
                  <c:v>30141065.936159503</c:v>
                </c:pt>
                <c:pt idx="5">
                  <c:v>32275893.669738587</c:v>
                </c:pt>
                <c:pt idx="6">
                  <c:v>35056085.403317675</c:v>
                </c:pt>
                <c:pt idx="7">
                  <c:v>33724240.136896759</c:v>
                </c:pt>
                <c:pt idx="8">
                  <c:v>31894077.870475851</c:v>
                </c:pt>
                <c:pt idx="9">
                  <c:v>30146026.604054935</c:v>
                </c:pt>
                <c:pt idx="10">
                  <c:v>31440394.337634023</c:v>
                </c:pt>
                <c:pt idx="11">
                  <c:v>34201747.071213111</c:v>
                </c:pt>
                <c:pt idx="12">
                  <c:v>37147855.281969562</c:v>
                </c:pt>
                <c:pt idx="13">
                  <c:v>32130532.581361752</c:v>
                </c:pt>
                <c:pt idx="14">
                  <c:v>34082211.880753942</c:v>
                </c:pt>
                <c:pt idx="15">
                  <c:v>31578780.180146135</c:v>
                </c:pt>
                <c:pt idx="16">
                  <c:v>32437913.479538325</c:v>
                </c:pt>
                <c:pt idx="17">
                  <c:v>33981626.778930515</c:v>
                </c:pt>
                <c:pt idx="18">
                  <c:v>37340418.078322709</c:v>
                </c:pt>
                <c:pt idx="19">
                  <c:v>37258199.377714895</c:v>
                </c:pt>
                <c:pt idx="20">
                  <c:v>32457955.677107088</c:v>
                </c:pt>
                <c:pt idx="21">
                  <c:v>30886290.976499278</c:v>
                </c:pt>
                <c:pt idx="22">
                  <c:v>33064714.275891468</c:v>
                </c:pt>
                <c:pt idx="23">
                  <c:v>33697422.575283661</c:v>
                </c:pt>
                <c:pt idx="24">
                  <c:v>36829480.752867945</c:v>
                </c:pt>
                <c:pt idx="25">
                  <c:v>33366900.493147276</c:v>
                </c:pt>
                <c:pt idx="26">
                  <c:v>34872336.488189504</c:v>
                </c:pt>
                <c:pt idx="27">
                  <c:v>30563948.842154223</c:v>
                </c:pt>
                <c:pt idx="28">
                  <c:v>30439981.506023146</c:v>
                </c:pt>
                <c:pt idx="29">
                  <c:v>31958460.559302475</c:v>
                </c:pt>
                <c:pt idx="30">
                  <c:v>39000790.891762398</c:v>
                </c:pt>
                <c:pt idx="31">
                  <c:v>36320178.532291718</c:v>
                </c:pt>
                <c:pt idx="32">
                  <c:v>31962336.608666547</c:v>
                </c:pt>
                <c:pt idx="33">
                  <c:v>30759281.251047574</c:v>
                </c:pt>
                <c:pt idx="34">
                  <c:v>33141456.629586298</c:v>
                </c:pt>
                <c:pt idx="35">
                  <c:v>34727182.032087423</c:v>
                </c:pt>
                <c:pt idx="36">
                  <c:v>35587534.780226827</c:v>
                </c:pt>
                <c:pt idx="37">
                  <c:v>33755956.937224291</c:v>
                </c:pt>
                <c:pt idx="38">
                  <c:v>31961407.074373361</c:v>
                </c:pt>
                <c:pt idx="39">
                  <c:v>26435861.898934826</c:v>
                </c:pt>
                <c:pt idx="40">
                  <c:v>27588460.479361489</c:v>
                </c:pt>
                <c:pt idx="41">
                  <c:v>32012058.677479155</c:v>
                </c:pt>
                <c:pt idx="42">
                  <c:v>38745453.377998121</c:v>
                </c:pt>
                <c:pt idx="43">
                  <c:v>35336767.432149887</c:v>
                </c:pt>
                <c:pt idx="44">
                  <c:v>30064424.989130653</c:v>
                </c:pt>
                <c:pt idx="45">
                  <c:v>29507060.335061818</c:v>
                </c:pt>
                <c:pt idx="46">
                  <c:v>30257073.560644682</c:v>
                </c:pt>
                <c:pt idx="47">
                  <c:v>33353346.81291895</c:v>
                </c:pt>
                <c:pt idx="48">
                  <c:v>33188670.928305969</c:v>
                </c:pt>
                <c:pt idx="49">
                  <c:v>32029961.907204423</c:v>
                </c:pt>
                <c:pt idx="50">
                  <c:v>32767606.297940973</c:v>
                </c:pt>
                <c:pt idx="51">
                  <c:v>28526897.993398827</c:v>
                </c:pt>
                <c:pt idx="52">
                  <c:v>29460273.547266677</c:v>
                </c:pt>
                <c:pt idx="53">
                  <c:v>33741581.231269225</c:v>
                </c:pt>
                <c:pt idx="54">
                  <c:v>35821107.582326174</c:v>
                </c:pt>
                <c:pt idx="55">
                  <c:v>38356548.084514029</c:v>
                </c:pt>
                <c:pt idx="56">
                  <c:v>31815550.085094079</c:v>
                </c:pt>
                <c:pt idx="57">
                  <c:v>30918107.462813132</c:v>
                </c:pt>
                <c:pt idx="58">
                  <c:v>31869917.672068384</c:v>
                </c:pt>
                <c:pt idx="59">
                  <c:v>33904688.36236053</c:v>
                </c:pt>
                <c:pt idx="60">
                  <c:v>37072199.286133692</c:v>
                </c:pt>
                <c:pt idx="61">
                  <c:v>34106025.220729686</c:v>
                </c:pt>
                <c:pt idx="62">
                  <c:v>35656141.74767568</c:v>
                </c:pt>
                <c:pt idx="63">
                  <c:v>31746429.201593272</c:v>
                </c:pt>
                <c:pt idx="64">
                  <c:v>32818195.351553965</c:v>
                </c:pt>
                <c:pt idx="65">
                  <c:v>35352197.196220562</c:v>
                </c:pt>
                <c:pt idx="66">
                  <c:v>38896081.999405652</c:v>
                </c:pt>
                <c:pt idx="67">
                  <c:v>38840185.92272944</c:v>
                </c:pt>
                <c:pt idx="68">
                  <c:v>33654327.730507731</c:v>
                </c:pt>
                <c:pt idx="69">
                  <c:v>31415307.367699027</c:v>
                </c:pt>
                <c:pt idx="70">
                  <c:v>33054898.399967819</c:v>
                </c:pt>
                <c:pt idx="71">
                  <c:v>36113207.191137917</c:v>
                </c:pt>
                <c:pt idx="72">
                  <c:v>36644302.910595365</c:v>
                </c:pt>
                <c:pt idx="73">
                  <c:v>33697550.512014888</c:v>
                </c:pt>
                <c:pt idx="74">
                  <c:v>36355592.281842805</c:v>
                </c:pt>
                <c:pt idx="75">
                  <c:v>31973002.845864329</c:v>
                </c:pt>
                <c:pt idx="76">
                  <c:v>33099271.600468054</c:v>
                </c:pt>
                <c:pt idx="77">
                  <c:v>34472273.31071417</c:v>
                </c:pt>
                <c:pt idx="78">
                  <c:v>38328544.836939998</c:v>
                </c:pt>
                <c:pt idx="79">
                  <c:v>36428584.860646717</c:v>
                </c:pt>
                <c:pt idx="80">
                  <c:v>33579765.16547174</c:v>
                </c:pt>
                <c:pt idx="81">
                  <c:v>32793920.29388446</c:v>
                </c:pt>
                <c:pt idx="82">
                  <c:v>33988995.077233881</c:v>
                </c:pt>
                <c:pt idx="83">
                  <c:v>35287478.129461206</c:v>
                </c:pt>
                <c:pt idx="84">
                  <c:v>38219875.681387417</c:v>
                </c:pt>
                <c:pt idx="85">
                  <c:v>34257979.157338955</c:v>
                </c:pt>
                <c:pt idx="86">
                  <c:v>34527361.185368188</c:v>
                </c:pt>
                <c:pt idx="87">
                  <c:v>31963168.830053426</c:v>
                </c:pt>
                <c:pt idx="88">
                  <c:v>33702078.344445564</c:v>
                </c:pt>
                <c:pt idx="89">
                  <c:v>36390924.841228999</c:v>
                </c:pt>
                <c:pt idx="90">
                  <c:v>40087127.052448839</c:v>
                </c:pt>
                <c:pt idx="91">
                  <c:v>38411450.880521774</c:v>
                </c:pt>
                <c:pt idx="92">
                  <c:v>34606193.578424111</c:v>
                </c:pt>
                <c:pt idx="93">
                  <c:v>32483265.88042035</c:v>
                </c:pt>
                <c:pt idx="94">
                  <c:v>32809368.372306686</c:v>
                </c:pt>
                <c:pt idx="95">
                  <c:v>36744901.690685332</c:v>
                </c:pt>
                <c:pt idx="96">
                  <c:v>40183559.338830374</c:v>
                </c:pt>
                <c:pt idx="97">
                  <c:v>36188686.913162045</c:v>
                </c:pt>
                <c:pt idx="98">
                  <c:v>36194100.339142725</c:v>
                </c:pt>
                <c:pt idx="99">
                  <c:v>33302287.632952996</c:v>
                </c:pt>
                <c:pt idx="100">
                  <c:v>32819813.044337571</c:v>
                </c:pt>
                <c:pt idx="101">
                  <c:v>37612354.418116137</c:v>
                </c:pt>
                <c:pt idx="102">
                  <c:v>42809598.246677913</c:v>
                </c:pt>
                <c:pt idx="103">
                  <c:v>39144829.233934194</c:v>
                </c:pt>
                <c:pt idx="104">
                  <c:v>34783887.287649468</c:v>
                </c:pt>
                <c:pt idx="105">
                  <c:v>33721107.220164739</c:v>
                </c:pt>
                <c:pt idx="106">
                  <c:v>34683043.361470014</c:v>
                </c:pt>
                <c:pt idx="107">
                  <c:v>38907834.05508209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D6-4CA9-A1E3-93DA94FB27B9}"/>
            </c:ext>
          </c:extLst>
        </c:ser>
        <c:ser>
          <c:idx val="1"/>
          <c:order val="1"/>
          <c:tx>
            <c:strRef>
              <c:f>'GS&lt;50 Normalized Monthly'!$S$1</c:f>
              <c:strCache>
                <c:ptCount val="1"/>
                <c:pt idx="0">
                  <c:v>WN 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'GS&lt;50 Normalized Monthly'!$A$2:$A$145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'GS&lt;50 Normalized Monthly'!$S$2:$S$145</c:f>
              <c:numCache>
                <c:formatCode>_(* #,##0.0_);_(* \(#,##0.0\);_(* "-"??_);_(@_)</c:formatCode>
                <c:ptCount val="144"/>
                <c:pt idx="0">
                  <c:v>34731852.287286311</c:v>
                </c:pt>
                <c:pt idx="1">
                  <c:v>31580070.856485303</c:v>
                </c:pt>
                <c:pt idx="2">
                  <c:v>32872865.966618538</c:v>
                </c:pt>
                <c:pt idx="3">
                  <c:v>29860664.51601949</c:v>
                </c:pt>
                <c:pt idx="4">
                  <c:v>30572193.098742802</c:v>
                </c:pt>
                <c:pt idx="5">
                  <c:v>33255053.926534239</c:v>
                </c:pt>
                <c:pt idx="6">
                  <c:v>37080943.760782167</c:v>
                </c:pt>
                <c:pt idx="7">
                  <c:v>35572352.660384431</c:v>
                </c:pt>
                <c:pt idx="8">
                  <c:v>31097844.93516735</c:v>
                </c:pt>
                <c:pt idx="9">
                  <c:v>30101008.841861062</c:v>
                </c:pt>
                <c:pt idx="10">
                  <c:v>31012604.063393794</c:v>
                </c:pt>
                <c:pt idx="11">
                  <c:v>33837212.970974118</c:v>
                </c:pt>
                <c:pt idx="12">
                  <c:v>35332709.992858529</c:v>
                </c:pt>
                <c:pt idx="13">
                  <c:v>32180928.562057521</c:v>
                </c:pt>
                <c:pt idx="14">
                  <c:v>33473723.672190756</c:v>
                </c:pt>
                <c:pt idx="15">
                  <c:v>30395888.22534804</c:v>
                </c:pt>
                <c:pt idx="16">
                  <c:v>31107416.808071353</c:v>
                </c:pt>
                <c:pt idx="17">
                  <c:v>33790277.63586279</c:v>
                </c:pt>
                <c:pt idx="18">
                  <c:v>37850884.03560397</c:v>
                </c:pt>
                <c:pt idx="19">
                  <c:v>36342292.935206234</c:v>
                </c:pt>
                <c:pt idx="20">
                  <c:v>31867785.209989149</c:v>
                </c:pt>
                <c:pt idx="21">
                  <c:v>30842581.659857072</c:v>
                </c:pt>
                <c:pt idx="22">
                  <c:v>31754176.881389804</c:v>
                </c:pt>
                <c:pt idx="23">
                  <c:v>34578785.788970128</c:v>
                </c:pt>
                <c:pt idx="24">
                  <c:v>35882026.091042586</c:v>
                </c:pt>
                <c:pt idx="25">
                  <c:v>32730244.660241574</c:v>
                </c:pt>
                <c:pt idx="26">
                  <c:v>34023039.770374812</c:v>
                </c:pt>
                <c:pt idx="27">
                  <c:v>30958122.346649632</c:v>
                </c:pt>
                <c:pt idx="28">
                  <c:v>31669650.929372944</c:v>
                </c:pt>
                <c:pt idx="29">
                  <c:v>34352511.757164381</c:v>
                </c:pt>
                <c:pt idx="30">
                  <c:v>38273264.24602294</c:v>
                </c:pt>
                <c:pt idx="31">
                  <c:v>36764673.145625204</c:v>
                </c:pt>
                <c:pt idx="32">
                  <c:v>32290165.420408119</c:v>
                </c:pt>
                <c:pt idx="33">
                  <c:v>31162061.3346145</c:v>
                </c:pt>
                <c:pt idx="34">
                  <c:v>32073656.556147233</c:v>
                </c:pt>
                <c:pt idx="35">
                  <c:v>34898265.463727556</c:v>
                </c:pt>
                <c:pt idx="36">
                  <c:v>35895152.890291318</c:v>
                </c:pt>
                <c:pt idx="37">
                  <c:v>33412840.274746463</c:v>
                </c:pt>
                <c:pt idx="38">
                  <c:v>32990984.936297774</c:v>
                </c:pt>
                <c:pt idx="39">
                  <c:v>26231490.677396707</c:v>
                </c:pt>
                <c:pt idx="40">
                  <c:v>26943019.260120019</c:v>
                </c:pt>
                <c:pt idx="41">
                  <c:v>30671061.721237227</c:v>
                </c:pt>
                <c:pt idx="42">
                  <c:v>36382460.99031806</c:v>
                </c:pt>
                <c:pt idx="43">
                  <c:v>34873869.889920324</c:v>
                </c:pt>
                <c:pt idx="44">
                  <c:v>30399362.164703239</c:v>
                </c:pt>
                <c:pt idx="45">
                  <c:v>29729312.91074612</c:v>
                </c:pt>
                <c:pt idx="46">
                  <c:v>30640908.132278856</c:v>
                </c:pt>
                <c:pt idx="47">
                  <c:v>33465517.039859179</c:v>
                </c:pt>
                <c:pt idx="48">
                  <c:v>35078267.956424624</c:v>
                </c:pt>
                <c:pt idx="49">
                  <c:v>31926486.525623612</c:v>
                </c:pt>
                <c:pt idx="50">
                  <c:v>33219281.63575685</c:v>
                </c:pt>
                <c:pt idx="51">
                  <c:v>29830891.693765182</c:v>
                </c:pt>
                <c:pt idx="52">
                  <c:v>30542420.276488494</c:v>
                </c:pt>
                <c:pt idx="53">
                  <c:v>33225281.104279932</c:v>
                </c:pt>
                <c:pt idx="54">
                  <c:v>37497116.754755192</c:v>
                </c:pt>
                <c:pt idx="55">
                  <c:v>35988525.654357456</c:v>
                </c:pt>
                <c:pt idx="56">
                  <c:v>31514017.929140374</c:v>
                </c:pt>
                <c:pt idx="57">
                  <c:v>30853728.959316507</c:v>
                </c:pt>
                <c:pt idx="58">
                  <c:v>31765324.180849243</c:v>
                </c:pt>
                <c:pt idx="59">
                  <c:v>34589933.08842957</c:v>
                </c:pt>
                <c:pt idx="60">
                  <c:v>36580853.932905436</c:v>
                </c:pt>
                <c:pt idx="61">
                  <c:v>33429072.502104424</c:v>
                </c:pt>
                <c:pt idx="62">
                  <c:v>34721867.612237662</c:v>
                </c:pt>
                <c:pt idx="63">
                  <c:v>31688866.839568548</c:v>
                </c:pt>
                <c:pt idx="64">
                  <c:v>32400395.42229186</c:v>
                </c:pt>
                <c:pt idx="65">
                  <c:v>35083256.250083297</c:v>
                </c:pt>
                <c:pt idx="66">
                  <c:v>38954320.019718021</c:v>
                </c:pt>
                <c:pt idx="67">
                  <c:v>37445728.919320285</c:v>
                </c:pt>
                <c:pt idx="68">
                  <c:v>32971221.1941032</c:v>
                </c:pt>
                <c:pt idx="69">
                  <c:v>31806607.382367283</c:v>
                </c:pt>
                <c:pt idx="70">
                  <c:v>32718202.603900015</c:v>
                </c:pt>
                <c:pt idx="71">
                  <c:v>35542811.511480339</c:v>
                </c:pt>
                <c:pt idx="72">
                  <c:v>37613641.420170158</c:v>
                </c:pt>
                <c:pt idx="73">
                  <c:v>34461859.989369154</c:v>
                </c:pt>
                <c:pt idx="74">
                  <c:v>35754655.099502385</c:v>
                </c:pt>
                <c:pt idx="75">
                  <c:v>32697645.07174613</c:v>
                </c:pt>
                <c:pt idx="76">
                  <c:v>33409173.654469442</c:v>
                </c:pt>
                <c:pt idx="77">
                  <c:v>36092034.482260883</c:v>
                </c:pt>
                <c:pt idx="78">
                  <c:v>40002635.231740192</c:v>
                </c:pt>
                <c:pt idx="79">
                  <c:v>38494044.131342456</c:v>
                </c:pt>
                <c:pt idx="80">
                  <c:v>34019536.406125374</c:v>
                </c:pt>
                <c:pt idx="81">
                  <c:v>32939033.278243661</c:v>
                </c:pt>
                <c:pt idx="82">
                  <c:v>33850628.499776393</c:v>
                </c:pt>
                <c:pt idx="83">
                  <c:v>36675237.407356724</c:v>
                </c:pt>
                <c:pt idx="84">
                  <c:v>38101812.208931193</c:v>
                </c:pt>
                <c:pt idx="85">
                  <c:v>35619499.593386337</c:v>
                </c:pt>
                <c:pt idx="86">
                  <c:v>36242825.888263419</c:v>
                </c:pt>
                <c:pt idx="87">
                  <c:v>33098182.079439078</c:v>
                </c:pt>
                <c:pt idx="88">
                  <c:v>33809710.662162393</c:v>
                </c:pt>
                <c:pt idx="89">
                  <c:v>36492571.489953831</c:v>
                </c:pt>
                <c:pt idx="90">
                  <c:v>40344897.601814017</c:v>
                </c:pt>
                <c:pt idx="91">
                  <c:v>38836306.501416281</c:v>
                </c:pt>
                <c:pt idx="92">
                  <c:v>34361798.776199192</c:v>
                </c:pt>
                <c:pt idx="93">
                  <c:v>33276885.252546042</c:v>
                </c:pt>
                <c:pt idx="94">
                  <c:v>34188480.474078774</c:v>
                </c:pt>
                <c:pt idx="95">
                  <c:v>37013089.381659098</c:v>
                </c:pt>
                <c:pt idx="96">
                  <c:v>38424971.563000888</c:v>
                </c:pt>
                <c:pt idx="97">
                  <c:v>35273190.132199883</c:v>
                </c:pt>
                <c:pt idx="98">
                  <c:v>36565985.242333114</c:v>
                </c:pt>
                <c:pt idx="99">
                  <c:v>33281905.074888539</c:v>
                </c:pt>
                <c:pt idx="100">
                  <c:v>33993433.657611847</c:v>
                </c:pt>
                <c:pt idx="101">
                  <c:v>36676294.485403284</c:v>
                </c:pt>
                <c:pt idx="102">
                  <c:v>40651876.805716291</c:v>
                </c:pt>
                <c:pt idx="103">
                  <c:v>39143285.705318555</c:v>
                </c:pt>
                <c:pt idx="104">
                  <c:v>34668777.980101466</c:v>
                </c:pt>
                <c:pt idx="105">
                  <c:v>33455858.591010869</c:v>
                </c:pt>
                <c:pt idx="106">
                  <c:v>34367453.812543601</c:v>
                </c:pt>
                <c:pt idx="107">
                  <c:v>37192062.720123932</c:v>
                </c:pt>
                <c:pt idx="108">
                  <c:v>38835170.664802894</c:v>
                </c:pt>
                <c:pt idx="109">
                  <c:v>35683389.234001875</c:v>
                </c:pt>
                <c:pt idx="110">
                  <c:v>36976184.344135113</c:v>
                </c:pt>
                <c:pt idx="111">
                  <c:v>33691002.621628329</c:v>
                </c:pt>
                <c:pt idx="112">
                  <c:v>34402531.204351649</c:v>
                </c:pt>
                <c:pt idx="113">
                  <c:v>37085392.032143086</c:v>
                </c:pt>
                <c:pt idx="114">
                  <c:v>41063746.051325291</c:v>
                </c:pt>
                <c:pt idx="115">
                  <c:v>39555154.950927556</c:v>
                </c:pt>
                <c:pt idx="116">
                  <c:v>35080647.225710467</c:v>
                </c:pt>
                <c:pt idx="117">
                  <c:v>33866913.544465676</c:v>
                </c:pt>
                <c:pt idx="118">
                  <c:v>34778508.765998408</c:v>
                </c:pt>
                <c:pt idx="119">
                  <c:v>37603117.673578739</c:v>
                </c:pt>
                <c:pt idx="120">
                  <c:v>39252548.250886425</c:v>
                </c:pt>
                <c:pt idx="121">
                  <c:v>36100766.820085406</c:v>
                </c:pt>
                <c:pt idx="122">
                  <c:v>37393561.930218644</c:v>
                </c:pt>
                <c:pt idx="123">
                  <c:v>34107259.375436075</c:v>
                </c:pt>
                <c:pt idx="124">
                  <c:v>34818787.958159387</c:v>
                </c:pt>
                <c:pt idx="125">
                  <c:v>37501648.785950825</c:v>
                </c:pt>
                <c:pt idx="126">
                  <c:v>41482823.008732446</c:v>
                </c:pt>
                <c:pt idx="127">
                  <c:v>39974231.90833471</c:v>
                </c:pt>
                <c:pt idx="128">
                  <c:v>35499724.183117628</c:v>
                </c:pt>
                <c:pt idx="129">
                  <c:v>34285161.959605947</c:v>
                </c:pt>
                <c:pt idx="130">
                  <c:v>35196757.181138679</c:v>
                </c:pt>
                <c:pt idx="131">
                  <c:v>38021366.088719003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D6-4CA9-A1E3-93DA94FB2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107712"/>
        <c:axId val="177109248"/>
      </c:lineChart>
      <c:dateAx>
        <c:axId val="17710771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09248"/>
        <c:crosses val="autoZero"/>
        <c:auto val="1"/>
        <c:lblOffset val="100"/>
        <c:baseTimeUnit val="months"/>
      </c:dateAx>
      <c:valAx>
        <c:axId val="17710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0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&gt; 50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'GS&gt;50 Normalized Monthly'!$D$1</c:f>
              <c:strCache>
                <c:ptCount val="1"/>
                <c:pt idx="0">
                  <c:v> GS_gt_50_NoCDM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'GS&gt;50 Normalized Monthly'!$A$2:$A$145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'GS&gt;50 Normalized Monthly'!$D$2:$D$145</c:f>
              <c:numCache>
                <c:formatCode>_(* #,##0.00_);_(* \(#,##0.00\);_(* "-"??_);_(@_)</c:formatCode>
                <c:ptCount val="144"/>
                <c:pt idx="0">
                  <c:v>115950733.09478092</c:v>
                </c:pt>
                <c:pt idx="1">
                  <c:v>123340878.84075171</c:v>
                </c:pt>
                <c:pt idx="2">
                  <c:v>126128064.58672249</c:v>
                </c:pt>
                <c:pt idx="3">
                  <c:v>112971341.33269329</c:v>
                </c:pt>
                <c:pt idx="4">
                  <c:v>120807160.07866408</c:v>
                </c:pt>
                <c:pt idx="5">
                  <c:v>128030519.82463486</c:v>
                </c:pt>
                <c:pt idx="6">
                  <c:v>133204977.57060567</c:v>
                </c:pt>
                <c:pt idx="7">
                  <c:v>131492737.31657645</c:v>
                </c:pt>
                <c:pt idx="8">
                  <c:v>125862189.06254724</c:v>
                </c:pt>
                <c:pt idx="9">
                  <c:v>120542924.80851802</c:v>
                </c:pt>
                <c:pt idx="10">
                  <c:v>118519529.55448882</c:v>
                </c:pt>
                <c:pt idx="11">
                  <c:v>121951004.30045961</c:v>
                </c:pt>
                <c:pt idx="12">
                  <c:v>130123366.21189049</c:v>
                </c:pt>
                <c:pt idx="13">
                  <c:v>115694594.48045985</c:v>
                </c:pt>
                <c:pt idx="14">
                  <c:v>125478631.74902922</c:v>
                </c:pt>
                <c:pt idx="15">
                  <c:v>119717405.01759858</c:v>
                </c:pt>
                <c:pt idx="16">
                  <c:v>127433786.28616795</c:v>
                </c:pt>
                <c:pt idx="17">
                  <c:v>130160206.55473731</c:v>
                </c:pt>
                <c:pt idx="18">
                  <c:v>139575448.82330668</c:v>
                </c:pt>
                <c:pt idx="19">
                  <c:v>145516334.09187603</c:v>
                </c:pt>
                <c:pt idx="20">
                  <c:v>130472808.3604454</c:v>
                </c:pt>
                <c:pt idx="21">
                  <c:v>124271950.62901476</c:v>
                </c:pt>
                <c:pt idx="22">
                  <c:v>122525206.89758413</c:v>
                </c:pt>
                <c:pt idx="23">
                  <c:v>120780245.16615349</c:v>
                </c:pt>
                <c:pt idx="24">
                  <c:v>122557492.01553993</c:v>
                </c:pt>
                <c:pt idx="25">
                  <c:v>112793572.2170434</c:v>
                </c:pt>
                <c:pt idx="26">
                  <c:v>121279569.66264187</c:v>
                </c:pt>
                <c:pt idx="27">
                  <c:v>112755840.54437633</c:v>
                </c:pt>
                <c:pt idx="28">
                  <c:v>116762983.33169977</c:v>
                </c:pt>
                <c:pt idx="29">
                  <c:v>120912813.73683724</c:v>
                </c:pt>
                <c:pt idx="30">
                  <c:v>140267312.68120268</c:v>
                </c:pt>
                <c:pt idx="31">
                  <c:v>134325215.26618317</c:v>
                </c:pt>
                <c:pt idx="32">
                  <c:v>124892350.68187562</c:v>
                </c:pt>
                <c:pt idx="33">
                  <c:v>120326999.51092409</c:v>
                </c:pt>
                <c:pt idx="34">
                  <c:v>119811245.49147254</c:v>
                </c:pt>
                <c:pt idx="35">
                  <c:v>119234475.76994899</c:v>
                </c:pt>
                <c:pt idx="36">
                  <c:v>125430467.18861799</c:v>
                </c:pt>
                <c:pt idx="37">
                  <c:v>118571418.15449654</c:v>
                </c:pt>
                <c:pt idx="38">
                  <c:v>117295704.87835306</c:v>
                </c:pt>
                <c:pt idx="39">
                  <c:v>98603522.653697401</c:v>
                </c:pt>
                <c:pt idx="40">
                  <c:v>105305767.47523543</c:v>
                </c:pt>
                <c:pt idx="41">
                  <c:v>121746154.50347269</c:v>
                </c:pt>
                <c:pt idx="42">
                  <c:v>139946746.85685223</c:v>
                </c:pt>
                <c:pt idx="43">
                  <c:v>133892282.17763576</c:v>
                </c:pt>
                <c:pt idx="44">
                  <c:v>120315113.40470029</c:v>
                </c:pt>
                <c:pt idx="45">
                  <c:v>116415167.56471382</c:v>
                </c:pt>
                <c:pt idx="46">
                  <c:v>115562525.59741136</c:v>
                </c:pt>
                <c:pt idx="47">
                  <c:v>117692607.99430689</c:v>
                </c:pt>
                <c:pt idx="48">
                  <c:v>118984048.05510825</c:v>
                </c:pt>
                <c:pt idx="49">
                  <c:v>113057274.56216528</c:v>
                </c:pt>
                <c:pt idx="50">
                  <c:v>120813677.33533032</c:v>
                </c:pt>
                <c:pt idx="51">
                  <c:v>109638007.65802936</c:v>
                </c:pt>
                <c:pt idx="52">
                  <c:v>115240588.84939741</c:v>
                </c:pt>
                <c:pt idx="53">
                  <c:v>128558913.68041244</c:v>
                </c:pt>
                <c:pt idx="54">
                  <c:v>132710760.35860747</c:v>
                </c:pt>
                <c:pt idx="55">
                  <c:v>140955270.9844335</c:v>
                </c:pt>
                <c:pt idx="56">
                  <c:v>122416145.77845256</c:v>
                </c:pt>
                <c:pt idx="57">
                  <c:v>120765160.1140646</c:v>
                </c:pt>
                <c:pt idx="58">
                  <c:v>118650849.98473464</c:v>
                </c:pt>
                <c:pt idx="59">
                  <c:v>116117342.26088069</c:v>
                </c:pt>
                <c:pt idx="60">
                  <c:v>125926420.38829951</c:v>
                </c:pt>
                <c:pt idx="61">
                  <c:v>115603933.80678451</c:v>
                </c:pt>
                <c:pt idx="62">
                  <c:v>125620675.73627552</c:v>
                </c:pt>
                <c:pt idx="63">
                  <c:v>115405757.73839353</c:v>
                </c:pt>
                <c:pt idx="64">
                  <c:v>122884802.51982453</c:v>
                </c:pt>
                <c:pt idx="65">
                  <c:v>130536069.83949654</c:v>
                </c:pt>
                <c:pt idx="66">
                  <c:v>139071059.40513155</c:v>
                </c:pt>
                <c:pt idx="67">
                  <c:v>143004251.01167753</c:v>
                </c:pt>
                <c:pt idx="68">
                  <c:v>129335698.79016455</c:v>
                </c:pt>
                <c:pt idx="69">
                  <c:v>118832227.09556258</c:v>
                </c:pt>
                <c:pt idx="70">
                  <c:v>120344515.11801657</c:v>
                </c:pt>
                <c:pt idx="71">
                  <c:v>122243171.67379358</c:v>
                </c:pt>
                <c:pt idx="72">
                  <c:v>125499058.84452012</c:v>
                </c:pt>
                <c:pt idx="73">
                  <c:v>115607990.73071887</c:v>
                </c:pt>
                <c:pt idx="74">
                  <c:v>125466538.14647563</c:v>
                </c:pt>
                <c:pt idx="75">
                  <c:v>114391957.98950237</c:v>
                </c:pt>
                <c:pt idx="76">
                  <c:v>123483481.6939701</c:v>
                </c:pt>
                <c:pt idx="77">
                  <c:v>127247993.22335185</c:v>
                </c:pt>
                <c:pt idx="78">
                  <c:v>137496928.92038861</c:v>
                </c:pt>
                <c:pt idx="79">
                  <c:v>133974170.58140434</c:v>
                </c:pt>
                <c:pt idx="80">
                  <c:v>125628407.1768401</c:v>
                </c:pt>
                <c:pt idx="81">
                  <c:v>122505184.85314384</c:v>
                </c:pt>
                <c:pt idx="82">
                  <c:v>120984971.18912058</c:v>
                </c:pt>
                <c:pt idx="83">
                  <c:v>118768098.25409932</c:v>
                </c:pt>
                <c:pt idx="84">
                  <c:v>130159108.66703321</c:v>
                </c:pt>
                <c:pt idx="85">
                  <c:v>119840482.88393389</c:v>
                </c:pt>
                <c:pt idx="86">
                  <c:v>123262071.17316654</c:v>
                </c:pt>
                <c:pt idx="87">
                  <c:v>119205230.8035062</c:v>
                </c:pt>
                <c:pt idx="88">
                  <c:v>127838014.13567087</c:v>
                </c:pt>
                <c:pt idx="89">
                  <c:v>133833612.63178854</c:v>
                </c:pt>
                <c:pt idx="90">
                  <c:v>144180020.06310722</c:v>
                </c:pt>
                <c:pt idx="91">
                  <c:v>140684717.14086288</c:v>
                </c:pt>
                <c:pt idx="92">
                  <c:v>131948874.08685753</c:v>
                </c:pt>
                <c:pt idx="93">
                  <c:v>126263744.87094221</c:v>
                </c:pt>
                <c:pt idx="94">
                  <c:v>122175106.07708685</c:v>
                </c:pt>
                <c:pt idx="95">
                  <c:v>125238381.01410152</c:v>
                </c:pt>
                <c:pt idx="96">
                  <c:v>137053466.26581526</c:v>
                </c:pt>
                <c:pt idx="97">
                  <c:v>122760916.13489303</c:v>
                </c:pt>
                <c:pt idx="98">
                  <c:v>128253078.95458482</c:v>
                </c:pt>
                <c:pt idx="99">
                  <c:v>122182535.02156162</c:v>
                </c:pt>
                <c:pt idx="100">
                  <c:v>125315316.3047014</c:v>
                </c:pt>
                <c:pt idx="101">
                  <c:v>138313000.13588518</c:v>
                </c:pt>
                <c:pt idx="102">
                  <c:v>151365878.72756097</c:v>
                </c:pt>
                <c:pt idx="103">
                  <c:v>141417506.86826575</c:v>
                </c:pt>
                <c:pt idx="104">
                  <c:v>131475262.87223354</c:v>
                </c:pt>
                <c:pt idx="105">
                  <c:v>127953842.89877133</c:v>
                </c:pt>
                <c:pt idx="106">
                  <c:v>123873467.5177781</c:v>
                </c:pt>
                <c:pt idx="107">
                  <c:v>129128541.23771989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E3-43DF-B3EE-184CDB99B5F2}"/>
            </c:ext>
          </c:extLst>
        </c:ser>
        <c:ser>
          <c:idx val="1"/>
          <c:order val="1"/>
          <c:tx>
            <c:strRef>
              <c:f>'GS&gt;50 Normalized Monthly'!$U$1</c:f>
              <c:strCache>
                <c:ptCount val="1"/>
                <c:pt idx="0">
                  <c:v>WN 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'GS&gt;50 Normalized Monthly'!$A$2:$A$145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'GS&gt;50 Normalized Monthly'!$U$2:$U$145</c:f>
              <c:numCache>
                <c:formatCode>_(* #,##0_);_(* \(#,##0\);_(* "-"??_);_(@_)</c:formatCode>
                <c:ptCount val="144"/>
                <c:pt idx="0">
                  <c:v>123088430.95108175</c:v>
                </c:pt>
                <c:pt idx="1">
                  <c:v>113626905.77761601</c:v>
                </c:pt>
                <c:pt idx="2">
                  <c:v>119411849.49092019</c:v>
                </c:pt>
                <c:pt idx="3">
                  <c:v>114407119.35108547</c:v>
                </c:pt>
                <c:pt idx="4">
                  <c:v>119779249.97251378</c:v>
                </c:pt>
                <c:pt idx="5">
                  <c:v>127478797.78429633</c:v>
                </c:pt>
                <c:pt idx="6">
                  <c:v>138772027.26350096</c:v>
                </c:pt>
                <c:pt idx="7">
                  <c:v>137416473.91052064</c:v>
                </c:pt>
                <c:pt idx="8">
                  <c:v>124892632.10461031</c:v>
                </c:pt>
                <c:pt idx="9">
                  <c:v>120776707.98909038</c:v>
                </c:pt>
                <c:pt idx="10">
                  <c:v>119453894.86742941</c:v>
                </c:pt>
                <c:pt idx="11">
                  <c:v>121763811.5515517</c:v>
                </c:pt>
                <c:pt idx="12">
                  <c:v>124104393.84101781</c:v>
                </c:pt>
                <c:pt idx="13">
                  <c:v>114642868.66755207</c:v>
                </c:pt>
                <c:pt idx="14">
                  <c:v>120427812.38085625</c:v>
                </c:pt>
                <c:pt idx="15">
                  <c:v>115312104.71026279</c:v>
                </c:pt>
                <c:pt idx="16">
                  <c:v>120684235.3316911</c:v>
                </c:pt>
                <c:pt idx="17">
                  <c:v>128383783.14347365</c:v>
                </c:pt>
                <c:pt idx="18">
                  <c:v>140073884.15812322</c:v>
                </c:pt>
                <c:pt idx="19">
                  <c:v>138718330.80514294</c:v>
                </c:pt>
                <c:pt idx="20">
                  <c:v>126194488.99923261</c:v>
                </c:pt>
                <c:pt idx="21">
                  <c:v>122030599.64477241</c:v>
                </c:pt>
                <c:pt idx="22">
                  <c:v>120707786.52311143</c:v>
                </c:pt>
                <c:pt idx="23">
                  <c:v>123017703.20723373</c:v>
                </c:pt>
                <c:pt idx="24">
                  <c:v>125033207.37777355</c:v>
                </c:pt>
                <c:pt idx="25">
                  <c:v>115571682.20430779</c:v>
                </c:pt>
                <c:pt idx="26">
                  <c:v>121356625.91761199</c:v>
                </c:pt>
                <c:pt idx="27">
                  <c:v>116262760.74313208</c:v>
                </c:pt>
                <c:pt idx="28">
                  <c:v>121634891.3645604</c:v>
                </c:pt>
                <c:pt idx="29">
                  <c:v>129334439.17634293</c:v>
                </c:pt>
                <c:pt idx="30">
                  <c:v>140788067.59165412</c:v>
                </c:pt>
                <c:pt idx="31">
                  <c:v>139432514.23867381</c:v>
                </c:pt>
                <c:pt idx="32">
                  <c:v>126908672.43276349</c:v>
                </c:pt>
                <c:pt idx="33">
                  <c:v>122570793.25572608</c:v>
                </c:pt>
                <c:pt idx="34">
                  <c:v>121247980.13406511</c:v>
                </c:pt>
                <c:pt idx="35">
                  <c:v>123557896.81818739</c:v>
                </c:pt>
                <c:pt idx="36">
                  <c:v>125055402.88392529</c:v>
                </c:pt>
                <c:pt idx="37">
                  <c:v>118159216.44732931</c:v>
                </c:pt>
                <c:pt idx="38">
                  <c:v>116447113.70367521</c:v>
                </c:pt>
                <c:pt idx="39">
                  <c:v>101941799.29810965</c:v>
                </c:pt>
                <c:pt idx="40">
                  <c:v>107313929.91953796</c:v>
                </c:pt>
                <c:pt idx="41">
                  <c:v>119945185.45140903</c:v>
                </c:pt>
                <c:pt idx="42">
                  <c:v>134426536.83809626</c:v>
                </c:pt>
                <c:pt idx="43">
                  <c:v>133070983.48511599</c:v>
                </c:pt>
                <c:pt idx="44">
                  <c:v>120547141.67920564</c:v>
                </c:pt>
                <c:pt idx="45">
                  <c:v>116983766.52597633</c:v>
                </c:pt>
                <c:pt idx="46">
                  <c:v>115660953.40431535</c:v>
                </c:pt>
                <c:pt idx="47">
                  <c:v>117970870.08843763</c:v>
                </c:pt>
                <c:pt idx="48">
                  <c:v>120509711.64060713</c:v>
                </c:pt>
                <c:pt idx="49">
                  <c:v>111048186.46714139</c:v>
                </c:pt>
                <c:pt idx="50">
                  <c:v>116833130.18044557</c:v>
                </c:pt>
                <c:pt idx="51">
                  <c:v>111192320.07803145</c:v>
                </c:pt>
                <c:pt idx="52">
                  <c:v>116564450.69945976</c:v>
                </c:pt>
                <c:pt idx="53">
                  <c:v>124263998.5112423</c:v>
                </c:pt>
                <c:pt idx="54">
                  <c:v>136311257.4320395</c:v>
                </c:pt>
                <c:pt idx="55">
                  <c:v>134955704.07905918</c:v>
                </c:pt>
                <c:pt idx="56">
                  <c:v>122431862.27314885</c:v>
                </c:pt>
                <c:pt idx="57">
                  <c:v>118884990.33920534</c:v>
                </c:pt>
                <c:pt idx="58">
                  <c:v>117562177.21754436</c:v>
                </c:pt>
                <c:pt idx="59">
                  <c:v>119872093.90166664</c:v>
                </c:pt>
                <c:pt idx="60">
                  <c:v>124632594.6199564</c:v>
                </c:pt>
                <c:pt idx="61">
                  <c:v>115171069.44649068</c:v>
                </c:pt>
                <c:pt idx="62">
                  <c:v>120956013.15979484</c:v>
                </c:pt>
                <c:pt idx="63">
                  <c:v>115916114.39490458</c:v>
                </c:pt>
                <c:pt idx="64">
                  <c:v>121288245.01633289</c:v>
                </c:pt>
                <c:pt idx="65">
                  <c:v>128987792.82811543</c:v>
                </c:pt>
                <c:pt idx="66">
                  <c:v>140357404.85433534</c:v>
                </c:pt>
                <c:pt idx="67">
                  <c:v>139001851.50135502</c:v>
                </c:pt>
                <c:pt idx="68">
                  <c:v>126478009.69544469</c:v>
                </c:pt>
                <c:pt idx="69">
                  <c:v>122078397.88797726</c:v>
                </c:pt>
                <c:pt idx="70">
                  <c:v>120755584.76631628</c:v>
                </c:pt>
                <c:pt idx="71">
                  <c:v>123065501.45043856</c:v>
                </c:pt>
                <c:pt idx="72">
                  <c:v>127961116.76084891</c:v>
                </c:pt>
                <c:pt idx="73">
                  <c:v>118499591.58738317</c:v>
                </c:pt>
                <c:pt idx="74">
                  <c:v>124284535.30068734</c:v>
                </c:pt>
                <c:pt idx="75">
                  <c:v>119204040.38140422</c:v>
                </c:pt>
                <c:pt idx="76">
                  <c:v>124576171.00283253</c:v>
                </c:pt>
                <c:pt idx="77">
                  <c:v>132275718.81461507</c:v>
                </c:pt>
                <c:pt idx="78">
                  <c:v>143712182.11681885</c:v>
                </c:pt>
                <c:pt idx="79">
                  <c:v>142356628.76383853</c:v>
                </c:pt>
                <c:pt idx="80">
                  <c:v>129832786.95792821</c:v>
                </c:pt>
                <c:pt idx="81">
                  <c:v>125575394.06960012</c:v>
                </c:pt>
                <c:pt idx="82">
                  <c:v>124252580.94793914</c:v>
                </c:pt>
                <c:pt idx="83">
                  <c:v>126562497.63206144</c:v>
                </c:pt>
                <c:pt idx="84">
                  <c:v>128786542.48266718</c:v>
                </c:pt>
                <c:pt idx="85">
                  <c:v>121890356.0460712</c:v>
                </c:pt>
                <c:pt idx="86">
                  <c:v>125109961.02250561</c:v>
                </c:pt>
                <c:pt idx="87">
                  <c:v>119881290.13968855</c:v>
                </c:pt>
                <c:pt idx="88">
                  <c:v>125253420.76111686</c:v>
                </c:pt>
                <c:pt idx="89">
                  <c:v>132952968.57289942</c:v>
                </c:pt>
                <c:pt idx="90">
                  <c:v>144290897.94819096</c:v>
                </c:pt>
                <c:pt idx="91">
                  <c:v>142935344.59521064</c:v>
                </c:pt>
                <c:pt idx="92">
                  <c:v>130411502.78930031</c:v>
                </c:pt>
                <c:pt idx="93">
                  <c:v>126146652.56391528</c:v>
                </c:pt>
                <c:pt idx="94">
                  <c:v>124823839.4422543</c:v>
                </c:pt>
                <c:pt idx="95">
                  <c:v>127133756.1263766</c:v>
                </c:pt>
                <c:pt idx="96">
                  <c:v>129332957.8955441</c:v>
                </c:pt>
                <c:pt idx="97">
                  <c:v>119871432.72207835</c:v>
                </c:pt>
                <c:pt idx="98">
                  <c:v>125656376.43538253</c:v>
                </c:pt>
                <c:pt idx="99">
                  <c:v>120191938.97330347</c:v>
                </c:pt>
                <c:pt idx="100">
                  <c:v>125564069.59473178</c:v>
                </c:pt>
                <c:pt idx="101">
                  <c:v>133263617.40651433</c:v>
                </c:pt>
                <c:pt idx="102">
                  <c:v>144809955.08310747</c:v>
                </c:pt>
                <c:pt idx="103">
                  <c:v>143454401.73012716</c:v>
                </c:pt>
                <c:pt idx="104">
                  <c:v>130930559.92421682</c:v>
                </c:pt>
                <c:pt idx="105">
                  <c:v>126449270.41916119</c:v>
                </c:pt>
                <c:pt idx="106">
                  <c:v>125126457.29750021</c:v>
                </c:pt>
                <c:pt idx="107">
                  <c:v>127436373.98162249</c:v>
                </c:pt>
                <c:pt idx="108">
                  <c:v>130026544.84808064</c:v>
                </c:pt>
                <c:pt idx="109">
                  <c:v>120565019.67461491</c:v>
                </c:pt>
                <c:pt idx="110">
                  <c:v>126349963.38791907</c:v>
                </c:pt>
                <c:pt idx="111">
                  <c:v>120883663.35662597</c:v>
                </c:pt>
                <c:pt idx="112">
                  <c:v>126255793.97805429</c:v>
                </c:pt>
                <c:pt idx="113">
                  <c:v>133955341.78983682</c:v>
                </c:pt>
                <c:pt idx="114">
                  <c:v>145506366.00563395</c:v>
                </c:pt>
                <c:pt idx="115">
                  <c:v>144150812.65265366</c:v>
                </c:pt>
                <c:pt idx="116">
                  <c:v>131626970.84674333</c:v>
                </c:pt>
                <c:pt idx="117">
                  <c:v>127144304.49222307</c:v>
                </c:pt>
                <c:pt idx="118">
                  <c:v>125821491.37056209</c:v>
                </c:pt>
                <c:pt idx="119">
                  <c:v>128131408.05468437</c:v>
                </c:pt>
                <c:pt idx="120">
                  <c:v>130732269.57228658</c:v>
                </c:pt>
                <c:pt idx="121">
                  <c:v>121270744.39882083</c:v>
                </c:pt>
                <c:pt idx="122">
                  <c:v>127055688.11212501</c:v>
                </c:pt>
                <c:pt idx="123">
                  <c:v>121587492.91665661</c:v>
                </c:pt>
                <c:pt idx="124">
                  <c:v>126959623.53808492</c:v>
                </c:pt>
                <c:pt idx="125">
                  <c:v>134659171.34986746</c:v>
                </c:pt>
                <c:pt idx="126">
                  <c:v>146214964.11930466</c:v>
                </c:pt>
                <c:pt idx="127">
                  <c:v>144859410.76632437</c:v>
                </c:pt>
                <c:pt idx="128">
                  <c:v>132335568.96041404</c:v>
                </c:pt>
                <c:pt idx="129">
                  <c:v>127851501.66156353</c:v>
                </c:pt>
                <c:pt idx="130">
                  <c:v>126528688.53990255</c:v>
                </c:pt>
                <c:pt idx="131">
                  <c:v>128838605.22402483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E3-43DF-B3EE-184CDB99B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120384"/>
        <c:axId val="177121920"/>
      </c:lineChart>
      <c:dateAx>
        <c:axId val="1771203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1920"/>
        <c:crosses val="autoZero"/>
        <c:auto val="1"/>
        <c:lblOffset val="100"/>
        <c:baseTimeUnit val="months"/>
      </c:dateAx>
      <c:valAx>
        <c:axId val="177121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Co Gen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 Co Gen Normalized Monthly'!$D$1</c:f>
              <c:strCache>
                <c:ptCount val="1"/>
                <c:pt idx="0">
                  <c:v> GS_gt_50_CoGen_NoCDM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 Co Gen Normalized Monthly'!$A$2:$A$145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 Co Gen Normalized Monthly'!$D$2:$D$145</c:f>
              <c:numCache>
                <c:formatCode>_(* #,##0.00_);_(* \(#,##0.00\);_(* "-"??_);_(@_)</c:formatCode>
                <c:ptCount val="144"/>
                <c:pt idx="0">
                  <c:v>1975229.7103848916</c:v>
                </c:pt>
                <c:pt idx="1">
                  <c:v>2202382.3384362105</c:v>
                </c:pt>
                <c:pt idx="2">
                  <c:v>3298889.9664875292</c:v>
                </c:pt>
                <c:pt idx="3">
                  <c:v>3834797.5945388479</c:v>
                </c:pt>
                <c:pt idx="4">
                  <c:v>4110768.2225901671</c:v>
                </c:pt>
                <c:pt idx="5">
                  <c:v>5743560.8506414862</c:v>
                </c:pt>
                <c:pt idx="6">
                  <c:v>5624575.4786928045</c:v>
                </c:pt>
                <c:pt idx="7">
                  <c:v>4805886.1067441236</c:v>
                </c:pt>
                <c:pt idx="8">
                  <c:v>3970931.7347954423</c:v>
                </c:pt>
                <c:pt idx="9">
                  <c:v>5177643.362846761</c:v>
                </c:pt>
                <c:pt idx="10">
                  <c:v>3296588.9908980802</c:v>
                </c:pt>
                <c:pt idx="11">
                  <c:v>3331855.6189493993</c:v>
                </c:pt>
                <c:pt idx="12">
                  <c:v>3880776.3635845515</c:v>
                </c:pt>
                <c:pt idx="13">
                  <c:v>2504493.9234402059</c:v>
                </c:pt>
                <c:pt idx="14">
                  <c:v>2696023.4832958602</c:v>
                </c:pt>
                <c:pt idx="15">
                  <c:v>2447627.0431515141</c:v>
                </c:pt>
                <c:pt idx="16">
                  <c:v>4551338.6030071685</c:v>
                </c:pt>
                <c:pt idx="17">
                  <c:v>6710847.1628628224</c:v>
                </c:pt>
                <c:pt idx="18">
                  <c:v>7368543.7227184772</c:v>
                </c:pt>
                <c:pt idx="19">
                  <c:v>6976940.2825741312</c:v>
                </c:pt>
                <c:pt idx="20">
                  <c:v>5331752.8424297851</c:v>
                </c:pt>
                <c:pt idx="21">
                  <c:v>2940054.4022854394</c:v>
                </c:pt>
                <c:pt idx="22">
                  <c:v>1832037.9621410936</c:v>
                </c:pt>
                <c:pt idx="23">
                  <c:v>1067103.5219967477</c:v>
                </c:pt>
                <c:pt idx="24">
                  <c:v>974399.68585805758</c:v>
                </c:pt>
                <c:pt idx="25">
                  <c:v>1021148.6465925851</c:v>
                </c:pt>
                <c:pt idx="26">
                  <c:v>1585107.5608721885</c:v>
                </c:pt>
                <c:pt idx="27">
                  <c:v>1359530.64393672</c:v>
                </c:pt>
                <c:pt idx="28">
                  <c:v>3085749.3748756615</c:v>
                </c:pt>
                <c:pt idx="29">
                  <c:v>5783735.5531390533</c:v>
                </c:pt>
                <c:pt idx="30">
                  <c:v>6779873.4461094243</c:v>
                </c:pt>
                <c:pt idx="31">
                  <c:v>4268866.6845833659</c:v>
                </c:pt>
                <c:pt idx="32">
                  <c:v>5664547.3962547369</c:v>
                </c:pt>
                <c:pt idx="33">
                  <c:v>3090561.7950364789</c:v>
                </c:pt>
                <c:pt idx="34">
                  <c:v>1482477.7429550102</c:v>
                </c:pt>
                <c:pt idx="35">
                  <c:v>1009435.6612457265</c:v>
                </c:pt>
                <c:pt idx="36">
                  <c:v>998532.39409482549</c:v>
                </c:pt>
                <c:pt idx="37">
                  <c:v>1252939.9736270586</c:v>
                </c:pt>
                <c:pt idx="38">
                  <c:v>1164437.6812405386</c:v>
                </c:pt>
                <c:pt idx="39">
                  <c:v>1121055.5596983887</c:v>
                </c:pt>
                <c:pt idx="40">
                  <c:v>2424185.9781487486</c:v>
                </c:pt>
                <c:pt idx="41">
                  <c:v>4259731.9798160084</c:v>
                </c:pt>
                <c:pt idx="42">
                  <c:v>7280535.8722648388</c:v>
                </c:pt>
                <c:pt idx="43">
                  <c:v>6309964.7820981592</c:v>
                </c:pt>
                <c:pt idx="44">
                  <c:v>4783504.4640561193</c:v>
                </c:pt>
                <c:pt idx="45">
                  <c:v>3658910.8829854284</c:v>
                </c:pt>
                <c:pt idx="46">
                  <c:v>2825236.0058438084</c:v>
                </c:pt>
                <c:pt idx="47">
                  <c:v>1601972.2623421687</c:v>
                </c:pt>
                <c:pt idx="48">
                  <c:v>1171515.8824397286</c:v>
                </c:pt>
                <c:pt idx="49">
                  <c:v>1176631.0139222587</c:v>
                </c:pt>
                <c:pt idx="50">
                  <c:v>929052.76174393552</c:v>
                </c:pt>
                <c:pt idx="51">
                  <c:v>1370379.1031432985</c:v>
                </c:pt>
                <c:pt idx="52">
                  <c:v>1835106.5363508987</c:v>
                </c:pt>
                <c:pt idx="53">
                  <c:v>3942469.7375949784</c:v>
                </c:pt>
                <c:pt idx="54">
                  <c:v>3408979.3014047383</c:v>
                </c:pt>
                <c:pt idx="55">
                  <c:v>4426996.8036107589</c:v>
                </c:pt>
                <c:pt idx="56">
                  <c:v>2726526.6582645886</c:v>
                </c:pt>
                <c:pt idx="57">
                  <c:v>2613160.4865051284</c:v>
                </c:pt>
                <c:pt idx="58">
                  <c:v>3086375.0493431385</c:v>
                </c:pt>
                <c:pt idx="59">
                  <c:v>2523914.5382058783</c:v>
                </c:pt>
                <c:pt idx="60">
                  <c:v>1022059.6169857765</c:v>
                </c:pt>
                <c:pt idx="61">
                  <c:v>1744892.6852793817</c:v>
                </c:pt>
                <c:pt idx="62">
                  <c:v>1190079.078040208</c:v>
                </c:pt>
                <c:pt idx="63">
                  <c:v>1361343.5260930443</c:v>
                </c:pt>
                <c:pt idx="64">
                  <c:v>5350720.1149436207</c:v>
                </c:pt>
                <c:pt idx="65">
                  <c:v>4689316.800036367</c:v>
                </c:pt>
                <c:pt idx="66">
                  <c:v>5115119.137130823</c:v>
                </c:pt>
                <c:pt idx="67">
                  <c:v>7061111.8252039393</c:v>
                </c:pt>
                <c:pt idx="68">
                  <c:v>5290385.8347192556</c:v>
                </c:pt>
                <c:pt idx="69">
                  <c:v>4236739.3971533719</c:v>
                </c:pt>
                <c:pt idx="70">
                  <c:v>5119153.7080734884</c:v>
                </c:pt>
                <c:pt idx="71">
                  <c:v>2153000.0512014646</c:v>
                </c:pt>
                <c:pt idx="72">
                  <c:v>2475906.2124542031</c:v>
                </c:pt>
                <c:pt idx="73">
                  <c:v>3051393.3752032155</c:v>
                </c:pt>
                <c:pt idx="74">
                  <c:v>4360884.6742221788</c:v>
                </c:pt>
                <c:pt idx="75">
                  <c:v>1982541.2606718806</c:v>
                </c:pt>
                <c:pt idx="76">
                  <c:v>5249179.5430356627</c:v>
                </c:pt>
                <c:pt idx="77">
                  <c:v>5648220.3218985656</c:v>
                </c:pt>
                <c:pt idx="78">
                  <c:v>6322903.5001553874</c:v>
                </c:pt>
                <c:pt idx="79">
                  <c:v>6992371.2423237106</c:v>
                </c:pt>
                <c:pt idx="80">
                  <c:v>5494894.0473569827</c:v>
                </c:pt>
                <c:pt idx="81">
                  <c:v>4240327.1673253356</c:v>
                </c:pt>
                <c:pt idx="82">
                  <c:v>3874440.0590346674</c:v>
                </c:pt>
                <c:pt idx="83">
                  <c:v>3620292.7286042501</c:v>
                </c:pt>
                <c:pt idx="84">
                  <c:v>4134836.494755582</c:v>
                </c:pt>
                <c:pt idx="85">
                  <c:v>3340371.8788483315</c:v>
                </c:pt>
                <c:pt idx="86">
                  <c:v>3571437.4403881808</c:v>
                </c:pt>
                <c:pt idx="87">
                  <c:v>3559296.6426970703</c:v>
                </c:pt>
                <c:pt idx="88">
                  <c:v>3685994.6039710096</c:v>
                </c:pt>
                <c:pt idx="89">
                  <c:v>4407100.2006814191</c:v>
                </c:pt>
                <c:pt idx="90">
                  <c:v>2729070.3712969488</c:v>
                </c:pt>
                <c:pt idx="91">
                  <c:v>2759475.7435549381</c:v>
                </c:pt>
                <c:pt idx="92">
                  <c:v>2325797.1800787374</c:v>
                </c:pt>
                <c:pt idx="93">
                  <c:v>1986048.5879870269</c:v>
                </c:pt>
                <c:pt idx="94">
                  <c:v>2700816.8671933762</c:v>
                </c:pt>
                <c:pt idx="95">
                  <c:v>1434683.3089578557</c:v>
                </c:pt>
                <c:pt idx="96">
                  <c:v>744626.86911603797</c:v>
                </c:pt>
                <c:pt idx="97">
                  <c:v>934363.69084218494</c:v>
                </c:pt>
                <c:pt idx="98">
                  <c:v>1463704.6201513631</c:v>
                </c:pt>
                <c:pt idx="99">
                  <c:v>3015672.0979135549</c:v>
                </c:pt>
                <c:pt idx="100">
                  <c:v>2717419.6950709871</c:v>
                </c:pt>
                <c:pt idx="101">
                  <c:v>6664300.3948202198</c:v>
                </c:pt>
                <c:pt idx="102">
                  <c:v>5559636.5173280817</c:v>
                </c:pt>
                <c:pt idx="103">
                  <c:v>4475437.8092067335</c:v>
                </c:pt>
                <c:pt idx="104">
                  <c:v>2469394.5411401149</c:v>
                </c:pt>
                <c:pt idx="105">
                  <c:v>2893984.997376537</c:v>
                </c:pt>
                <c:pt idx="106">
                  <c:v>1206040.1878856791</c:v>
                </c:pt>
                <c:pt idx="107">
                  <c:v>1366926.3633808512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01-4CCE-8FC5-9658663F3B40}"/>
            </c:ext>
          </c:extLst>
        </c:ser>
        <c:ser>
          <c:idx val="1"/>
          <c:order val="1"/>
          <c:tx>
            <c:strRef>
              <c:f>'GS Co Gen Normalized Monthly'!$M$1</c:f>
              <c:strCache>
                <c:ptCount val="1"/>
                <c:pt idx="0">
                  <c:v>WN 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 Co Gen Normalized Monthly'!$A$2:$A$145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 Co Gen Normalized Monthly'!$M$2:$M$145</c:f>
              <c:numCache>
                <c:formatCode>_(* #,##0_);_(* \(#,##0\);_(* "-"??_);_(@_)</c:formatCode>
                <c:ptCount val="144"/>
                <c:pt idx="0">
                  <c:v>2565295.7413617242</c:v>
                </c:pt>
                <c:pt idx="1">
                  <c:v>2066598.3285423331</c:v>
                </c:pt>
                <c:pt idx="2">
                  <c:v>2731528.2123015211</c:v>
                </c:pt>
                <c:pt idx="3">
                  <c:v>2178231.1926469216</c:v>
                </c:pt>
                <c:pt idx="4">
                  <c:v>3573654.5159383393</c:v>
                </c:pt>
                <c:pt idx="5">
                  <c:v>5237852.8245785087</c:v>
                </c:pt>
                <c:pt idx="6">
                  <c:v>5476350.0904240664</c:v>
                </c:pt>
                <c:pt idx="7">
                  <c:v>5211367.3648000192</c:v>
                </c:pt>
                <c:pt idx="8">
                  <c:v>4004648.2620520173</c:v>
                </c:pt>
                <c:pt idx="9">
                  <c:v>2819121.2439304823</c:v>
                </c:pt>
                <c:pt idx="10">
                  <c:v>2593274.8084059628</c:v>
                </c:pt>
                <c:pt idx="11">
                  <c:v>2066598.3285423331</c:v>
                </c:pt>
                <c:pt idx="12">
                  <c:v>2565295.7413617242</c:v>
                </c:pt>
                <c:pt idx="13">
                  <c:v>2066598.3285423331</c:v>
                </c:pt>
                <c:pt idx="14">
                  <c:v>2399063.2704219269</c:v>
                </c:pt>
                <c:pt idx="15">
                  <c:v>2510696.1345265154</c:v>
                </c:pt>
                <c:pt idx="16">
                  <c:v>3573654.5159383393</c:v>
                </c:pt>
                <c:pt idx="17">
                  <c:v>5071620.3536387123</c:v>
                </c:pt>
                <c:pt idx="18">
                  <c:v>5642582.5613638638</c:v>
                </c:pt>
                <c:pt idx="19">
                  <c:v>5211367.3648000192</c:v>
                </c:pt>
                <c:pt idx="20">
                  <c:v>3838415.7911122204</c:v>
                </c:pt>
                <c:pt idx="21">
                  <c:v>2985353.7148702797</c:v>
                </c:pt>
                <c:pt idx="22">
                  <c:v>2593274.8084059628</c:v>
                </c:pt>
                <c:pt idx="23">
                  <c:v>2066598.3285423331</c:v>
                </c:pt>
                <c:pt idx="24">
                  <c:v>2565295.7413617242</c:v>
                </c:pt>
                <c:pt idx="25">
                  <c:v>2066598.3285423331</c:v>
                </c:pt>
                <c:pt idx="26">
                  <c:v>2565295.7413617242</c:v>
                </c:pt>
                <c:pt idx="27">
                  <c:v>2510696.1345265154</c:v>
                </c:pt>
                <c:pt idx="28">
                  <c:v>3241189.5740587451</c:v>
                </c:pt>
                <c:pt idx="29">
                  <c:v>5237852.8245785087</c:v>
                </c:pt>
                <c:pt idx="30">
                  <c:v>5808815.0323036611</c:v>
                </c:pt>
                <c:pt idx="31">
                  <c:v>4878902.4229204254</c:v>
                </c:pt>
                <c:pt idx="32">
                  <c:v>4170880.7329918141</c:v>
                </c:pt>
                <c:pt idx="33">
                  <c:v>2819121.2439304823</c:v>
                </c:pt>
                <c:pt idx="34">
                  <c:v>2427042.3374661654</c:v>
                </c:pt>
                <c:pt idx="35">
                  <c:v>2399063.2704219269</c:v>
                </c:pt>
                <c:pt idx="36">
                  <c:v>2565295.7413617242</c:v>
                </c:pt>
                <c:pt idx="37">
                  <c:v>2066598.3285423331</c:v>
                </c:pt>
                <c:pt idx="38">
                  <c:v>2565295.7413617242</c:v>
                </c:pt>
                <c:pt idx="39">
                  <c:v>2510696.1345265154</c:v>
                </c:pt>
                <c:pt idx="40">
                  <c:v>3241189.5740587451</c:v>
                </c:pt>
                <c:pt idx="41">
                  <c:v>5237852.8245785087</c:v>
                </c:pt>
                <c:pt idx="42">
                  <c:v>5808815.0323036611</c:v>
                </c:pt>
                <c:pt idx="43">
                  <c:v>4878902.4229204254</c:v>
                </c:pt>
                <c:pt idx="44">
                  <c:v>4170880.7329918141</c:v>
                </c:pt>
                <c:pt idx="45">
                  <c:v>2819121.2439304823</c:v>
                </c:pt>
                <c:pt idx="46">
                  <c:v>2427042.3374661654</c:v>
                </c:pt>
                <c:pt idx="47">
                  <c:v>2399063.2704219269</c:v>
                </c:pt>
                <c:pt idx="48">
                  <c:v>2232830.79948213</c:v>
                </c:pt>
                <c:pt idx="49">
                  <c:v>2066598.3285423331</c:v>
                </c:pt>
                <c:pt idx="50">
                  <c:v>2731528.2123015211</c:v>
                </c:pt>
                <c:pt idx="51">
                  <c:v>2510696.1345265154</c:v>
                </c:pt>
                <c:pt idx="52">
                  <c:v>3241189.5740587451</c:v>
                </c:pt>
                <c:pt idx="53">
                  <c:v>5237852.8245785087</c:v>
                </c:pt>
                <c:pt idx="54">
                  <c:v>5642582.5613638638</c:v>
                </c:pt>
                <c:pt idx="55">
                  <c:v>4878902.4229204254</c:v>
                </c:pt>
                <c:pt idx="56">
                  <c:v>4004648.2620520173</c:v>
                </c:pt>
                <c:pt idx="57">
                  <c:v>2652888.7729906854</c:v>
                </c:pt>
                <c:pt idx="58">
                  <c:v>2593274.8084059628</c:v>
                </c:pt>
                <c:pt idx="59">
                  <c:v>2399063.2704219269</c:v>
                </c:pt>
                <c:pt idx="60">
                  <c:v>2232830.79948213</c:v>
                </c:pt>
                <c:pt idx="61">
                  <c:v>2066598.3285423331</c:v>
                </c:pt>
                <c:pt idx="62">
                  <c:v>2731528.2123015211</c:v>
                </c:pt>
                <c:pt idx="63">
                  <c:v>2344463.6635867185</c:v>
                </c:pt>
                <c:pt idx="64">
                  <c:v>3407422.0449985419</c:v>
                </c:pt>
                <c:pt idx="65">
                  <c:v>5237852.8245785087</c:v>
                </c:pt>
                <c:pt idx="66">
                  <c:v>5476350.0904240664</c:v>
                </c:pt>
                <c:pt idx="67">
                  <c:v>5211367.3648000192</c:v>
                </c:pt>
                <c:pt idx="68">
                  <c:v>4004648.2620520173</c:v>
                </c:pt>
                <c:pt idx="69">
                  <c:v>2652888.7729906854</c:v>
                </c:pt>
                <c:pt idx="70">
                  <c:v>2593274.8084059628</c:v>
                </c:pt>
                <c:pt idx="71">
                  <c:v>2232830.79948213</c:v>
                </c:pt>
                <c:pt idx="72">
                  <c:v>2399063.2704219269</c:v>
                </c:pt>
                <c:pt idx="73">
                  <c:v>2066598.3285423331</c:v>
                </c:pt>
                <c:pt idx="74">
                  <c:v>2731528.2123015211</c:v>
                </c:pt>
                <c:pt idx="75">
                  <c:v>2178231.1926469216</c:v>
                </c:pt>
                <c:pt idx="76">
                  <c:v>3573654.5159383393</c:v>
                </c:pt>
                <c:pt idx="77">
                  <c:v>5237852.8245785087</c:v>
                </c:pt>
                <c:pt idx="78">
                  <c:v>5476350.0904240664</c:v>
                </c:pt>
                <c:pt idx="79">
                  <c:v>5211367.3648000192</c:v>
                </c:pt>
                <c:pt idx="80">
                  <c:v>4004648.2620520173</c:v>
                </c:pt>
                <c:pt idx="81">
                  <c:v>2819121.2439304823</c:v>
                </c:pt>
                <c:pt idx="82">
                  <c:v>2593274.8084059628</c:v>
                </c:pt>
                <c:pt idx="83">
                  <c:v>2066598.3285423331</c:v>
                </c:pt>
                <c:pt idx="84">
                  <c:v>2565295.7413617242</c:v>
                </c:pt>
                <c:pt idx="85">
                  <c:v>2232830.79948213</c:v>
                </c:pt>
                <c:pt idx="86">
                  <c:v>2232830.79948213</c:v>
                </c:pt>
                <c:pt idx="87">
                  <c:v>2676928.6054663127</c:v>
                </c:pt>
                <c:pt idx="88">
                  <c:v>3573654.5159383393</c:v>
                </c:pt>
                <c:pt idx="89">
                  <c:v>4905387.882698915</c:v>
                </c:pt>
                <c:pt idx="90">
                  <c:v>5808815.0323036611</c:v>
                </c:pt>
                <c:pt idx="91">
                  <c:v>5211367.3648000192</c:v>
                </c:pt>
                <c:pt idx="92">
                  <c:v>4004648.2620520173</c:v>
                </c:pt>
                <c:pt idx="93">
                  <c:v>2985353.7148702797</c:v>
                </c:pt>
                <c:pt idx="94">
                  <c:v>2427042.3374661654</c:v>
                </c:pt>
                <c:pt idx="95">
                  <c:v>2232830.79948213</c:v>
                </c:pt>
                <c:pt idx="96">
                  <c:v>2565295.7413617242</c:v>
                </c:pt>
                <c:pt idx="97">
                  <c:v>2066598.3285423331</c:v>
                </c:pt>
                <c:pt idx="98">
                  <c:v>2399063.2704219269</c:v>
                </c:pt>
                <c:pt idx="99">
                  <c:v>2510696.1345265154</c:v>
                </c:pt>
                <c:pt idx="100">
                  <c:v>3407422.0449985419</c:v>
                </c:pt>
                <c:pt idx="101">
                  <c:v>5071620.3536387123</c:v>
                </c:pt>
                <c:pt idx="102">
                  <c:v>5808815.0323036611</c:v>
                </c:pt>
                <c:pt idx="103">
                  <c:v>5045134.8938602228</c:v>
                </c:pt>
                <c:pt idx="104">
                  <c:v>4170880.7329918141</c:v>
                </c:pt>
                <c:pt idx="105">
                  <c:v>2985353.7148702797</c:v>
                </c:pt>
                <c:pt idx="106">
                  <c:v>2260809.8665263681</c:v>
                </c:pt>
                <c:pt idx="107">
                  <c:v>2399063.2704219269</c:v>
                </c:pt>
                <c:pt idx="108">
                  <c:v>2399063.2704219269</c:v>
                </c:pt>
                <c:pt idx="109">
                  <c:v>2066598.3285423331</c:v>
                </c:pt>
                <c:pt idx="110">
                  <c:v>2565295.7413617242</c:v>
                </c:pt>
                <c:pt idx="111">
                  <c:v>2510696.1345265154</c:v>
                </c:pt>
                <c:pt idx="112">
                  <c:v>3241189.5740587451</c:v>
                </c:pt>
                <c:pt idx="113">
                  <c:v>5237852.8245785087</c:v>
                </c:pt>
                <c:pt idx="114">
                  <c:v>5808815.0323036611</c:v>
                </c:pt>
                <c:pt idx="115">
                  <c:v>5045134.8938602228</c:v>
                </c:pt>
                <c:pt idx="116">
                  <c:v>4170880.7329918141</c:v>
                </c:pt>
                <c:pt idx="117">
                  <c:v>2819121.2439304823</c:v>
                </c:pt>
                <c:pt idx="118">
                  <c:v>2427042.3374661654</c:v>
                </c:pt>
                <c:pt idx="119">
                  <c:v>2399063.2704219269</c:v>
                </c:pt>
                <c:pt idx="120">
                  <c:v>2232830.79948213</c:v>
                </c:pt>
                <c:pt idx="121">
                  <c:v>2066598.3285423331</c:v>
                </c:pt>
                <c:pt idx="122">
                  <c:v>2565295.7413617242</c:v>
                </c:pt>
                <c:pt idx="123">
                  <c:v>2676928.6054663127</c:v>
                </c:pt>
                <c:pt idx="124">
                  <c:v>3241189.5740587451</c:v>
                </c:pt>
                <c:pt idx="125">
                  <c:v>5237852.8245785087</c:v>
                </c:pt>
                <c:pt idx="126">
                  <c:v>5642582.5613638638</c:v>
                </c:pt>
                <c:pt idx="127">
                  <c:v>5211367.3648000192</c:v>
                </c:pt>
                <c:pt idx="128">
                  <c:v>4170880.7329918141</c:v>
                </c:pt>
                <c:pt idx="129">
                  <c:v>2652888.7729906854</c:v>
                </c:pt>
                <c:pt idx="130">
                  <c:v>2593274.8084059628</c:v>
                </c:pt>
                <c:pt idx="131">
                  <c:v>2232830.79948213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01-4CCE-8FC5-9658663F3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120384"/>
        <c:axId val="177121920"/>
      </c:lineChart>
      <c:dateAx>
        <c:axId val="1771203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1920"/>
        <c:crosses val="autoZero"/>
        <c:auto val="1"/>
        <c:lblOffset val="100"/>
        <c:baseTimeUnit val="months"/>
      </c:dateAx>
      <c:valAx>
        <c:axId val="177121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Large Use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'Large Use Normalized Monthly'!$D$1</c:f>
              <c:strCache>
                <c:ptCount val="1"/>
                <c:pt idx="0">
                  <c:v> Large_Use_NoCDM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'Large Use Normalized Monthly'!$A$2:$A$145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'Large Use Normalized Monthly'!$D$2:$D$145</c:f>
              <c:numCache>
                <c:formatCode>_(* #,##0_);_(* \(#,##0\);_(* "-"??_);_(@_)</c:formatCode>
                <c:ptCount val="144"/>
                <c:pt idx="0">
                  <c:v>8999446.6822758783</c:v>
                </c:pt>
                <c:pt idx="1">
                  <c:v>8124930.9065793287</c:v>
                </c:pt>
                <c:pt idx="2">
                  <c:v>9234224.1308827791</c:v>
                </c:pt>
                <c:pt idx="3">
                  <c:v>8840028.3551862296</c:v>
                </c:pt>
                <c:pt idx="4">
                  <c:v>9326722.57948968</c:v>
                </c:pt>
                <c:pt idx="5">
                  <c:v>10997553.80379313</c:v>
                </c:pt>
                <c:pt idx="6">
                  <c:v>12310894.028096581</c:v>
                </c:pt>
                <c:pt idx="7">
                  <c:v>11685596.252400031</c:v>
                </c:pt>
                <c:pt idx="8">
                  <c:v>11271867.476703482</c:v>
                </c:pt>
                <c:pt idx="9">
                  <c:v>9994517.7010069322</c:v>
                </c:pt>
                <c:pt idx="10">
                  <c:v>8686801.9253103826</c:v>
                </c:pt>
                <c:pt idx="11">
                  <c:v>8551960.1496138331</c:v>
                </c:pt>
                <c:pt idx="12">
                  <c:v>9103066.0429361481</c:v>
                </c:pt>
                <c:pt idx="13">
                  <c:v>8069983.3265349884</c:v>
                </c:pt>
                <c:pt idx="14">
                  <c:v>9022606.6101338267</c:v>
                </c:pt>
                <c:pt idx="15">
                  <c:v>8607346.893732667</c:v>
                </c:pt>
                <c:pt idx="16">
                  <c:v>10249196.177331505</c:v>
                </c:pt>
                <c:pt idx="17">
                  <c:v>10702581.460930346</c:v>
                </c:pt>
                <c:pt idx="18">
                  <c:v>12327687.744529184</c:v>
                </c:pt>
                <c:pt idx="19">
                  <c:v>12834453.028128022</c:v>
                </c:pt>
                <c:pt idx="20">
                  <c:v>11555740.311726863</c:v>
                </c:pt>
                <c:pt idx="21">
                  <c:v>9663556.5953257009</c:v>
                </c:pt>
                <c:pt idx="22">
                  <c:v>8876990.8789245412</c:v>
                </c:pt>
                <c:pt idx="23">
                  <c:v>8567404.1625233795</c:v>
                </c:pt>
                <c:pt idx="24">
                  <c:v>8989278.2746889144</c:v>
                </c:pt>
                <c:pt idx="25">
                  <c:v>8097545.3515033722</c:v>
                </c:pt>
                <c:pt idx="26">
                  <c:v>8985392.6473651007</c:v>
                </c:pt>
                <c:pt idx="27">
                  <c:v>8504581.5898450892</c:v>
                </c:pt>
                <c:pt idx="28">
                  <c:v>9087651.3384452276</c:v>
                </c:pt>
                <c:pt idx="29">
                  <c:v>10150109.924780237</c:v>
                </c:pt>
                <c:pt idx="30">
                  <c:v>12285416.778856665</c:v>
                </c:pt>
                <c:pt idx="31">
                  <c:v>11478159.279289683</c:v>
                </c:pt>
                <c:pt idx="32">
                  <c:v>10722555.998619301</c:v>
                </c:pt>
                <c:pt idx="33">
                  <c:v>9195841.3160605505</c:v>
                </c:pt>
                <c:pt idx="34">
                  <c:v>8525347.6827713586</c:v>
                </c:pt>
                <c:pt idx="35">
                  <c:v>8302879.6970118778</c:v>
                </c:pt>
                <c:pt idx="36">
                  <c:v>8600262.0200518575</c:v>
                </c:pt>
                <c:pt idx="37">
                  <c:v>8180470.246807198</c:v>
                </c:pt>
                <c:pt idx="38">
                  <c:v>8146171.5943440981</c:v>
                </c:pt>
                <c:pt idx="39">
                  <c:v>7110674.2288400885</c:v>
                </c:pt>
                <c:pt idx="40">
                  <c:v>8099810.9285269296</c:v>
                </c:pt>
                <c:pt idx="41">
                  <c:v>9661634.6249788105</c:v>
                </c:pt>
                <c:pt idx="42">
                  <c:v>11633464.73742496</c:v>
                </c:pt>
                <c:pt idx="43">
                  <c:v>10881748.22689686</c:v>
                </c:pt>
                <c:pt idx="44">
                  <c:v>9412013.6198623907</c:v>
                </c:pt>
                <c:pt idx="45">
                  <c:v>8181488.4837523811</c:v>
                </c:pt>
                <c:pt idx="46">
                  <c:v>7873386.2840596009</c:v>
                </c:pt>
                <c:pt idx="47">
                  <c:v>8025859.8760891212</c:v>
                </c:pt>
                <c:pt idx="48">
                  <c:v>8267121.5026186379</c:v>
                </c:pt>
                <c:pt idx="49">
                  <c:v>7860890.0394344553</c:v>
                </c:pt>
                <c:pt idx="50">
                  <c:v>8617027.7213605233</c:v>
                </c:pt>
                <c:pt idx="51">
                  <c:v>8151550.2276455313</c:v>
                </c:pt>
                <c:pt idx="52">
                  <c:v>9085951.214230109</c:v>
                </c:pt>
                <c:pt idx="53">
                  <c:v>10943993.453054408</c:v>
                </c:pt>
                <c:pt idx="54">
                  <c:v>11368752.713587916</c:v>
                </c:pt>
                <c:pt idx="55">
                  <c:v>12536881.909072623</c:v>
                </c:pt>
                <c:pt idx="56">
                  <c:v>10749580.623415139</c:v>
                </c:pt>
                <c:pt idx="57">
                  <c:v>10356128.307750057</c:v>
                </c:pt>
                <c:pt idx="58">
                  <c:v>9055135.6095071044</c:v>
                </c:pt>
                <c:pt idx="59">
                  <c:v>9104376.5640171226</c:v>
                </c:pt>
                <c:pt idx="60">
                  <c:v>9110751.0308836643</c:v>
                </c:pt>
                <c:pt idx="61">
                  <c:v>8626632.1104067359</c:v>
                </c:pt>
                <c:pt idx="62">
                  <c:v>9589247.0186625384</c:v>
                </c:pt>
                <c:pt idx="63">
                  <c:v>9180227.9473527595</c:v>
                </c:pt>
                <c:pt idx="64">
                  <c:v>10077830.463332593</c:v>
                </c:pt>
                <c:pt idx="65">
                  <c:v>10583328.764044672</c:v>
                </c:pt>
                <c:pt idx="66">
                  <c:v>11652875.177961215</c:v>
                </c:pt>
                <c:pt idx="67">
                  <c:v>11707751.467102198</c:v>
                </c:pt>
                <c:pt idx="68">
                  <c:v>10939336.920596739</c:v>
                </c:pt>
                <c:pt idx="69">
                  <c:v>12833984.256122762</c:v>
                </c:pt>
                <c:pt idx="70">
                  <c:v>12654963.870489843</c:v>
                </c:pt>
                <c:pt idx="71">
                  <c:v>12881327.663235825</c:v>
                </c:pt>
                <c:pt idx="72">
                  <c:v>12735778.584634606</c:v>
                </c:pt>
                <c:pt idx="73">
                  <c:v>11767083.564607263</c:v>
                </c:pt>
                <c:pt idx="74">
                  <c:v>13459049.055932319</c:v>
                </c:pt>
                <c:pt idx="75">
                  <c:v>13160905.919451777</c:v>
                </c:pt>
                <c:pt idx="76">
                  <c:v>13788454.644214533</c:v>
                </c:pt>
                <c:pt idx="77">
                  <c:v>14703192.83696259</c:v>
                </c:pt>
                <c:pt idx="78">
                  <c:v>16655581.63047855</c:v>
                </c:pt>
                <c:pt idx="79">
                  <c:v>16706591.428423306</c:v>
                </c:pt>
                <c:pt idx="80">
                  <c:v>15701047.359710263</c:v>
                </c:pt>
                <c:pt idx="81">
                  <c:v>14743057.004624922</c:v>
                </c:pt>
                <c:pt idx="82">
                  <c:v>13765936.609469777</c:v>
                </c:pt>
                <c:pt idx="83">
                  <c:v>13779390.384411534</c:v>
                </c:pt>
                <c:pt idx="84">
                  <c:v>14260589.724485524</c:v>
                </c:pt>
                <c:pt idx="85">
                  <c:v>13283794.127959238</c:v>
                </c:pt>
                <c:pt idx="86">
                  <c:v>14003296.408531051</c:v>
                </c:pt>
                <c:pt idx="87">
                  <c:v>13877323.379148966</c:v>
                </c:pt>
                <c:pt idx="88">
                  <c:v>15404708.31516158</c:v>
                </c:pt>
                <c:pt idx="89">
                  <c:v>16166675.685287094</c:v>
                </c:pt>
                <c:pt idx="90">
                  <c:v>17648326.53122801</c:v>
                </c:pt>
                <c:pt idx="91">
                  <c:v>17363128.283993222</c:v>
                </c:pt>
                <c:pt idx="92">
                  <c:v>16364222.048419036</c:v>
                </c:pt>
                <c:pt idx="93">
                  <c:v>14807290.144618651</c:v>
                </c:pt>
                <c:pt idx="94">
                  <c:v>13992711.462041363</c:v>
                </c:pt>
                <c:pt idx="95">
                  <c:v>13601921.748472378</c:v>
                </c:pt>
                <c:pt idx="96">
                  <c:v>14361905.166353663</c:v>
                </c:pt>
                <c:pt idx="97">
                  <c:v>12945592.518201813</c:v>
                </c:pt>
                <c:pt idx="98">
                  <c:v>14237317.45575696</c:v>
                </c:pt>
                <c:pt idx="99">
                  <c:v>14137926.302662909</c:v>
                </c:pt>
                <c:pt idx="100">
                  <c:v>14378587.136586657</c:v>
                </c:pt>
                <c:pt idx="101">
                  <c:v>16220607.002538506</c:v>
                </c:pt>
                <c:pt idx="102">
                  <c:v>18141297.038824454</c:v>
                </c:pt>
                <c:pt idx="103">
                  <c:v>16333866.322163202</c:v>
                </c:pt>
                <c:pt idx="104">
                  <c:v>15806074.315778051</c:v>
                </c:pt>
                <c:pt idx="105">
                  <c:v>14876887.0161887</c:v>
                </c:pt>
                <c:pt idx="106">
                  <c:v>13663366.431718748</c:v>
                </c:pt>
                <c:pt idx="107">
                  <c:v>13605458.244193096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C8-4C29-87B3-6D99DBF5D605}"/>
            </c:ext>
          </c:extLst>
        </c:ser>
        <c:ser>
          <c:idx val="1"/>
          <c:order val="1"/>
          <c:tx>
            <c:strRef>
              <c:f>'Large Use Normalized Monthly'!$W$1</c:f>
              <c:strCache>
                <c:ptCount val="1"/>
                <c:pt idx="0">
                  <c:v>WN 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'Large Use Normalized Monthly'!$A$2:$A$145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'Large Use Normalized Monthly'!$W$2:$W$145</c:f>
              <c:numCache>
                <c:formatCode>_(* #,##0_);_(* \(#,##0\);_(* "-"??_);_(@_)</c:formatCode>
                <c:ptCount val="144"/>
                <c:pt idx="0">
                  <c:v>8565170.7838689145</c:v>
                </c:pt>
                <c:pt idx="1">
                  <c:v>7516913.5523205036</c:v>
                </c:pt>
                <c:pt idx="2">
                  <c:v>8506041.3519247919</c:v>
                </c:pt>
                <c:pt idx="3">
                  <c:v>8259856.9328229148</c:v>
                </c:pt>
                <c:pt idx="4">
                  <c:v>9256247.3593580965</c:v>
                </c:pt>
                <c:pt idx="5">
                  <c:v>10551285.127840156</c:v>
                </c:pt>
                <c:pt idx="6">
                  <c:v>11977644.52515216</c:v>
                </c:pt>
                <c:pt idx="7">
                  <c:v>11510751.04356654</c:v>
                </c:pt>
                <c:pt idx="8">
                  <c:v>10539378.9785136</c:v>
                </c:pt>
                <c:pt idx="9">
                  <c:v>9454305.7196298148</c:v>
                </c:pt>
                <c:pt idx="10">
                  <c:v>8679669.0395319555</c:v>
                </c:pt>
                <c:pt idx="11">
                  <c:v>8697372.1888633296</c:v>
                </c:pt>
                <c:pt idx="12">
                  <c:v>8771815.4448092598</c:v>
                </c:pt>
                <c:pt idx="13">
                  <c:v>7723558.2132608481</c:v>
                </c:pt>
                <c:pt idx="14">
                  <c:v>8712686.0128651373</c:v>
                </c:pt>
                <c:pt idx="15">
                  <c:v>8466501.5937632602</c:v>
                </c:pt>
                <c:pt idx="16">
                  <c:v>9462892.02029844</c:v>
                </c:pt>
                <c:pt idx="17">
                  <c:v>10757929.788780501</c:v>
                </c:pt>
                <c:pt idx="18">
                  <c:v>12184289.186092505</c:v>
                </c:pt>
                <c:pt idx="19">
                  <c:v>11717395.704506885</c:v>
                </c:pt>
                <c:pt idx="20">
                  <c:v>10746023.639453946</c:v>
                </c:pt>
                <c:pt idx="21">
                  <c:v>9660950.3805701602</c:v>
                </c:pt>
                <c:pt idx="22">
                  <c:v>8886313.700472299</c:v>
                </c:pt>
                <c:pt idx="23">
                  <c:v>8904016.8498036731</c:v>
                </c:pt>
                <c:pt idx="24">
                  <c:v>8978460.1057496034</c:v>
                </c:pt>
                <c:pt idx="25">
                  <c:v>7930202.8742011925</c:v>
                </c:pt>
                <c:pt idx="26">
                  <c:v>8919330.6738054827</c:v>
                </c:pt>
                <c:pt idx="27">
                  <c:v>8673146.2547036037</c:v>
                </c:pt>
                <c:pt idx="28">
                  <c:v>9669536.6812387854</c:v>
                </c:pt>
                <c:pt idx="29">
                  <c:v>10964574.449720845</c:v>
                </c:pt>
                <c:pt idx="30">
                  <c:v>12390933.847032849</c:v>
                </c:pt>
                <c:pt idx="31">
                  <c:v>11924040.365447229</c:v>
                </c:pt>
                <c:pt idx="32">
                  <c:v>10952668.300394291</c:v>
                </c:pt>
                <c:pt idx="33">
                  <c:v>9867595.0415105056</c:v>
                </c:pt>
                <c:pt idx="34">
                  <c:v>9092958.3614126444</c:v>
                </c:pt>
                <c:pt idx="35">
                  <c:v>9110661.5107440185</c:v>
                </c:pt>
                <c:pt idx="36">
                  <c:v>9185104.7666899487</c:v>
                </c:pt>
                <c:pt idx="37">
                  <c:v>8474992.5306715425</c:v>
                </c:pt>
                <c:pt idx="38">
                  <c:v>8631415.0216292627</c:v>
                </c:pt>
                <c:pt idx="39">
                  <c:v>7890670.2894108212</c:v>
                </c:pt>
                <c:pt idx="40">
                  <c:v>8887060.7159460038</c:v>
                </c:pt>
                <c:pt idx="41">
                  <c:v>10676658.797544625</c:v>
                </c:pt>
                <c:pt idx="42">
                  <c:v>12103018.194856629</c:v>
                </c:pt>
                <c:pt idx="43">
                  <c:v>11636124.713271011</c:v>
                </c:pt>
                <c:pt idx="44">
                  <c:v>10664752.648218071</c:v>
                </c:pt>
                <c:pt idx="45">
                  <c:v>9579679.3893342875</c:v>
                </c:pt>
                <c:pt idx="46">
                  <c:v>8805042.7092364263</c:v>
                </c:pt>
                <c:pt idx="47">
                  <c:v>8822745.8585677985</c:v>
                </c:pt>
                <c:pt idx="48">
                  <c:v>8897189.1145137306</c:v>
                </c:pt>
                <c:pt idx="49">
                  <c:v>7848931.8829653189</c:v>
                </c:pt>
                <c:pt idx="50">
                  <c:v>8838059.6825696081</c:v>
                </c:pt>
                <c:pt idx="51">
                  <c:v>8591875.2634677291</c:v>
                </c:pt>
                <c:pt idx="52">
                  <c:v>9588265.6900029108</c:v>
                </c:pt>
                <c:pt idx="53">
                  <c:v>10883303.45848497</c:v>
                </c:pt>
                <c:pt idx="54">
                  <c:v>12309662.855796974</c:v>
                </c:pt>
                <c:pt idx="55">
                  <c:v>11842769.374211356</c:v>
                </c:pt>
                <c:pt idx="56">
                  <c:v>10871397.309158416</c:v>
                </c:pt>
                <c:pt idx="57">
                  <c:v>9786324.050274631</c:v>
                </c:pt>
                <c:pt idx="58">
                  <c:v>9011687.3701767698</c:v>
                </c:pt>
                <c:pt idx="59">
                  <c:v>9029390.519508142</c:v>
                </c:pt>
                <c:pt idx="60">
                  <c:v>9351113.9320123568</c:v>
                </c:pt>
                <c:pt idx="61">
                  <c:v>8302856.700463945</c:v>
                </c:pt>
                <c:pt idx="62">
                  <c:v>9291984.5000682343</c:v>
                </c:pt>
                <c:pt idx="63">
                  <c:v>9045800.0809663571</c:v>
                </c:pt>
                <c:pt idx="64">
                  <c:v>10042190.507501539</c:v>
                </c:pt>
                <c:pt idx="65">
                  <c:v>11337228.275983596</c:v>
                </c:pt>
                <c:pt idx="66">
                  <c:v>12763587.6732956</c:v>
                </c:pt>
                <c:pt idx="67">
                  <c:v>12296694.191709982</c:v>
                </c:pt>
                <c:pt idx="68">
                  <c:v>11325322.126657043</c:v>
                </c:pt>
                <c:pt idx="69">
                  <c:v>13740248.725331979</c:v>
                </c:pt>
                <c:pt idx="70">
                  <c:v>12965612.045234118</c:v>
                </c:pt>
                <c:pt idx="71">
                  <c:v>12983315.19456549</c:v>
                </c:pt>
                <c:pt idx="72">
                  <c:v>13305038.607069703</c:v>
                </c:pt>
                <c:pt idx="73">
                  <c:v>12256781.375521291</c:v>
                </c:pt>
                <c:pt idx="74">
                  <c:v>13245909.17512558</c:v>
                </c:pt>
                <c:pt idx="75">
                  <c:v>12999724.756023703</c:v>
                </c:pt>
                <c:pt idx="76">
                  <c:v>13996115.182558885</c:v>
                </c:pt>
                <c:pt idx="77">
                  <c:v>15291152.951040944</c:v>
                </c:pt>
                <c:pt idx="78">
                  <c:v>16717512.348352948</c:v>
                </c:pt>
                <c:pt idx="79">
                  <c:v>16250618.866767328</c:v>
                </c:pt>
                <c:pt idx="80">
                  <c:v>15279246.801714389</c:v>
                </c:pt>
                <c:pt idx="81">
                  <c:v>14194173.542830605</c:v>
                </c:pt>
                <c:pt idx="82">
                  <c:v>13419536.862732744</c:v>
                </c:pt>
                <c:pt idx="83">
                  <c:v>13437240.012064118</c:v>
                </c:pt>
                <c:pt idx="84">
                  <c:v>13511683.268010048</c:v>
                </c:pt>
                <c:pt idx="85">
                  <c:v>12801571.031991642</c:v>
                </c:pt>
                <c:pt idx="86">
                  <c:v>13452553.836065926</c:v>
                </c:pt>
                <c:pt idx="87">
                  <c:v>13206369.416964047</c:v>
                </c:pt>
                <c:pt idx="88">
                  <c:v>14202759.84349923</c:v>
                </c:pt>
                <c:pt idx="89">
                  <c:v>15497797.611981289</c:v>
                </c:pt>
                <c:pt idx="90">
                  <c:v>16924157.009293295</c:v>
                </c:pt>
                <c:pt idx="91">
                  <c:v>16457263.527707675</c:v>
                </c:pt>
                <c:pt idx="92">
                  <c:v>15485891.462654734</c:v>
                </c:pt>
                <c:pt idx="93">
                  <c:v>14400818.203770949</c:v>
                </c:pt>
                <c:pt idx="94">
                  <c:v>13626181.523673087</c:v>
                </c:pt>
                <c:pt idx="95">
                  <c:v>13643884.673004463</c:v>
                </c:pt>
                <c:pt idx="96">
                  <c:v>13718327.928950394</c:v>
                </c:pt>
                <c:pt idx="97">
                  <c:v>12670070.697401982</c:v>
                </c:pt>
                <c:pt idx="98">
                  <c:v>13659198.497006271</c:v>
                </c:pt>
                <c:pt idx="99">
                  <c:v>13413014.077904392</c:v>
                </c:pt>
                <c:pt idx="100">
                  <c:v>14409404.504439574</c:v>
                </c:pt>
                <c:pt idx="101">
                  <c:v>15704442.272921633</c:v>
                </c:pt>
                <c:pt idx="102">
                  <c:v>17130801.670233637</c:v>
                </c:pt>
                <c:pt idx="103">
                  <c:v>16663908.188648017</c:v>
                </c:pt>
                <c:pt idx="104">
                  <c:v>15692536.123595079</c:v>
                </c:pt>
                <c:pt idx="105">
                  <c:v>14607462.864711294</c:v>
                </c:pt>
                <c:pt idx="106">
                  <c:v>13832826.184613433</c:v>
                </c:pt>
                <c:pt idx="107">
                  <c:v>13850529.333944807</c:v>
                </c:pt>
                <c:pt idx="108">
                  <c:v>13924972.589890737</c:v>
                </c:pt>
                <c:pt idx="109">
                  <c:v>12876715.358342327</c:v>
                </c:pt>
                <c:pt idx="110">
                  <c:v>13865843.157946616</c:v>
                </c:pt>
                <c:pt idx="111">
                  <c:v>13619658.738844737</c:v>
                </c:pt>
                <c:pt idx="112">
                  <c:v>14616049.165379919</c:v>
                </c:pt>
                <c:pt idx="113">
                  <c:v>15911086.933861978</c:v>
                </c:pt>
                <c:pt idx="114">
                  <c:v>17337446.331173986</c:v>
                </c:pt>
                <c:pt idx="115">
                  <c:v>16870552.849588364</c:v>
                </c:pt>
                <c:pt idx="116">
                  <c:v>15899180.784535423</c:v>
                </c:pt>
                <c:pt idx="117">
                  <c:v>14814107.525651639</c:v>
                </c:pt>
                <c:pt idx="118">
                  <c:v>14039470.845553778</c:v>
                </c:pt>
                <c:pt idx="119">
                  <c:v>14057173.994885152</c:v>
                </c:pt>
                <c:pt idx="120">
                  <c:v>14131617.250831082</c:v>
                </c:pt>
                <c:pt idx="121">
                  <c:v>13083360.019282671</c:v>
                </c:pt>
                <c:pt idx="122">
                  <c:v>14072487.81888696</c:v>
                </c:pt>
                <c:pt idx="123">
                  <c:v>13826303.399785083</c:v>
                </c:pt>
                <c:pt idx="124">
                  <c:v>14822693.826320263</c:v>
                </c:pt>
                <c:pt idx="125">
                  <c:v>16117731.594802324</c:v>
                </c:pt>
                <c:pt idx="126">
                  <c:v>17544090.992114328</c:v>
                </c:pt>
                <c:pt idx="127">
                  <c:v>17077197.510528706</c:v>
                </c:pt>
                <c:pt idx="128">
                  <c:v>16105825.445475768</c:v>
                </c:pt>
                <c:pt idx="129">
                  <c:v>15020752.186591983</c:v>
                </c:pt>
                <c:pt idx="130">
                  <c:v>14246115.506494123</c:v>
                </c:pt>
                <c:pt idx="131">
                  <c:v>14263818.655825496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C8-4C29-87B3-6D99DBF5D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120384"/>
        <c:axId val="177121920"/>
      </c:lineChart>
      <c:dateAx>
        <c:axId val="1771203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1920"/>
        <c:crosses val="autoZero"/>
        <c:auto val="1"/>
        <c:lblOffset val="100"/>
        <c:baseTimeUnit val="months"/>
      </c:dateAx>
      <c:valAx>
        <c:axId val="177121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Residential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'Res Normalized Monthly WN'!$D$1</c:f>
              <c:strCache>
                <c:ptCount val="1"/>
                <c:pt idx="0">
                  <c:v> Res_NoCDM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'Res Normalized Monthly WN'!$A$2:$A$133</c:f>
              <c:numCache>
                <c:formatCode>m/d/yyyy</c:formatCode>
                <c:ptCount val="13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'Res Normalized Monthly WN'!$D$2:$D$133</c:f>
              <c:numCache>
                <c:formatCode>_(* #,##0.00_);_(* \(#,##0.00\);_(* "-"??_);_(@_)</c:formatCode>
                <c:ptCount val="132"/>
                <c:pt idx="0">
                  <c:v>96528111.989106089</c:v>
                </c:pt>
                <c:pt idx="1">
                  <c:v>81300090.78765358</c:v>
                </c:pt>
                <c:pt idx="2">
                  <c:v>87978694.586201057</c:v>
                </c:pt>
                <c:pt idx="3">
                  <c:v>73074109.384748533</c:v>
                </c:pt>
                <c:pt idx="4">
                  <c:v>74177213.18329601</c:v>
                </c:pt>
                <c:pt idx="5">
                  <c:v>91127350.981843486</c:v>
                </c:pt>
                <c:pt idx="6">
                  <c:v>108227347.78039098</c:v>
                </c:pt>
                <c:pt idx="7">
                  <c:v>95371179.578938454</c:v>
                </c:pt>
                <c:pt idx="8">
                  <c:v>89157887.377485931</c:v>
                </c:pt>
                <c:pt idx="9">
                  <c:v>77506626.176033407</c:v>
                </c:pt>
                <c:pt idx="10">
                  <c:v>84425507.974580884</c:v>
                </c:pt>
                <c:pt idx="11">
                  <c:v>102733791.77312838</c:v>
                </c:pt>
                <c:pt idx="12">
                  <c:v>104765390.03404444</c:v>
                </c:pt>
                <c:pt idx="13">
                  <c:v>87909194.787768081</c:v>
                </c:pt>
                <c:pt idx="14">
                  <c:v>91818531.541491702</c:v>
                </c:pt>
                <c:pt idx="15">
                  <c:v>83778021.295215338</c:v>
                </c:pt>
                <c:pt idx="16">
                  <c:v>84852159.04893896</c:v>
                </c:pt>
                <c:pt idx="17">
                  <c:v>96396686.802662596</c:v>
                </c:pt>
                <c:pt idx="18">
                  <c:v>120736313.55638622</c:v>
                </c:pt>
                <c:pt idx="19">
                  <c:v>119361439.31010985</c:v>
                </c:pt>
                <c:pt idx="20">
                  <c:v>98395160.063833475</c:v>
                </c:pt>
                <c:pt idx="21">
                  <c:v>83137429.817557111</c:v>
                </c:pt>
                <c:pt idx="22">
                  <c:v>90326715.571280748</c:v>
                </c:pt>
                <c:pt idx="23">
                  <c:v>102342861.32500437</c:v>
                </c:pt>
                <c:pt idx="24">
                  <c:v>105416679.01993552</c:v>
                </c:pt>
                <c:pt idx="25">
                  <c:v>92620975.343300313</c:v>
                </c:pt>
                <c:pt idx="26">
                  <c:v>94241177.603081301</c:v>
                </c:pt>
                <c:pt idx="27">
                  <c:v>79477048.429578483</c:v>
                </c:pt>
                <c:pt idx="28">
                  <c:v>75969863.614056066</c:v>
                </c:pt>
                <c:pt idx="29">
                  <c:v>87994636.970840842</c:v>
                </c:pt>
                <c:pt idx="30">
                  <c:v>127394508.16810884</c:v>
                </c:pt>
                <c:pt idx="31">
                  <c:v>109911720.39383872</c:v>
                </c:pt>
                <c:pt idx="32">
                  <c:v>86984748.548102602</c:v>
                </c:pt>
                <c:pt idx="33">
                  <c:v>79074026.821383372</c:v>
                </c:pt>
                <c:pt idx="34">
                  <c:v>88890436.20814155</c:v>
                </c:pt>
                <c:pt idx="35">
                  <c:v>99357327.710085541</c:v>
                </c:pt>
                <c:pt idx="36">
                  <c:v>97545951.767339185</c:v>
                </c:pt>
                <c:pt idx="37">
                  <c:v>91493578.994513884</c:v>
                </c:pt>
                <c:pt idx="38">
                  <c:v>91571517.654991493</c:v>
                </c:pt>
                <c:pt idx="39">
                  <c:v>85758313.193750188</c:v>
                </c:pt>
                <c:pt idx="40">
                  <c:v>92128124.461526498</c:v>
                </c:pt>
                <c:pt idx="41">
                  <c:v>112735350.78716789</c:v>
                </c:pt>
                <c:pt idx="42">
                  <c:v>146625970.2936959</c:v>
                </c:pt>
                <c:pt idx="43">
                  <c:v>120844372.34821889</c:v>
                </c:pt>
                <c:pt idx="44">
                  <c:v>87619165.062130496</c:v>
                </c:pt>
                <c:pt idx="45">
                  <c:v>83474979.349141687</c:v>
                </c:pt>
                <c:pt idx="46">
                  <c:v>86270435.371089891</c:v>
                </c:pt>
                <c:pt idx="47">
                  <c:v>104207857.30909689</c:v>
                </c:pt>
                <c:pt idx="48">
                  <c:v>105751345.12864499</c:v>
                </c:pt>
                <c:pt idx="49">
                  <c:v>98306877.169293538</c:v>
                </c:pt>
                <c:pt idx="50">
                  <c:v>91973029.250623286</c:v>
                </c:pt>
                <c:pt idx="51">
                  <c:v>82981156.929550335</c:v>
                </c:pt>
                <c:pt idx="52">
                  <c:v>91340076.58452858</c:v>
                </c:pt>
                <c:pt idx="53">
                  <c:v>115361515.82174373</c:v>
                </c:pt>
                <c:pt idx="54">
                  <c:v>119528701.30399828</c:v>
                </c:pt>
                <c:pt idx="55">
                  <c:v>132199542.12188883</c:v>
                </c:pt>
                <c:pt idx="56">
                  <c:v>92658508.505937979</c:v>
                </c:pt>
                <c:pt idx="57">
                  <c:v>87440775.674946621</c:v>
                </c:pt>
                <c:pt idx="58">
                  <c:v>89753400.674855173</c:v>
                </c:pt>
                <c:pt idx="59">
                  <c:v>101925936.95283271</c:v>
                </c:pt>
                <c:pt idx="60">
                  <c:v>113400436.11189753</c:v>
                </c:pt>
                <c:pt idx="61">
                  <c:v>98271140.502125725</c:v>
                </c:pt>
                <c:pt idx="62">
                  <c:v>97810437.164043024</c:v>
                </c:pt>
                <c:pt idx="63">
                  <c:v>85783051.575556532</c:v>
                </c:pt>
                <c:pt idx="64">
                  <c:v>89296731.492021337</c:v>
                </c:pt>
                <c:pt idx="65">
                  <c:v>104358390.42752253</c:v>
                </c:pt>
                <c:pt idx="66">
                  <c:v>125884000.32741234</c:v>
                </c:pt>
                <c:pt idx="67">
                  <c:v>121150244.47990614</c:v>
                </c:pt>
                <c:pt idx="68">
                  <c:v>95896085.279471442</c:v>
                </c:pt>
                <c:pt idx="69">
                  <c:v>82407651.875134245</c:v>
                </c:pt>
                <c:pt idx="70">
                  <c:v>87684954.067774549</c:v>
                </c:pt>
                <c:pt idx="71">
                  <c:v>104600325.92757934</c:v>
                </c:pt>
                <c:pt idx="72">
                  <c:v>101095920.38269933</c:v>
                </c:pt>
                <c:pt idx="73">
                  <c:v>91047446.956413373</c:v>
                </c:pt>
                <c:pt idx="74">
                  <c:v>95849298.594118595</c:v>
                </c:pt>
                <c:pt idx="75">
                  <c:v>84098508.162623033</c:v>
                </c:pt>
                <c:pt idx="76">
                  <c:v>84438333.862071276</c:v>
                </c:pt>
                <c:pt idx="77">
                  <c:v>97286503.750689998</c:v>
                </c:pt>
                <c:pt idx="78">
                  <c:v>121481480.73199384</c:v>
                </c:pt>
                <c:pt idx="79">
                  <c:v>106591355.68128458</c:v>
                </c:pt>
                <c:pt idx="80">
                  <c:v>94551964.486079708</c:v>
                </c:pt>
                <c:pt idx="81">
                  <c:v>87394678.400082737</c:v>
                </c:pt>
                <c:pt idx="82">
                  <c:v>90724734.418044969</c:v>
                </c:pt>
                <c:pt idx="83">
                  <c:v>100027267.37958151</c:v>
                </c:pt>
                <c:pt idx="84">
                  <c:v>107987271.15008742</c:v>
                </c:pt>
                <c:pt idx="85">
                  <c:v>93237063.884746984</c:v>
                </c:pt>
                <c:pt idx="86">
                  <c:v>94045575.889152646</c:v>
                </c:pt>
                <c:pt idx="87">
                  <c:v>82535428.2478275</c:v>
                </c:pt>
                <c:pt idx="88">
                  <c:v>90145540.473728657</c:v>
                </c:pt>
                <c:pt idx="89">
                  <c:v>111435063.72212371</c:v>
                </c:pt>
                <c:pt idx="90">
                  <c:v>130191861.16614237</c:v>
                </c:pt>
                <c:pt idx="91">
                  <c:v>120170576.65742104</c:v>
                </c:pt>
                <c:pt idx="92">
                  <c:v>100285392.95244572</c:v>
                </c:pt>
                <c:pt idx="93">
                  <c:v>83692326.02029407</c:v>
                </c:pt>
                <c:pt idx="94">
                  <c:v>88124968.455559433</c:v>
                </c:pt>
                <c:pt idx="95">
                  <c:v>107392341.21479669</c:v>
                </c:pt>
                <c:pt idx="96">
                  <c:v>113660418.88730848</c:v>
                </c:pt>
                <c:pt idx="97">
                  <c:v>99387988.37269628</c:v>
                </c:pt>
                <c:pt idx="98">
                  <c:v>96704636.918613061</c:v>
                </c:pt>
                <c:pt idx="99">
                  <c:v>85992221.873758852</c:v>
                </c:pt>
                <c:pt idx="100">
                  <c:v>84993551.117046133</c:v>
                </c:pt>
                <c:pt idx="101">
                  <c:v>115056173.48231643</c:v>
                </c:pt>
                <c:pt idx="102">
                  <c:v>140976675.19585302</c:v>
                </c:pt>
                <c:pt idx="103">
                  <c:v>121948218.3047366</c:v>
                </c:pt>
                <c:pt idx="104">
                  <c:v>95222363.852296785</c:v>
                </c:pt>
                <c:pt idx="105">
                  <c:v>87631115.335631788</c:v>
                </c:pt>
                <c:pt idx="106">
                  <c:v>93364815.512638971</c:v>
                </c:pt>
                <c:pt idx="107">
                  <c:v>111581704.96910296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F5-44EE-B2D3-2F4AF3DC20A0}"/>
            </c:ext>
          </c:extLst>
        </c:ser>
        <c:ser>
          <c:idx val="1"/>
          <c:order val="1"/>
          <c:tx>
            <c:strRef>
              <c:f>'Res Normalized Monthly WN'!$Y$1</c:f>
              <c:strCache>
                <c:ptCount val="1"/>
                <c:pt idx="0">
                  <c:v>WN Predicted</c:v>
                </c:pt>
              </c:strCache>
            </c:strRef>
          </c:tx>
          <c:marker>
            <c:symbol val="none"/>
          </c:marker>
          <c:cat>
            <c:numRef>
              <c:f>'Res Normalized Monthly WN'!$A$2:$A$133</c:f>
              <c:numCache>
                <c:formatCode>m/d/yyyy</c:formatCode>
                <c:ptCount val="13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'Res Normalized Monthly WN'!$Y$2:$Y$133</c:f>
              <c:numCache>
                <c:formatCode>_(* #,##0.00_);_(* \(#,##0.00\);_(* "-"??_);_(@_)</c:formatCode>
                <c:ptCount val="132"/>
                <c:pt idx="0">
                  <c:v>99720621.558549002</c:v>
                </c:pt>
                <c:pt idx="1">
                  <c:v>86449273.613608554</c:v>
                </c:pt>
                <c:pt idx="2">
                  <c:v>85449915.910324216</c:v>
                </c:pt>
                <c:pt idx="3">
                  <c:v>76874616.406037137</c:v>
                </c:pt>
                <c:pt idx="4">
                  <c:v>77801308.630296245</c:v>
                </c:pt>
                <c:pt idx="5">
                  <c:v>93703189.516627148</c:v>
                </c:pt>
                <c:pt idx="6">
                  <c:v>115241008.90834872</c:v>
                </c:pt>
                <c:pt idx="7">
                  <c:v>107912210.25391036</c:v>
                </c:pt>
                <c:pt idx="8">
                  <c:v>85799984.673208982</c:v>
                </c:pt>
                <c:pt idx="9">
                  <c:v>76811469.952503204</c:v>
                </c:pt>
                <c:pt idx="10">
                  <c:v>83111466.110983789</c:v>
                </c:pt>
                <c:pt idx="11">
                  <c:v>95087592.234254599</c:v>
                </c:pt>
                <c:pt idx="12">
                  <c:v>100639883.99370414</c:v>
                </c:pt>
                <c:pt idx="13">
                  <c:v>88859771.992450669</c:v>
                </c:pt>
                <c:pt idx="14">
                  <c:v>87299162.580203503</c:v>
                </c:pt>
                <c:pt idx="15">
                  <c:v>78416112.898691088</c:v>
                </c:pt>
                <c:pt idx="16">
                  <c:v>75706597.458858311</c:v>
                </c:pt>
                <c:pt idx="17">
                  <c:v>97501417.257409334</c:v>
                </c:pt>
                <c:pt idx="18">
                  <c:v>122613522.31205386</c:v>
                </c:pt>
                <c:pt idx="19">
                  <c:v>109817765.58456415</c:v>
                </c:pt>
                <c:pt idx="20">
                  <c:v>90297635.055506989</c:v>
                </c:pt>
                <c:pt idx="21">
                  <c:v>79934844.137001857</c:v>
                </c:pt>
                <c:pt idx="22">
                  <c:v>84878400.321926668</c:v>
                </c:pt>
                <c:pt idx="23">
                  <c:v>103480122.23594485</c:v>
                </c:pt>
                <c:pt idx="24">
                  <c:v>99569678.168387502</c:v>
                </c:pt>
                <c:pt idx="25">
                  <c:v>90161816.168577462</c:v>
                </c:pt>
                <c:pt idx="26">
                  <c:v>88705538.376573473</c:v>
                </c:pt>
                <c:pt idx="27">
                  <c:v>80613463.202642053</c:v>
                </c:pt>
                <c:pt idx="28">
                  <c:v>84999223.145628601</c:v>
                </c:pt>
                <c:pt idx="29">
                  <c:v>96346665.382045135</c:v>
                </c:pt>
                <c:pt idx="30">
                  <c:v>121587914.1154854</c:v>
                </c:pt>
                <c:pt idx="31">
                  <c:v>113656459.97691959</c:v>
                </c:pt>
                <c:pt idx="32">
                  <c:v>88177921.412370861</c:v>
                </c:pt>
                <c:pt idx="33">
                  <c:v>82166805.671628088</c:v>
                </c:pt>
                <c:pt idx="34">
                  <c:v>83132610.0046179</c:v>
                </c:pt>
                <c:pt idx="35">
                  <c:v>100085701.62909207</c:v>
                </c:pt>
                <c:pt idx="36">
                  <c:v>102505231.71731874</c:v>
                </c:pt>
                <c:pt idx="37">
                  <c:v>90133055.810004577</c:v>
                </c:pt>
                <c:pt idx="38">
                  <c:v>94731857.269764036</c:v>
                </c:pt>
                <c:pt idx="39">
                  <c:v>85051603.024442717</c:v>
                </c:pt>
                <c:pt idx="40">
                  <c:v>89385821.998993069</c:v>
                </c:pt>
                <c:pt idx="41">
                  <c:v>110130259.96160388</c:v>
                </c:pt>
                <c:pt idx="42">
                  <c:v>131225486.51779871</c:v>
                </c:pt>
                <c:pt idx="43">
                  <c:v>120111341.33877932</c:v>
                </c:pt>
                <c:pt idx="44">
                  <c:v>94858124.615415111</c:v>
                </c:pt>
                <c:pt idx="45">
                  <c:v>85897371.004733756</c:v>
                </c:pt>
                <c:pt idx="46">
                  <c:v>89924244.366260827</c:v>
                </c:pt>
                <c:pt idx="47">
                  <c:v>104968972.88275938</c:v>
                </c:pt>
                <c:pt idx="48">
                  <c:v>107910702.01718627</c:v>
                </c:pt>
                <c:pt idx="49">
                  <c:v>92619339.68665801</c:v>
                </c:pt>
                <c:pt idx="50">
                  <c:v>96278303.601646304</c:v>
                </c:pt>
                <c:pt idx="51">
                  <c:v>84771938.686498597</c:v>
                </c:pt>
                <c:pt idx="52">
                  <c:v>87373064.991753161</c:v>
                </c:pt>
                <c:pt idx="53">
                  <c:v>104352592.55531234</c:v>
                </c:pt>
                <c:pt idx="54">
                  <c:v>130011472.83069055</c:v>
                </c:pt>
                <c:pt idx="55">
                  <c:v>121657631.76885542</c:v>
                </c:pt>
                <c:pt idx="56">
                  <c:v>97622182.121846408</c:v>
                </c:pt>
                <c:pt idx="57">
                  <c:v>84497798.350766763</c:v>
                </c:pt>
                <c:pt idx="58">
                  <c:v>88623658.515786335</c:v>
                </c:pt>
                <c:pt idx="59">
                  <c:v>105905582.7585934</c:v>
                </c:pt>
                <c:pt idx="60">
                  <c:v>105970580.89307563</c:v>
                </c:pt>
                <c:pt idx="61">
                  <c:v>95158810.896434247</c:v>
                </c:pt>
                <c:pt idx="62">
                  <c:v>96950331.801823452</c:v>
                </c:pt>
                <c:pt idx="63">
                  <c:v>85407733.81193541</c:v>
                </c:pt>
                <c:pt idx="64">
                  <c:v>85105391.301736891</c:v>
                </c:pt>
                <c:pt idx="65">
                  <c:v>107954283.86379313</c:v>
                </c:pt>
                <c:pt idx="66">
                  <c:v>127778380.83178958</c:v>
                </c:pt>
                <c:pt idx="67">
                  <c:v>118077170.82543029</c:v>
                </c:pt>
                <c:pt idx="68">
                  <c:v>95813026.321662456</c:v>
                </c:pt>
                <c:pt idx="69">
                  <c:v>86386653.738539636</c:v>
                </c:pt>
                <c:pt idx="70">
                  <c:v>88203031.385327458</c:v>
                </c:pt>
                <c:pt idx="71">
                  <c:v>104512588.52486847</c:v>
                </c:pt>
                <c:pt idx="72">
                  <c:v>106838442.10265182</c:v>
                </c:pt>
                <c:pt idx="73">
                  <c:v>93787816.017562568</c:v>
                </c:pt>
                <c:pt idx="74">
                  <c:v>94017047.462211818</c:v>
                </c:pt>
                <c:pt idx="75">
                  <c:v>82557604.301636636</c:v>
                </c:pt>
                <c:pt idx="76">
                  <c:v>86898551.948719725</c:v>
                </c:pt>
                <c:pt idx="77">
                  <c:v>104876373.13193317</c:v>
                </c:pt>
                <c:pt idx="78">
                  <c:v>129443124.95992284</c:v>
                </c:pt>
                <c:pt idx="79">
                  <c:v>120614023.59587085</c:v>
                </c:pt>
                <c:pt idx="80">
                  <c:v>98130926.241954446</c:v>
                </c:pt>
                <c:pt idx="81">
                  <c:v>84343917.834657952</c:v>
                </c:pt>
                <c:pt idx="82">
                  <c:v>89899643.123782724</c:v>
                </c:pt>
                <c:pt idx="83">
                  <c:v>106896364.20873033</c:v>
                </c:pt>
                <c:pt idx="84">
                  <c:v>109733392.54568574</c:v>
                </c:pt>
                <c:pt idx="85">
                  <c:v>97331479.421843886</c:v>
                </c:pt>
                <c:pt idx="86">
                  <c:v>98082394.251414523</c:v>
                </c:pt>
                <c:pt idx="87">
                  <c:v>86517042.597968429</c:v>
                </c:pt>
                <c:pt idx="88">
                  <c:v>90298992.667572632</c:v>
                </c:pt>
                <c:pt idx="89">
                  <c:v>108130412.035338</c:v>
                </c:pt>
                <c:pt idx="90">
                  <c:v>132924102.38737914</c:v>
                </c:pt>
                <c:pt idx="91">
                  <c:v>123418431.13037707</c:v>
                </c:pt>
                <c:pt idx="92">
                  <c:v>97515404.341412202</c:v>
                </c:pt>
                <c:pt idx="93">
                  <c:v>86065554.772730306</c:v>
                </c:pt>
                <c:pt idx="94">
                  <c:v>90233134.52459988</c:v>
                </c:pt>
                <c:pt idx="95">
                  <c:v>106824989.73021145</c:v>
                </c:pt>
                <c:pt idx="96">
                  <c:v>109201485.13724913</c:v>
                </c:pt>
                <c:pt idx="97">
                  <c:v>95131619.310373828</c:v>
                </c:pt>
                <c:pt idx="98">
                  <c:v>99620053.60890843</c:v>
                </c:pt>
                <c:pt idx="99">
                  <c:v>86681111.696599454</c:v>
                </c:pt>
                <c:pt idx="100">
                  <c:v>91553408.182276115</c:v>
                </c:pt>
                <c:pt idx="101">
                  <c:v>106887365.87154432</c:v>
                </c:pt>
                <c:pt idx="102">
                  <c:v>134116391.05319872</c:v>
                </c:pt>
                <c:pt idx="103">
                  <c:v>125661349.72077374</c:v>
                </c:pt>
                <c:pt idx="104">
                  <c:v>97269743.654237598</c:v>
                </c:pt>
                <c:pt idx="105">
                  <c:v>86954605.011528522</c:v>
                </c:pt>
                <c:pt idx="106">
                  <c:v>92324473.418431506</c:v>
                </c:pt>
                <c:pt idx="107">
                  <c:v>105600213.93414296</c:v>
                </c:pt>
                <c:pt idx="108">
                  <c:v>109817250.36328188</c:v>
                </c:pt>
                <c:pt idx="109">
                  <c:v>97420457.811454713</c:v>
                </c:pt>
                <c:pt idx="110">
                  <c:v>100153286.03884479</c:v>
                </c:pt>
                <c:pt idx="111">
                  <c:v>88875166.951751322</c:v>
                </c:pt>
                <c:pt idx="112">
                  <c:v>91341463.474689633</c:v>
                </c:pt>
                <c:pt idx="113">
                  <c:v>109817082.5761856</c:v>
                </c:pt>
                <c:pt idx="114">
                  <c:v>131534499.38798125</c:v>
                </c:pt>
                <c:pt idx="115">
                  <c:v>121998264.93904495</c:v>
                </c:pt>
                <c:pt idx="116">
                  <c:v>99523129.04920207</c:v>
                </c:pt>
                <c:pt idx="117">
                  <c:v>89929987.930839136</c:v>
                </c:pt>
                <c:pt idx="118">
                  <c:v>93070274.349080384</c:v>
                </c:pt>
                <c:pt idx="119">
                  <c:v>109104555.77201933</c:v>
                </c:pt>
                <c:pt idx="120">
                  <c:v>111102551.20124063</c:v>
                </c:pt>
                <c:pt idx="121">
                  <c:v>98706658.722033799</c:v>
                </c:pt>
                <c:pt idx="122">
                  <c:v>101440387.65234852</c:v>
                </c:pt>
                <c:pt idx="123">
                  <c:v>90163169.898925483</c:v>
                </c:pt>
                <c:pt idx="124">
                  <c:v>92630368.386721671</c:v>
                </c:pt>
                <c:pt idx="125">
                  <c:v>111106890.08470498</c:v>
                </c:pt>
                <c:pt idx="126">
                  <c:v>132825210.12505974</c:v>
                </c:pt>
                <c:pt idx="127">
                  <c:v>123289879.53719696</c:v>
                </c:pt>
                <c:pt idx="128">
                  <c:v>100815648.14138494</c:v>
                </c:pt>
                <c:pt idx="129">
                  <c:v>91223412.150453463</c:v>
                </c:pt>
                <c:pt idx="130">
                  <c:v>94364604.32997033</c:v>
                </c:pt>
                <c:pt idx="131">
                  <c:v>110399792.14847291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F5-44EE-B2D3-2F4AF3DC2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750976"/>
        <c:axId val="176752512"/>
      </c:lineChart>
      <c:dateAx>
        <c:axId val="17675097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752512"/>
        <c:crosses val="autoZero"/>
        <c:auto val="1"/>
        <c:lblOffset val="100"/>
        <c:baseTimeUnit val="months"/>
      </c:dateAx>
      <c:valAx>
        <c:axId val="17675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750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&lt; 50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'GS&lt;50 Normalized Monthly WN'!$D$1</c:f>
              <c:strCache>
                <c:ptCount val="1"/>
                <c:pt idx="0">
                  <c:v> GS_lt_50_NoCDM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'GS&lt;50 Normalized Monthly WN'!$A$2:$A$145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'GS&lt;50 Normalized Monthly WN'!$D$2:$D$145</c:f>
              <c:numCache>
                <c:formatCode>_(* #,##0.00_);_(* \(#,##0.00\);_(* "-"??_);_(@_)</c:formatCode>
                <c:ptCount val="144"/>
                <c:pt idx="0">
                  <c:v>34683049.001843154</c:v>
                </c:pt>
                <c:pt idx="1">
                  <c:v>31630788.735422239</c:v>
                </c:pt>
                <c:pt idx="2">
                  <c:v>33721872.46900133</c:v>
                </c:pt>
                <c:pt idx="3">
                  <c:v>29000476.202580415</c:v>
                </c:pt>
                <c:pt idx="4">
                  <c:v>30141065.936159503</c:v>
                </c:pt>
                <c:pt idx="5">
                  <c:v>32275893.669738587</c:v>
                </c:pt>
                <c:pt idx="6">
                  <c:v>35056085.403317675</c:v>
                </c:pt>
                <c:pt idx="7">
                  <c:v>33724240.136896759</c:v>
                </c:pt>
                <c:pt idx="8">
                  <c:v>31894077.870475851</c:v>
                </c:pt>
                <c:pt idx="9">
                  <c:v>30146026.604054935</c:v>
                </c:pt>
                <c:pt idx="10">
                  <c:v>31440394.337634023</c:v>
                </c:pt>
                <c:pt idx="11">
                  <c:v>34201747.071213111</c:v>
                </c:pt>
                <c:pt idx="12">
                  <c:v>37147855.281969562</c:v>
                </c:pt>
                <c:pt idx="13">
                  <c:v>32130532.581361752</c:v>
                </c:pt>
                <c:pt idx="14">
                  <c:v>34082211.880753942</c:v>
                </c:pt>
                <c:pt idx="15">
                  <c:v>31578780.180146135</c:v>
                </c:pt>
                <c:pt idx="16">
                  <c:v>32437913.479538325</c:v>
                </c:pt>
                <c:pt idx="17">
                  <c:v>33981626.778930515</c:v>
                </c:pt>
                <c:pt idx="18">
                  <c:v>37340418.078322709</c:v>
                </c:pt>
                <c:pt idx="19">
                  <c:v>37258199.377714895</c:v>
                </c:pt>
                <c:pt idx="20">
                  <c:v>32457955.677107088</c:v>
                </c:pt>
                <c:pt idx="21">
                  <c:v>30886290.976499278</c:v>
                </c:pt>
                <c:pt idx="22">
                  <c:v>33064714.275891468</c:v>
                </c:pt>
                <c:pt idx="23">
                  <c:v>33697422.575283661</c:v>
                </c:pt>
                <c:pt idx="24">
                  <c:v>36829480.752867945</c:v>
                </c:pt>
                <c:pt idx="25">
                  <c:v>33366900.493147276</c:v>
                </c:pt>
                <c:pt idx="26">
                  <c:v>34872336.488189504</c:v>
                </c:pt>
                <c:pt idx="27">
                  <c:v>30563948.842154223</c:v>
                </c:pt>
                <c:pt idx="28">
                  <c:v>30439981.506023146</c:v>
                </c:pt>
                <c:pt idx="29">
                  <c:v>31958460.559302475</c:v>
                </c:pt>
                <c:pt idx="30">
                  <c:v>39000790.891762398</c:v>
                </c:pt>
                <c:pt idx="31">
                  <c:v>36320178.532291718</c:v>
                </c:pt>
                <c:pt idx="32">
                  <c:v>31962336.608666547</c:v>
                </c:pt>
                <c:pt idx="33">
                  <c:v>30759281.251047574</c:v>
                </c:pt>
                <c:pt idx="34">
                  <c:v>33141456.629586298</c:v>
                </c:pt>
                <c:pt idx="35">
                  <c:v>34727182.032087423</c:v>
                </c:pt>
                <c:pt idx="36">
                  <c:v>35587534.780226827</c:v>
                </c:pt>
                <c:pt idx="37">
                  <c:v>33755956.937224291</c:v>
                </c:pt>
                <c:pt idx="38">
                  <c:v>31961407.074373361</c:v>
                </c:pt>
                <c:pt idx="39">
                  <c:v>26435861.898934826</c:v>
                </c:pt>
                <c:pt idx="40">
                  <c:v>27588460.479361489</c:v>
                </c:pt>
                <c:pt idx="41">
                  <c:v>32012058.677479155</c:v>
                </c:pt>
                <c:pt idx="42">
                  <c:v>38745453.377998121</c:v>
                </c:pt>
                <c:pt idx="43">
                  <c:v>35336767.432149887</c:v>
                </c:pt>
                <c:pt idx="44">
                  <c:v>30064424.989130653</c:v>
                </c:pt>
                <c:pt idx="45">
                  <c:v>29507060.335061818</c:v>
                </c:pt>
                <c:pt idx="46">
                  <c:v>30257073.560644682</c:v>
                </c:pt>
                <c:pt idx="47">
                  <c:v>33353346.81291895</c:v>
                </c:pt>
                <c:pt idx="48">
                  <c:v>33188670.928305969</c:v>
                </c:pt>
                <c:pt idx="49">
                  <c:v>32029961.907204423</c:v>
                </c:pt>
                <c:pt idx="50">
                  <c:v>32767606.297940973</c:v>
                </c:pt>
                <c:pt idx="51">
                  <c:v>28526897.993398827</c:v>
                </c:pt>
                <c:pt idx="52">
                  <c:v>29460273.547266677</c:v>
                </c:pt>
                <c:pt idx="53">
                  <c:v>33741581.231269225</c:v>
                </c:pt>
                <c:pt idx="54">
                  <c:v>35821107.582326174</c:v>
                </c:pt>
                <c:pt idx="55">
                  <c:v>38356548.084514029</c:v>
                </c:pt>
                <c:pt idx="56">
                  <c:v>31815550.085094079</c:v>
                </c:pt>
                <c:pt idx="57">
                  <c:v>30918107.462813132</c:v>
                </c:pt>
                <c:pt idx="58">
                  <c:v>31869917.672068384</c:v>
                </c:pt>
                <c:pt idx="59">
                  <c:v>33904688.36236053</c:v>
                </c:pt>
                <c:pt idx="60">
                  <c:v>37072199.286133692</c:v>
                </c:pt>
                <c:pt idx="61">
                  <c:v>34106025.220729686</c:v>
                </c:pt>
                <c:pt idx="62">
                  <c:v>35656141.74767568</c:v>
                </c:pt>
                <c:pt idx="63">
                  <c:v>31746429.201593272</c:v>
                </c:pt>
                <c:pt idx="64">
                  <c:v>32818195.351553965</c:v>
                </c:pt>
                <c:pt idx="65">
                  <c:v>35352197.196220562</c:v>
                </c:pt>
                <c:pt idx="66">
                  <c:v>38896081.999405652</c:v>
                </c:pt>
                <c:pt idx="67">
                  <c:v>38840185.92272944</c:v>
                </c:pt>
                <c:pt idx="68">
                  <c:v>33654327.730507731</c:v>
                </c:pt>
                <c:pt idx="69">
                  <c:v>31415307.367699027</c:v>
                </c:pt>
                <c:pt idx="70">
                  <c:v>33054898.399967819</c:v>
                </c:pt>
                <c:pt idx="71">
                  <c:v>36113207.191137917</c:v>
                </c:pt>
                <c:pt idx="72">
                  <c:v>36644302.910595365</c:v>
                </c:pt>
                <c:pt idx="73">
                  <c:v>33697550.512014888</c:v>
                </c:pt>
                <c:pt idx="74">
                  <c:v>36355592.281842805</c:v>
                </c:pt>
                <c:pt idx="75">
                  <c:v>31973002.845864329</c:v>
                </c:pt>
                <c:pt idx="76">
                  <c:v>33099271.600468054</c:v>
                </c:pt>
                <c:pt idx="77">
                  <c:v>34472273.31071417</c:v>
                </c:pt>
                <c:pt idx="78">
                  <c:v>38328544.836939998</c:v>
                </c:pt>
                <c:pt idx="79">
                  <c:v>36428584.860646717</c:v>
                </c:pt>
                <c:pt idx="80">
                  <c:v>33579765.16547174</c:v>
                </c:pt>
                <c:pt idx="81">
                  <c:v>32793920.29388446</c:v>
                </c:pt>
                <c:pt idx="82">
                  <c:v>33988995.077233881</c:v>
                </c:pt>
                <c:pt idx="83">
                  <c:v>35287478.129461206</c:v>
                </c:pt>
                <c:pt idx="84">
                  <c:v>38219875.681387417</c:v>
                </c:pt>
                <c:pt idx="85">
                  <c:v>34257979.157338955</c:v>
                </c:pt>
                <c:pt idx="86">
                  <c:v>34527361.185368188</c:v>
                </c:pt>
                <c:pt idx="87">
                  <c:v>31963168.830053426</c:v>
                </c:pt>
                <c:pt idx="88">
                  <c:v>33702078.344445564</c:v>
                </c:pt>
                <c:pt idx="89">
                  <c:v>36390924.841228999</c:v>
                </c:pt>
                <c:pt idx="90">
                  <c:v>40087127.052448839</c:v>
                </c:pt>
                <c:pt idx="91">
                  <c:v>38411450.880521774</c:v>
                </c:pt>
                <c:pt idx="92">
                  <c:v>34606193.578424111</c:v>
                </c:pt>
                <c:pt idx="93">
                  <c:v>32483265.88042035</c:v>
                </c:pt>
                <c:pt idx="94">
                  <c:v>32809368.372306686</c:v>
                </c:pt>
                <c:pt idx="95">
                  <c:v>36744901.690685332</c:v>
                </c:pt>
                <c:pt idx="96">
                  <c:v>40183559.338830374</c:v>
                </c:pt>
                <c:pt idx="97">
                  <c:v>36188686.913162045</c:v>
                </c:pt>
                <c:pt idx="98">
                  <c:v>36194100.339142725</c:v>
                </c:pt>
                <c:pt idx="99">
                  <c:v>33302287.632952996</c:v>
                </c:pt>
                <c:pt idx="100">
                  <c:v>32819813.044337571</c:v>
                </c:pt>
                <c:pt idx="101">
                  <c:v>37612354.418116137</c:v>
                </c:pt>
                <c:pt idx="102">
                  <c:v>42809598.246677913</c:v>
                </c:pt>
                <c:pt idx="103">
                  <c:v>39144829.233934194</c:v>
                </c:pt>
                <c:pt idx="104">
                  <c:v>34783887.287649468</c:v>
                </c:pt>
                <c:pt idx="105">
                  <c:v>33721107.220164739</c:v>
                </c:pt>
                <c:pt idx="106">
                  <c:v>34683043.361470014</c:v>
                </c:pt>
                <c:pt idx="107">
                  <c:v>38907834.05508209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6C-43ED-9461-070103A744F8}"/>
            </c:ext>
          </c:extLst>
        </c:ser>
        <c:ser>
          <c:idx val="1"/>
          <c:order val="1"/>
          <c:tx>
            <c:strRef>
              <c:f>'GS&lt;50 Normalized Monthly WN'!$U$1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'GS&lt;50 Normalized Monthly WN'!$A$2:$A$145</c:f>
              <c:numCache>
                <c:formatCode>m/d/yyyy</c:formatCode>
                <c:ptCount val="14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'GS&lt;50 Normalized Monthly WN'!$U$2:$U$145</c:f>
              <c:numCache>
                <c:formatCode>_(* #,##0.0_);_(* \(#,##0.0\);_(* "-"??_);_(@_)</c:formatCode>
                <c:ptCount val="144"/>
                <c:pt idx="0">
                  <c:v>35501114.660172202</c:v>
                </c:pt>
                <c:pt idx="1">
                  <c:v>32868214.503128622</c:v>
                </c:pt>
                <c:pt idx="2">
                  <c:v>33094245.541999012</c:v>
                </c:pt>
                <c:pt idx="3">
                  <c:v>29849518.868068188</c:v>
                </c:pt>
                <c:pt idx="4">
                  <c:v>30722379.59463647</c:v>
                </c:pt>
                <c:pt idx="5">
                  <c:v>32736416.082180548</c:v>
                </c:pt>
                <c:pt idx="6">
                  <c:v>36107967.644241989</c:v>
                </c:pt>
                <c:pt idx="7">
                  <c:v>35748166.495740488</c:v>
                </c:pt>
                <c:pt idx="8">
                  <c:v>31401036.124914542</c:v>
                </c:pt>
                <c:pt idx="9">
                  <c:v>30111844.881937593</c:v>
                </c:pt>
                <c:pt idx="10">
                  <c:v>31253222.8350267</c:v>
                </c:pt>
                <c:pt idx="11">
                  <c:v>32557383.864530306</c:v>
                </c:pt>
                <c:pt idx="12">
                  <c:v>36319024.844377443</c:v>
                </c:pt>
                <c:pt idx="13">
                  <c:v>32423075.531827051</c:v>
                </c:pt>
                <c:pt idx="14">
                  <c:v>33006608.952547155</c:v>
                </c:pt>
                <c:pt idx="15">
                  <c:v>30282258.263756089</c:v>
                </c:pt>
                <c:pt idx="16">
                  <c:v>31067155.222321779</c:v>
                </c:pt>
                <c:pt idx="17">
                  <c:v>34050572.735046081</c:v>
                </c:pt>
                <c:pt idx="18">
                  <c:v>37618362.936864711</c:v>
                </c:pt>
                <c:pt idx="19">
                  <c:v>35765239.480764359</c:v>
                </c:pt>
                <c:pt idx="20">
                  <c:v>31211626.103767678</c:v>
                </c:pt>
                <c:pt idx="21">
                  <c:v>30199849.498327363</c:v>
                </c:pt>
                <c:pt idx="22">
                  <c:v>31947137.720666926</c:v>
                </c:pt>
                <c:pt idx="23">
                  <c:v>34029749.156490728</c:v>
                </c:pt>
                <c:pt idx="24">
                  <c:v>35613233.393134207</c:v>
                </c:pt>
                <c:pt idx="25">
                  <c:v>32892093.13571544</c:v>
                </c:pt>
                <c:pt idx="26">
                  <c:v>33568025.174890794</c:v>
                </c:pt>
                <c:pt idx="27">
                  <c:v>30729853.849768139</c:v>
                </c:pt>
                <c:pt idx="28">
                  <c:v>31978426.721912708</c:v>
                </c:pt>
                <c:pt idx="29">
                  <c:v>33228063.828930236</c:v>
                </c:pt>
                <c:pt idx="30">
                  <c:v>38105274.493239217</c:v>
                </c:pt>
                <c:pt idx="31">
                  <c:v>36901693.667701267</c:v>
                </c:pt>
                <c:pt idx="32">
                  <c:v>32127892.743386634</c:v>
                </c:pt>
                <c:pt idx="33">
                  <c:v>31343331.002473161</c:v>
                </c:pt>
                <c:pt idx="34">
                  <c:v>31954225.620306578</c:v>
                </c:pt>
                <c:pt idx="35">
                  <c:v>34967489.898577787</c:v>
                </c:pt>
                <c:pt idx="36">
                  <c:v>36803206.483315483</c:v>
                </c:pt>
                <c:pt idx="37">
                  <c:v>33583657.146784164</c:v>
                </c:pt>
                <c:pt idx="38">
                  <c:v>32614098.091702644</c:v>
                </c:pt>
                <c:pt idx="39">
                  <c:v>26186977.510933377</c:v>
                </c:pt>
                <c:pt idx="40">
                  <c:v>27028474.796202075</c:v>
                </c:pt>
                <c:pt idx="41">
                  <c:v>31569196.877549808</c:v>
                </c:pt>
                <c:pt idx="42">
                  <c:v>36396046.731134042</c:v>
                </c:pt>
                <c:pt idx="43">
                  <c:v>35193848.480087325</c:v>
                </c:pt>
                <c:pt idx="44">
                  <c:v>31263668.233176928</c:v>
                </c:pt>
                <c:pt idx="45">
                  <c:v>29854397.404031631</c:v>
                </c:pt>
                <c:pt idx="46">
                  <c:v>31209737.869467422</c:v>
                </c:pt>
                <c:pt idx="47">
                  <c:v>33601023.08446639</c:v>
                </c:pt>
                <c:pt idx="48">
                  <c:v>33774228.867685542</c:v>
                </c:pt>
                <c:pt idx="49">
                  <c:v>30828618.29801191</c:v>
                </c:pt>
                <c:pt idx="50">
                  <c:v>33677961.229609907</c:v>
                </c:pt>
                <c:pt idx="51">
                  <c:v>28896924.30049656</c:v>
                </c:pt>
                <c:pt idx="52">
                  <c:v>28749467.079677496</c:v>
                </c:pt>
                <c:pt idx="53">
                  <c:v>31974701.360222731</c:v>
                </c:pt>
                <c:pt idx="54">
                  <c:v>37450169.544341162</c:v>
                </c:pt>
                <c:pt idx="55">
                  <c:v>36721983.653753333</c:v>
                </c:pt>
                <c:pt idx="56">
                  <c:v>32631458.225155778</c:v>
                </c:pt>
                <c:pt idx="57">
                  <c:v>30445997.362050965</c:v>
                </c:pt>
                <c:pt idx="58">
                  <c:v>31724222.23073937</c:v>
                </c:pt>
                <c:pt idx="59">
                  <c:v>34876684.607585073</c:v>
                </c:pt>
                <c:pt idx="60">
                  <c:v>35499735.594421893</c:v>
                </c:pt>
                <c:pt idx="61">
                  <c:v>33484223.938975617</c:v>
                </c:pt>
                <c:pt idx="62">
                  <c:v>35404044.433093987</c:v>
                </c:pt>
                <c:pt idx="63">
                  <c:v>31590075.708545227</c:v>
                </c:pt>
                <c:pt idx="64">
                  <c:v>32189366.660132792</c:v>
                </c:pt>
                <c:pt idx="65">
                  <c:v>35998321.518972881</c:v>
                </c:pt>
                <c:pt idx="66">
                  <c:v>39168915.104668885</c:v>
                </c:pt>
                <c:pt idx="67">
                  <c:v>38321328.904972017</c:v>
                </c:pt>
                <c:pt idx="68">
                  <c:v>33579350.430341661</c:v>
                </c:pt>
                <c:pt idx="69">
                  <c:v>32115353.121117376</c:v>
                </c:pt>
                <c:pt idx="70">
                  <c:v>33313399.126091301</c:v>
                </c:pt>
                <c:pt idx="71">
                  <c:v>36169851.805014193</c:v>
                </c:pt>
                <c:pt idx="72">
                  <c:v>38036240.678408779</c:v>
                </c:pt>
                <c:pt idx="73">
                  <c:v>34392880.417045549</c:v>
                </c:pt>
                <c:pt idx="74">
                  <c:v>35884716.659296893</c:v>
                </c:pt>
                <c:pt idx="75">
                  <c:v>31754198.22816832</c:v>
                </c:pt>
                <c:pt idx="76">
                  <c:v>33548709.283526123</c:v>
                </c:pt>
                <c:pt idx="77">
                  <c:v>35652423.88020654</c:v>
                </c:pt>
                <c:pt idx="78">
                  <c:v>39536918.472100362</c:v>
                </c:pt>
                <c:pt idx="79">
                  <c:v>38672528.084459327</c:v>
                </c:pt>
                <c:pt idx="80">
                  <c:v>34255070.423349589</c:v>
                </c:pt>
                <c:pt idx="81">
                  <c:v>32232974.888217982</c:v>
                </c:pt>
                <c:pt idx="82">
                  <c:v>33911860.342334382</c:v>
                </c:pt>
                <c:pt idx="83">
                  <c:v>36909736.120972775</c:v>
                </c:pt>
                <c:pt idx="84">
                  <c:v>38712436.289753646</c:v>
                </c:pt>
                <c:pt idx="85">
                  <c:v>35313295.945372976</c:v>
                </c:pt>
                <c:pt idx="86">
                  <c:v>35377300.952135548</c:v>
                </c:pt>
                <c:pt idx="87">
                  <c:v>32828824.841397166</c:v>
                </c:pt>
                <c:pt idx="88">
                  <c:v>33802837.425265849</c:v>
                </c:pt>
                <c:pt idx="89">
                  <c:v>35889497.003811873</c:v>
                </c:pt>
                <c:pt idx="90">
                  <c:v>40509725.56079185</c:v>
                </c:pt>
                <c:pt idx="91">
                  <c:v>38970078.192731217</c:v>
                </c:pt>
                <c:pt idx="92">
                  <c:v>34019481.03017576</c:v>
                </c:pt>
                <c:pt idx="93">
                  <c:v>32945146.209474329</c:v>
                </c:pt>
                <c:pt idx="94">
                  <c:v>33451176.946890678</c:v>
                </c:pt>
                <c:pt idx="95">
                  <c:v>36693610.683608338</c:v>
                </c:pt>
                <c:pt idx="96">
                  <c:v>39279692.057551533</c:v>
                </c:pt>
                <c:pt idx="97">
                  <c:v>35309423.196894102</c:v>
                </c:pt>
                <c:pt idx="98">
                  <c:v>36791672.232705198</c:v>
                </c:pt>
                <c:pt idx="99">
                  <c:v>33436581.991999611</c:v>
                </c:pt>
                <c:pt idx="100">
                  <c:v>33947340.501075678</c:v>
                </c:pt>
                <c:pt idx="101">
                  <c:v>36243622.860828489</c:v>
                </c:pt>
                <c:pt idx="102">
                  <c:v>41763240.286489956</c:v>
                </c:pt>
                <c:pt idx="103">
                  <c:v>39855790.697981544</c:v>
                </c:pt>
                <c:pt idx="104">
                  <c:v>34988511.477641888</c:v>
                </c:pt>
                <c:pt idx="105">
                  <c:v>33613137.653130174</c:v>
                </c:pt>
                <c:pt idx="106">
                  <c:v>34557467.119886689</c:v>
                </c:pt>
                <c:pt idx="107">
                  <c:v>37638108.193020038</c:v>
                </c:pt>
                <c:pt idx="108">
                  <c:v>38835170.664802894</c:v>
                </c:pt>
                <c:pt idx="109">
                  <c:v>35683389.234001875</c:v>
                </c:pt>
                <c:pt idx="110">
                  <c:v>36976184.344135113</c:v>
                </c:pt>
                <c:pt idx="111">
                  <c:v>33691002.621628329</c:v>
                </c:pt>
                <c:pt idx="112">
                  <c:v>34402531.204351649</c:v>
                </c:pt>
                <c:pt idx="113">
                  <c:v>37085392.032143086</c:v>
                </c:pt>
                <c:pt idx="114">
                  <c:v>41063746.051325291</c:v>
                </c:pt>
                <c:pt idx="115">
                  <c:v>39555154.950927556</c:v>
                </c:pt>
                <c:pt idx="116">
                  <c:v>35080647.225710467</c:v>
                </c:pt>
                <c:pt idx="117">
                  <c:v>33866913.544465676</c:v>
                </c:pt>
                <c:pt idx="118">
                  <c:v>34778508.765998408</c:v>
                </c:pt>
                <c:pt idx="119">
                  <c:v>37603117.673578739</c:v>
                </c:pt>
                <c:pt idx="120">
                  <c:v>39252548.250886425</c:v>
                </c:pt>
                <c:pt idx="121">
                  <c:v>36100766.820085406</c:v>
                </c:pt>
                <c:pt idx="122">
                  <c:v>37393561.930218644</c:v>
                </c:pt>
                <c:pt idx="123">
                  <c:v>34107259.375436075</c:v>
                </c:pt>
                <c:pt idx="124">
                  <c:v>34818787.958159387</c:v>
                </c:pt>
                <c:pt idx="125">
                  <c:v>37501648.785950825</c:v>
                </c:pt>
                <c:pt idx="126">
                  <c:v>41482823.008732446</c:v>
                </c:pt>
                <c:pt idx="127">
                  <c:v>39974231.90833471</c:v>
                </c:pt>
                <c:pt idx="128">
                  <c:v>35499724.183117628</c:v>
                </c:pt>
                <c:pt idx="129">
                  <c:v>34285161.959605947</c:v>
                </c:pt>
                <c:pt idx="130">
                  <c:v>35196757.181138679</c:v>
                </c:pt>
                <c:pt idx="131">
                  <c:v>38021366.088719003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6C-43ED-9461-070103A74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107712"/>
        <c:axId val="177109248"/>
      </c:lineChart>
      <c:dateAx>
        <c:axId val="17710771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09248"/>
        <c:crosses val="autoZero"/>
        <c:auto val="1"/>
        <c:lblOffset val="100"/>
        <c:baseTimeUnit val="months"/>
      </c:dateAx>
      <c:valAx>
        <c:axId val="17710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0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&gt; 50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'GS&gt;50 Normalized Monthly WN'!$D$1</c:f>
              <c:strCache>
                <c:ptCount val="1"/>
                <c:pt idx="0">
                  <c:v> GS_gt_50_NoCDM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'GS&gt;50 Normalized Monthly WN'!$A$2:$A$133</c:f>
              <c:numCache>
                <c:formatCode>m/d/yyyy</c:formatCode>
                <c:ptCount val="13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'GS&gt;50 Normalized Monthly WN'!$D$2:$D$133</c:f>
              <c:numCache>
                <c:formatCode>_(* #,##0.00_);_(* \(#,##0.00\);_(* "-"??_);_(@_)</c:formatCode>
                <c:ptCount val="132"/>
                <c:pt idx="0">
                  <c:v>115950733.09478092</c:v>
                </c:pt>
                <c:pt idx="1">
                  <c:v>123340878.84075171</c:v>
                </c:pt>
                <c:pt idx="2">
                  <c:v>126128064.58672249</c:v>
                </c:pt>
                <c:pt idx="3">
                  <c:v>112971341.33269329</c:v>
                </c:pt>
                <c:pt idx="4">
                  <c:v>120807160.07866408</c:v>
                </c:pt>
                <c:pt idx="5">
                  <c:v>128030519.82463486</c:v>
                </c:pt>
                <c:pt idx="6">
                  <c:v>133204977.57060567</c:v>
                </c:pt>
                <c:pt idx="7">
                  <c:v>131492737.31657645</c:v>
                </c:pt>
                <c:pt idx="8">
                  <c:v>125862189.06254724</c:v>
                </c:pt>
                <c:pt idx="9">
                  <c:v>120542924.80851802</c:v>
                </c:pt>
                <c:pt idx="10">
                  <c:v>118519529.55448882</c:v>
                </c:pt>
                <c:pt idx="11">
                  <c:v>121951004.30045961</c:v>
                </c:pt>
                <c:pt idx="12">
                  <c:v>130123366.21189049</c:v>
                </c:pt>
                <c:pt idx="13">
                  <c:v>115694594.48045985</c:v>
                </c:pt>
                <c:pt idx="14">
                  <c:v>125478631.74902922</c:v>
                </c:pt>
                <c:pt idx="15">
                  <c:v>119717405.01759858</c:v>
                </c:pt>
                <c:pt idx="16">
                  <c:v>127433786.28616795</c:v>
                </c:pt>
                <c:pt idx="17">
                  <c:v>130160206.55473731</c:v>
                </c:pt>
                <c:pt idx="18">
                  <c:v>139575448.82330668</c:v>
                </c:pt>
                <c:pt idx="19">
                  <c:v>145516334.09187603</c:v>
                </c:pt>
                <c:pt idx="20">
                  <c:v>130472808.3604454</c:v>
                </c:pt>
                <c:pt idx="21">
                  <c:v>124271950.62901476</c:v>
                </c:pt>
                <c:pt idx="22">
                  <c:v>122525206.89758413</c:v>
                </c:pt>
                <c:pt idx="23">
                  <c:v>120780245.16615349</c:v>
                </c:pt>
                <c:pt idx="24">
                  <c:v>122557492.01553993</c:v>
                </c:pt>
                <c:pt idx="25">
                  <c:v>112793572.2170434</c:v>
                </c:pt>
                <c:pt idx="26">
                  <c:v>121279569.66264187</c:v>
                </c:pt>
                <c:pt idx="27">
                  <c:v>112755840.54437633</c:v>
                </c:pt>
                <c:pt idx="28">
                  <c:v>116762983.33169977</c:v>
                </c:pt>
                <c:pt idx="29">
                  <c:v>120912813.73683724</c:v>
                </c:pt>
                <c:pt idx="30">
                  <c:v>140267312.68120268</c:v>
                </c:pt>
                <c:pt idx="31">
                  <c:v>134325215.26618317</c:v>
                </c:pt>
                <c:pt idx="32">
                  <c:v>124892350.68187562</c:v>
                </c:pt>
                <c:pt idx="33">
                  <c:v>120326999.51092409</c:v>
                </c:pt>
                <c:pt idx="34">
                  <c:v>119811245.49147254</c:v>
                </c:pt>
                <c:pt idx="35">
                  <c:v>119234475.76994899</c:v>
                </c:pt>
                <c:pt idx="36">
                  <c:v>125430467.18861799</c:v>
                </c:pt>
                <c:pt idx="37">
                  <c:v>118571418.15449654</c:v>
                </c:pt>
                <c:pt idx="38">
                  <c:v>117295704.87835306</c:v>
                </c:pt>
                <c:pt idx="39">
                  <c:v>98603522.653697401</c:v>
                </c:pt>
                <c:pt idx="40">
                  <c:v>105305767.47523543</c:v>
                </c:pt>
                <c:pt idx="41">
                  <c:v>121746154.50347269</c:v>
                </c:pt>
                <c:pt idx="42">
                  <c:v>139946746.85685223</c:v>
                </c:pt>
                <c:pt idx="43">
                  <c:v>133892282.17763576</c:v>
                </c:pt>
                <c:pt idx="44">
                  <c:v>120315113.40470029</c:v>
                </c:pt>
                <c:pt idx="45">
                  <c:v>116415167.56471382</c:v>
                </c:pt>
                <c:pt idx="46">
                  <c:v>115562525.59741136</c:v>
                </c:pt>
                <c:pt idx="47">
                  <c:v>117692607.99430689</c:v>
                </c:pt>
                <c:pt idx="48">
                  <c:v>118984048.05510825</c:v>
                </c:pt>
                <c:pt idx="49">
                  <c:v>113057274.56216528</c:v>
                </c:pt>
                <c:pt idx="50">
                  <c:v>120813677.33533032</c:v>
                </c:pt>
                <c:pt idx="51">
                  <c:v>109638007.65802936</c:v>
                </c:pt>
                <c:pt idx="52">
                  <c:v>115240588.84939741</c:v>
                </c:pt>
                <c:pt idx="53">
                  <c:v>128558913.68041244</c:v>
                </c:pt>
                <c:pt idx="54">
                  <c:v>132710760.35860747</c:v>
                </c:pt>
                <c:pt idx="55">
                  <c:v>140955270.9844335</c:v>
                </c:pt>
                <c:pt idx="56">
                  <c:v>122416145.77845256</c:v>
                </c:pt>
                <c:pt idx="57">
                  <c:v>120765160.1140646</c:v>
                </c:pt>
                <c:pt idx="58">
                  <c:v>118650849.98473464</c:v>
                </c:pt>
                <c:pt idx="59">
                  <c:v>116117342.26088069</c:v>
                </c:pt>
                <c:pt idx="60">
                  <c:v>125926420.38829951</c:v>
                </c:pt>
                <c:pt idx="61">
                  <c:v>115603933.80678451</c:v>
                </c:pt>
                <c:pt idx="62">
                  <c:v>125620675.73627552</c:v>
                </c:pt>
                <c:pt idx="63">
                  <c:v>115405757.73839353</c:v>
                </c:pt>
                <c:pt idx="64">
                  <c:v>122884802.51982453</c:v>
                </c:pt>
                <c:pt idx="65">
                  <c:v>130536069.83949654</c:v>
                </c:pt>
                <c:pt idx="66">
                  <c:v>139071059.40513155</c:v>
                </c:pt>
                <c:pt idx="67">
                  <c:v>143004251.01167753</c:v>
                </c:pt>
                <c:pt idx="68">
                  <c:v>129335698.79016455</c:v>
                </c:pt>
                <c:pt idx="69">
                  <c:v>118832227.09556258</c:v>
                </c:pt>
                <c:pt idx="70">
                  <c:v>120344515.11801657</c:v>
                </c:pt>
                <c:pt idx="71">
                  <c:v>122243171.67379358</c:v>
                </c:pt>
                <c:pt idx="72">
                  <c:v>125499058.84452012</c:v>
                </c:pt>
                <c:pt idx="73">
                  <c:v>115607990.73071887</c:v>
                </c:pt>
                <c:pt idx="74">
                  <c:v>125466538.14647563</c:v>
                </c:pt>
                <c:pt idx="75">
                  <c:v>114391957.98950237</c:v>
                </c:pt>
                <c:pt idx="76">
                  <c:v>123483481.6939701</c:v>
                </c:pt>
                <c:pt idx="77">
                  <c:v>127247993.22335185</c:v>
                </c:pt>
                <c:pt idx="78">
                  <c:v>137496928.92038861</c:v>
                </c:pt>
                <c:pt idx="79">
                  <c:v>133974170.58140434</c:v>
                </c:pt>
                <c:pt idx="80">
                  <c:v>125628407.1768401</c:v>
                </c:pt>
                <c:pt idx="81">
                  <c:v>122505184.85314384</c:v>
                </c:pt>
                <c:pt idx="82">
                  <c:v>120984971.18912058</c:v>
                </c:pt>
                <c:pt idx="83">
                  <c:v>118768098.25409932</c:v>
                </c:pt>
                <c:pt idx="84">
                  <c:v>130159108.66703321</c:v>
                </c:pt>
                <c:pt idx="85">
                  <c:v>119840482.88393389</c:v>
                </c:pt>
                <c:pt idx="86">
                  <c:v>123262071.17316654</c:v>
                </c:pt>
                <c:pt idx="87">
                  <c:v>119205230.8035062</c:v>
                </c:pt>
                <c:pt idx="88">
                  <c:v>127838014.13567087</c:v>
                </c:pt>
                <c:pt idx="89">
                  <c:v>133833612.63178854</c:v>
                </c:pt>
                <c:pt idx="90">
                  <c:v>144180020.06310722</c:v>
                </c:pt>
                <c:pt idx="91">
                  <c:v>140684717.14086288</c:v>
                </c:pt>
                <c:pt idx="92">
                  <c:v>131948874.08685753</c:v>
                </c:pt>
                <c:pt idx="93">
                  <c:v>126263744.87094221</c:v>
                </c:pt>
                <c:pt idx="94">
                  <c:v>122175106.07708685</c:v>
                </c:pt>
                <c:pt idx="95">
                  <c:v>125238381.01410152</c:v>
                </c:pt>
                <c:pt idx="96">
                  <c:v>137053466.26581526</c:v>
                </c:pt>
                <c:pt idx="97">
                  <c:v>122760916.13489303</c:v>
                </c:pt>
                <c:pt idx="98">
                  <c:v>128253078.95458482</c:v>
                </c:pt>
                <c:pt idx="99">
                  <c:v>122182535.02156162</c:v>
                </c:pt>
                <c:pt idx="100">
                  <c:v>125315316.3047014</c:v>
                </c:pt>
                <c:pt idx="101">
                  <c:v>138313000.13588518</c:v>
                </c:pt>
                <c:pt idx="102">
                  <c:v>151365878.72756097</c:v>
                </c:pt>
                <c:pt idx="103">
                  <c:v>141417506.86826575</c:v>
                </c:pt>
                <c:pt idx="104">
                  <c:v>131475262.87223354</c:v>
                </c:pt>
                <c:pt idx="105">
                  <c:v>127953842.89877133</c:v>
                </c:pt>
                <c:pt idx="106">
                  <c:v>123873467.5177781</c:v>
                </c:pt>
                <c:pt idx="107">
                  <c:v>129128541.23771989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61-4D82-AE55-0896A5AB78B0}"/>
            </c:ext>
          </c:extLst>
        </c:ser>
        <c:ser>
          <c:idx val="1"/>
          <c:order val="1"/>
          <c:tx>
            <c:strRef>
              <c:f>'GS&gt;50 Normalized Monthly WN'!$W$1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'GS&gt;50 Normalized Monthly WN'!$A$2:$A$133</c:f>
              <c:numCache>
                <c:formatCode>m/d/yyyy</c:formatCode>
                <c:ptCount val="13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'GS&gt;50 Normalized Monthly WN'!$W$2:$W$133</c:f>
              <c:numCache>
                <c:formatCode>_(* #,##0_);_(* \(#,##0\);_(* "-"??_);_(@_)</c:formatCode>
                <c:ptCount val="132"/>
                <c:pt idx="0">
                  <c:v>117213925.19788949</c:v>
                </c:pt>
                <c:pt idx="1">
                  <c:v>125251613.56239069</c:v>
                </c:pt>
                <c:pt idx="2">
                  <c:v>125158932.86750695</c:v>
                </c:pt>
                <c:pt idx="3">
                  <c:v>114033364.89113238</c:v>
                </c:pt>
                <c:pt idx="4">
                  <c:v>122854701.13522361</c:v>
                </c:pt>
                <c:pt idx="5">
                  <c:v>129263453.4700394</c:v>
                </c:pt>
                <c:pt idx="6">
                  <c:v>136099701.76581809</c:v>
                </c:pt>
                <c:pt idx="7">
                  <c:v>137057823.91067222</c:v>
                </c:pt>
                <c:pt idx="8">
                  <c:v>124663626.9523315</c:v>
                </c:pt>
                <c:pt idx="9">
                  <c:v>119851448.64948978</c:v>
                </c:pt>
                <c:pt idx="10">
                  <c:v>118316063.50383122</c:v>
                </c:pt>
                <c:pt idx="11">
                  <c:v>119411909.06259483</c:v>
                </c:pt>
                <c:pt idx="12">
                  <c:v>128843551.99047348</c:v>
                </c:pt>
                <c:pt idx="13">
                  <c:v>116146316.10095014</c:v>
                </c:pt>
                <c:pt idx="14">
                  <c:v>123817771.02084944</c:v>
                </c:pt>
                <c:pt idx="15">
                  <c:v>118056749.51987788</c:v>
                </c:pt>
                <c:pt idx="16">
                  <c:v>122827833.85842067</c:v>
                </c:pt>
                <c:pt idx="17">
                  <c:v>130376241.64038935</c:v>
                </c:pt>
                <c:pt idx="18">
                  <c:v>140340338.34767914</c:v>
                </c:pt>
                <c:pt idx="19">
                  <c:v>141403136.04499152</c:v>
                </c:pt>
                <c:pt idx="20">
                  <c:v>127188861.83964226</c:v>
                </c:pt>
                <c:pt idx="21">
                  <c:v>123309433.9369047</c:v>
                </c:pt>
                <c:pt idx="22">
                  <c:v>120885083.16157769</c:v>
                </c:pt>
                <c:pt idx="23">
                  <c:v>121293397.51371846</c:v>
                </c:pt>
                <c:pt idx="24">
                  <c:v>120679459.31168532</c:v>
                </c:pt>
                <c:pt idx="25">
                  <c:v>112060412.35597453</c:v>
                </c:pt>
                <c:pt idx="26">
                  <c:v>119265555.58665754</c:v>
                </c:pt>
                <c:pt idx="27">
                  <c:v>113353348.70744105</c:v>
                </c:pt>
                <c:pt idx="28">
                  <c:v>121156509.25627635</c:v>
                </c:pt>
                <c:pt idx="29">
                  <c:v>124430908.25515728</c:v>
                </c:pt>
                <c:pt idx="30">
                  <c:v>137802898.99955648</c:v>
                </c:pt>
                <c:pt idx="31">
                  <c:v>135920862.59657213</c:v>
                </c:pt>
                <c:pt idx="32">
                  <c:v>125190482.37651707</c:v>
                </c:pt>
                <c:pt idx="33">
                  <c:v>121948234.97074188</c:v>
                </c:pt>
                <c:pt idx="34">
                  <c:v>118063566.87229382</c:v>
                </c:pt>
                <c:pt idx="35">
                  <c:v>119605540.11689338</c:v>
                </c:pt>
                <c:pt idx="36">
                  <c:v>127307611.0091406</c:v>
                </c:pt>
                <c:pt idx="37">
                  <c:v>118305366.48439491</c:v>
                </c:pt>
                <c:pt idx="38">
                  <c:v>118303538.57784399</c:v>
                </c:pt>
                <c:pt idx="39">
                  <c:v>98560545.931887805</c:v>
                </c:pt>
                <c:pt idx="40">
                  <c:v>104632609.3978492</c:v>
                </c:pt>
                <c:pt idx="41">
                  <c:v>120539537.77915972</c:v>
                </c:pt>
                <c:pt idx="42">
                  <c:v>133481304.2431484</c:v>
                </c:pt>
                <c:pt idx="43">
                  <c:v>133494325.28194763</c:v>
                </c:pt>
                <c:pt idx="44">
                  <c:v>123856786.99698693</c:v>
                </c:pt>
                <c:pt idx="45">
                  <c:v>118027363.7027081</c:v>
                </c:pt>
                <c:pt idx="46">
                  <c:v>116958360.09720176</c:v>
                </c:pt>
                <c:pt idx="47">
                  <c:v>118075050.04790092</c:v>
                </c:pt>
                <c:pt idx="48">
                  <c:v>119888220.18042105</c:v>
                </c:pt>
                <c:pt idx="49">
                  <c:v>111202255.04777621</c:v>
                </c:pt>
                <c:pt idx="50">
                  <c:v>122219375.21422552</c:v>
                </c:pt>
                <c:pt idx="51">
                  <c:v>110132164.05898078</c:v>
                </c:pt>
                <c:pt idx="52">
                  <c:v>113753420.6943039</c:v>
                </c:pt>
                <c:pt idx="53">
                  <c:v>123664240.13573915</c:v>
                </c:pt>
                <c:pt idx="54">
                  <c:v>137193852.56558418</c:v>
                </c:pt>
                <c:pt idx="55">
                  <c:v>136452384.76312765</c:v>
                </c:pt>
                <c:pt idx="56">
                  <c:v>124587099.27824135</c:v>
                </c:pt>
                <c:pt idx="57">
                  <c:v>118700336.82128343</c:v>
                </c:pt>
                <c:pt idx="58">
                  <c:v>118511427.9781478</c:v>
                </c:pt>
                <c:pt idx="59">
                  <c:v>117618221.7669667</c:v>
                </c:pt>
                <c:pt idx="60">
                  <c:v>123498346.67860183</c:v>
                </c:pt>
                <c:pt idx="61">
                  <c:v>114643797.58688883</c:v>
                </c:pt>
                <c:pt idx="62">
                  <c:v>125231407.05869173</c:v>
                </c:pt>
                <c:pt idx="63">
                  <c:v>115373512.26298168</c:v>
                </c:pt>
                <c:pt idx="64">
                  <c:v>120800005.64705984</c:v>
                </c:pt>
                <c:pt idx="65">
                  <c:v>132279596.28502689</c:v>
                </c:pt>
                <c:pt idx="66">
                  <c:v>139821881.65531653</c:v>
                </c:pt>
                <c:pt idx="67">
                  <c:v>141571732.47750029</c:v>
                </c:pt>
                <c:pt idx="68">
                  <c:v>129346797.3394191</c:v>
                </c:pt>
                <c:pt idx="69">
                  <c:v>120971392.21941708</c:v>
                </c:pt>
                <c:pt idx="70">
                  <c:v>120607386.07645756</c:v>
                </c:pt>
                <c:pt idx="71">
                  <c:v>122330637.79366262</c:v>
                </c:pt>
                <c:pt idx="72">
                  <c:v>127648378.74130185</c:v>
                </c:pt>
                <c:pt idx="73">
                  <c:v>116681664.01861121</c:v>
                </c:pt>
                <c:pt idx="74">
                  <c:v>124739449.35856433</c:v>
                </c:pt>
                <c:pt idx="75">
                  <c:v>113224730.11067714</c:v>
                </c:pt>
                <c:pt idx="76">
                  <c:v>124678133.89635129</c:v>
                </c:pt>
                <c:pt idx="77">
                  <c:v>130475558.94067869</c:v>
                </c:pt>
                <c:pt idx="78">
                  <c:v>140822309.14116484</c:v>
                </c:pt>
                <c:pt idx="79">
                  <c:v>140144801.46008015</c:v>
                </c:pt>
                <c:pt idx="80">
                  <c:v>127362367.8800319</c:v>
                </c:pt>
                <c:pt idx="81">
                  <c:v>120974759.01259612</c:v>
                </c:pt>
                <c:pt idx="82">
                  <c:v>120951415.18737523</c:v>
                </c:pt>
                <c:pt idx="83">
                  <c:v>121273060.37201521</c:v>
                </c:pt>
                <c:pt idx="84">
                  <c:v>130919681.69006103</c:v>
                </c:pt>
                <c:pt idx="85">
                  <c:v>121470019.36349392</c:v>
                </c:pt>
                <c:pt idx="86">
                  <c:v>124574480.74636808</c:v>
                </c:pt>
                <c:pt idx="87">
                  <c:v>120445635.36262617</c:v>
                </c:pt>
                <c:pt idx="88">
                  <c:v>127270057.58885163</c:v>
                </c:pt>
                <c:pt idx="89">
                  <c:v>132435719.07735591</c:v>
                </c:pt>
                <c:pt idx="90">
                  <c:v>145342988.76755673</c:v>
                </c:pt>
                <c:pt idx="91">
                  <c:v>142222384.50590736</c:v>
                </c:pt>
                <c:pt idx="92">
                  <c:v>130216920.64420483</c:v>
                </c:pt>
                <c:pt idx="93">
                  <c:v>127257865.85527533</c:v>
                </c:pt>
                <c:pt idx="94">
                  <c:v>122869107.11105831</c:v>
                </c:pt>
                <c:pt idx="95">
                  <c:v>125159181.50922011</c:v>
                </c:pt>
                <c:pt idx="96">
                  <c:v>135657786.10207173</c:v>
                </c:pt>
                <c:pt idx="97">
                  <c:v>121403226.84475929</c:v>
                </c:pt>
                <c:pt idx="98">
                  <c:v>129175802.07503653</c:v>
                </c:pt>
                <c:pt idx="99">
                  <c:v>122260267.06783955</c:v>
                </c:pt>
                <c:pt idx="100">
                  <c:v>128553544.00513706</c:v>
                </c:pt>
                <c:pt idx="101">
                  <c:v>134567338.64828956</c:v>
                </c:pt>
                <c:pt idx="102">
                  <c:v>148486357.06024238</c:v>
                </c:pt>
                <c:pt idx="103">
                  <c:v>143410823.11463442</c:v>
                </c:pt>
                <c:pt idx="104">
                  <c:v>131901418.93607512</c:v>
                </c:pt>
                <c:pt idx="105">
                  <c:v>127547471.89456606</c:v>
                </c:pt>
                <c:pt idx="106">
                  <c:v>123765111.98364475</c:v>
                </c:pt>
                <c:pt idx="107">
                  <c:v>127167931.27232227</c:v>
                </c:pt>
                <c:pt idx="108">
                  <c:v>130026544.84808064</c:v>
                </c:pt>
                <c:pt idx="109">
                  <c:v>120565019.67461491</c:v>
                </c:pt>
                <c:pt idx="110">
                  <c:v>126349963.38791907</c:v>
                </c:pt>
                <c:pt idx="111">
                  <c:v>120883663.35662597</c:v>
                </c:pt>
                <c:pt idx="112">
                  <c:v>126255793.97805429</c:v>
                </c:pt>
                <c:pt idx="113">
                  <c:v>133955341.78983682</c:v>
                </c:pt>
                <c:pt idx="114">
                  <c:v>145506366.00563395</c:v>
                </c:pt>
                <c:pt idx="115">
                  <c:v>144150812.65265366</c:v>
                </c:pt>
                <c:pt idx="116">
                  <c:v>131626970.84674333</c:v>
                </c:pt>
                <c:pt idx="117">
                  <c:v>127144304.49222307</c:v>
                </c:pt>
                <c:pt idx="118">
                  <c:v>125821491.37056209</c:v>
                </c:pt>
                <c:pt idx="119">
                  <c:v>128131408.05468437</c:v>
                </c:pt>
                <c:pt idx="120">
                  <c:v>130732269.57228658</c:v>
                </c:pt>
                <c:pt idx="121">
                  <c:v>121270744.39882083</c:v>
                </c:pt>
                <c:pt idx="122">
                  <c:v>127055688.11212501</c:v>
                </c:pt>
                <c:pt idx="123">
                  <c:v>121587492.91665661</c:v>
                </c:pt>
                <c:pt idx="124">
                  <c:v>126959623.53808492</c:v>
                </c:pt>
                <c:pt idx="125">
                  <c:v>134659171.34986746</c:v>
                </c:pt>
                <c:pt idx="126">
                  <c:v>146214964.11930466</c:v>
                </c:pt>
                <c:pt idx="127">
                  <c:v>144859410.76632437</c:v>
                </c:pt>
                <c:pt idx="128">
                  <c:v>132335568.96041404</c:v>
                </c:pt>
                <c:pt idx="129">
                  <c:v>127851501.66156353</c:v>
                </c:pt>
                <c:pt idx="130">
                  <c:v>126528688.53990255</c:v>
                </c:pt>
                <c:pt idx="131">
                  <c:v>128838605.22402483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61-4D82-AE55-0896A5AB78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120384"/>
        <c:axId val="177121920"/>
      </c:lineChart>
      <c:dateAx>
        <c:axId val="1771203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1920"/>
        <c:crosses val="autoZero"/>
        <c:auto val="1"/>
        <c:lblOffset val="100"/>
        <c:baseTimeUnit val="months"/>
      </c:dateAx>
      <c:valAx>
        <c:axId val="177121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GS CoGen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 Co Gen Normalized Monthly WN'!$D$1</c:f>
              <c:strCache>
                <c:ptCount val="1"/>
                <c:pt idx="0">
                  <c:v> GS_gt_50_CoGen_NoCDM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 Co Gen Normalized Monthly WN'!$A$2:$A$133</c:f>
              <c:numCache>
                <c:formatCode>m/d/yyyy</c:formatCode>
                <c:ptCount val="13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 Co Gen Normalized Monthly WN'!$D$2:$D$133</c:f>
              <c:numCache>
                <c:formatCode>_(* #,##0.00_);_(* \(#,##0.00\);_(* "-"??_);_(@_)</c:formatCode>
                <c:ptCount val="132"/>
                <c:pt idx="0">
                  <c:v>1975229.7103848916</c:v>
                </c:pt>
                <c:pt idx="1">
                  <c:v>2202382.3384362105</c:v>
                </c:pt>
                <c:pt idx="2">
                  <c:v>3298889.9664875292</c:v>
                </c:pt>
                <c:pt idx="3">
                  <c:v>3834797.5945388479</c:v>
                </c:pt>
                <c:pt idx="4">
                  <c:v>4110768.2225901671</c:v>
                </c:pt>
                <c:pt idx="5">
                  <c:v>5743560.8506414862</c:v>
                </c:pt>
                <c:pt idx="6">
                  <c:v>5624575.4786928045</c:v>
                </c:pt>
                <c:pt idx="7">
                  <c:v>4805886.1067441236</c:v>
                </c:pt>
                <c:pt idx="8">
                  <c:v>3970931.7347954423</c:v>
                </c:pt>
                <c:pt idx="9">
                  <c:v>5177643.362846761</c:v>
                </c:pt>
                <c:pt idx="10">
                  <c:v>3296588.9908980802</c:v>
                </c:pt>
                <c:pt idx="11">
                  <c:v>3331855.6189493993</c:v>
                </c:pt>
                <c:pt idx="12">
                  <c:v>3880776.3635845515</c:v>
                </c:pt>
                <c:pt idx="13">
                  <c:v>2504493.9234402059</c:v>
                </c:pt>
                <c:pt idx="14">
                  <c:v>2696023.4832958602</c:v>
                </c:pt>
                <c:pt idx="15">
                  <c:v>2447627.0431515141</c:v>
                </c:pt>
                <c:pt idx="16">
                  <c:v>4551338.6030071685</c:v>
                </c:pt>
                <c:pt idx="17">
                  <c:v>6710847.1628628224</c:v>
                </c:pt>
                <c:pt idx="18">
                  <c:v>7368543.7227184772</c:v>
                </c:pt>
                <c:pt idx="19">
                  <c:v>6976940.2825741312</c:v>
                </c:pt>
                <c:pt idx="20">
                  <c:v>5331752.8424297851</c:v>
                </c:pt>
                <c:pt idx="21">
                  <c:v>2940054.4022854394</c:v>
                </c:pt>
                <c:pt idx="22">
                  <c:v>1832037.9621410936</c:v>
                </c:pt>
                <c:pt idx="23">
                  <c:v>1067103.5219967477</c:v>
                </c:pt>
                <c:pt idx="24">
                  <c:v>974399.68585805758</c:v>
                </c:pt>
                <c:pt idx="25">
                  <c:v>1021148.6465925851</c:v>
                </c:pt>
                <c:pt idx="26">
                  <c:v>1585107.5608721885</c:v>
                </c:pt>
                <c:pt idx="27">
                  <c:v>1359530.64393672</c:v>
                </c:pt>
                <c:pt idx="28">
                  <c:v>3085749.3748756615</c:v>
                </c:pt>
                <c:pt idx="29">
                  <c:v>5783735.5531390533</c:v>
                </c:pt>
                <c:pt idx="30">
                  <c:v>6779873.4461094243</c:v>
                </c:pt>
                <c:pt idx="31">
                  <c:v>4268866.6845833659</c:v>
                </c:pt>
                <c:pt idx="32">
                  <c:v>5664547.3962547369</c:v>
                </c:pt>
                <c:pt idx="33">
                  <c:v>3090561.7950364789</c:v>
                </c:pt>
                <c:pt idx="34">
                  <c:v>1482477.7429550102</c:v>
                </c:pt>
                <c:pt idx="35">
                  <c:v>1009435.6612457265</c:v>
                </c:pt>
                <c:pt idx="36">
                  <c:v>998532.39409482549</c:v>
                </c:pt>
                <c:pt idx="37">
                  <c:v>1252939.9736270586</c:v>
                </c:pt>
                <c:pt idx="38">
                  <c:v>1164437.6812405386</c:v>
                </c:pt>
                <c:pt idx="39">
                  <c:v>1121055.5596983887</c:v>
                </c:pt>
                <c:pt idx="40">
                  <c:v>2424185.9781487486</c:v>
                </c:pt>
                <c:pt idx="41">
                  <c:v>4259731.9798160084</c:v>
                </c:pt>
                <c:pt idx="42">
                  <c:v>7280535.8722648388</c:v>
                </c:pt>
                <c:pt idx="43">
                  <c:v>6309964.7820981592</c:v>
                </c:pt>
                <c:pt idx="44">
                  <c:v>4783504.4640561193</c:v>
                </c:pt>
                <c:pt idx="45">
                  <c:v>3658910.8829854284</c:v>
                </c:pt>
                <c:pt idx="46">
                  <c:v>2825236.0058438084</c:v>
                </c:pt>
                <c:pt idx="47">
                  <c:v>1601972.2623421687</c:v>
                </c:pt>
                <c:pt idx="48">
                  <c:v>1171515.8824397286</c:v>
                </c:pt>
                <c:pt idx="49">
                  <c:v>1176631.0139222587</c:v>
                </c:pt>
                <c:pt idx="50">
                  <c:v>929052.76174393552</c:v>
                </c:pt>
                <c:pt idx="51">
                  <c:v>1370379.1031432985</c:v>
                </c:pt>
                <c:pt idx="52">
                  <c:v>1835106.5363508987</c:v>
                </c:pt>
                <c:pt idx="53">
                  <c:v>3942469.7375949784</c:v>
                </c:pt>
                <c:pt idx="54">
                  <c:v>3408979.3014047383</c:v>
                </c:pt>
                <c:pt idx="55">
                  <c:v>4426996.8036107589</c:v>
                </c:pt>
                <c:pt idx="56">
                  <c:v>2726526.6582645886</c:v>
                </c:pt>
                <c:pt idx="57">
                  <c:v>2613160.4865051284</c:v>
                </c:pt>
                <c:pt idx="58">
                  <c:v>3086375.0493431385</c:v>
                </c:pt>
                <c:pt idx="59">
                  <c:v>2523914.5382058783</c:v>
                </c:pt>
                <c:pt idx="60">
                  <c:v>1022059.6169857765</c:v>
                </c:pt>
                <c:pt idx="61">
                  <c:v>1744892.6852793817</c:v>
                </c:pt>
                <c:pt idx="62">
                  <c:v>1190079.078040208</c:v>
                </c:pt>
                <c:pt idx="63">
                  <c:v>1361343.5260930443</c:v>
                </c:pt>
                <c:pt idx="64">
                  <c:v>5350720.1149436207</c:v>
                </c:pt>
                <c:pt idx="65">
                  <c:v>4689316.800036367</c:v>
                </c:pt>
                <c:pt idx="66">
                  <c:v>5115119.137130823</c:v>
                </c:pt>
                <c:pt idx="67">
                  <c:v>7061111.8252039393</c:v>
                </c:pt>
                <c:pt idx="68">
                  <c:v>5290385.8347192556</c:v>
                </c:pt>
                <c:pt idx="69">
                  <c:v>4236739.3971533719</c:v>
                </c:pt>
                <c:pt idx="70">
                  <c:v>5119153.7080734884</c:v>
                </c:pt>
                <c:pt idx="71">
                  <c:v>2153000.0512014646</c:v>
                </c:pt>
                <c:pt idx="72">
                  <c:v>2475906.2124542031</c:v>
                </c:pt>
                <c:pt idx="73">
                  <c:v>3051393.3752032155</c:v>
                </c:pt>
                <c:pt idx="74">
                  <c:v>4360884.6742221788</c:v>
                </c:pt>
                <c:pt idx="75">
                  <c:v>1982541.2606718806</c:v>
                </c:pt>
                <c:pt idx="76">
                  <c:v>5249179.5430356627</c:v>
                </c:pt>
                <c:pt idx="77">
                  <c:v>5648220.3218985656</c:v>
                </c:pt>
                <c:pt idx="78">
                  <c:v>6322903.5001553874</c:v>
                </c:pt>
                <c:pt idx="79">
                  <c:v>6992371.2423237106</c:v>
                </c:pt>
                <c:pt idx="80">
                  <c:v>5494894.0473569827</c:v>
                </c:pt>
                <c:pt idx="81">
                  <c:v>4240327.1673253356</c:v>
                </c:pt>
                <c:pt idx="82">
                  <c:v>3874440.0590346674</c:v>
                </c:pt>
                <c:pt idx="83">
                  <c:v>3620292.7286042501</c:v>
                </c:pt>
                <c:pt idx="84">
                  <c:v>4134836.494755582</c:v>
                </c:pt>
                <c:pt idx="85">
                  <c:v>3340371.8788483315</c:v>
                </c:pt>
                <c:pt idx="86">
                  <c:v>3571437.4403881808</c:v>
                </c:pt>
                <c:pt idx="87">
                  <c:v>3559296.6426970703</c:v>
                </c:pt>
                <c:pt idx="88">
                  <c:v>3685994.6039710096</c:v>
                </c:pt>
                <c:pt idx="89">
                  <c:v>4407100.2006814191</c:v>
                </c:pt>
                <c:pt idx="90">
                  <c:v>2729070.3712969488</c:v>
                </c:pt>
                <c:pt idx="91">
                  <c:v>2759475.7435549381</c:v>
                </c:pt>
                <c:pt idx="92">
                  <c:v>2325797.1800787374</c:v>
                </c:pt>
                <c:pt idx="93">
                  <c:v>1986048.5879870269</c:v>
                </c:pt>
                <c:pt idx="94">
                  <c:v>2700816.8671933762</c:v>
                </c:pt>
                <c:pt idx="95">
                  <c:v>1434683.3089578557</c:v>
                </c:pt>
                <c:pt idx="96">
                  <c:v>744626.86911603797</c:v>
                </c:pt>
                <c:pt idx="97">
                  <c:v>934363.69084218494</c:v>
                </c:pt>
                <c:pt idx="98">
                  <c:v>1463704.6201513631</c:v>
                </c:pt>
                <c:pt idx="99">
                  <c:v>3015672.0979135549</c:v>
                </c:pt>
                <c:pt idx="100">
                  <c:v>2717419.6950709871</c:v>
                </c:pt>
                <c:pt idx="101">
                  <c:v>6664300.3948202198</c:v>
                </c:pt>
                <c:pt idx="102">
                  <c:v>5559636.5173280817</c:v>
                </c:pt>
                <c:pt idx="103">
                  <c:v>4475437.8092067335</c:v>
                </c:pt>
                <c:pt idx="104">
                  <c:v>2469394.5411401149</c:v>
                </c:pt>
                <c:pt idx="105">
                  <c:v>2893984.997376537</c:v>
                </c:pt>
                <c:pt idx="106">
                  <c:v>1206040.1878856791</c:v>
                </c:pt>
                <c:pt idx="107">
                  <c:v>1366926.3633808512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64-4D14-A3A2-2D6A9E66FE3B}"/>
            </c:ext>
          </c:extLst>
        </c:ser>
        <c:ser>
          <c:idx val="1"/>
          <c:order val="1"/>
          <c:tx>
            <c:strRef>
              <c:f>'GS Co Gen Normalized Monthly WN'!$N$1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 Co Gen Normalized Monthly WN'!$A$2:$A$133</c:f>
              <c:numCache>
                <c:formatCode>m/d/yyyy</c:formatCode>
                <c:ptCount val="13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'GS Co Gen Normalized Monthly WN'!$N$2:$N$133</c:f>
              <c:numCache>
                <c:formatCode>_(* #,##0_);_(* \(#,##0\);_(* "-"??_);_(@_)</c:formatCode>
                <c:ptCount val="132"/>
                <c:pt idx="0">
                  <c:v>1975229.7103848916</c:v>
                </c:pt>
                <c:pt idx="1">
                  <c:v>2202382.3384362105</c:v>
                </c:pt>
                <c:pt idx="2">
                  <c:v>3298889.9664875292</c:v>
                </c:pt>
                <c:pt idx="3">
                  <c:v>3753361.4343447541</c:v>
                </c:pt>
                <c:pt idx="4">
                  <c:v>4486852.5117203817</c:v>
                </c:pt>
                <c:pt idx="5">
                  <c:v>5914226.7830197131</c:v>
                </c:pt>
                <c:pt idx="6">
                  <c:v>6040091.9019417102</c:v>
                </c:pt>
                <c:pt idx="7">
                  <c:v>5603859.8682005536</c:v>
                </c:pt>
                <c:pt idx="8">
                  <c:v>3827929.5824309485</c:v>
                </c:pt>
                <c:pt idx="9">
                  <c:v>4968756.8487592041</c:v>
                </c:pt>
                <c:pt idx="10">
                  <c:v>3324568.0579423187</c:v>
                </c:pt>
                <c:pt idx="11">
                  <c:v>3331855.6189493993</c:v>
                </c:pt>
                <c:pt idx="12">
                  <c:v>3880776.3635845515</c:v>
                </c:pt>
                <c:pt idx="13">
                  <c:v>2504493.9234402059</c:v>
                </c:pt>
                <c:pt idx="14">
                  <c:v>2696023.4832958602</c:v>
                </c:pt>
                <c:pt idx="15">
                  <c:v>2559259.9072561027</c:v>
                </c:pt>
                <c:pt idx="16">
                  <c:v>3737196.6392223132</c:v>
                </c:pt>
                <c:pt idx="17">
                  <c:v>6746683.6078133816</c:v>
                </c:pt>
                <c:pt idx="18">
                  <c:v>7478338.0029035974</c:v>
                </c:pt>
                <c:pt idx="19">
                  <c:v>6385667.2812971435</c:v>
                </c:pt>
                <c:pt idx="20">
                  <c:v>4887137.9060507985</c:v>
                </c:pt>
                <c:pt idx="21">
                  <c:v>2971919.6476719836</c:v>
                </c:pt>
                <c:pt idx="22">
                  <c:v>1860017.0291853319</c:v>
                </c:pt>
                <c:pt idx="23">
                  <c:v>1067103.5219967477</c:v>
                </c:pt>
                <c:pt idx="24">
                  <c:v>974399.68585805758</c:v>
                </c:pt>
                <c:pt idx="25">
                  <c:v>1021148.6465925851</c:v>
                </c:pt>
                <c:pt idx="26">
                  <c:v>1585107.5608721885</c:v>
                </c:pt>
                <c:pt idx="27">
                  <c:v>1471163.5080413087</c:v>
                </c:pt>
                <c:pt idx="28">
                  <c:v>3745733.6934975535</c:v>
                </c:pt>
                <c:pt idx="29">
                  <c:v>6293175.6285206368</c:v>
                </c:pt>
                <c:pt idx="30">
                  <c:v>6426124.9404324777</c:v>
                </c:pt>
                <c:pt idx="31">
                  <c:v>4497056.5585498866</c:v>
                </c:pt>
                <c:pt idx="32">
                  <c:v>5678444.823453337</c:v>
                </c:pt>
                <c:pt idx="33">
                  <c:v>3325840.3133630292</c:v>
                </c:pt>
                <c:pt idx="34">
                  <c:v>1510456.8099992485</c:v>
                </c:pt>
                <c:pt idx="35">
                  <c:v>1009435.6612457265</c:v>
                </c:pt>
                <c:pt idx="36">
                  <c:v>998532.39409482549</c:v>
                </c:pt>
                <c:pt idx="37">
                  <c:v>1252939.9736270586</c:v>
                </c:pt>
                <c:pt idx="38">
                  <c:v>1164437.6812405386</c:v>
                </c:pt>
                <c:pt idx="39">
                  <c:v>1232688.4238029774</c:v>
                </c:pt>
                <c:pt idx="40">
                  <c:v>2486825.3632432311</c:v>
                </c:pt>
                <c:pt idx="41">
                  <c:v>4088754.3029581816</c:v>
                </c:pt>
                <c:pt idx="42">
                  <c:v>6352469.0139401415</c:v>
                </c:pt>
                <c:pt idx="43">
                  <c:v>6251987.3939940808</c:v>
                </c:pt>
                <c:pt idx="44">
                  <c:v>5336188.4583297027</c:v>
                </c:pt>
                <c:pt idx="45">
                  <c:v>4010774.7515811464</c:v>
                </c:pt>
                <c:pt idx="46">
                  <c:v>2800643.6174643324</c:v>
                </c:pt>
                <c:pt idx="47">
                  <c:v>1601972.2623421687</c:v>
                </c:pt>
                <c:pt idx="48">
                  <c:v>1171515.8824397286</c:v>
                </c:pt>
                <c:pt idx="49">
                  <c:v>1176631.0139222587</c:v>
                </c:pt>
                <c:pt idx="50">
                  <c:v>929052.76174393552</c:v>
                </c:pt>
                <c:pt idx="51">
                  <c:v>1345127.8002955737</c:v>
                </c:pt>
                <c:pt idx="52">
                  <c:v>1707688.0654155773</c:v>
                </c:pt>
                <c:pt idx="53">
                  <c:v>3233945.3864787635</c:v>
                </c:pt>
                <c:pt idx="54">
                  <c:v>4052494.3008713173</c:v>
                </c:pt>
                <c:pt idx="55">
                  <c:v>3779786.9235507208</c:v>
                </c:pt>
                <c:pt idx="56">
                  <c:v>3024501.2425000938</c:v>
                </c:pt>
                <c:pt idx="57">
                  <c:v>2176275.3961998993</c:v>
                </c:pt>
                <c:pt idx="58">
                  <c:v>3114354.116387377</c:v>
                </c:pt>
                <c:pt idx="59">
                  <c:v>2523914.5382058783</c:v>
                </c:pt>
                <c:pt idx="60">
                  <c:v>1022059.6169857765</c:v>
                </c:pt>
                <c:pt idx="61">
                  <c:v>1744892.6852793817</c:v>
                </c:pt>
                <c:pt idx="62">
                  <c:v>1190079.078040208</c:v>
                </c:pt>
                <c:pt idx="63">
                  <c:v>1429757.2691619645</c:v>
                </c:pt>
                <c:pt idx="64">
                  <c:v>4986446.6905292189</c:v>
                </c:pt>
                <c:pt idx="65">
                  <c:v>4933242.6851209551</c:v>
                </c:pt>
                <c:pt idx="66">
                  <c:v>5222894.1633003429</c:v>
                </c:pt>
                <c:pt idx="67">
                  <c:v>6854630.7031805823</c:v>
                </c:pt>
                <c:pt idx="68">
                  <c:v>5331879.7334644012</c:v>
                </c:pt>
                <c:pt idx="69">
                  <c:v>4582828.9077746524</c:v>
                </c:pt>
                <c:pt idx="70">
                  <c:v>5074581.3325922769</c:v>
                </c:pt>
                <c:pt idx="71">
                  <c:v>2153000.0512014646</c:v>
                </c:pt>
                <c:pt idx="72">
                  <c:v>2475906.2124542031</c:v>
                </c:pt>
                <c:pt idx="73">
                  <c:v>3051393.3752032155</c:v>
                </c:pt>
                <c:pt idx="74">
                  <c:v>4360884.6742221788</c:v>
                </c:pt>
                <c:pt idx="75">
                  <c:v>1711295.2230113021</c:v>
                </c:pt>
                <c:pt idx="76">
                  <c:v>5412923.3309463728</c:v>
                </c:pt>
                <c:pt idx="77">
                  <c:v>6107816.7060529487</c:v>
                </c:pt>
                <c:pt idx="78">
                  <c:v>6800237.4366889168</c:v>
                </c:pt>
                <c:pt idx="79">
                  <c:v>7877279.2029781155</c:v>
                </c:pt>
                <c:pt idx="80">
                  <c:v>5720954.84822986</c:v>
                </c:pt>
                <c:pt idx="81">
                  <c:v>4023080.2331030113</c:v>
                </c:pt>
                <c:pt idx="82">
                  <c:v>3902419.126078906</c:v>
                </c:pt>
                <c:pt idx="83">
                  <c:v>3620292.7286042501</c:v>
                </c:pt>
                <c:pt idx="84">
                  <c:v>4134836.494755582</c:v>
                </c:pt>
                <c:pt idx="85">
                  <c:v>3340371.8788483315</c:v>
                </c:pt>
                <c:pt idx="86">
                  <c:v>3571437.4403881808</c:v>
                </c:pt>
                <c:pt idx="87">
                  <c:v>3527810.4502573144</c:v>
                </c:pt>
                <c:pt idx="88">
                  <c:v>3449359.2886480116</c:v>
                </c:pt>
                <c:pt idx="89">
                  <c:v>4203141.3749021105</c:v>
                </c:pt>
                <c:pt idx="90">
                  <c:v>2896005.9975726716</c:v>
                </c:pt>
                <c:pt idx="91">
                  <c:v>2980261.6861309214</c:v>
                </c:pt>
                <c:pt idx="92">
                  <c:v>2055652.8757494777</c:v>
                </c:pt>
                <c:pt idx="93">
                  <c:v>2077924.6456968677</c:v>
                </c:pt>
                <c:pt idx="94">
                  <c:v>2603673.03628845</c:v>
                </c:pt>
                <c:pt idx="95">
                  <c:v>1434683.3089578557</c:v>
                </c:pt>
                <c:pt idx="96">
                  <c:v>744626.86911603797</c:v>
                </c:pt>
                <c:pt idx="97">
                  <c:v>934363.69084218494</c:v>
                </c:pt>
                <c:pt idx="98">
                  <c:v>1463704.6201513631</c:v>
                </c:pt>
                <c:pt idx="99">
                  <c:v>2973274.8486877452</c:v>
                </c:pt>
                <c:pt idx="100">
                  <c:v>3207078.1662014909</c:v>
                </c:pt>
                <c:pt idx="101">
                  <c:v>6130494.654317053</c:v>
                </c:pt>
                <c:pt idx="102">
                  <c:v>5146302.3054363877</c:v>
                </c:pt>
                <c:pt idx="103">
                  <c:v>4768314.6626905724</c:v>
                </c:pt>
                <c:pt idx="104">
                  <c:v>2505432.9114922341</c:v>
                </c:pt>
                <c:pt idx="105">
                  <c:v>2815606.058613081</c:v>
                </c:pt>
                <c:pt idx="106">
                  <c:v>1234019.2549299174</c:v>
                </c:pt>
                <c:pt idx="107">
                  <c:v>1366926.3633808512</c:v>
                </c:pt>
                <c:pt idx="108">
                  <c:v>2399063.2704219269</c:v>
                </c:pt>
                <c:pt idx="109">
                  <c:v>2066598.3285423331</c:v>
                </c:pt>
                <c:pt idx="110">
                  <c:v>2565295.7413617242</c:v>
                </c:pt>
                <c:pt idx="111">
                  <c:v>2510696.1345265154</c:v>
                </c:pt>
                <c:pt idx="112">
                  <c:v>3241189.5740587451</c:v>
                </c:pt>
                <c:pt idx="113">
                  <c:v>5237852.8245785087</c:v>
                </c:pt>
                <c:pt idx="114">
                  <c:v>5808815.0323036611</c:v>
                </c:pt>
                <c:pt idx="115">
                  <c:v>5045134.8938602228</c:v>
                </c:pt>
                <c:pt idx="116">
                  <c:v>4170880.7329918141</c:v>
                </c:pt>
                <c:pt idx="117">
                  <c:v>2819121.2439304823</c:v>
                </c:pt>
                <c:pt idx="118">
                  <c:v>2427042.3374661654</c:v>
                </c:pt>
                <c:pt idx="119">
                  <c:v>2399063.2704219269</c:v>
                </c:pt>
                <c:pt idx="120">
                  <c:v>2232830.79948213</c:v>
                </c:pt>
                <c:pt idx="121">
                  <c:v>2066598.3285423331</c:v>
                </c:pt>
                <c:pt idx="122">
                  <c:v>2565295.7413617242</c:v>
                </c:pt>
                <c:pt idx="123">
                  <c:v>2676928.6054663127</c:v>
                </c:pt>
                <c:pt idx="124">
                  <c:v>3241189.5740587451</c:v>
                </c:pt>
                <c:pt idx="125">
                  <c:v>5237852.8245785087</c:v>
                </c:pt>
                <c:pt idx="126">
                  <c:v>5642582.5613638638</c:v>
                </c:pt>
                <c:pt idx="127">
                  <c:v>5211367.3648000192</c:v>
                </c:pt>
                <c:pt idx="128">
                  <c:v>4170880.7329918141</c:v>
                </c:pt>
                <c:pt idx="129">
                  <c:v>2652888.7729906854</c:v>
                </c:pt>
                <c:pt idx="130">
                  <c:v>2593274.8084059628</c:v>
                </c:pt>
                <c:pt idx="131">
                  <c:v>2232830.79948213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64-4D14-A3A2-2D6A9E66F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120384"/>
        <c:axId val="177121920"/>
      </c:lineChart>
      <c:dateAx>
        <c:axId val="1771203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1920"/>
        <c:crosses val="autoZero"/>
        <c:auto val="1"/>
        <c:lblOffset val="100"/>
        <c:baseTimeUnit val="months"/>
      </c:dateAx>
      <c:valAx>
        <c:axId val="177121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Large Use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'Large Use Normalized Monthly WN'!$D$1</c:f>
              <c:strCache>
                <c:ptCount val="1"/>
                <c:pt idx="0">
                  <c:v> Large_Use_NoCDM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'Large Use Normalized Monthly WN'!$A$2:$A$133</c:f>
              <c:numCache>
                <c:formatCode>m/d/yyyy</c:formatCode>
                <c:ptCount val="13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'Large Use Normalized Monthly WN'!$D$2:$D$133</c:f>
              <c:numCache>
                <c:formatCode>_(* #,##0.00_);_(* \(#,##0.00\);_(* "-"??_);_(@_)</c:formatCode>
                <c:ptCount val="132"/>
                <c:pt idx="0">
                  <c:v>8999446.6822758783</c:v>
                </c:pt>
                <c:pt idx="1">
                  <c:v>8124930.9065793287</c:v>
                </c:pt>
                <c:pt idx="2">
                  <c:v>9234224.1308827791</c:v>
                </c:pt>
                <c:pt idx="3">
                  <c:v>8840028.3551862296</c:v>
                </c:pt>
                <c:pt idx="4">
                  <c:v>9326722.57948968</c:v>
                </c:pt>
                <c:pt idx="5">
                  <c:v>10997553.80379313</c:v>
                </c:pt>
                <c:pt idx="6">
                  <c:v>12310894.028096581</c:v>
                </c:pt>
                <c:pt idx="7">
                  <c:v>11685596.252400031</c:v>
                </c:pt>
                <c:pt idx="8">
                  <c:v>11271867.476703482</c:v>
                </c:pt>
                <c:pt idx="9">
                  <c:v>9994517.7010069322</c:v>
                </c:pt>
                <c:pt idx="10">
                  <c:v>8686801.9253103826</c:v>
                </c:pt>
                <c:pt idx="11">
                  <c:v>8551960.1496138331</c:v>
                </c:pt>
                <c:pt idx="12">
                  <c:v>9103066.0429361481</c:v>
                </c:pt>
                <c:pt idx="13">
                  <c:v>8069983.3265349884</c:v>
                </c:pt>
                <c:pt idx="14">
                  <c:v>9022606.6101338267</c:v>
                </c:pt>
                <c:pt idx="15">
                  <c:v>8607346.893732667</c:v>
                </c:pt>
                <c:pt idx="16">
                  <c:v>10249196.177331505</c:v>
                </c:pt>
                <c:pt idx="17">
                  <c:v>10702581.460930346</c:v>
                </c:pt>
                <c:pt idx="18">
                  <c:v>12327687.744529184</c:v>
                </c:pt>
                <c:pt idx="19">
                  <c:v>12834453.028128022</c:v>
                </c:pt>
                <c:pt idx="20">
                  <c:v>11555740.311726863</c:v>
                </c:pt>
                <c:pt idx="21">
                  <c:v>9663556.5953257009</c:v>
                </c:pt>
                <c:pt idx="22">
                  <c:v>8876990.8789245412</c:v>
                </c:pt>
                <c:pt idx="23">
                  <c:v>8567404.1625233795</c:v>
                </c:pt>
                <c:pt idx="24">
                  <c:v>8989278.2746889144</c:v>
                </c:pt>
                <c:pt idx="25">
                  <c:v>8097545.3515033722</c:v>
                </c:pt>
                <c:pt idx="26">
                  <c:v>8985392.6473651007</c:v>
                </c:pt>
                <c:pt idx="27">
                  <c:v>8504581.5898450892</c:v>
                </c:pt>
                <c:pt idx="28">
                  <c:v>9087651.3384452276</c:v>
                </c:pt>
                <c:pt idx="29">
                  <c:v>10150109.924780237</c:v>
                </c:pt>
                <c:pt idx="30">
                  <c:v>12285416.778856665</c:v>
                </c:pt>
                <c:pt idx="31">
                  <c:v>11478159.279289683</c:v>
                </c:pt>
                <c:pt idx="32">
                  <c:v>10722555.998619301</c:v>
                </c:pt>
                <c:pt idx="33">
                  <c:v>9195841.3160605505</c:v>
                </c:pt>
                <c:pt idx="34">
                  <c:v>8525347.6827713586</c:v>
                </c:pt>
                <c:pt idx="35">
                  <c:v>8302879.6970118778</c:v>
                </c:pt>
                <c:pt idx="36">
                  <c:v>8600262.0200518575</c:v>
                </c:pt>
                <c:pt idx="37">
                  <c:v>8180470.246807198</c:v>
                </c:pt>
                <c:pt idx="38">
                  <c:v>8146171.5943440981</c:v>
                </c:pt>
                <c:pt idx="39">
                  <c:v>7110674.2288400885</c:v>
                </c:pt>
                <c:pt idx="40">
                  <c:v>8099810.9285269296</c:v>
                </c:pt>
                <c:pt idx="41">
                  <c:v>9661634.6249788105</c:v>
                </c:pt>
                <c:pt idx="42">
                  <c:v>11633464.73742496</c:v>
                </c:pt>
                <c:pt idx="43">
                  <c:v>10881748.22689686</c:v>
                </c:pt>
                <c:pt idx="44">
                  <c:v>9412013.6198623907</c:v>
                </c:pt>
                <c:pt idx="45">
                  <c:v>8181488.4837523811</c:v>
                </c:pt>
                <c:pt idx="46">
                  <c:v>7873386.2840596009</c:v>
                </c:pt>
                <c:pt idx="47">
                  <c:v>8025859.8760891212</c:v>
                </c:pt>
                <c:pt idx="48">
                  <c:v>8267121.5026186379</c:v>
                </c:pt>
                <c:pt idx="49">
                  <c:v>7860890.0394344553</c:v>
                </c:pt>
                <c:pt idx="50">
                  <c:v>8617027.7213605233</c:v>
                </c:pt>
                <c:pt idx="51">
                  <c:v>8151550.2276455313</c:v>
                </c:pt>
                <c:pt idx="52">
                  <c:v>9085951.214230109</c:v>
                </c:pt>
                <c:pt idx="53">
                  <c:v>10943993.453054408</c:v>
                </c:pt>
                <c:pt idx="54">
                  <c:v>11368752.713587916</c:v>
                </c:pt>
                <c:pt idx="55">
                  <c:v>12536881.909072623</c:v>
                </c:pt>
                <c:pt idx="56">
                  <c:v>10749580.623415139</c:v>
                </c:pt>
                <c:pt idx="57">
                  <c:v>10356128.307750057</c:v>
                </c:pt>
                <c:pt idx="58">
                  <c:v>9055135.6095071044</c:v>
                </c:pt>
                <c:pt idx="59">
                  <c:v>9104376.5640171226</c:v>
                </c:pt>
                <c:pt idx="60">
                  <c:v>9110751.0308836643</c:v>
                </c:pt>
                <c:pt idx="61">
                  <c:v>8626632.1104067359</c:v>
                </c:pt>
                <c:pt idx="62">
                  <c:v>9589247.0186625384</c:v>
                </c:pt>
                <c:pt idx="63">
                  <c:v>9180227.9473527595</c:v>
                </c:pt>
                <c:pt idx="64">
                  <c:v>10077830.463332593</c:v>
                </c:pt>
                <c:pt idx="65">
                  <c:v>10583328.764044672</c:v>
                </c:pt>
                <c:pt idx="66">
                  <c:v>11652875.177961215</c:v>
                </c:pt>
                <c:pt idx="67">
                  <c:v>11707751.467102198</c:v>
                </c:pt>
                <c:pt idx="68">
                  <c:v>10939336.920596739</c:v>
                </c:pt>
                <c:pt idx="69">
                  <c:v>12833984.256122762</c:v>
                </c:pt>
                <c:pt idx="70">
                  <c:v>12654963.870489843</c:v>
                </c:pt>
                <c:pt idx="71">
                  <c:v>12881327.663235825</c:v>
                </c:pt>
                <c:pt idx="72">
                  <c:v>12735778.584634606</c:v>
                </c:pt>
                <c:pt idx="73">
                  <c:v>11767083.564607263</c:v>
                </c:pt>
                <c:pt idx="74">
                  <c:v>13459049.055932319</c:v>
                </c:pt>
                <c:pt idx="75">
                  <c:v>13160905.919451777</c:v>
                </c:pt>
                <c:pt idx="76">
                  <c:v>13788454.644214533</c:v>
                </c:pt>
                <c:pt idx="77">
                  <c:v>14703192.83696259</c:v>
                </c:pt>
                <c:pt idx="78">
                  <c:v>16655581.63047855</c:v>
                </c:pt>
                <c:pt idx="79">
                  <c:v>16706591.428423306</c:v>
                </c:pt>
                <c:pt idx="80">
                  <c:v>15701047.359710263</c:v>
                </c:pt>
                <c:pt idx="81">
                  <c:v>14743057.004624922</c:v>
                </c:pt>
                <c:pt idx="82">
                  <c:v>13765936.609469777</c:v>
                </c:pt>
                <c:pt idx="83">
                  <c:v>13779390.384411534</c:v>
                </c:pt>
                <c:pt idx="84">
                  <c:v>14260589.724485524</c:v>
                </c:pt>
                <c:pt idx="85">
                  <c:v>13283794.127959238</c:v>
                </c:pt>
                <c:pt idx="86">
                  <c:v>14003296.408531051</c:v>
                </c:pt>
                <c:pt idx="87">
                  <c:v>13877323.379148966</c:v>
                </c:pt>
                <c:pt idx="88">
                  <c:v>15404708.31516158</c:v>
                </c:pt>
                <c:pt idx="89">
                  <c:v>16166675.685287094</c:v>
                </c:pt>
                <c:pt idx="90">
                  <c:v>17648326.53122801</c:v>
                </c:pt>
                <c:pt idx="91">
                  <c:v>17363128.283993222</c:v>
                </c:pt>
                <c:pt idx="92">
                  <c:v>16364222.048419036</c:v>
                </c:pt>
                <c:pt idx="93">
                  <c:v>14807290.144618651</c:v>
                </c:pt>
                <c:pt idx="94">
                  <c:v>13992711.462041363</c:v>
                </c:pt>
                <c:pt idx="95">
                  <c:v>13601921.748472378</c:v>
                </c:pt>
                <c:pt idx="96">
                  <c:v>14361905.166353663</c:v>
                </c:pt>
                <c:pt idx="97">
                  <c:v>12945592.518201813</c:v>
                </c:pt>
                <c:pt idx="98">
                  <c:v>14237317.45575696</c:v>
                </c:pt>
                <c:pt idx="99">
                  <c:v>14137926.302662909</c:v>
                </c:pt>
                <c:pt idx="100">
                  <c:v>14378587.136586657</c:v>
                </c:pt>
                <c:pt idx="101">
                  <c:v>16220607.002538506</c:v>
                </c:pt>
                <c:pt idx="102">
                  <c:v>18141297.038824454</c:v>
                </c:pt>
                <c:pt idx="103">
                  <c:v>16333866.322163202</c:v>
                </c:pt>
                <c:pt idx="104">
                  <c:v>15806074.315778051</c:v>
                </c:pt>
                <c:pt idx="105">
                  <c:v>14876887.0161887</c:v>
                </c:pt>
                <c:pt idx="106">
                  <c:v>13663366.431718748</c:v>
                </c:pt>
                <c:pt idx="107">
                  <c:v>13605458.244193096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5-4990-89B5-E225C7A20EBE}"/>
            </c:ext>
          </c:extLst>
        </c:ser>
        <c:ser>
          <c:idx val="1"/>
          <c:order val="1"/>
          <c:tx>
            <c:strRef>
              <c:f>'Large Use Normalized Monthly WN'!$Y$1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'Large Use Normalized Monthly WN'!$A$2:$A$133</c:f>
              <c:numCache>
                <c:formatCode>m/d/yyyy</c:formatCode>
                <c:ptCount val="13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  <c:pt idx="120">
                  <c:v>46388</c:v>
                </c:pt>
                <c:pt idx="121">
                  <c:v>46419</c:v>
                </c:pt>
                <c:pt idx="122">
                  <c:v>46447</c:v>
                </c:pt>
                <c:pt idx="123">
                  <c:v>46478</c:v>
                </c:pt>
                <c:pt idx="124">
                  <c:v>46508</c:v>
                </c:pt>
                <c:pt idx="125">
                  <c:v>46539</c:v>
                </c:pt>
                <c:pt idx="126">
                  <c:v>46569</c:v>
                </c:pt>
                <c:pt idx="127">
                  <c:v>46600</c:v>
                </c:pt>
                <c:pt idx="128">
                  <c:v>46631</c:v>
                </c:pt>
                <c:pt idx="129">
                  <c:v>46661</c:v>
                </c:pt>
                <c:pt idx="130">
                  <c:v>46692</c:v>
                </c:pt>
                <c:pt idx="131">
                  <c:v>46722</c:v>
                </c:pt>
              </c:numCache>
            </c:numRef>
          </c:cat>
          <c:val>
            <c:numRef>
              <c:f>'Large Use Normalized Monthly WN'!$Y$2:$Y$133</c:f>
              <c:numCache>
                <c:formatCode>_(* #,##0_);_(* \(#,##0\);_(* "-"??_);_(@_)</c:formatCode>
                <c:ptCount val="132"/>
                <c:pt idx="0">
                  <c:v>8999446.6822758783</c:v>
                </c:pt>
                <c:pt idx="1">
                  <c:v>8124930.9065793287</c:v>
                </c:pt>
                <c:pt idx="2">
                  <c:v>9246947.5765086543</c:v>
                </c:pt>
                <c:pt idx="3">
                  <c:v>8707073.1916241292</c:v>
                </c:pt>
                <c:pt idx="4">
                  <c:v>9762618.8239254486</c:v>
                </c:pt>
                <c:pt idx="5">
                  <c:v>11116067.600163661</c:v>
                </c:pt>
                <c:pt idx="6">
                  <c:v>12645056.837723937</c:v>
                </c:pt>
                <c:pt idx="7">
                  <c:v>12323523.491711151</c:v>
                </c:pt>
                <c:pt idx="8">
                  <c:v>11261614.077507887</c:v>
                </c:pt>
                <c:pt idx="9">
                  <c:v>9677670.8570119236</c:v>
                </c:pt>
                <c:pt idx="10">
                  <c:v>8735239.906172704</c:v>
                </c:pt>
                <c:pt idx="11">
                  <c:v>8551960.1496138331</c:v>
                </c:pt>
                <c:pt idx="12">
                  <c:v>9103066.0429361481</c:v>
                </c:pt>
                <c:pt idx="13">
                  <c:v>8069983.3265349884</c:v>
                </c:pt>
                <c:pt idx="14">
                  <c:v>9035330.0557597019</c:v>
                </c:pt>
                <c:pt idx="15">
                  <c:v>8796608.8596570157</c:v>
                </c:pt>
                <c:pt idx="16">
                  <c:v>9312977.3563095983</c:v>
                </c:pt>
                <c:pt idx="17">
                  <c:v>10751124.853232022</c:v>
                </c:pt>
                <c:pt idx="18">
                  <c:v>12415985.494256623</c:v>
                </c:pt>
                <c:pt idx="19">
                  <c:v>12355132.968593823</c:v>
                </c:pt>
                <c:pt idx="20">
                  <c:v>11285718.938467834</c:v>
                </c:pt>
                <c:pt idx="21">
                  <c:v>9731034.1613017097</c:v>
                </c:pt>
                <c:pt idx="22">
                  <c:v>8927024.2761662826</c:v>
                </c:pt>
                <c:pt idx="23">
                  <c:v>8567404.1625233795</c:v>
                </c:pt>
                <c:pt idx="24">
                  <c:v>8989278.2746889144</c:v>
                </c:pt>
                <c:pt idx="25">
                  <c:v>8097545.3515033722</c:v>
                </c:pt>
                <c:pt idx="26">
                  <c:v>8998116.0929909758</c:v>
                </c:pt>
                <c:pt idx="27">
                  <c:v>8666379.6023808476</c:v>
                </c:pt>
                <c:pt idx="28">
                  <c:v>9761777.4358222596</c:v>
                </c:pt>
                <c:pt idx="29">
                  <c:v>10560442.47069362</c:v>
                </c:pt>
                <c:pt idx="30">
                  <c:v>12000928.39778568</c:v>
                </c:pt>
                <c:pt idx="31">
                  <c:v>11657860.142768793</c:v>
                </c:pt>
                <c:pt idx="32">
                  <c:v>10643956.101312479</c:v>
                </c:pt>
                <c:pt idx="33">
                  <c:v>9526106.7513896096</c:v>
                </c:pt>
                <c:pt idx="34">
                  <c:v>8575381.0800131001</c:v>
                </c:pt>
                <c:pt idx="35">
                  <c:v>8302879.6970118778</c:v>
                </c:pt>
                <c:pt idx="36">
                  <c:v>8600262.0200518575</c:v>
                </c:pt>
                <c:pt idx="37">
                  <c:v>8180470.246807198</c:v>
                </c:pt>
                <c:pt idx="38">
                  <c:v>8158895.0399699733</c:v>
                </c:pt>
                <c:pt idx="39">
                  <c:v>7301360.6736746328</c:v>
                </c:pt>
                <c:pt idx="40">
                  <c:v>8250868.370079807</c:v>
                </c:pt>
                <c:pt idx="41">
                  <c:v>9543513.9847874977</c:v>
                </c:pt>
                <c:pt idx="42">
                  <c:v>10887103.314511862</c:v>
                </c:pt>
                <c:pt idx="43">
                  <c:v>10831310.277644621</c:v>
                </c:pt>
                <c:pt idx="44">
                  <c:v>9961637.4115304276</c:v>
                </c:pt>
                <c:pt idx="45">
                  <c:v>8627279.1586983763</c:v>
                </c:pt>
                <c:pt idx="46">
                  <c:v>7807638.035480571</c:v>
                </c:pt>
                <c:pt idx="47">
                  <c:v>8025859.8760891212</c:v>
                </c:pt>
                <c:pt idx="48">
                  <c:v>8267121.5026186379</c:v>
                </c:pt>
                <c:pt idx="49">
                  <c:v>7860890.0394344553</c:v>
                </c:pt>
                <c:pt idx="50">
                  <c:v>8563541.3872404657</c:v>
                </c:pt>
                <c:pt idx="51">
                  <c:v>8056030.3698433945</c:v>
                </c:pt>
                <c:pt idx="52">
                  <c:v>9062054.1560326535</c:v>
                </c:pt>
                <c:pt idx="53">
                  <c:v>10357162.272252036</c:v>
                </c:pt>
                <c:pt idx="54">
                  <c:v>11886274.448535765</c:v>
                </c:pt>
                <c:pt idx="55">
                  <c:v>12012576.805554418</c:v>
                </c:pt>
                <c:pt idx="56">
                  <c:v>10965477.496002341</c:v>
                </c:pt>
                <c:pt idx="57">
                  <c:v>9834897.2297200561</c:v>
                </c:pt>
                <c:pt idx="58">
                  <c:v>9105169.0067488458</c:v>
                </c:pt>
                <c:pt idx="59">
                  <c:v>9104376.5640171226</c:v>
                </c:pt>
                <c:pt idx="60">
                  <c:v>9110751.0308836643</c:v>
                </c:pt>
                <c:pt idx="61">
                  <c:v>8626632.1104067359</c:v>
                </c:pt>
                <c:pt idx="62">
                  <c:v>9601970.4642884135</c:v>
                </c:pt>
                <c:pt idx="63">
                  <c:v>9255246.7046793476</c:v>
                </c:pt>
                <c:pt idx="64">
                  <c:v>9746075.0230634697</c:v>
                </c:pt>
                <c:pt idx="65">
                  <c:v>10760616.56024991</c:v>
                </c:pt>
                <c:pt idx="66">
                  <c:v>11739549.02173103</c:v>
                </c:pt>
                <c:pt idx="67">
                  <c:v>11537885.206019083</c:v>
                </c:pt>
                <c:pt idx="68">
                  <c:v>11078881.723597409</c:v>
                </c:pt>
                <c:pt idx="69">
                  <c:v>13188237.916299529</c:v>
                </c:pt>
                <c:pt idx="70">
                  <c:v>12561010.939488923</c:v>
                </c:pt>
                <c:pt idx="71">
                  <c:v>12881327.663235825</c:v>
                </c:pt>
                <c:pt idx="72">
                  <c:v>12735778.584634606</c:v>
                </c:pt>
                <c:pt idx="73">
                  <c:v>11767083.564607263</c:v>
                </c:pt>
                <c:pt idx="74">
                  <c:v>13471772.501558194</c:v>
                </c:pt>
                <c:pt idx="75">
                  <c:v>12879577.032603608</c:v>
                </c:pt>
                <c:pt idx="76">
                  <c:v>13861849.495583497</c:v>
                </c:pt>
                <c:pt idx="77">
                  <c:v>15065748.360227983</c:v>
                </c:pt>
                <c:pt idx="78">
                  <c:v>17039458.754071765</c:v>
                </c:pt>
                <c:pt idx="79">
                  <c:v>17414489.071803275</c:v>
                </c:pt>
                <c:pt idx="80">
                  <c:v>15820136.64556051</c:v>
                </c:pt>
                <c:pt idx="81">
                  <c:v>14573672.217413455</c:v>
                </c:pt>
                <c:pt idx="82">
                  <c:v>13815970.006711518</c:v>
                </c:pt>
                <c:pt idx="83">
                  <c:v>13779390.384411534</c:v>
                </c:pt>
                <c:pt idx="84">
                  <c:v>14260589.724485524</c:v>
                </c:pt>
                <c:pt idx="85">
                  <c:v>13283794.127959238</c:v>
                </c:pt>
                <c:pt idx="86">
                  <c:v>14016019.854156926</c:v>
                </c:pt>
                <c:pt idx="87">
                  <c:v>13799979.872240936</c:v>
                </c:pt>
                <c:pt idx="88">
                  <c:v>14985860.234323042</c:v>
                </c:pt>
                <c:pt idx="89">
                  <c:v>15997359.273063319</c:v>
                </c:pt>
                <c:pt idx="90">
                  <c:v>17782577.970598388</c:v>
                </c:pt>
                <c:pt idx="91">
                  <c:v>17540977.324889075</c:v>
                </c:pt>
                <c:pt idx="92">
                  <c:v>16078388.959256826</c:v>
                </c:pt>
                <c:pt idx="93">
                  <c:v>14858243.75523638</c:v>
                </c:pt>
                <c:pt idx="94">
                  <c:v>13872320.202467196</c:v>
                </c:pt>
                <c:pt idx="95">
                  <c:v>13601921.748472378</c:v>
                </c:pt>
                <c:pt idx="96">
                  <c:v>14361905.166353663</c:v>
                </c:pt>
                <c:pt idx="97">
                  <c:v>12945592.518201813</c:v>
                </c:pt>
                <c:pt idx="98">
                  <c:v>14216252.261632975</c:v>
                </c:pt>
                <c:pt idx="99">
                  <c:v>14031295.509361239</c:v>
                </c:pt>
                <c:pt idx="100">
                  <c:v>14893399.512647312</c:v>
                </c:pt>
                <c:pt idx="101">
                  <c:v>15786650.898378426</c:v>
                </c:pt>
                <c:pt idx="102">
                  <c:v>17808889.18721446</c:v>
                </c:pt>
                <c:pt idx="103">
                  <c:v>16599548.732661771</c:v>
                </c:pt>
                <c:pt idx="104">
                  <c:v>15761861.33936337</c:v>
                </c:pt>
                <c:pt idx="105">
                  <c:v>14812002.00182925</c:v>
                </c:pt>
                <c:pt idx="106">
                  <c:v>13713399.828960489</c:v>
                </c:pt>
                <c:pt idx="107">
                  <c:v>13605458.244193096</c:v>
                </c:pt>
                <c:pt idx="108">
                  <c:v>13924972.589890737</c:v>
                </c:pt>
                <c:pt idx="109">
                  <c:v>12876715.358342327</c:v>
                </c:pt>
                <c:pt idx="110">
                  <c:v>13865843.157946616</c:v>
                </c:pt>
                <c:pt idx="111">
                  <c:v>13619658.738844737</c:v>
                </c:pt>
                <c:pt idx="112">
                  <c:v>14616049.165379919</c:v>
                </c:pt>
                <c:pt idx="113">
                  <c:v>15911086.933861978</c:v>
                </c:pt>
                <c:pt idx="114">
                  <c:v>17337446.331173986</c:v>
                </c:pt>
                <c:pt idx="115">
                  <c:v>16870552.849588364</c:v>
                </c:pt>
                <c:pt idx="116">
                  <c:v>15899180.784535423</c:v>
                </c:pt>
                <c:pt idx="117">
                  <c:v>14814107.525651639</c:v>
                </c:pt>
                <c:pt idx="118">
                  <c:v>14039470.845553778</c:v>
                </c:pt>
                <c:pt idx="119">
                  <c:v>14057173.994885152</c:v>
                </c:pt>
                <c:pt idx="120">
                  <c:v>14131617.250831082</c:v>
                </c:pt>
                <c:pt idx="121">
                  <c:v>13083360.019282671</c:v>
                </c:pt>
                <c:pt idx="122">
                  <c:v>14072487.81888696</c:v>
                </c:pt>
                <c:pt idx="123">
                  <c:v>13826303.399785083</c:v>
                </c:pt>
                <c:pt idx="124">
                  <c:v>14822693.826320263</c:v>
                </c:pt>
                <c:pt idx="125">
                  <c:v>16117731.594802324</c:v>
                </c:pt>
                <c:pt idx="126">
                  <c:v>17544090.992114328</c:v>
                </c:pt>
                <c:pt idx="127">
                  <c:v>17077197.510528706</c:v>
                </c:pt>
                <c:pt idx="128">
                  <c:v>16105825.445475768</c:v>
                </c:pt>
                <c:pt idx="129">
                  <c:v>15020752.186591983</c:v>
                </c:pt>
                <c:pt idx="130">
                  <c:v>14246115.506494123</c:v>
                </c:pt>
                <c:pt idx="131">
                  <c:v>14263818.655825496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45-4990-89B5-E225C7A20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120384"/>
        <c:axId val="177121920"/>
      </c:lineChart>
      <c:dateAx>
        <c:axId val="1771203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1920"/>
        <c:crosses val="autoZero"/>
        <c:auto val="1"/>
        <c:lblOffset val="100"/>
        <c:baseTimeUnit val="months"/>
      </c:dateAx>
      <c:valAx>
        <c:axId val="177121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2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Residential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Summary'!$B$6:$B$16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Summary'!$C$6:$C$15</c:f>
              <c:numCache>
                <c:formatCode>#,##0</c:formatCode>
                <c:ptCount val="10"/>
                <c:pt idx="0">
                  <c:v>1047993667</c:v>
                </c:pt>
                <c:pt idx="1">
                  <c:v>1139376021</c:v>
                </c:pt>
                <c:pt idx="2">
                  <c:v>1101433888.4783466</c:v>
                </c:pt>
                <c:pt idx="3">
                  <c:v>1174376356.2405562</c:v>
                </c:pt>
                <c:pt idx="4">
                  <c:v>1183155978.337724</c:v>
                </c:pt>
                <c:pt idx="5">
                  <c:v>1180210179.8745952</c:v>
                </c:pt>
                <c:pt idx="6">
                  <c:v>1127950490.8539553</c:v>
                </c:pt>
                <c:pt idx="7">
                  <c:v>1181706111.5087397</c:v>
                </c:pt>
                <c:pt idx="8">
                  <c:v>1217191863.2636447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E2-4E16-B54F-952CEB5448A4}"/>
            </c:ext>
          </c:extLst>
        </c:ser>
        <c:ser>
          <c:idx val="1"/>
          <c:order val="1"/>
          <c:tx>
            <c:strRef>
              <c:f>'Normalized Annual Summary'!$E$3</c:f>
              <c:strCache>
                <c:ptCount val="1"/>
                <c:pt idx="0">
                  <c:v>Actual No CDM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Summary'!$B$6:$B$16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Summary'!$E$6:$E$15</c:f>
              <c:numCache>
                <c:formatCode>#,##0</c:formatCode>
                <c:ptCount val="10"/>
                <c:pt idx="0">
                  <c:v>1061607911.5734068</c:v>
                </c:pt>
                <c:pt idx="1">
                  <c:v>1163819903.1542928</c:v>
                </c:pt>
                <c:pt idx="2">
                  <c:v>1127333148.8304532</c:v>
                </c:pt>
                <c:pt idx="3">
                  <c:v>1200275616.5926628</c:v>
                </c:pt>
                <c:pt idx="4">
                  <c:v>1209220866.118844</c:v>
                </c:pt>
                <c:pt idx="5">
                  <c:v>1206543449.2304444</c:v>
                </c:pt>
                <c:pt idx="6">
                  <c:v>1154587492.8056829</c:v>
                </c:pt>
                <c:pt idx="7">
                  <c:v>1209243409.8343263</c:v>
                </c:pt>
                <c:pt idx="8">
                  <c:v>1246519883.8219993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E2-4E16-B54F-952CEB5448A4}"/>
            </c:ext>
          </c:extLst>
        </c:ser>
        <c:ser>
          <c:idx val="2"/>
          <c:order val="2"/>
          <c:tx>
            <c:strRef>
              <c:f>'Normalized Annual Summary'!$G$3</c:f>
              <c:strCache>
                <c:ptCount val="1"/>
                <c:pt idx="0">
                  <c:v>Normal Predicted 
No CDM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Summary'!$B$6:$B$16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Summary'!$G$6:$G$16</c:f>
              <c:numCache>
                <c:formatCode>#,##0</c:formatCode>
                <c:ptCount val="11"/>
                <c:pt idx="0">
                  <c:v>1091421250.9262049</c:v>
                </c:pt>
                <c:pt idx="1">
                  <c:v>1111795233.6083331</c:v>
                </c:pt>
                <c:pt idx="2">
                  <c:v>1130596976.0922034</c:v>
                </c:pt>
                <c:pt idx="3">
                  <c:v>1185491437.7425058</c:v>
                </c:pt>
                <c:pt idx="4">
                  <c:v>1204965822.0268836</c:v>
                </c:pt>
                <c:pt idx="5">
                  <c:v>1208158757.8987234</c:v>
                </c:pt>
                <c:pt idx="6">
                  <c:v>1205733871.2919185</c:v>
                </c:pt>
                <c:pt idx="7">
                  <c:v>1219809663.6812489</c:v>
                </c:pt>
                <c:pt idx="8">
                  <c:v>1227232997.6187506</c:v>
                </c:pt>
                <c:pt idx="9">
                  <c:v>1242585418.6443751</c:v>
                </c:pt>
                <c:pt idx="10">
                  <c:v>1258068572.3785133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E2-4E16-B54F-952CEB5448A4}"/>
            </c:ext>
          </c:extLst>
        </c:ser>
        <c:ser>
          <c:idx val="3"/>
          <c:order val="3"/>
          <c:tx>
            <c:strRef>
              <c:f>'Normalized Annual Summary'!$K$3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Summary'!$B$6:$B$16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Summary'!$K$6:$K$16</c:f>
              <c:numCache>
                <c:formatCode>#,##0</c:formatCode>
                <c:ptCount val="11"/>
                <c:pt idx="0">
                  <c:v>1077807006.3527982</c:v>
                </c:pt>
                <c:pt idx="1">
                  <c:v>1087351351.4540403</c:v>
                </c:pt>
                <c:pt idx="2">
                  <c:v>1104697715.7400968</c:v>
                </c:pt>
                <c:pt idx="3">
                  <c:v>1159592177.3903992</c:v>
                </c:pt>
                <c:pt idx="4">
                  <c:v>1178900934.2457635</c:v>
                </c:pt>
                <c:pt idx="5">
                  <c:v>1181825488.5428741</c:v>
                </c:pt>
                <c:pt idx="6">
                  <c:v>1179096869.3401909</c:v>
                </c:pt>
                <c:pt idx="7">
                  <c:v>1192272365.3556623</c:v>
                </c:pt>
                <c:pt idx="8">
                  <c:v>1197904977.060396</c:v>
                </c:pt>
                <c:pt idx="9">
                  <c:v>1224513011.511615</c:v>
                </c:pt>
                <c:pt idx="10">
                  <c:v>1252807752.4400463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E2-4E16-B54F-952CEB544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40896"/>
        <c:axId val="177842432"/>
      </c:lineChart>
      <c:catAx>
        <c:axId val="177840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842432"/>
        <c:crosses val="autoZero"/>
        <c:auto val="1"/>
        <c:lblAlgn val="ctr"/>
        <c:lblOffset val="100"/>
        <c:noMultiLvlLbl val="0"/>
      </c:catAx>
      <c:valAx>
        <c:axId val="177842432"/>
        <c:scaling>
          <c:orientation val="minMax"/>
          <c:min val="10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84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&lt; 50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Summary'!$N$3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Summary'!$M$6:$M$16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Summary'!$N$6:$N$15</c:f>
              <c:numCache>
                <c:formatCode>#,##0</c:formatCode>
                <c:ptCount val="10"/>
                <c:pt idx="0">
                  <c:v>385223199</c:v>
                </c:pt>
                <c:pt idx="1">
                  <c:v>398801024</c:v>
                </c:pt>
                <c:pt idx="2">
                  <c:v>394237702.73931646</c:v>
                </c:pt>
                <c:pt idx="3">
                  <c:v>374506007.7641958</c:v>
                </c:pt>
                <c:pt idx="4">
                  <c:v>381478906.71076226</c:v>
                </c:pt>
                <c:pt idx="5">
                  <c:v>404904347.96509457</c:v>
                </c:pt>
                <c:pt idx="6">
                  <c:v>399918444.19770122</c:v>
                </c:pt>
                <c:pt idx="7">
                  <c:v>404233973.90292341</c:v>
                </c:pt>
                <c:pt idx="8">
                  <c:v>416596865.08434409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F4-4DA4-9875-10FB45B051C5}"/>
            </c:ext>
          </c:extLst>
        </c:ser>
        <c:ser>
          <c:idx val="1"/>
          <c:order val="1"/>
          <c:tx>
            <c:strRef>
              <c:f>'Normalized Annual Summary'!$P$3</c:f>
              <c:strCache>
                <c:ptCount val="1"/>
                <c:pt idx="0">
                  <c:v>Actual No CDM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Summary'!$M$6:$M$16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Summary'!$P$6:$P$15</c:f>
              <c:numCache>
                <c:formatCode>#,##0</c:formatCode>
                <c:ptCount val="10"/>
                <c:pt idx="0">
                  <c:v>387915717.43833756</c:v>
                </c:pt>
                <c:pt idx="1">
                  <c:v>406063921.14351934</c:v>
                </c:pt>
                <c:pt idx="2">
                  <c:v>403942334.58712649</c:v>
                </c:pt>
                <c:pt idx="3">
                  <c:v>384605406.35550404</c:v>
                </c:pt>
                <c:pt idx="4">
                  <c:v>392400911.15456247</c:v>
                </c:pt>
                <c:pt idx="5">
                  <c:v>418725196.61535442</c:v>
                </c:pt>
                <c:pt idx="6">
                  <c:v>416649281.82513762</c:v>
                </c:pt>
                <c:pt idx="7">
                  <c:v>424203695.49462962</c:v>
                </c:pt>
                <c:pt idx="8">
                  <c:v>440351101.09152025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F4-4DA4-9875-10FB45B051C5}"/>
            </c:ext>
          </c:extLst>
        </c:ser>
        <c:ser>
          <c:idx val="2"/>
          <c:order val="2"/>
          <c:tx>
            <c:strRef>
              <c:f>'Normalized Annual Summary'!$R$3</c:f>
              <c:strCache>
                <c:ptCount val="1"/>
                <c:pt idx="0">
                  <c:v>Normal 
No CDM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Summary'!$M$6:$M$16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Summary'!$R$6:$R$16</c:f>
              <c:numCache>
                <c:formatCode>#,##0</c:formatCode>
                <c:ptCount val="11"/>
                <c:pt idx="0">
                  <c:v>391574667.88424957</c:v>
                </c:pt>
                <c:pt idx="1">
                  <c:v>399517451.40740532</c:v>
                </c:pt>
                <c:pt idx="2">
                  <c:v>405077681.7213915</c:v>
                </c:pt>
                <c:pt idx="3">
                  <c:v>381635980.88791525</c:v>
                </c:pt>
                <c:pt idx="4">
                  <c:v>396031275.75918704</c:v>
                </c:pt>
                <c:pt idx="5">
                  <c:v>413343204.19008034</c:v>
                </c:pt>
                <c:pt idx="6">
                  <c:v>426010124.67210293</c:v>
                </c:pt>
                <c:pt idx="7">
                  <c:v>431386059.9098497</c:v>
                </c:pt>
                <c:pt idx="8">
                  <c:v>433695095.77025229</c:v>
                </c:pt>
                <c:pt idx="9">
                  <c:v>438621758.31306911</c:v>
                </c:pt>
                <c:pt idx="10">
                  <c:v>443634637.45038521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F4-4DA4-9875-10FB45B051C5}"/>
            </c:ext>
          </c:extLst>
        </c:ser>
        <c:ser>
          <c:idx val="3"/>
          <c:order val="3"/>
          <c:tx>
            <c:strRef>
              <c:f>'Normalized Annual Summary'!$V$3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Summary'!$M$6:$M$16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Summary'!$V$6:$V$16</c:f>
              <c:numCache>
                <c:formatCode>#,##0</c:formatCode>
                <c:ptCount val="11"/>
                <c:pt idx="0">
                  <c:v>388882149.445912</c:v>
                </c:pt>
                <c:pt idx="1">
                  <c:v>392254554.26388597</c:v>
                </c:pt>
                <c:pt idx="2">
                  <c:v>395373049.87358147</c:v>
                </c:pt>
                <c:pt idx="3">
                  <c:v>371536582.29660702</c:v>
                </c:pt>
                <c:pt idx="4">
                  <c:v>385109271.31538683</c:v>
                </c:pt>
                <c:pt idx="5">
                  <c:v>399522355.53982049</c:v>
                </c:pt>
                <c:pt idx="6">
                  <c:v>409279287.04466653</c:v>
                </c:pt>
                <c:pt idx="7">
                  <c:v>411416338.31814349</c:v>
                </c:pt>
                <c:pt idx="8">
                  <c:v>409940859.76307613</c:v>
                </c:pt>
                <c:pt idx="9">
                  <c:v>418708962.95375508</c:v>
                </c:pt>
                <c:pt idx="10">
                  <c:v>428500444.0677461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F4-4DA4-9875-10FB45B05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75968"/>
        <c:axId val="177885952"/>
      </c:lineChart>
      <c:catAx>
        <c:axId val="17787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885952"/>
        <c:crosses val="autoZero"/>
        <c:auto val="1"/>
        <c:lblAlgn val="ctr"/>
        <c:lblOffset val="100"/>
        <c:noMultiLvlLbl val="0"/>
      </c:catAx>
      <c:valAx>
        <c:axId val="177885952"/>
        <c:scaling>
          <c:orientation val="minMax"/>
          <c:min val="3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Annual Consumption (kWh)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87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685006509185803E-2"/>
          <c:y val="0.8509923345674506"/>
          <c:w val="0.9620622153021775"/>
          <c:h val="0.122517599207383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&gt; 50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Summary'!$Y$3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Summary'!$X$6:$X$16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Summary'!$Y$6:$Y$14</c:f>
              <c:numCache>
                <c:formatCode>#,##0</c:formatCode>
                <c:ptCount val="9"/>
                <c:pt idx="0">
                  <c:v>1458855316</c:v>
                </c:pt>
                <c:pt idx="1">
                  <c:v>1485117370</c:v>
                </c:pt>
                <c:pt idx="2">
                  <c:v>1408341173.2980461</c:v>
                </c:pt>
                <c:pt idx="3">
                  <c:v>1365678433.9229021</c:v>
                </c:pt>
                <c:pt idx="4">
                  <c:v>1385380121.3308113</c:v>
                </c:pt>
                <c:pt idx="5">
                  <c:v>1424708525.6983182</c:v>
                </c:pt>
                <c:pt idx="6">
                  <c:v>1400393230.0632451</c:v>
                </c:pt>
                <c:pt idx="7">
                  <c:v>1446263151.7577271</c:v>
                </c:pt>
                <c:pt idx="8">
                  <c:v>1470647189.1957462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47-4CD5-B9F2-06D34607F46F}"/>
            </c:ext>
          </c:extLst>
        </c:ser>
        <c:ser>
          <c:idx val="1"/>
          <c:order val="1"/>
          <c:tx>
            <c:strRef>
              <c:f>'Normalized Annual Summary'!$AA$3</c:f>
              <c:strCache>
                <c:ptCount val="1"/>
                <c:pt idx="0">
                  <c:v>Actual No CDM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Summary'!$X$6:$X$16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Summary'!$AA$6:$AA$14</c:f>
              <c:numCache>
                <c:formatCode>#,##0</c:formatCode>
                <c:ptCount val="9"/>
                <c:pt idx="0">
                  <c:v>1478802060.3714433</c:v>
                </c:pt>
                <c:pt idx="1">
                  <c:v>1531749984.2682638</c:v>
                </c:pt>
                <c:pt idx="2">
                  <c:v>1465919870.9097457</c:v>
                </c:pt>
                <c:pt idx="3">
                  <c:v>1430777478.4494934</c:v>
                </c:pt>
                <c:pt idx="4">
                  <c:v>1457908039.6216168</c:v>
                </c:pt>
                <c:pt idx="5">
                  <c:v>1508808583.1234207</c:v>
                </c:pt>
                <c:pt idx="6">
                  <c:v>1491054781.6035359</c:v>
                </c:pt>
                <c:pt idx="7">
                  <c:v>1544629363.5480576</c:v>
                </c:pt>
                <c:pt idx="8">
                  <c:v>1579092812.9397712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47-4CD5-B9F2-06D34607F46F}"/>
            </c:ext>
          </c:extLst>
        </c:ser>
        <c:ser>
          <c:idx val="2"/>
          <c:order val="2"/>
          <c:tx>
            <c:strRef>
              <c:f>'Normalized Annual Summary'!$AC$3</c:f>
              <c:strCache>
                <c:ptCount val="1"/>
                <c:pt idx="0">
                  <c:v>Normal Predicted 
No CDM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Summary'!$X$6:$X$16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Summary'!$AC$6:$AC$16</c:f>
              <c:numCache>
                <c:formatCode>#,##0</c:formatCode>
                <c:ptCount val="11"/>
                <c:pt idx="0">
                  <c:v>1480867901.0142169</c:v>
                </c:pt>
                <c:pt idx="1">
                  <c:v>1494297991.4124696</c:v>
                </c:pt>
                <c:pt idx="2">
                  <c:v>1503699531.2547989</c:v>
                </c:pt>
                <c:pt idx="3">
                  <c:v>1427522899.7251334</c:v>
                </c:pt>
                <c:pt idx="4">
                  <c:v>1450429882.8195913</c:v>
                </c:pt>
                <c:pt idx="5">
                  <c:v>1498688579.6214619</c:v>
                </c:pt>
                <c:pt idx="6">
                  <c:v>1539093244.3359575</c:v>
                </c:pt>
                <c:pt idx="7">
                  <c:v>1549616532.4901969</c:v>
                </c:pt>
                <c:pt idx="8">
                  <c:v>1552087411.4632895</c:v>
                </c:pt>
                <c:pt idx="9">
                  <c:v>1560417680.4576321</c:v>
                </c:pt>
                <c:pt idx="10">
                  <c:v>1568893729.1593752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47-4CD5-B9F2-06D34607F46F}"/>
            </c:ext>
          </c:extLst>
        </c:ser>
        <c:ser>
          <c:idx val="3"/>
          <c:order val="3"/>
          <c:tx>
            <c:strRef>
              <c:f>'Normalized Annual Summary'!$AG$3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Summary'!$X$6:$X$16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Summary'!$AG$6:$AG$16</c:f>
              <c:numCache>
                <c:formatCode>#,##0</c:formatCode>
                <c:ptCount val="11"/>
                <c:pt idx="0">
                  <c:v>1460921156.6427736</c:v>
                </c:pt>
                <c:pt idx="1">
                  <c:v>1447665377.1442058</c:v>
                </c:pt>
                <c:pt idx="2">
                  <c:v>1446120833.6430993</c:v>
                </c:pt>
                <c:pt idx="3">
                  <c:v>1362423855.1985421</c:v>
                </c:pt>
                <c:pt idx="4">
                  <c:v>1377901964.5287857</c:v>
                </c:pt>
                <c:pt idx="5">
                  <c:v>1414588522.1963594</c:v>
                </c:pt>
                <c:pt idx="6">
                  <c:v>1448431692.7956667</c:v>
                </c:pt>
                <c:pt idx="7">
                  <c:v>1451250320.6998665</c:v>
                </c:pt>
                <c:pt idx="8">
                  <c:v>1443641787.7192645</c:v>
                </c:pt>
                <c:pt idx="9">
                  <c:v>1454290738.201947</c:v>
                </c:pt>
                <c:pt idx="10">
                  <c:v>1470577776.6983194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47-4CD5-B9F2-06D34607F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12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Annual Consumption (kWh)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Street Light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Summary'!$BF$3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Summary'!$BE$6:$BE$16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Summary'!$BF$6:$BF$15</c:f>
              <c:numCache>
                <c:formatCode>#,##0</c:formatCode>
                <c:ptCount val="10"/>
                <c:pt idx="0">
                  <c:v>19787895.879999999</c:v>
                </c:pt>
                <c:pt idx="1">
                  <c:v>17086178.68</c:v>
                </c:pt>
                <c:pt idx="2">
                  <c:v>16623912.16</c:v>
                </c:pt>
                <c:pt idx="3">
                  <c:v>16908317.240000002</c:v>
                </c:pt>
                <c:pt idx="4">
                  <c:v>16882808.740000002</c:v>
                </c:pt>
                <c:pt idx="5">
                  <c:v>17000378.439999998</c:v>
                </c:pt>
                <c:pt idx="6">
                  <c:v>17184523.530000001</c:v>
                </c:pt>
                <c:pt idx="7">
                  <c:v>17401184.109999996</c:v>
                </c:pt>
                <c:pt idx="8">
                  <c:v>17445300.079999998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87-4806-AF2F-9B2AB721F4D7}"/>
            </c:ext>
          </c:extLst>
        </c:ser>
        <c:ser>
          <c:idx val="3"/>
          <c:order val="1"/>
          <c:tx>
            <c:strRef>
              <c:f>'Normalized Annual Summary'!$BI$3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Summary'!$BE$6:$BE$16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('Normalized Annual Summary'!$BJ$6:$BJ$13,'Normalized Annual Summary'!$BI$14:$BI$16)</c:f>
              <c:numCache>
                <c:formatCode>General</c:formatCode>
                <c:ptCount val="11"/>
                <c:pt idx="8" formatCode="#,##0">
                  <c:v>17445300.079999998</c:v>
                </c:pt>
                <c:pt idx="9" formatCode="#,##0">
                  <c:v>17667700.63636383</c:v>
                </c:pt>
                <c:pt idx="10" formatCode="#,##0">
                  <c:v>17892936.455362532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87-4806-AF2F-9B2AB721F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42752"/>
        <c:axId val="178044288"/>
      </c:lineChart>
      <c:catAx>
        <c:axId val="17804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44288"/>
        <c:crosses val="autoZero"/>
        <c:auto val="1"/>
        <c:lblAlgn val="ctr"/>
        <c:lblOffset val="100"/>
        <c:noMultiLvlLbl val="0"/>
      </c:catAx>
      <c:valAx>
        <c:axId val="17804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4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Per Streetlight Device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Summary'!$BH$3</c:f>
              <c:strCache>
                <c:ptCount val="1"/>
                <c:pt idx="0">
                  <c:v>Average per Device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Summary'!$BE$6:$BE$16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Summary'!$BH$6:$BH$14</c:f>
              <c:numCache>
                <c:formatCode>#,##0</c:formatCode>
                <c:ptCount val="9"/>
                <c:pt idx="0">
                  <c:v>546.86740845998122</c:v>
                </c:pt>
                <c:pt idx="1">
                  <c:v>463.90229392027192</c:v>
                </c:pt>
                <c:pt idx="2">
                  <c:v>447.95308180450451</c:v>
                </c:pt>
                <c:pt idx="3">
                  <c:v>447.23208894394497</c:v>
                </c:pt>
                <c:pt idx="4">
                  <c:v>438.48698865222752</c:v>
                </c:pt>
                <c:pt idx="5">
                  <c:v>433.33030563975331</c:v>
                </c:pt>
                <c:pt idx="6">
                  <c:v>432.49639756711412</c:v>
                </c:pt>
                <c:pt idx="7">
                  <c:v>432.39380219743799</c:v>
                </c:pt>
                <c:pt idx="8">
                  <c:v>430.70915587889158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A-47C0-92B0-3D2135012DDA}"/>
            </c:ext>
          </c:extLst>
        </c:ser>
        <c:ser>
          <c:idx val="1"/>
          <c:order val="1"/>
          <c:tx>
            <c:v>Forecast per Device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Summary'!$BE$6:$BE$16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('Normalized Annual Summary'!$BJ$6:$BJ$13,'Normalized Annual Summary'!$BH$14:$BH$16)</c:f>
              <c:numCache>
                <c:formatCode>General</c:formatCode>
                <c:ptCount val="11"/>
                <c:pt idx="8" formatCode="#,##0">
                  <c:v>430.70915587889158</c:v>
                </c:pt>
                <c:pt idx="9" formatCode="#,##0">
                  <c:v>430.70915587889158</c:v>
                </c:pt>
                <c:pt idx="10" formatCode="#,##0">
                  <c:v>430.70915587889158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A-47C0-92B0-3D2135012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08192"/>
        <c:axId val="177609728"/>
      </c:lineChart>
      <c:catAx>
        <c:axId val="17760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9728"/>
        <c:crosses val="autoZero"/>
        <c:auto val="1"/>
        <c:lblAlgn val="ctr"/>
        <c:lblOffset val="100"/>
        <c:noMultiLvlLbl val="0"/>
      </c:catAx>
      <c:valAx>
        <c:axId val="17760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USL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Summary'!$BR$3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Summary'!$BQ$6:$BQ$16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Summary'!$BR$6:$BR$16</c:f>
              <c:numCache>
                <c:formatCode>#,##0</c:formatCode>
                <c:ptCount val="11"/>
                <c:pt idx="0">
                  <c:v>5547493.9300000006</c:v>
                </c:pt>
                <c:pt idx="1">
                  <c:v>5495625.3000000007</c:v>
                </c:pt>
                <c:pt idx="2">
                  <c:v>5503096.21</c:v>
                </c:pt>
                <c:pt idx="3">
                  <c:v>5418852.5500000007</c:v>
                </c:pt>
                <c:pt idx="4">
                  <c:v>5433333.7500000009</c:v>
                </c:pt>
                <c:pt idx="5">
                  <c:v>5441494.0800000001</c:v>
                </c:pt>
                <c:pt idx="6">
                  <c:v>5450500.6399999978</c:v>
                </c:pt>
                <c:pt idx="7">
                  <c:v>5428926.6799999997</c:v>
                </c:pt>
                <c:pt idx="8">
                  <c:v>5436603.9800000004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68-43A7-9AA7-1FFDC34E62D4}"/>
            </c:ext>
          </c:extLst>
        </c:ser>
        <c:ser>
          <c:idx val="3"/>
          <c:order val="1"/>
          <c:tx>
            <c:strRef>
              <c:f>'Normalized Annual Summary'!$BU$3</c:f>
              <c:strCache>
                <c:ptCount val="1"/>
                <c:pt idx="0">
                  <c:v>Normal Forecast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Summary'!$BQ$6:$BQ$16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('Normalized Annual Summary'!$BV$6:$BV$13,'Normalized Annual Summary'!$BU$14:$BU$16)</c:f>
              <c:numCache>
                <c:formatCode>General</c:formatCode>
                <c:ptCount val="11"/>
                <c:pt idx="8" formatCode="#,##0">
                  <c:v>5436603.9800000004</c:v>
                </c:pt>
                <c:pt idx="9" formatCode="#,##0">
                  <c:v>5438761.2873400953</c:v>
                </c:pt>
                <c:pt idx="10" formatCode="#,##0">
                  <c:v>5443581.0518559851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68-43A7-9AA7-1FFDC34E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61440"/>
        <c:axId val="177662976"/>
      </c:lineChart>
      <c:catAx>
        <c:axId val="17766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62976"/>
        <c:crosses val="autoZero"/>
        <c:auto val="1"/>
        <c:lblAlgn val="ctr"/>
        <c:lblOffset val="100"/>
        <c:noMultiLvlLbl val="0"/>
      </c:catAx>
      <c:valAx>
        <c:axId val="177662976"/>
        <c:scaling>
          <c:orientation val="minMax"/>
          <c:min val="28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61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Per USL Device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Summary'!$BT$3</c:f>
              <c:strCache>
                <c:ptCount val="1"/>
                <c:pt idx="0">
                  <c:v>Average per Device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Summary'!$BQ$6:$BQ$16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Summary'!$BT$6:$BT$14</c:f>
              <c:numCache>
                <c:formatCode>#,##0</c:formatCode>
                <c:ptCount val="9"/>
                <c:pt idx="0">
                  <c:v>3660.3028074998633</c:v>
                </c:pt>
                <c:pt idx="1">
                  <c:v>3610.1989160781741</c:v>
                </c:pt>
                <c:pt idx="2">
                  <c:v>3565.3360609005508</c:v>
                </c:pt>
                <c:pt idx="3">
                  <c:v>3533.0741972290143</c:v>
                </c:pt>
                <c:pt idx="4">
                  <c:v>3521.2791639663001</c:v>
                </c:pt>
                <c:pt idx="5">
                  <c:v>3511.2076657525408</c:v>
                </c:pt>
                <c:pt idx="6">
                  <c:v>3485.3462474688254</c:v>
                </c:pt>
                <c:pt idx="7">
                  <c:v>3467.670205993506</c:v>
                </c:pt>
                <c:pt idx="8">
                  <c:v>3460.4173213812128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2D-4DDA-B3EA-029F51E8F94F}"/>
            </c:ext>
          </c:extLst>
        </c:ser>
        <c:ser>
          <c:idx val="1"/>
          <c:order val="1"/>
          <c:marker>
            <c:symbol val="none"/>
          </c:marker>
          <c:cat>
            <c:numRef>
              <c:f>'Normalized Annual Summary'!$BQ$6:$BQ$16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('Normalized Annual Summary'!$BV$6:$BV$13,'Normalized Annual Summary'!$BT$14:$BT$16)</c:f>
              <c:numCache>
                <c:formatCode>General</c:formatCode>
                <c:ptCount val="11"/>
                <c:pt idx="8" formatCode="#,##0">
                  <c:v>3460.4173213812128</c:v>
                </c:pt>
                <c:pt idx="9" formatCode="#,##0">
                  <c:v>3446.2156655268991</c:v>
                </c:pt>
                <c:pt idx="10" formatCode="#,##0">
                  <c:v>3433.7512024830939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2D-4DDA-B3EA-029F51E8F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702400"/>
        <c:axId val="177703936"/>
      </c:lineChart>
      <c:catAx>
        <c:axId val="17770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703936"/>
        <c:crosses val="autoZero"/>
        <c:auto val="1"/>
        <c:lblAlgn val="ctr"/>
        <c:lblOffset val="100"/>
        <c:noMultiLvlLbl val="0"/>
      </c:catAx>
      <c:valAx>
        <c:axId val="17770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Annual Consumption per Device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70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Residential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Summary'!$C$45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Summary'!$B$48:$B$58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Summary'!$C$48:$C$56</c:f>
              <c:numCache>
                <c:formatCode>#,##0</c:formatCode>
                <c:ptCount val="9"/>
                <c:pt idx="0">
                  <c:v>1047993667</c:v>
                </c:pt>
                <c:pt idx="1">
                  <c:v>1139376021</c:v>
                </c:pt>
                <c:pt idx="2">
                  <c:v>1101433888.4783466</c:v>
                </c:pt>
                <c:pt idx="3">
                  <c:v>1174376356.2405562</c:v>
                </c:pt>
                <c:pt idx="4">
                  <c:v>1183155978.337724</c:v>
                </c:pt>
                <c:pt idx="5">
                  <c:v>1180210179.8745952</c:v>
                </c:pt>
                <c:pt idx="6">
                  <c:v>1127950490.8539553</c:v>
                </c:pt>
                <c:pt idx="7">
                  <c:v>1181706111.5087397</c:v>
                </c:pt>
                <c:pt idx="8">
                  <c:v>1217191863.2636447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EE-4137-99CE-2F19F9AB6A5E}"/>
            </c:ext>
          </c:extLst>
        </c:ser>
        <c:ser>
          <c:idx val="1"/>
          <c:order val="1"/>
          <c:tx>
            <c:strRef>
              <c:f>'Normalized Annual Summary'!$E$45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Summary'!$B$48:$B$58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Summary'!$E$48:$E$56</c:f>
              <c:numCache>
                <c:formatCode>#,##0</c:formatCode>
                <c:ptCount val="9"/>
                <c:pt idx="0">
                  <c:v>1061607911.5734068</c:v>
                </c:pt>
                <c:pt idx="1">
                  <c:v>1163819903.1542928</c:v>
                </c:pt>
                <c:pt idx="2">
                  <c:v>1127333148.8304532</c:v>
                </c:pt>
                <c:pt idx="3">
                  <c:v>1200275616.5926628</c:v>
                </c:pt>
                <c:pt idx="4">
                  <c:v>1209220866.118844</c:v>
                </c:pt>
                <c:pt idx="5">
                  <c:v>1206543449.2304444</c:v>
                </c:pt>
                <c:pt idx="6">
                  <c:v>1154587492.8056829</c:v>
                </c:pt>
                <c:pt idx="7">
                  <c:v>1209243409.8343263</c:v>
                </c:pt>
                <c:pt idx="8">
                  <c:v>1246519883.8219993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EE-4137-99CE-2F19F9AB6A5E}"/>
            </c:ext>
          </c:extLst>
        </c:ser>
        <c:ser>
          <c:idx val="2"/>
          <c:order val="2"/>
          <c:tx>
            <c:strRef>
              <c:f>'Normalized Annual Summary'!$G$45</c:f>
              <c:strCache>
                <c:ptCount val="1"/>
                <c:pt idx="0">
                  <c:v>Normal Predicted 
No CDM</c:v>
                </c:pt>
              </c:strCache>
            </c:strRef>
          </c:tx>
          <c:marker>
            <c:symbol val="none"/>
          </c:marker>
          <c:cat>
            <c:numRef>
              <c:f>'Normalized Annual Summary'!$B$48:$B$58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Summary'!$G$48:$G$58</c:f>
              <c:numCache>
                <c:formatCode>#,##0</c:formatCode>
                <c:ptCount val="11"/>
                <c:pt idx="0">
                  <c:v>1083962657.768652</c:v>
                </c:pt>
                <c:pt idx="1">
                  <c:v>1119445235.8283153</c:v>
                </c:pt>
                <c:pt idx="2">
                  <c:v>1129203797.2539682</c:v>
                </c:pt>
                <c:pt idx="3">
                  <c:v>1198923370.507874</c:v>
                </c:pt>
                <c:pt idx="4">
                  <c:v>1201624267.8855934</c:v>
                </c:pt>
                <c:pt idx="5">
                  <c:v>1197317984.1964169</c:v>
                </c:pt>
                <c:pt idx="6">
                  <c:v>1198303834.9296346</c:v>
                </c:pt>
                <c:pt idx="7">
                  <c:v>1227075330.4065332</c:v>
                </c:pt>
                <c:pt idx="8">
                  <c:v>1231001820.5992644</c:v>
                </c:pt>
                <c:pt idx="9">
                  <c:v>1242585418.6443751</c:v>
                </c:pt>
                <c:pt idx="10">
                  <c:v>1258068572.3785133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E-4137-99CE-2F19F9AB6A5E}"/>
            </c:ext>
          </c:extLst>
        </c:ser>
        <c:ser>
          <c:idx val="3"/>
          <c:order val="3"/>
          <c:tx>
            <c:strRef>
              <c:f>'Normalized Annual Summary'!$K$45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Summary'!$B$48:$B$58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Summary'!$K$48:$K$58</c:f>
              <c:numCache>
                <c:formatCode>#,##0</c:formatCode>
                <c:ptCount val="11"/>
                <c:pt idx="0">
                  <c:v>1070348413.1952451</c:v>
                </c:pt>
                <c:pt idx="1">
                  <c:v>1095001353.6740224</c:v>
                </c:pt>
                <c:pt idx="2">
                  <c:v>1103304536.9018617</c:v>
                </c:pt>
                <c:pt idx="3">
                  <c:v>1173024110.1557674</c:v>
                </c:pt>
                <c:pt idx="4">
                  <c:v>1175559380.1044734</c:v>
                </c:pt>
                <c:pt idx="5">
                  <c:v>1170984714.8405676</c:v>
                </c:pt>
                <c:pt idx="6">
                  <c:v>1171666832.9779069</c:v>
                </c:pt>
                <c:pt idx="7">
                  <c:v>1199538032.0809467</c:v>
                </c:pt>
                <c:pt idx="8">
                  <c:v>1201673800.0409098</c:v>
                </c:pt>
                <c:pt idx="9">
                  <c:v>1224513011.511615</c:v>
                </c:pt>
                <c:pt idx="10">
                  <c:v>1252807752.4400463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EE-4137-99CE-2F19F9AB6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40896"/>
        <c:axId val="177842432"/>
      </c:lineChart>
      <c:catAx>
        <c:axId val="177840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842432"/>
        <c:crosses val="autoZero"/>
        <c:auto val="1"/>
        <c:lblAlgn val="ctr"/>
        <c:lblOffset val="100"/>
        <c:noMultiLvlLbl val="0"/>
      </c:catAx>
      <c:valAx>
        <c:axId val="177842432"/>
        <c:scaling>
          <c:orientation val="minMax"/>
          <c:min val="10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84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&lt; 50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Summary'!$N$3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Summary'!$M$48:$M$58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Summary'!$N$48:$N$58</c:f>
              <c:numCache>
                <c:formatCode>#,##0</c:formatCode>
                <c:ptCount val="11"/>
                <c:pt idx="0">
                  <c:v>385223199</c:v>
                </c:pt>
                <c:pt idx="1">
                  <c:v>398801024</c:v>
                </c:pt>
                <c:pt idx="2">
                  <c:v>394237702.73931646</c:v>
                </c:pt>
                <c:pt idx="3">
                  <c:v>374506007.7641958</c:v>
                </c:pt>
                <c:pt idx="4">
                  <c:v>381478906.71076226</c:v>
                </c:pt>
                <c:pt idx="5">
                  <c:v>404904347.96509457</c:v>
                </c:pt>
                <c:pt idx="6">
                  <c:v>399918444.19770122</c:v>
                </c:pt>
                <c:pt idx="7">
                  <c:v>404233973.90292341</c:v>
                </c:pt>
                <c:pt idx="8">
                  <c:v>416596865.08434409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32-41D6-B493-115199E61CAA}"/>
            </c:ext>
          </c:extLst>
        </c:ser>
        <c:ser>
          <c:idx val="1"/>
          <c:order val="1"/>
          <c:tx>
            <c:strRef>
              <c:f>'Normalized Annual Summary'!$P$3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Summary'!$M$48:$M$58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Summary'!$P$48:$P$58</c:f>
              <c:numCache>
                <c:formatCode>#,##0</c:formatCode>
                <c:ptCount val="11"/>
                <c:pt idx="0">
                  <c:v>387915717.43833756</c:v>
                </c:pt>
                <c:pt idx="1">
                  <c:v>406063921.14351934</c:v>
                </c:pt>
                <c:pt idx="2">
                  <c:v>403942334.58712649</c:v>
                </c:pt>
                <c:pt idx="3">
                  <c:v>384605406.35550404</c:v>
                </c:pt>
                <c:pt idx="4">
                  <c:v>392400911.15456247</c:v>
                </c:pt>
                <c:pt idx="5">
                  <c:v>418725196.61535442</c:v>
                </c:pt>
                <c:pt idx="6">
                  <c:v>416649281.82513762</c:v>
                </c:pt>
                <c:pt idx="7">
                  <c:v>424203695.49462962</c:v>
                </c:pt>
                <c:pt idx="8">
                  <c:v>440351101.09152025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32-41D6-B493-115199E61CAA}"/>
            </c:ext>
          </c:extLst>
        </c:ser>
        <c:ser>
          <c:idx val="2"/>
          <c:order val="2"/>
          <c:tx>
            <c:strRef>
              <c:f>'Normalized Annual Summary'!$R$45</c:f>
              <c:strCache>
                <c:ptCount val="1"/>
                <c:pt idx="0">
                  <c:v>Normal 
No CDM</c:v>
                </c:pt>
              </c:strCache>
            </c:strRef>
          </c:tx>
          <c:marker>
            <c:symbol val="none"/>
          </c:marker>
          <c:cat>
            <c:numRef>
              <c:f>'Normalized Annual Summary'!$M$48:$M$58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Summary'!$R$48:$R$58</c:f>
              <c:numCache>
                <c:formatCode>#,##0</c:formatCode>
                <c:ptCount val="11"/>
                <c:pt idx="0">
                  <c:v>391951511.09657663</c:v>
                </c:pt>
                <c:pt idx="1">
                  <c:v>397920660.44675744</c:v>
                </c:pt>
                <c:pt idx="2">
                  <c:v>403409603.53003615</c:v>
                </c:pt>
                <c:pt idx="3">
                  <c:v>385304332.70885134</c:v>
                </c:pt>
                <c:pt idx="4">
                  <c:v>391752416.7593298</c:v>
                </c:pt>
                <c:pt idx="5">
                  <c:v>416833966.34634781</c:v>
                </c:pt>
                <c:pt idx="6">
                  <c:v>424788257.47808665</c:v>
                </c:pt>
                <c:pt idx="7">
                  <c:v>428513411.08140922</c:v>
                </c:pt>
                <c:pt idx="8">
                  <c:v>437424588.26920497</c:v>
                </c:pt>
                <c:pt idx="9">
                  <c:v>438621758.31306911</c:v>
                </c:pt>
                <c:pt idx="10">
                  <c:v>443634637.45038521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32-41D6-B493-115199E61CAA}"/>
            </c:ext>
          </c:extLst>
        </c:ser>
        <c:ser>
          <c:idx val="3"/>
          <c:order val="3"/>
          <c:tx>
            <c:strRef>
              <c:f>'Normalized Annual Summary'!$V$3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Summary'!$M$48:$M$58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Summary'!$V$48:$V$58</c:f>
              <c:numCache>
                <c:formatCode>#,##0</c:formatCode>
                <c:ptCount val="11"/>
                <c:pt idx="0">
                  <c:v>389258992.65823907</c:v>
                </c:pt>
                <c:pt idx="1">
                  <c:v>390657763.30323809</c:v>
                </c:pt>
                <c:pt idx="2">
                  <c:v>393704971.68222612</c:v>
                </c:pt>
                <c:pt idx="3">
                  <c:v>375204934.1175431</c:v>
                </c:pt>
                <c:pt idx="4">
                  <c:v>380830412.31552958</c:v>
                </c:pt>
                <c:pt idx="5">
                  <c:v>403013117.69608796</c:v>
                </c:pt>
                <c:pt idx="6">
                  <c:v>408057419.85065025</c:v>
                </c:pt>
                <c:pt idx="7">
                  <c:v>408543689.489703</c:v>
                </c:pt>
                <c:pt idx="8">
                  <c:v>413670352.26202881</c:v>
                </c:pt>
                <c:pt idx="9">
                  <c:v>418708962.95375508</c:v>
                </c:pt>
                <c:pt idx="10">
                  <c:v>428500444.0677461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32-41D6-B493-115199E61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75968"/>
        <c:axId val="177885952"/>
      </c:lineChart>
      <c:catAx>
        <c:axId val="17787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885952"/>
        <c:crosses val="autoZero"/>
        <c:auto val="1"/>
        <c:lblAlgn val="ctr"/>
        <c:lblOffset val="100"/>
        <c:noMultiLvlLbl val="0"/>
      </c:catAx>
      <c:valAx>
        <c:axId val="177885952"/>
        <c:scaling>
          <c:orientation val="minMax"/>
          <c:min val="3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Annual Consumption (kWh)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87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685006509185803E-2"/>
          <c:y val="0.8509923345674506"/>
          <c:w val="0.9620622153021775"/>
          <c:h val="0.122517599207383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&gt; 50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Summary'!$Y$3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Summary'!$X$48:$X$58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Summary'!$Y$48:$Y$58</c:f>
              <c:numCache>
                <c:formatCode>#,##0</c:formatCode>
                <c:ptCount val="11"/>
                <c:pt idx="0">
                  <c:v>1458855316</c:v>
                </c:pt>
                <c:pt idx="1">
                  <c:v>1485117370</c:v>
                </c:pt>
                <c:pt idx="2">
                  <c:v>1408341173.2980461</c:v>
                </c:pt>
                <c:pt idx="3">
                  <c:v>1365678433.9229021</c:v>
                </c:pt>
                <c:pt idx="4">
                  <c:v>1385380121.3308113</c:v>
                </c:pt>
                <c:pt idx="5">
                  <c:v>1424708525.6983182</c:v>
                </c:pt>
                <c:pt idx="6">
                  <c:v>1400393230.0632451</c:v>
                </c:pt>
                <c:pt idx="7">
                  <c:v>1446263151.7577271</c:v>
                </c:pt>
                <c:pt idx="8">
                  <c:v>1470647189.1957462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43-4FC0-AEEC-BAE23406DD23}"/>
            </c:ext>
          </c:extLst>
        </c:ser>
        <c:ser>
          <c:idx val="1"/>
          <c:order val="1"/>
          <c:tx>
            <c:strRef>
              <c:f>'Normalized Annual Summary'!$AA$3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Summary'!$X$48:$X$58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Summary'!$AA$48:$AA$58</c:f>
              <c:numCache>
                <c:formatCode>#,##0</c:formatCode>
                <c:ptCount val="11"/>
                <c:pt idx="0">
                  <c:v>1478802060.3714433</c:v>
                </c:pt>
                <c:pt idx="1">
                  <c:v>1531749984.2682638</c:v>
                </c:pt>
                <c:pt idx="2">
                  <c:v>1465919870.9097457</c:v>
                </c:pt>
                <c:pt idx="3">
                  <c:v>1430777478.4494934</c:v>
                </c:pt>
                <c:pt idx="4">
                  <c:v>1457908039.6216168</c:v>
                </c:pt>
                <c:pt idx="5">
                  <c:v>1508808583.1234207</c:v>
                </c:pt>
                <c:pt idx="6">
                  <c:v>1491054781.6035359</c:v>
                </c:pt>
                <c:pt idx="7">
                  <c:v>1544629363.5480576</c:v>
                </c:pt>
                <c:pt idx="8">
                  <c:v>1579092812.9397712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43-4FC0-AEEC-BAE23406DD23}"/>
            </c:ext>
          </c:extLst>
        </c:ser>
        <c:ser>
          <c:idx val="2"/>
          <c:order val="2"/>
          <c:tx>
            <c:v>Normal No CDM</c:v>
          </c:tx>
          <c:marker>
            <c:symbol val="none"/>
          </c:marker>
          <c:cat>
            <c:numRef>
              <c:f>'Normalized Annual Summary'!$X$48:$X$58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Summary'!$AC$48:$AC$58</c:f>
              <c:numCache>
                <c:formatCode>#,##0</c:formatCode>
                <c:ptCount val="11"/>
                <c:pt idx="0">
                  <c:v>1489176564.9689202</c:v>
                </c:pt>
                <c:pt idx="1">
                  <c:v>1514488714.9754746</c:v>
                </c:pt>
                <c:pt idx="2">
                  <c:v>1469477779.4057667</c:v>
                </c:pt>
                <c:pt idx="3">
                  <c:v>1431542399.5501702</c:v>
                </c:pt>
                <c:pt idx="4">
                  <c:v>1453922998.5047975</c:v>
                </c:pt>
                <c:pt idx="5">
                  <c:v>1506476493.0810237</c:v>
                </c:pt>
                <c:pt idx="6">
                  <c:v>1508976628.1194479</c:v>
                </c:pt>
                <c:pt idx="7">
                  <c:v>1550184042.2219794</c:v>
                </c:pt>
                <c:pt idx="8">
                  <c:v>1573897079.0046186</c:v>
                </c:pt>
                <c:pt idx="9">
                  <c:v>1560417680.4576321</c:v>
                </c:pt>
                <c:pt idx="10">
                  <c:v>1568893729.1593752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43-4FC0-AEEC-BAE23406DD23}"/>
            </c:ext>
          </c:extLst>
        </c:ser>
        <c:ser>
          <c:idx val="3"/>
          <c:order val="3"/>
          <c:tx>
            <c:strRef>
              <c:f>'Normalized Annual Summary'!$AG$3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Summary'!$X$48:$X$58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Summary'!$AG$48:$AG$58</c:f>
              <c:numCache>
                <c:formatCode>#,##0</c:formatCode>
                <c:ptCount val="11"/>
                <c:pt idx="0">
                  <c:v>1469229820.597477</c:v>
                </c:pt>
                <c:pt idx="1">
                  <c:v>1467856100.7072108</c:v>
                </c:pt>
                <c:pt idx="2">
                  <c:v>1411899081.7940671</c:v>
                </c:pt>
                <c:pt idx="3">
                  <c:v>1366443355.0235789</c:v>
                </c:pt>
                <c:pt idx="4">
                  <c:v>1381395080.2139919</c:v>
                </c:pt>
                <c:pt idx="5">
                  <c:v>1422376435.6559212</c:v>
                </c:pt>
                <c:pt idx="6">
                  <c:v>1418315076.5791571</c:v>
                </c:pt>
                <c:pt idx="7">
                  <c:v>1451817830.431649</c:v>
                </c:pt>
                <c:pt idx="8">
                  <c:v>1465451455.2605937</c:v>
                </c:pt>
                <c:pt idx="9">
                  <c:v>1454290738.201947</c:v>
                </c:pt>
                <c:pt idx="10">
                  <c:v>1470577776.6983194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43-4FC0-AEEC-BAE23406D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12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Annual Consumption (kWh)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Co</a:t>
            </a:r>
            <a:r>
              <a:rPr lang="en-US" baseline="0"/>
              <a:t> Gen</a:t>
            </a:r>
            <a:r>
              <a:rPr lang="en-US"/>
              <a:t>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Summary'!$AJ$3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Summary'!$AI$6:$AI$16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Summary'!$AJ$6:$AJ$14</c:f>
              <c:numCache>
                <c:formatCode>#,##0</c:formatCode>
                <c:ptCount val="9"/>
                <c:pt idx="0">
                  <c:v>46826076</c:v>
                </c:pt>
                <c:pt idx="1">
                  <c:v>47167618</c:v>
                </c:pt>
                <c:pt idx="2">
                  <c:v>34966867.902733505</c:v>
                </c:pt>
                <c:pt idx="3">
                  <c:v>36542441.547490597</c:v>
                </c:pt>
                <c:pt idx="4">
                  <c:v>28072541.583803825</c:v>
                </c:pt>
                <c:pt idx="5">
                  <c:v>43045721.021658659</c:v>
                </c:pt>
                <c:pt idx="6">
                  <c:v>51773685.92783922</c:v>
                </c:pt>
                <c:pt idx="7">
                  <c:v>34855427.423796594</c:v>
                </c:pt>
                <c:pt idx="8">
                  <c:v>31417818.32771375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91-4B22-BA9B-7A9FB5CE55A8}"/>
            </c:ext>
          </c:extLst>
        </c:ser>
        <c:ser>
          <c:idx val="1"/>
          <c:order val="1"/>
          <c:tx>
            <c:strRef>
              <c:f>'Normalized Annual Summary'!$AL$3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Summary'!$AI$6:$AI$16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Summary'!$AL$6:$AL$14</c:f>
              <c:numCache>
                <c:formatCode>#,##0</c:formatCode>
                <c:ptCount val="9"/>
                <c:pt idx="0">
                  <c:v>47373109.97600574</c:v>
                </c:pt>
                <c:pt idx="1">
                  <c:v>48307539.313487798</c:v>
                </c:pt>
                <c:pt idx="2">
                  <c:v>36105434.191459008</c:v>
                </c:pt>
                <c:pt idx="3">
                  <c:v>37681007.8362161</c:v>
                </c:pt>
                <c:pt idx="4">
                  <c:v>29211107.872529328</c:v>
                </c:pt>
                <c:pt idx="5">
                  <c:v>44333921.77486074</c:v>
                </c:pt>
                <c:pt idx="6">
                  <c:v>53313354.132286042</c:v>
                </c:pt>
                <c:pt idx="7">
                  <c:v>36634929.320410483</c:v>
                </c:pt>
                <c:pt idx="8">
                  <c:v>33511507.784232352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91-4B22-BA9B-7A9FB5CE55A8}"/>
            </c:ext>
          </c:extLst>
        </c:ser>
        <c:ser>
          <c:idx val="2"/>
          <c:order val="2"/>
          <c:tx>
            <c:strRef>
              <c:f>'Normalized Annual Summary'!$AN$3</c:f>
              <c:strCache>
                <c:ptCount val="1"/>
                <c:pt idx="0">
                  <c:v>Normal Predicted 
No CDM</c:v>
                </c:pt>
              </c:strCache>
            </c:strRef>
          </c:tx>
          <c:marker>
            <c:symbol val="none"/>
          </c:marker>
          <c:cat>
            <c:numRef>
              <c:f>'Normalized Annual Summary'!$AI$6:$AI$16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Summary'!$AN$6:$AN$16</c:f>
              <c:numCache>
                <c:formatCode>#,##0</c:formatCode>
                <c:ptCount val="11"/>
                <c:pt idx="0">
                  <c:v>40524520.91352424</c:v>
                </c:pt>
                <c:pt idx="1">
                  <c:v>40524520.91352424</c:v>
                </c:pt>
                <c:pt idx="2">
                  <c:v>40690753.384464033</c:v>
                </c:pt>
                <c:pt idx="3">
                  <c:v>40690753.384464033</c:v>
                </c:pt>
                <c:pt idx="4">
                  <c:v>40192055.97164464</c:v>
                </c:pt>
                <c:pt idx="5">
                  <c:v>40192055.97164464</c:v>
                </c:pt>
                <c:pt idx="6">
                  <c:v>40358288.44258444</c:v>
                </c:pt>
                <c:pt idx="7">
                  <c:v>40856985.855403818</c:v>
                </c:pt>
                <c:pt idx="8">
                  <c:v>40690753.384464025</c:v>
                </c:pt>
                <c:pt idx="9">
                  <c:v>40690753.384464025</c:v>
                </c:pt>
                <c:pt idx="10">
                  <c:v>40524520.913524233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91-4B22-BA9B-7A9FB5CE55A8}"/>
            </c:ext>
          </c:extLst>
        </c:ser>
        <c:ser>
          <c:idx val="3"/>
          <c:order val="3"/>
          <c:tx>
            <c:strRef>
              <c:f>'Normalized Annual Summary'!$AR$3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Summary'!$AI$6:$AI$16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Summary'!$AR$6:$AR$16</c:f>
              <c:numCache>
                <c:formatCode>#,##0</c:formatCode>
                <c:ptCount val="11"/>
                <c:pt idx="0">
                  <c:v>39977486.9375185</c:v>
                </c:pt>
                <c:pt idx="1">
                  <c:v>39384599.600036442</c:v>
                </c:pt>
                <c:pt idx="2">
                  <c:v>39552187.09573853</c:v>
                </c:pt>
                <c:pt idx="3">
                  <c:v>39552187.09573853</c:v>
                </c:pt>
                <c:pt idx="4">
                  <c:v>39053489.682919137</c:v>
                </c:pt>
                <c:pt idx="5">
                  <c:v>38903855.218442559</c:v>
                </c:pt>
                <c:pt idx="6">
                  <c:v>38818620.238137618</c:v>
                </c:pt>
                <c:pt idx="7">
                  <c:v>39077483.95878993</c:v>
                </c:pt>
                <c:pt idx="8">
                  <c:v>38597063.927945428</c:v>
                </c:pt>
                <c:pt idx="9">
                  <c:v>38607642.697028317</c:v>
                </c:pt>
                <c:pt idx="10">
                  <c:v>38590419.43397297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91-4B22-BA9B-7A9FB5CE5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Annual Consumption (kWh)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Large</a:t>
            </a:r>
            <a:r>
              <a:rPr lang="en-US" baseline="0"/>
              <a:t> Use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Summary'!$AU$3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Summary'!$AT$6:$AT$16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Summary'!$AU$6:$AU$14</c:f>
              <c:numCache>
                <c:formatCode>#,##0</c:formatCode>
                <c:ptCount val="9"/>
                <c:pt idx="0">
                  <c:v>117991437</c:v>
                </c:pt>
                <c:pt idx="1">
                  <c:v>117777486</c:v>
                </c:pt>
                <c:pt idx="2">
                  <c:v>110589767.84308411</c:v>
                </c:pt>
                <c:pt idx="3">
                  <c:v>101893892.280927</c:v>
                </c:pt>
                <c:pt idx="4">
                  <c:v>105654509.1076003</c:v>
                </c:pt>
                <c:pt idx="5">
                  <c:v>112464987.29709665</c:v>
                </c:pt>
                <c:pt idx="6">
                  <c:v>153160749.79471761</c:v>
                </c:pt>
                <c:pt idx="7">
                  <c:v>162734021.88019371</c:v>
                </c:pt>
                <c:pt idx="8">
                  <c:v>160084660.45041481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DB-4AC6-B783-D35D84745945}"/>
            </c:ext>
          </c:extLst>
        </c:ser>
        <c:ser>
          <c:idx val="1"/>
          <c:order val="1"/>
          <c:tx>
            <c:strRef>
              <c:f>'Normalized Annual Summary'!$AW$3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Summary'!$AT$6:$AT$16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Summary'!$AW$6:$AW$14</c:f>
              <c:numCache>
                <c:formatCode>#,##0</c:formatCode>
                <c:ptCount val="9"/>
                <c:pt idx="0">
                  <c:v>118024543.99133827</c:v>
                </c:pt>
                <c:pt idx="1">
                  <c:v>119580613.23275717</c:v>
                </c:pt>
                <c:pt idx="2">
                  <c:v>114324759.87923738</c:v>
                </c:pt>
                <c:pt idx="3">
                  <c:v>105806984.87163432</c:v>
                </c:pt>
                <c:pt idx="4">
                  <c:v>116097389.88569362</c:v>
                </c:pt>
                <c:pt idx="5">
                  <c:v>129838256.69019155</c:v>
                </c:pt>
                <c:pt idx="6">
                  <c:v>170966069.02292144</c:v>
                </c:pt>
                <c:pt idx="7">
                  <c:v>180773987.85934612</c:v>
                </c:pt>
                <c:pt idx="8">
                  <c:v>178708884.95096678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DB-4AC6-B783-D35D84745945}"/>
            </c:ext>
          </c:extLst>
        </c:ser>
        <c:ser>
          <c:idx val="2"/>
          <c:order val="2"/>
          <c:tx>
            <c:strRef>
              <c:f>'Normalized Annual Summary'!$AY$3</c:f>
              <c:strCache>
                <c:ptCount val="1"/>
                <c:pt idx="0">
                  <c:v>Normal Predicted 
No CDM</c:v>
                </c:pt>
              </c:strCache>
            </c:strRef>
          </c:tx>
          <c:marker>
            <c:symbol val="none"/>
          </c:marker>
          <c:cat>
            <c:numRef>
              <c:f>'Normalized Annual Summary'!$AT$6:$AT$16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Summary'!$AY$6:$AY$16</c:f>
              <c:numCache>
                <c:formatCode>#,##0</c:formatCode>
                <c:ptCount val="11"/>
                <c:pt idx="0">
                  <c:v>113514636.60339278</c:v>
                </c:pt>
                <c:pt idx="1">
                  <c:v>115994372.53467691</c:v>
                </c:pt>
                <c:pt idx="2">
                  <c:v>118474108.46596105</c:v>
                </c:pt>
                <c:pt idx="3">
                  <c:v>115357265.63537642</c:v>
                </c:pt>
                <c:pt idx="4">
                  <c:v>117498856.57113056</c:v>
                </c:pt>
                <c:pt idx="5">
                  <c:v>133445953.95379022</c:v>
                </c:pt>
                <c:pt idx="6">
                  <c:v>170393050.48180225</c:v>
                </c:pt>
                <c:pt idx="7">
                  <c:v>173210931.40861642</c:v>
                </c:pt>
                <c:pt idx="8">
                  <c:v>175352522.34437051</c:v>
                </c:pt>
                <c:pt idx="9">
                  <c:v>177832258.27565464</c:v>
                </c:pt>
                <c:pt idx="10">
                  <c:v>180311994.20693877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DB-4AC6-B783-D35D84745945}"/>
            </c:ext>
          </c:extLst>
        </c:ser>
        <c:ser>
          <c:idx val="3"/>
          <c:order val="3"/>
          <c:tx>
            <c:strRef>
              <c:f>'Normalized Annual Summary'!$BC$3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Summary'!$AT$6:$AT$16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Summary'!$BC$6:$BC$16</c:f>
              <c:numCache>
                <c:formatCode>#,##0</c:formatCode>
                <c:ptCount val="11"/>
                <c:pt idx="0">
                  <c:v>113481529.61205451</c:v>
                </c:pt>
                <c:pt idx="1">
                  <c:v>114191245.30191974</c:v>
                </c:pt>
                <c:pt idx="2">
                  <c:v>114739116.42980778</c:v>
                </c:pt>
                <c:pt idx="3">
                  <c:v>111444173.04466911</c:v>
                </c:pt>
                <c:pt idx="4">
                  <c:v>107055975.79303724</c:v>
                </c:pt>
                <c:pt idx="5">
                  <c:v>116072684.56069532</c:v>
                </c:pt>
                <c:pt idx="6">
                  <c:v>152587731.25359842</c:v>
                </c:pt>
                <c:pt idx="7">
                  <c:v>155170965.42946401</c:v>
                </c:pt>
                <c:pt idx="8">
                  <c:v>156728297.84381855</c:v>
                </c:pt>
                <c:pt idx="9">
                  <c:v>159294224.88862976</c:v>
                </c:pt>
                <c:pt idx="10">
                  <c:v>162766627.19603816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DB-4AC6-B783-D35D84745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Annual Consumption (kWh)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Sentinel Light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Summary'!$BF$3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Summary'!$BK$6:$BK$16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Summary'!$BL$6:$BL$16</c:f>
              <c:numCache>
                <c:formatCode>#,##0</c:formatCode>
                <c:ptCount val="11"/>
                <c:pt idx="0">
                  <c:v>580140.85</c:v>
                </c:pt>
                <c:pt idx="1">
                  <c:v>548884.51</c:v>
                </c:pt>
                <c:pt idx="2">
                  <c:v>541071.94000000006</c:v>
                </c:pt>
                <c:pt idx="3">
                  <c:v>535957.61</c:v>
                </c:pt>
                <c:pt idx="4">
                  <c:v>528905.92999999993</c:v>
                </c:pt>
                <c:pt idx="5">
                  <c:v>527895.42999999993</c:v>
                </c:pt>
                <c:pt idx="6">
                  <c:v>522310.94999999995</c:v>
                </c:pt>
                <c:pt idx="7">
                  <c:v>512976.02999999985</c:v>
                </c:pt>
                <c:pt idx="8">
                  <c:v>506226.3899999999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8F-470D-B274-370C81427D26}"/>
            </c:ext>
          </c:extLst>
        </c:ser>
        <c:ser>
          <c:idx val="3"/>
          <c:order val="1"/>
          <c:tx>
            <c:strRef>
              <c:f>'Normalized Annual Summary'!$BI$3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Summary'!$BK$6:$BK$16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('Normalized Annual Summary'!$BP$6:$BP$13,'Normalized Annual Summary'!$BO$14:$BO$16)</c:f>
              <c:numCache>
                <c:formatCode>General</c:formatCode>
                <c:ptCount val="11"/>
                <c:pt idx="8" formatCode="#,##0">
                  <c:v>506226.38999999996</c:v>
                </c:pt>
                <c:pt idx="9" formatCode="#,##0">
                  <c:v>499089.74317390809</c:v>
                </c:pt>
                <c:pt idx="10" formatCode="#,##0">
                  <c:v>492053.30695998308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8F-470D-B274-370C81427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42752"/>
        <c:axId val="178044288"/>
      </c:lineChart>
      <c:catAx>
        <c:axId val="17804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44288"/>
        <c:crosses val="autoZero"/>
        <c:auto val="1"/>
        <c:lblAlgn val="ctr"/>
        <c:lblOffset val="100"/>
        <c:noMultiLvlLbl val="0"/>
      </c:catAx>
      <c:valAx>
        <c:axId val="178044288"/>
        <c:scaling>
          <c:orientation val="minMax"/>
          <c:min val="3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4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Per Sentinel Device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Summary'!$BN$3</c:f>
              <c:strCache>
                <c:ptCount val="1"/>
                <c:pt idx="0">
                  <c:v>Average per Device</c:v>
                </c:pt>
              </c:strCache>
            </c:strRef>
          </c:tx>
          <c:marker>
            <c:symbol val="none"/>
          </c:marker>
          <c:cat>
            <c:numRef>
              <c:f>'Normalized Annual Summary'!$BK$6:$BK$16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Summary'!$BN$6:$BN$14</c:f>
              <c:numCache>
                <c:formatCode>#,##0</c:formatCode>
                <c:ptCount val="9"/>
                <c:pt idx="0">
                  <c:v>1058.8121977186313</c:v>
                </c:pt>
                <c:pt idx="1">
                  <c:v>1035.142876001886</c:v>
                </c:pt>
                <c:pt idx="2">
                  <c:v>1030.6132190476192</c:v>
                </c:pt>
                <c:pt idx="3">
                  <c:v>1039.1810179350459</c:v>
                </c:pt>
                <c:pt idx="4">
                  <c:v>1036.2238628571426</c:v>
                </c:pt>
                <c:pt idx="5">
                  <c:v>1043.7873059812159</c:v>
                </c:pt>
                <c:pt idx="6">
                  <c:v>1042.8837603993343</c:v>
                </c:pt>
                <c:pt idx="7">
                  <c:v>1041.5756954314718</c:v>
                </c:pt>
                <c:pt idx="8">
                  <c:v>1053.54087408949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1C-4C99-BA91-9911178B992F}"/>
            </c:ext>
          </c:extLst>
        </c:ser>
        <c:ser>
          <c:idx val="1"/>
          <c:order val="1"/>
          <c:tx>
            <c:strRef>
              <c:f>'Normalized Annual Summary'!$BO$3</c:f>
              <c:strCache>
                <c:ptCount val="1"/>
                <c:pt idx="0">
                  <c:v>Normal Forecast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Summary'!$BK$6:$BK$16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('Normalized Annual Summary'!$BJ$6:$BJ$13,'Normalized Annual Summary'!$BN$14:$BN$16)</c:f>
              <c:numCache>
                <c:formatCode>General</c:formatCode>
                <c:ptCount val="11"/>
                <c:pt idx="8" formatCode="#,##0">
                  <c:v>1053.54087408949</c:v>
                </c:pt>
                <c:pt idx="9" formatCode="#,##0">
                  <c:v>1054.4915804602551</c:v>
                </c:pt>
                <c:pt idx="10" formatCode="#,##0">
                  <c:v>1055.4422868310203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1C-4C99-BA91-9911178B9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08192"/>
        <c:axId val="177609728"/>
      </c:lineChart>
      <c:catAx>
        <c:axId val="17760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9728"/>
        <c:crosses val="autoZero"/>
        <c:auto val="1"/>
        <c:lblAlgn val="ctr"/>
        <c:lblOffset val="100"/>
        <c:noMultiLvlLbl val="0"/>
      </c:catAx>
      <c:valAx>
        <c:axId val="17760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Co</a:t>
            </a:r>
            <a:r>
              <a:rPr lang="en-US" baseline="0"/>
              <a:t> Gen</a:t>
            </a:r>
            <a:r>
              <a:rPr lang="en-US"/>
              <a:t>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Summary'!$AJ$45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Summary'!$AI$48:$AI$58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Summary'!$AJ$48:$AJ$58</c:f>
              <c:numCache>
                <c:formatCode>#,##0</c:formatCode>
                <c:ptCount val="11"/>
                <c:pt idx="0">
                  <c:v>46826076</c:v>
                </c:pt>
                <c:pt idx="1">
                  <c:v>47167618</c:v>
                </c:pt>
                <c:pt idx="2">
                  <c:v>34966867.902733505</c:v>
                </c:pt>
                <c:pt idx="3">
                  <c:v>36542441.547490597</c:v>
                </c:pt>
                <c:pt idx="4">
                  <c:v>28072541.583803825</c:v>
                </c:pt>
                <c:pt idx="5">
                  <c:v>43045721.021658659</c:v>
                </c:pt>
                <c:pt idx="6">
                  <c:v>51773685.92783922</c:v>
                </c:pt>
                <c:pt idx="7">
                  <c:v>34855427.423796594</c:v>
                </c:pt>
                <c:pt idx="8">
                  <c:v>31417818.32771375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B6-42C2-8A29-733C87C76C1E}"/>
            </c:ext>
          </c:extLst>
        </c:ser>
        <c:ser>
          <c:idx val="1"/>
          <c:order val="1"/>
          <c:tx>
            <c:strRef>
              <c:f>'Normalized Annual Summary'!$AL$45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Summary'!$AI$48:$AI$58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Summary'!$AL$48:$AL$55</c:f>
              <c:numCache>
                <c:formatCode>#,##0</c:formatCode>
                <c:ptCount val="8"/>
                <c:pt idx="0">
                  <c:v>47373109.97600574</c:v>
                </c:pt>
                <c:pt idx="1">
                  <c:v>48307539.313487798</c:v>
                </c:pt>
                <c:pt idx="2">
                  <c:v>36105434.191459008</c:v>
                </c:pt>
                <c:pt idx="3">
                  <c:v>37681007.8362161</c:v>
                </c:pt>
                <c:pt idx="4">
                  <c:v>29211107.872529328</c:v>
                </c:pt>
                <c:pt idx="5">
                  <c:v>44333921.77486074</c:v>
                </c:pt>
                <c:pt idx="6">
                  <c:v>53313354.132286042</c:v>
                </c:pt>
                <c:pt idx="7">
                  <c:v>36634929.320410483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B6-42C2-8A29-733C87C76C1E}"/>
            </c:ext>
          </c:extLst>
        </c:ser>
        <c:ser>
          <c:idx val="2"/>
          <c:order val="2"/>
          <c:tx>
            <c:strRef>
              <c:f>'Normalized Annual Summary'!$AN$3</c:f>
              <c:strCache>
                <c:ptCount val="1"/>
                <c:pt idx="0">
                  <c:v>Normal Predicted 
No CDM</c:v>
                </c:pt>
              </c:strCache>
            </c:strRef>
          </c:tx>
          <c:marker>
            <c:symbol val="none"/>
          </c:marker>
          <c:cat>
            <c:numRef>
              <c:f>'Normalized Annual Summary'!$AI$48:$AI$58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Summary'!$AN$48:$AN$58</c:f>
              <c:numCache>
                <c:formatCode>#,##0</c:formatCode>
                <c:ptCount val="11"/>
                <c:pt idx="0">
                  <c:v>48728004.62261761</c:v>
                </c:pt>
                <c:pt idx="1">
                  <c:v>46774617.313718021</c:v>
                </c:pt>
                <c:pt idx="2">
                  <c:v>37538087.830426037</c:v>
                </c:pt>
                <c:pt idx="3">
                  <c:v>37578213.636618391</c:v>
                </c:pt>
                <c:pt idx="4">
                  <c:v>28235287.428011123</c:v>
                </c:pt>
                <c:pt idx="5">
                  <c:v>44526292.916631222</c:v>
                </c:pt>
                <c:pt idx="6">
                  <c:v>55064483.097573288</c:v>
                </c:pt>
                <c:pt idx="7">
                  <c:v>36275158.478195772</c:v>
                </c:pt>
                <c:pt idx="8">
                  <c:v>33290144.405858919</c:v>
                </c:pt>
                <c:pt idx="9">
                  <c:v>40690753.384464025</c:v>
                </c:pt>
                <c:pt idx="10">
                  <c:v>40524520.913524233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B6-42C2-8A29-733C87C76C1E}"/>
            </c:ext>
          </c:extLst>
        </c:ser>
        <c:ser>
          <c:idx val="3"/>
          <c:order val="3"/>
          <c:tx>
            <c:strRef>
              <c:f>'Normalized Annual Summary'!$AR$45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Summary'!$AI$48:$AI$58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Summary'!$AR$48:$AR$58</c:f>
              <c:numCache>
                <c:formatCode>#,##0</c:formatCode>
                <c:ptCount val="11"/>
                <c:pt idx="0">
                  <c:v>48180970.646611869</c:v>
                </c:pt>
                <c:pt idx="1">
                  <c:v>45634696.000230223</c:v>
                </c:pt>
                <c:pt idx="2">
                  <c:v>36399521.541700535</c:v>
                </c:pt>
                <c:pt idx="3">
                  <c:v>36439647.347892888</c:v>
                </c:pt>
                <c:pt idx="4">
                  <c:v>27096721.13928562</c:v>
                </c:pt>
                <c:pt idx="5">
                  <c:v>43238092.163429141</c:v>
                </c:pt>
                <c:pt idx="6">
                  <c:v>53524814.893126465</c:v>
                </c:pt>
                <c:pt idx="7">
                  <c:v>34495656.581581883</c:v>
                </c:pt>
                <c:pt idx="8">
                  <c:v>31196454.949340317</c:v>
                </c:pt>
                <c:pt idx="9">
                  <c:v>38607642.697028317</c:v>
                </c:pt>
                <c:pt idx="10">
                  <c:v>38590419.43397297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B6-42C2-8A29-733C87C76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Annual Consumption (kWh)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Large</a:t>
            </a:r>
            <a:r>
              <a:rPr lang="en-US" baseline="0"/>
              <a:t> Use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Summary'!$AU$3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Summary'!$AT$48:$AT$58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Summary'!$AU$48:$AU$56</c:f>
              <c:numCache>
                <c:formatCode>#,##0</c:formatCode>
                <c:ptCount val="9"/>
                <c:pt idx="0">
                  <c:v>117991437</c:v>
                </c:pt>
                <c:pt idx="1">
                  <c:v>117777486</c:v>
                </c:pt>
                <c:pt idx="2">
                  <c:v>110589767.84308411</c:v>
                </c:pt>
                <c:pt idx="3">
                  <c:v>101893892.280927</c:v>
                </c:pt>
                <c:pt idx="4">
                  <c:v>105654509.1076003</c:v>
                </c:pt>
                <c:pt idx="5">
                  <c:v>112464987.29709665</c:v>
                </c:pt>
                <c:pt idx="6">
                  <c:v>153160749.79471761</c:v>
                </c:pt>
                <c:pt idx="7">
                  <c:v>162734021.88019371</c:v>
                </c:pt>
                <c:pt idx="8">
                  <c:v>160084660.45041481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0B-4F19-92BB-9B679907E17D}"/>
            </c:ext>
          </c:extLst>
        </c:ser>
        <c:ser>
          <c:idx val="1"/>
          <c:order val="1"/>
          <c:tx>
            <c:strRef>
              <c:f>'Normalized Annual Summary'!$AW$3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Summary'!$AT$48:$AT$58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Summary'!$AW$48:$AW$56</c:f>
              <c:numCache>
                <c:formatCode>#,##0</c:formatCode>
                <c:ptCount val="9"/>
                <c:pt idx="0">
                  <c:v>118024543.99133827</c:v>
                </c:pt>
                <c:pt idx="1">
                  <c:v>119580613.23275717</c:v>
                </c:pt>
                <c:pt idx="2">
                  <c:v>114324759.87923738</c:v>
                </c:pt>
                <c:pt idx="3">
                  <c:v>105806984.87163432</c:v>
                </c:pt>
                <c:pt idx="4">
                  <c:v>116097389.88569362</c:v>
                </c:pt>
                <c:pt idx="5">
                  <c:v>129838256.69019155</c:v>
                </c:pt>
                <c:pt idx="6">
                  <c:v>170966069.02292144</c:v>
                </c:pt>
                <c:pt idx="7">
                  <c:v>180773987.85934612</c:v>
                </c:pt>
                <c:pt idx="8">
                  <c:v>178708884.95096678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0B-4F19-92BB-9B679907E17D}"/>
            </c:ext>
          </c:extLst>
        </c:ser>
        <c:ser>
          <c:idx val="2"/>
          <c:order val="2"/>
          <c:tx>
            <c:strRef>
              <c:f>'Normalized Annual Summary'!$AY$3</c:f>
              <c:strCache>
                <c:ptCount val="1"/>
                <c:pt idx="0">
                  <c:v>Normal Predicted 
No CDM</c:v>
                </c:pt>
              </c:strCache>
            </c:strRef>
          </c:tx>
          <c:marker>
            <c:symbol val="none"/>
          </c:marker>
          <c:cat>
            <c:numRef>
              <c:f>'Normalized Annual Summary'!$AT$48:$AT$58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Summary'!$AY$48:$AY$58</c:f>
              <c:numCache>
                <c:formatCode>#,##0</c:formatCode>
                <c:ptCount val="11"/>
                <c:pt idx="0">
                  <c:v>119152150.10081854</c:v>
                </c:pt>
                <c:pt idx="1">
                  <c:v>118351390.49573912</c:v>
                </c:pt>
                <c:pt idx="2">
                  <c:v>115780651.39836152</c:v>
                </c:pt>
                <c:pt idx="3">
                  <c:v>106176198.40932594</c:v>
                </c:pt>
                <c:pt idx="4">
                  <c:v>115075571.27800018</c:v>
                </c:pt>
                <c:pt idx="5">
                  <c:v>130088184.36394335</c:v>
                </c:pt>
                <c:pt idx="6">
                  <c:v>172224926.61918721</c:v>
                </c:pt>
                <c:pt idx="7">
                  <c:v>180078033.04714924</c:v>
                </c:pt>
                <c:pt idx="8">
                  <c:v>178536255.20079786</c:v>
                </c:pt>
                <c:pt idx="9">
                  <c:v>177832258.27565464</c:v>
                </c:pt>
                <c:pt idx="10">
                  <c:v>180311994.20693877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0B-4F19-92BB-9B679907E17D}"/>
            </c:ext>
          </c:extLst>
        </c:ser>
        <c:ser>
          <c:idx val="3"/>
          <c:order val="3"/>
          <c:tx>
            <c:strRef>
              <c:f>'Normalized Annual Summary'!$BC$3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Summary'!$AT$48:$AT$58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'Normalized Annual Summary'!$BC$48:$BC$58</c:f>
              <c:numCache>
                <c:formatCode>#,##0</c:formatCode>
                <c:ptCount val="11"/>
                <c:pt idx="0">
                  <c:v>119119043.10948028</c:v>
                </c:pt>
                <c:pt idx="1">
                  <c:v>116548263.26298195</c:v>
                </c:pt>
                <c:pt idx="2">
                  <c:v>112045659.36220825</c:v>
                </c:pt>
                <c:pt idx="3">
                  <c:v>102263105.81861863</c:v>
                </c:pt>
                <c:pt idx="4">
                  <c:v>104632690.49990685</c:v>
                </c:pt>
                <c:pt idx="5">
                  <c:v>112714914.97084846</c:v>
                </c:pt>
                <c:pt idx="6">
                  <c:v>154419607.39098337</c:v>
                </c:pt>
                <c:pt idx="7">
                  <c:v>162038067.06799683</c:v>
                </c:pt>
                <c:pt idx="8">
                  <c:v>159912030.70024589</c:v>
                </c:pt>
                <c:pt idx="9">
                  <c:v>159294224.88862976</c:v>
                </c:pt>
                <c:pt idx="10">
                  <c:v>162766627.19603816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0B-4F19-92BB-9B679907E1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Annual Consumption (kWh)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&gt;</a:t>
            </a:r>
            <a:r>
              <a:rPr lang="en-US" baseline="0"/>
              <a:t> 50 -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Forecast'!$E$3</c:f>
              <c:strCache>
                <c:ptCount val="1"/>
                <c:pt idx="0">
                  <c:v>Ratio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Forecast'!$B$5:$B$12,'kW Forecast'!$B$18:$B$20)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Forecast'!$E$5:$E$13</c:f>
              <c:numCache>
                <c:formatCode>0.000000</c:formatCode>
                <c:ptCount val="9"/>
                <c:pt idx="0">
                  <c:v>2.5421047785385738E-3</c:v>
                </c:pt>
                <c:pt idx="1">
                  <c:v>2.521394036351484E-3</c:v>
                </c:pt>
                <c:pt idx="2">
                  <c:v>2.5822751609849886E-3</c:v>
                </c:pt>
                <c:pt idx="3">
                  <c:v>2.5088959413072419E-3</c:v>
                </c:pt>
                <c:pt idx="4">
                  <c:v>2.523870298240749E-3</c:v>
                </c:pt>
                <c:pt idx="5">
                  <c:v>2.5087634807604486E-3</c:v>
                </c:pt>
                <c:pt idx="6">
                  <c:v>2.5285899874280876E-3</c:v>
                </c:pt>
                <c:pt idx="7">
                  <c:v>2.5279535024843492E-3</c:v>
                </c:pt>
                <c:pt idx="8">
                  <c:v>2.5199497454088081E-3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F6-4A91-BE35-5F8396D72999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Forecast'!$B$5:$B$12,'kW Forecast'!$B$18:$B$20)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Forecast'!$G$5:$G$12,'kW Forecast'!$F$18:$F$20)</c:f>
              <c:numCache>
                <c:formatCode>0.000000</c:formatCode>
                <c:ptCount val="11"/>
                <c:pt idx="8" formatCode="_-* #,##0.000000_-;\-* #,##0.000000_-;_-* &quot;-&quot;??_-;_-@_-">
                  <c:v>2.5175478007151211E-3</c:v>
                </c:pt>
                <c:pt idx="9" formatCode="_-* #,##0.000000_-;\-* #,##0.000000_-;_-* &quot;-&quot;??_-;_-@_-">
                  <c:v>2.514607058352103E-3</c:v>
                </c:pt>
                <c:pt idx="10" formatCode="_-* #,##0.000000_-;\-* #,##0.000000_-;_-* &quot;-&quot;??_-;_-@_-">
                  <c:v>2.5116663159890857E-3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6-4A91-BE35-5F8396D72999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Forecast'!$B$5:$B$12,'kW Forecast'!$B$18:$B$20)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Forecast'!$G$5:$G$12,'kW Forecast'!$E$18:$E$20)</c:f>
              <c:numCache>
                <c:formatCode>0.000000</c:formatCode>
                <c:ptCount val="11"/>
                <c:pt idx="8" formatCode="_-* #,##0.000000_-;\-* #,##0.000000_-;_-* &quot;-&quot;??_-;_-@_-">
                  <c:v>2.5293107701671921E-3</c:v>
                </c:pt>
                <c:pt idx="9" formatCode="_-* #,##0.000000_-;\-* #,##0.000000_-;_-* &quot;-&quot;??_-;_-@_-">
                  <c:v>2.5293107701671921E-3</c:v>
                </c:pt>
                <c:pt idx="10" formatCode="_-* #,##0.000000_-;\-* #,##0.000000_-;_-* &quot;-&quot;??_-;_-@_-">
                  <c:v>2.5293107701671921E-3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6-4A91-BE35-5F8396D72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Forecast'!$AA$3</c:f>
              <c:strCache>
                <c:ptCount val="1"/>
                <c:pt idx="0">
                  <c:v>Ratio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('kW Forecast'!$X$5:$X$12,'kW Forecast'!$X$18:$X$20)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Forecast'!$AA$5:$AA$13</c:f>
              <c:numCache>
                <c:formatCode>0.000000</c:formatCode>
                <c:ptCount val="9"/>
                <c:pt idx="0">
                  <c:v>2.8175077500963686E-3</c:v>
                </c:pt>
                <c:pt idx="1">
                  <c:v>2.8013566342968855E-3</c:v>
                </c:pt>
                <c:pt idx="2">
                  <c:v>2.8043152268436913E-3</c:v>
                </c:pt>
                <c:pt idx="3">
                  <c:v>2.7958074910120387E-3</c:v>
                </c:pt>
                <c:pt idx="4">
                  <c:v>2.8045078712418078E-3</c:v>
                </c:pt>
                <c:pt idx="5">
                  <c:v>2.8049510879006056E-3</c:v>
                </c:pt>
                <c:pt idx="6">
                  <c:v>2.8043669593671881E-3</c:v>
                </c:pt>
                <c:pt idx="7">
                  <c:v>2.7960746632201459E-3</c:v>
                </c:pt>
                <c:pt idx="8">
                  <c:v>2.8045846030525842E-3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B5-4533-8DD9-03E0BE3E3248}"/>
            </c:ext>
          </c:extLst>
        </c:ser>
        <c:ser>
          <c:idx val="1"/>
          <c:order val="1"/>
          <c:tx>
            <c:strRef>
              <c:f>'kW Forecast'!$AB$3</c:f>
              <c:strCache>
                <c:ptCount val="1"/>
                <c:pt idx="0">
                  <c:v>3-Yr MA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('kW Forecast'!$X$5:$X$12,'kW Forecast'!$X$18:$X$20)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Forecast'!$AB$5:$AB$12</c:f>
              <c:numCache>
                <c:formatCode>0.000000</c:formatCode>
                <c:ptCount val="8"/>
                <c:pt idx="2">
                  <c:v>2.807726537078982E-3</c:v>
                </c:pt>
                <c:pt idx="3">
                  <c:v>2.8004931173842055E-3</c:v>
                </c:pt>
                <c:pt idx="4">
                  <c:v>2.8015435296991791E-3</c:v>
                </c:pt>
                <c:pt idx="5">
                  <c:v>2.8017554833848174E-3</c:v>
                </c:pt>
                <c:pt idx="6">
                  <c:v>2.8046086395032005E-3</c:v>
                </c:pt>
                <c:pt idx="7">
                  <c:v>2.8017975701626467E-3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B5-4533-8DD9-03E0BE3E3248}"/>
            </c:ext>
          </c:extLst>
        </c:ser>
        <c:ser>
          <c:idx val="2"/>
          <c:order val="2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Forecast'!$X$5:$X$12,'kW Forecast'!$X$18:$X$20)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Forecast'!$AC$5:$AC$12,'kW Forecast'!$AB$18:$AB$20)</c:f>
              <c:numCache>
                <c:formatCode>0.000000</c:formatCode>
                <c:ptCount val="11"/>
                <c:pt idx="8" formatCode="_-* #,##0.000000_-;\-* #,##0.000000_-;_-* &quot;-&quot;??_-;_-@_-">
                  <c:v>2.8014629654403689E-3</c:v>
                </c:pt>
                <c:pt idx="9" formatCode="_-* #,##0.000000_-;\-* #,##0.000000_-;_-* &quot;-&quot;??_-;_-@_-">
                  <c:v>2.8010172736462214E-3</c:v>
                </c:pt>
                <c:pt idx="10" formatCode="_-* #,##0.000000_-;\-* #,##0.000000_-;_-* &quot;-&quot;??_-;_-@_-">
                  <c:v>2.8005715818520743E-3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B5-4533-8DD9-03E0BE3E3248}"/>
            </c:ext>
          </c:extLst>
        </c:ser>
        <c:ser>
          <c:idx val="3"/>
          <c:order val="3"/>
          <c:tx>
            <c:v>Forecast Average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('kW Forecast'!$X$5:$X$12,'kW Forecast'!$X$18:$X$20)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Forecast'!$AC$5:$AC$12,'kW Forecast'!$AA$18:$AA$20)</c:f>
              <c:numCache>
                <c:formatCode>0.000000</c:formatCode>
                <c:ptCount val="11"/>
                <c:pt idx="8" formatCode="_-* #,##0.000000_-;\-* #,##0.000000_-;_-* &quot;-&quot;??_-;_-@_-">
                  <c:v>2.8037191430034794E-3</c:v>
                </c:pt>
                <c:pt idx="9" formatCode="_-* #,##0.000000_-;\-* #,##0.000000_-;_-* &quot;-&quot;??_-;_-@_-">
                  <c:v>2.8037191430034794E-3</c:v>
                </c:pt>
                <c:pt idx="10" formatCode="_-* #,##0.000000_-;\-* #,##0.000000_-;_-* &quot;-&quot;??_-;_-@_-">
                  <c:v>2.8037191430034794E-3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B5-4533-8DD9-03E0BE3E3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330432"/>
        <c:axId val="177340416"/>
      </c:lineChart>
      <c:catAx>
        <c:axId val="17733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340416"/>
        <c:crosses val="autoZero"/>
        <c:auto val="1"/>
        <c:lblAlgn val="ctr"/>
        <c:lblOffset val="100"/>
        <c:noMultiLvlLbl val="0"/>
      </c:catAx>
      <c:valAx>
        <c:axId val="17734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33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Co Gen</a:t>
            </a:r>
            <a:r>
              <a:rPr lang="en-US" baseline="0"/>
              <a:t>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Forecast'!$L$3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Forecast'!$B$5:$B$12,'kW Forecast'!$B$18:$B$20)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Forecast'!$L$5:$L$13</c:f>
              <c:numCache>
                <c:formatCode>0.000000</c:formatCode>
                <c:ptCount val="9"/>
                <c:pt idx="0">
                  <c:v>1.5828496925516461E-3</c:v>
                </c:pt>
                <c:pt idx="1">
                  <c:v>1.8792032279433743E-3</c:v>
                </c:pt>
                <c:pt idx="2">
                  <c:v>1.5955355268076094E-3</c:v>
                </c:pt>
                <c:pt idx="3">
                  <c:v>1.6685387570712837E-3</c:v>
                </c:pt>
                <c:pt idx="4">
                  <c:v>1.8083859578032985E-3</c:v>
                </c:pt>
                <c:pt idx="5">
                  <c:v>1.6832957673897965E-3</c:v>
                </c:pt>
                <c:pt idx="6">
                  <c:v>1.564827354824981E-3</c:v>
                </c:pt>
                <c:pt idx="7">
                  <c:v>1.9806384572655547E-3</c:v>
                </c:pt>
                <c:pt idx="8">
                  <c:v>2.2485434622837707E-3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D2-4940-800E-798B11F7105B}"/>
            </c:ext>
          </c:extLst>
        </c:ser>
        <c:ser>
          <c:idx val="2"/>
          <c:order val="1"/>
          <c:tx>
            <c:v>Forecast Trend</c:v>
          </c:tx>
          <c:marker>
            <c:symbol val="none"/>
          </c:marker>
          <c:cat>
            <c:numRef>
              <c:f>('kW Forecast'!$B$5:$B$12,'kW Forecast'!$B$18:$B$20)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Forecast'!$N$5:$N$12,'kW Forecast'!$M$18:$M$20)</c:f>
              <c:numCache>
                <c:formatCode>0.000000</c:formatCode>
                <c:ptCount val="11"/>
                <c:pt idx="8" formatCode="_-* #,##0.000000_-;\-* #,##0.000000_-;_-* &quot;-&quot;??_-;_-@_-">
                  <c:v>1.9737856737655907E-3</c:v>
                </c:pt>
                <c:pt idx="9" formatCode="_-* #,##0.000000_-;\-* #,##0.000000_-;_-* &quot;-&quot;??_-;_-@_-">
                  <c:v>2.0224593643197314E-3</c:v>
                </c:pt>
                <c:pt idx="10" formatCode="_-* #,##0.000000_-;\-* #,##0.000000_-;_-* &quot;-&quot;??_-;_-@_-">
                  <c:v>2.0711330548738721E-3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D2-4940-800E-798B11F7105B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Forecast'!$B$5:$B$12,'kW Forecast'!$B$18:$B$20)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Forecast'!$N$5:$N$12,'kW Forecast'!$L$18:$L$20)</c:f>
              <c:numCache>
                <c:formatCode>0.000000</c:formatCode>
                <c:ptCount val="11"/>
                <c:pt idx="8" formatCode="_-* #,##0.000000_-;\-* #,##0.000000_-;_-* &quot;-&quot;??_-;_-@_-">
                  <c:v>1.7790909115490356E-3</c:v>
                </c:pt>
                <c:pt idx="9" formatCode="_-* #,##0.000000_-;\-* #,##0.000000_-;_-* &quot;-&quot;??_-;_-@_-">
                  <c:v>1.7790909115490356E-3</c:v>
                </c:pt>
                <c:pt idx="10" formatCode="_-* #,##0.000000_-;\-* #,##0.000000_-;_-* &quot;-&quot;??_-;_-@_-">
                  <c:v>1.7790909115490356E-3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D2-4940-800E-798B11F71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Large Use </a:t>
            </a:r>
            <a:r>
              <a:rPr lang="en-US" baseline="0"/>
              <a:t>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Forecast'!$S$3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Forecast'!$B$5:$B$12,'kW Forecast'!$B$18:$B$20)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Forecast'!$S$5:$S$13</c:f>
              <c:numCache>
                <c:formatCode>0.000000</c:formatCode>
                <c:ptCount val="9"/>
                <c:pt idx="0">
                  <c:v>1.9274573289585414E-3</c:v>
                </c:pt>
                <c:pt idx="1">
                  <c:v>1.880414988650717E-3</c:v>
                </c:pt>
                <c:pt idx="2">
                  <c:v>1.9548701857006355E-3</c:v>
                </c:pt>
                <c:pt idx="3">
                  <c:v>1.8628577802943572E-3</c:v>
                </c:pt>
                <c:pt idx="4">
                  <c:v>1.8453111149420416E-3</c:v>
                </c:pt>
                <c:pt idx="5">
                  <c:v>1.9000552539565041E-3</c:v>
                </c:pt>
                <c:pt idx="6">
                  <c:v>1.9498581745014407E-3</c:v>
                </c:pt>
                <c:pt idx="7">
                  <c:v>1.9162283116776666E-3</c:v>
                </c:pt>
                <c:pt idx="8">
                  <c:v>1.9378731174314473E-3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E3-4416-8210-A9B4BBF5F133}"/>
            </c:ext>
          </c:extLst>
        </c:ser>
        <c:ser>
          <c:idx val="2"/>
          <c:order val="1"/>
          <c:tx>
            <c:v>Forecast Trend</c:v>
          </c:tx>
          <c:marker>
            <c:symbol val="none"/>
          </c:marker>
          <c:cat>
            <c:numRef>
              <c:f>('kW Forecast'!$B$5:$B$12,'kW Forecast'!$B$18:$B$20)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Forecast'!$U$5:$U$12,'kW Forecast'!$T$18:$T$20)</c:f>
              <c:numCache>
                <c:formatCode>0.000000</c:formatCode>
                <c:ptCount val="11"/>
                <c:pt idx="8" formatCode="_-* #,##0.000000_-;\-* #,##0.000000_-;_-* &quot;-&quot;??_-;_-@_-">
                  <c:v>1.9200769111838989E-3</c:v>
                </c:pt>
                <c:pt idx="9" formatCode="_-* #,##0.000000_-;\-* #,##0.000000_-;_-* &quot;-&quot;??_-;_-@_-">
                  <c:v>1.9230148540878358E-3</c:v>
                </c:pt>
                <c:pt idx="10" formatCode="_-* #,##0.000000_-;\-* #,##0.000000_-;_-* &quot;-&quot;??_-;_-@_-">
                  <c:v>1.9259527969917728E-3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E3-4416-8210-A9B4BBF5F133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Forecast'!$B$5:$B$12,'kW Forecast'!$B$18:$B$20)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Forecast'!$U$5:$U$12,'kW Forecast'!$S$18:$S$20)</c:f>
              <c:numCache>
                <c:formatCode>0.000000</c:formatCode>
                <c:ptCount val="11"/>
                <c:pt idx="8" formatCode="_-* #,##0.000000_-;\-* #,##0.000000_-;_-* &quot;-&quot;??_-;_-@_-">
                  <c:v>1.9083251395681502E-3</c:v>
                </c:pt>
                <c:pt idx="9" formatCode="_-* #,##0.000000_-;\-* #,##0.000000_-;_-* &quot;-&quot;??_-;_-@_-">
                  <c:v>1.9083251395681502E-3</c:v>
                </c:pt>
                <c:pt idx="10" formatCode="_-* #,##0.000000_-;\-* #,##0.000000_-;_-* &quot;-&quot;??_-;_-@_-">
                  <c:v>1.9083251395681502E-3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E3-4416-8210-A9B4BBF5F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Forecast'!$AH$3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Forecast'!$X$5:$X$12,'kW Forecast'!$X$18:$X$20)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Forecast'!$AH$5:$AH$13</c:f>
              <c:numCache>
                <c:formatCode>0.000000</c:formatCode>
                <c:ptCount val="9"/>
                <c:pt idx="0">
                  <c:v>2.7220803361804294E-3</c:v>
                </c:pt>
                <c:pt idx="1">
                  <c:v>2.7144690237296001E-3</c:v>
                </c:pt>
                <c:pt idx="2">
                  <c:v>2.7120238391959484E-3</c:v>
                </c:pt>
                <c:pt idx="3">
                  <c:v>2.6979745655631242E-3</c:v>
                </c:pt>
                <c:pt idx="4">
                  <c:v>2.7099147857918711E-3</c:v>
                </c:pt>
                <c:pt idx="5">
                  <c:v>2.704077207108991E-3</c:v>
                </c:pt>
                <c:pt idx="6">
                  <c:v>2.7110861834315366E-3</c:v>
                </c:pt>
                <c:pt idx="7">
                  <c:v>2.7190159353059837E-3</c:v>
                </c:pt>
                <c:pt idx="8">
                  <c:v>2.7087485502286833E-3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0E-44ED-9F9F-7CD67526C589}"/>
            </c:ext>
          </c:extLst>
        </c:ser>
        <c:ser>
          <c:idx val="1"/>
          <c:order val="1"/>
          <c:tx>
            <c:strRef>
              <c:f>'kW Forecast'!$AI$3</c:f>
              <c:strCache>
                <c:ptCount val="1"/>
                <c:pt idx="0">
                  <c:v>3-Yr MA</c:v>
                </c:pt>
              </c:strCache>
            </c:strRef>
          </c:tx>
          <c:marker>
            <c:symbol val="none"/>
          </c:marker>
          <c:cat>
            <c:numRef>
              <c:f>('kW Forecast'!$X$5:$X$12,'kW Forecast'!$X$18:$X$20)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Forecast'!$AI$5:$AI$13</c:f>
              <c:numCache>
                <c:formatCode>0.000000</c:formatCode>
                <c:ptCount val="9"/>
                <c:pt idx="2">
                  <c:v>2.716191066368659E-3</c:v>
                </c:pt>
                <c:pt idx="3">
                  <c:v>2.7081558094962242E-3</c:v>
                </c:pt>
                <c:pt idx="4">
                  <c:v>2.7066377301836479E-3</c:v>
                </c:pt>
                <c:pt idx="5">
                  <c:v>2.7039888528213288E-3</c:v>
                </c:pt>
                <c:pt idx="6">
                  <c:v>2.7083593921107996E-3</c:v>
                </c:pt>
                <c:pt idx="7">
                  <c:v>2.7113931086155036E-3</c:v>
                </c:pt>
                <c:pt idx="8">
                  <c:v>2.7129502229887351E-3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0E-44ED-9F9F-7CD67526C589}"/>
            </c:ext>
          </c:extLst>
        </c:ser>
        <c:ser>
          <c:idx val="2"/>
          <c:order val="2"/>
          <c:tx>
            <c:v>Forecast Trend</c:v>
          </c:tx>
          <c:marker>
            <c:symbol val="none"/>
          </c:marker>
          <c:cat>
            <c:numRef>
              <c:f>('kW Forecast'!$X$5:$X$12,'kW Forecast'!$X$18:$X$20)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Forecast'!$AJ$5:$AJ$12,'kW Forecast'!$AI$18:$AI$20)</c:f>
              <c:numCache>
                <c:formatCode>0.000000</c:formatCode>
                <c:ptCount val="11"/>
                <c:pt idx="8" formatCode="_-* #,##0.000000_-;\-* #,##0.000000_-;_-* &quot;-&quot;??_-;_-@_-">
                  <c:v>2.7095044971577648E-3</c:v>
                </c:pt>
                <c:pt idx="9" formatCode="_-* #,##0.000000_-;\-* #,##0.000000_-;_-* &quot;-&quot;??_-;_-@_-">
                  <c:v>2.7094499875158339E-3</c:v>
                </c:pt>
                <c:pt idx="10" formatCode="_-* #,##0.000000_-;\-* #,##0.000000_-;_-* &quot;-&quot;??_-;_-@_-">
                  <c:v>2.7093954778739031E-3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0E-44ED-9F9F-7CD67526C589}"/>
            </c:ext>
          </c:extLst>
        </c:ser>
        <c:ser>
          <c:idx val="3"/>
          <c:order val="3"/>
          <c:tx>
            <c:v>Forecast Average</c:v>
          </c:tx>
          <c:marker>
            <c:symbol val="none"/>
          </c:marker>
          <c:cat>
            <c:numRef>
              <c:f>('kW Forecast'!$X$5:$X$12,'kW Forecast'!$X$18:$X$20)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Forecast'!$AJ$5:$AJ$12,'kW Forecast'!$AH$18:$AH$20)</c:f>
              <c:numCache>
                <c:formatCode>0.000000</c:formatCode>
                <c:ptCount val="11"/>
                <c:pt idx="8" formatCode="_-* #,##0.000000_-;\-* #,##0.000000_-;_-* &quot;-&quot;??_-;_-@_-">
                  <c:v>2.7110433807262407E-3</c:v>
                </c:pt>
                <c:pt idx="9" formatCode="_-* #,##0.000000_-;\-* #,##0.000000_-;_-* &quot;-&quot;??_-;_-@_-">
                  <c:v>2.7110433807262407E-3</c:v>
                </c:pt>
                <c:pt idx="10" formatCode="_-* #,##0.000000_-;\-* #,##0.000000_-;_-* &quot;-&quot;??_-;_-@_-">
                  <c:v>2.7110433807262407E-3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D0E-44ED-9F9F-7CD67526C5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330432"/>
        <c:axId val="177340416"/>
      </c:lineChart>
      <c:catAx>
        <c:axId val="17733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340416"/>
        <c:crosses val="autoZero"/>
        <c:auto val="1"/>
        <c:lblAlgn val="ctr"/>
        <c:lblOffset val="100"/>
        <c:noMultiLvlLbl val="0"/>
      </c:catAx>
      <c:valAx>
        <c:axId val="17734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33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&gt;</a:t>
            </a:r>
            <a:r>
              <a:rPr lang="en-US" baseline="0"/>
              <a:t> 50 -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 (Weather Normal)'!$E$3</c:f>
              <c:strCache>
                <c:ptCount val="1"/>
                <c:pt idx="0">
                  <c:v>Ratio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('kW Forecast (Weather Normal)'!$B$5:$B$12,'kW Forecast (Weather Normal)'!$B$26:$B$28)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 (Weather Normal)'!$E$5:$E$13</c:f>
              <c:numCache>
                <c:formatCode>0.000000</c:formatCode>
                <c:ptCount val="9"/>
                <c:pt idx="0">
                  <c:v>2.5421047785385738E-3</c:v>
                </c:pt>
                <c:pt idx="1">
                  <c:v>2.521394036351484E-3</c:v>
                </c:pt>
                <c:pt idx="2">
                  <c:v>2.5822751609849886E-3</c:v>
                </c:pt>
                <c:pt idx="3">
                  <c:v>2.5088959413072419E-3</c:v>
                </c:pt>
                <c:pt idx="4">
                  <c:v>2.523870298240749E-3</c:v>
                </c:pt>
                <c:pt idx="5">
                  <c:v>2.5087634807604486E-3</c:v>
                </c:pt>
                <c:pt idx="6">
                  <c:v>2.5285899874280876E-3</c:v>
                </c:pt>
                <c:pt idx="7">
                  <c:v>2.5279535024843492E-3</c:v>
                </c:pt>
                <c:pt idx="8">
                  <c:v>2.5199497454088081E-3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41-4F7E-9410-DBE7C3932A0C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 (Weather Normal)'!$B$5:$B$12,'kW Forecast (Weather Normal)'!$B$26:$B$28)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 (Weather Normal)'!$G$5:$G$12,'kW Forecast (Weather Normal)'!$F$26:$F$28)</c:f>
              <c:numCache>
                <c:formatCode>0.000000</c:formatCode>
                <c:ptCount val="11"/>
                <c:pt idx="8" formatCode="_-* #,##0.000000_-;\-* #,##0.000000_-;_-* &quot;-&quot;??_-;_-@_-">
                  <c:v>2.5160894771510981E-3</c:v>
                </c:pt>
                <c:pt idx="9" formatCode="_-* #,##0.000000_-;\-* #,##0.000000_-;_-* &quot;-&quot;??_-;_-@_-">
                  <c:v>2.5128913835708996E-3</c:v>
                </c:pt>
                <c:pt idx="10" formatCode="_-* #,##0.000000_-;\-* #,##0.000000_-;_-* &quot;-&quot;??_-;_-@_-">
                  <c:v>2.5096932899907011E-3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41-4F7E-9410-DBE7C3932A0C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 (Weather Normal)'!$B$5:$B$12,'kW Forecast (Weather Normal)'!$B$26:$B$28)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 (Weather Normal)'!$G$5:$G$12,'kW Forecast (Weather Normal)'!$E$26:$E$28)</c:f>
              <c:numCache>
                <c:formatCode>0.000000</c:formatCode>
                <c:ptCount val="11"/>
                <c:pt idx="8" formatCode="_-* #,##0.000000_-;\-* #,##0.000000_-;_-* &quot;-&quot;??_-;_-@_-">
                  <c:v>2.5293107701671921E-3</c:v>
                </c:pt>
                <c:pt idx="9" formatCode="_-* #,##0.000000_-;\-* #,##0.000000_-;_-* &quot;-&quot;??_-;_-@_-">
                  <c:v>2.5293107701671921E-3</c:v>
                </c:pt>
                <c:pt idx="10" formatCode="_-* #,##0.000000_-;\-* #,##0.000000_-;_-* &quot;-&quot;??_-;_-@_-">
                  <c:v>2.5293107701671921E-3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41-4F7E-9410-DBE7C3932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 (Weather Normal)'!$AA$3</c:f>
              <c:strCache>
                <c:ptCount val="1"/>
                <c:pt idx="0">
                  <c:v>Ratio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('kW Forecast (Weather Normal)'!$X$5:$X$12,'kW Forecast (Weather Normal)'!$X$26:$X$28)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 (Weather Normal)'!$AA$5:$AA$13</c:f>
              <c:numCache>
                <c:formatCode>0.000000</c:formatCode>
                <c:ptCount val="9"/>
                <c:pt idx="0">
                  <c:v>2.8175077500963686E-3</c:v>
                </c:pt>
                <c:pt idx="1">
                  <c:v>2.8013566342968855E-3</c:v>
                </c:pt>
                <c:pt idx="2">
                  <c:v>2.8043152268436913E-3</c:v>
                </c:pt>
                <c:pt idx="3">
                  <c:v>2.7958074910120387E-3</c:v>
                </c:pt>
                <c:pt idx="4">
                  <c:v>2.8045078712418078E-3</c:v>
                </c:pt>
                <c:pt idx="5">
                  <c:v>2.8049510879006056E-3</c:v>
                </c:pt>
                <c:pt idx="6">
                  <c:v>2.8043669593671881E-3</c:v>
                </c:pt>
                <c:pt idx="7">
                  <c:v>2.7960746632201459E-3</c:v>
                </c:pt>
                <c:pt idx="8">
                  <c:v>2.8045846030525842E-3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5C-44EC-ADB4-180B0F41BE16}"/>
            </c:ext>
          </c:extLst>
        </c:ser>
        <c:ser>
          <c:idx val="1"/>
          <c:order val="1"/>
          <c:tx>
            <c:strRef>
              <c:f>'kW Forecast (Weather Normal)'!$AB$3</c:f>
              <c:strCache>
                <c:ptCount val="1"/>
                <c:pt idx="0">
                  <c:v>3-Yr MA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('kW Forecast (Weather Normal)'!$X$5:$X$12,'kW Forecast (Weather Normal)'!$X$26:$X$28)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 (Weather Normal)'!$AB$5:$AB$13</c:f>
              <c:numCache>
                <c:formatCode>0.000000</c:formatCode>
                <c:ptCount val="9"/>
                <c:pt idx="2">
                  <c:v>2.807726537078982E-3</c:v>
                </c:pt>
                <c:pt idx="3">
                  <c:v>2.8004931173842055E-3</c:v>
                </c:pt>
                <c:pt idx="4">
                  <c:v>2.8015435296991791E-3</c:v>
                </c:pt>
                <c:pt idx="5">
                  <c:v>2.8017554833848174E-3</c:v>
                </c:pt>
                <c:pt idx="6">
                  <c:v>2.8046086395032005E-3</c:v>
                </c:pt>
                <c:pt idx="7">
                  <c:v>2.8017975701626467E-3</c:v>
                </c:pt>
                <c:pt idx="8">
                  <c:v>2.8016754085466392E-3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5C-44EC-ADB4-180B0F41BE16}"/>
            </c:ext>
          </c:extLst>
        </c:ser>
        <c:ser>
          <c:idx val="2"/>
          <c:order val="2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 (Weather Normal)'!$X$5:$X$12,'kW Forecast (Weather Normal)'!$X$26:$X$28)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 (Weather Normal)'!$AC$5:$AC$12,'kW Forecast (Weather Normal)'!$AB$26:$AB$28)</c:f>
              <c:numCache>
                <c:formatCode>0.000000</c:formatCode>
                <c:ptCount val="11"/>
                <c:pt idx="8" formatCode="_-* #,##0.000000_-;\-* #,##0.000000_-;_-* &quot;-&quot;??_-;_-@_-">
                  <c:v>2.8012788480816001E-3</c:v>
                </c:pt>
                <c:pt idx="9" formatCode="_-* #,##0.000000_-;\-* #,##0.000000_-;_-* &quot;-&quot;??_-;_-@_-">
                  <c:v>2.8007906676661984E-3</c:v>
                </c:pt>
                <c:pt idx="10" formatCode="_-* #,##0.000000_-;\-* #,##0.000000_-;_-* &quot;-&quot;??_-;_-@_-">
                  <c:v>2.8003024872507972E-3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5C-44EC-ADB4-180B0F41BE16}"/>
            </c:ext>
          </c:extLst>
        </c:ser>
        <c:ser>
          <c:idx val="3"/>
          <c:order val="3"/>
          <c:tx>
            <c:v>Forecast Average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('kW Forecast (Weather Normal)'!$X$5:$X$12,'kW Forecast (Weather Normal)'!$X$26:$X$28)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 (Weather Normal)'!$AC$5:$AC$12,'kW Forecast (Weather Normal)'!$AA$26:$AA$28)</c:f>
              <c:numCache>
                <c:formatCode>0.000000</c:formatCode>
                <c:ptCount val="11"/>
                <c:pt idx="8" formatCode="_-* #,##0.000000_-;\-* #,##0.000000_-;_-* &quot;-&quot;??_-;_-@_-">
                  <c:v>2.8037191430034794E-3</c:v>
                </c:pt>
                <c:pt idx="9" formatCode="_-* #,##0.000000_-;\-* #,##0.000000_-;_-* &quot;-&quot;??_-;_-@_-">
                  <c:v>2.8037191430034794E-3</c:v>
                </c:pt>
                <c:pt idx="10" formatCode="_-* #,##0.000000_-;\-* #,##0.000000_-;_-* &quot;-&quot;??_-;_-@_-">
                  <c:v>2.8037191430034794E-3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5C-44EC-ADB4-180B0F41B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330432"/>
        <c:axId val="177340416"/>
      </c:lineChart>
      <c:catAx>
        <c:axId val="17733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340416"/>
        <c:crosses val="autoZero"/>
        <c:auto val="1"/>
        <c:lblAlgn val="ctr"/>
        <c:lblOffset val="100"/>
        <c:noMultiLvlLbl val="0"/>
      </c:catAx>
      <c:valAx>
        <c:axId val="17734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33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Co Gen</a:t>
            </a:r>
            <a:r>
              <a:rPr lang="en-US" baseline="0"/>
              <a:t>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 (Weather Normal)'!$L$3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 (Weather Normal)'!$B$5:$B$12,'kW Forecast (Weather Normal)'!$B$26:$B$28)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 (Weather Normal)'!$L$5:$L$13</c:f>
              <c:numCache>
                <c:formatCode>0.000000</c:formatCode>
                <c:ptCount val="9"/>
                <c:pt idx="0">
                  <c:v>1.5828496925516461E-3</c:v>
                </c:pt>
                <c:pt idx="1">
                  <c:v>1.8792032279433743E-3</c:v>
                </c:pt>
                <c:pt idx="2">
                  <c:v>1.5955355268076094E-3</c:v>
                </c:pt>
                <c:pt idx="3">
                  <c:v>1.6685387570712837E-3</c:v>
                </c:pt>
                <c:pt idx="4">
                  <c:v>1.8083859578032985E-3</c:v>
                </c:pt>
                <c:pt idx="5">
                  <c:v>1.6832957673897965E-3</c:v>
                </c:pt>
                <c:pt idx="6">
                  <c:v>1.564827354824981E-3</c:v>
                </c:pt>
                <c:pt idx="7">
                  <c:v>1.9806384572655547E-3</c:v>
                </c:pt>
                <c:pt idx="8">
                  <c:v>2.2485434622837707E-3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73-4104-8D0A-38D4458FAF61}"/>
            </c:ext>
          </c:extLst>
        </c:ser>
        <c:ser>
          <c:idx val="2"/>
          <c:order val="1"/>
          <c:tx>
            <c:v>Forecast Trend</c:v>
          </c:tx>
          <c:marker>
            <c:symbol val="none"/>
          </c:marker>
          <c:cat>
            <c:numRef>
              <c:f>('kW Forecast (Weather Normal)'!$B$5:$B$12,'kW Forecast (Weather Normal)'!$B$26:$B$28)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 (Weather Normal)'!$N$5:$N$12,'kW Forecast (Weather Normal)'!$M$26:$M$28)</c:f>
              <c:numCache>
                <c:formatCode>0.000000</c:formatCode>
                <c:ptCount val="11"/>
                <c:pt idx="8" formatCode="_-* #,##0.000000_-;\-* #,##0.000000_-;_-* &quot;-&quot;??_-;_-@_-">
                  <c:v>1.8069684450224069E-3</c:v>
                </c:pt>
                <c:pt idx="9" formatCode="_-* #,##0.000000_-;\-* #,##0.000000_-;_-* &quot;-&quot;??_-;_-@_-">
                  <c:v>1.8262038010924547E-3</c:v>
                </c:pt>
                <c:pt idx="10" formatCode="_-* #,##0.000000_-;\-* #,##0.000000_-;_-* &quot;-&quot;??_-;_-@_-">
                  <c:v>1.8454391571625026E-3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73-4104-8D0A-38D4458FAF61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 (Weather Normal)'!$B$5:$B$12,'kW Forecast (Weather Normal)'!$B$26:$B$28)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 (Weather Normal)'!$N$5:$N$12,'kW Forecast (Weather Normal)'!$L$26:$L$28)</c:f>
              <c:numCache>
                <c:formatCode>0.000000</c:formatCode>
                <c:ptCount val="11"/>
                <c:pt idx="8" formatCode="_-* #,##0.000000_-;\-* #,##0.000000_-;_-* &quot;-&quot;??_-;_-@_-">
                  <c:v>1.7790909115490356E-3</c:v>
                </c:pt>
                <c:pt idx="9" formatCode="_-* #,##0.000000_-;\-* #,##0.000000_-;_-* &quot;-&quot;??_-;_-@_-">
                  <c:v>1.7790909115490356E-3</c:v>
                </c:pt>
                <c:pt idx="10" formatCode="_-* #,##0.000000_-;\-* #,##0.000000_-;_-* &quot;-&quot;??_-;_-@_-">
                  <c:v>1.7790909115490356E-3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73-4104-8D0A-38D4458FA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Large Use </a:t>
            </a:r>
            <a:r>
              <a:rPr lang="en-US" baseline="0"/>
              <a:t>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 (Weather Normal)'!$S$3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 (Weather Normal)'!$B$5:$B$12,'kW Forecast (Weather Normal)'!$B$26:$B$28)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 (Weather Normal)'!$S$5:$S$13</c:f>
              <c:numCache>
                <c:formatCode>0.000000</c:formatCode>
                <c:ptCount val="9"/>
                <c:pt idx="0">
                  <c:v>1.9274573289585414E-3</c:v>
                </c:pt>
                <c:pt idx="1">
                  <c:v>1.880414988650717E-3</c:v>
                </c:pt>
                <c:pt idx="2">
                  <c:v>1.9548701857006355E-3</c:v>
                </c:pt>
                <c:pt idx="3">
                  <c:v>1.8628577802943572E-3</c:v>
                </c:pt>
                <c:pt idx="4">
                  <c:v>1.8453111149420416E-3</c:v>
                </c:pt>
                <c:pt idx="5">
                  <c:v>1.9000552539565041E-3</c:v>
                </c:pt>
                <c:pt idx="6">
                  <c:v>1.9498581745014407E-3</c:v>
                </c:pt>
                <c:pt idx="7">
                  <c:v>1.9162283116776666E-3</c:v>
                </c:pt>
                <c:pt idx="8">
                  <c:v>1.9378731174314473E-3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A5-41B2-8F95-C046E5B17CD7}"/>
            </c:ext>
          </c:extLst>
        </c:ser>
        <c:ser>
          <c:idx val="2"/>
          <c:order val="1"/>
          <c:tx>
            <c:v>Forecast Trend</c:v>
          </c:tx>
          <c:marker>
            <c:symbol val="none"/>
          </c:marker>
          <c:cat>
            <c:numRef>
              <c:f>('kW Forecast (Weather Normal)'!$B$5:$B$12,'kW Forecast (Weather Normal)'!$B$26:$B$28)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 (Weather Normal)'!$U$5:$U$12,'kW Forecast (Weather Normal)'!$T$26:$T$28)</c:f>
              <c:numCache>
                <c:formatCode>0.000000</c:formatCode>
                <c:ptCount val="11"/>
                <c:pt idx="8" formatCode="_-* #,##0.000000_-;\-* #,##0.000000_-;_-* &quot;-&quot;??_-;_-@_-">
                  <c:v>1.9092720716764589E-3</c:v>
                </c:pt>
                <c:pt idx="9" formatCode="_-* #,##0.000000_-;\-* #,##0.000000_-;_-* &quot;-&quot;??_-;_-@_-">
                  <c:v>1.9103032781967301E-3</c:v>
                </c:pt>
                <c:pt idx="10" formatCode="_-* #,##0.000000_-;\-* #,##0.000000_-;_-* &quot;-&quot;??_-;_-@_-">
                  <c:v>1.9113344847170013E-3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A5-41B2-8F95-C046E5B17CD7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 (Weather Normal)'!$B$5:$B$12,'kW Forecast (Weather Normal)'!$B$26:$B$28)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 (Weather Normal)'!$U$5:$U$12,'kW Forecast (Weather Normal)'!$S$26:$S$28)</c:f>
              <c:numCache>
                <c:formatCode>0.000000</c:formatCode>
                <c:ptCount val="11"/>
                <c:pt idx="8" formatCode="_-* #,##0.000000_-;\-* #,##0.000000_-;_-* &quot;-&quot;??_-;_-@_-">
                  <c:v>1.9083251395681502E-3</c:v>
                </c:pt>
                <c:pt idx="9" formatCode="_-* #,##0.000000_-;\-* #,##0.000000_-;_-* &quot;-&quot;??_-;_-@_-">
                  <c:v>1.9083251395681502E-3</c:v>
                </c:pt>
                <c:pt idx="10" formatCode="_-* #,##0.000000_-;\-* #,##0.000000_-;_-* &quot;-&quot;??_-;_-@_-">
                  <c:v>1.9083251395681502E-3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A5-41B2-8F95-C046E5B17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 (Weather Normal)'!$AH$3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 (Weather Normal)'!$X$5:$X$12,'kW Forecast (Weather Normal)'!$X$26:$X$28)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 (Weather Normal)'!$AH$5:$AH$13</c:f>
              <c:numCache>
                <c:formatCode>0.000000</c:formatCode>
                <c:ptCount val="9"/>
                <c:pt idx="0">
                  <c:v>2.7220803361804294E-3</c:v>
                </c:pt>
                <c:pt idx="1">
                  <c:v>2.7144690237296001E-3</c:v>
                </c:pt>
                <c:pt idx="2">
                  <c:v>2.7120238391959484E-3</c:v>
                </c:pt>
                <c:pt idx="3">
                  <c:v>2.6979745655631242E-3</c:v>
                </c:pt>
                <c:pt idx="4">
                  <c:v>2.7099147857918711E-3</c:v>
                </c:pt>
                <c:pt idx="5">
                  <c:v>2.704077207108991E-3</c:v>
                </c:pt>
                <c:pt idx="6">
                  <c:v>2.7110861834315366E-3</c:v>
                </c:pt>
                <c:pt idx="7">
                  <c:v>2.7190159353059837E-3</c:v>
                </c:pt>
                <c:pt idx="8">
                  <c:v>2.7087485502286833E-3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06-4EFB-9FC5-7A720116447A}"/>
            </c:ext>
          </c:extLst>
        </c:ser>
        <c:ser>
          <c:idx val="1"/>
          <c:order val="1"/>
          <c:tx>
            <c:strRef>
              <c:f>'kW Forecast (Weather Normal)'!$AI$3</c:f>
              <c:strCache>
                <c:ptCount val="1"/>
                <c:pt idx="0">
                  <c:v>3-Yr MA</c:v>
                </c:pt>
              </c:strCache>
            </c:strRef>
          </c:tx>
          <c:marker>
            <c:symbol val="none"/>
          </c:marker>
          <c:cat>
            <c:numRef>
              <c:f>('kW Forecast (Weather Normal)'!$X$5:$X$12,'kW Forecast (Weather Normal)'!$X$26:$X$28)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'kW Forecast (Weather Normal)'!$AI$5:$AI$13</c:f>
              <c:numCache>
                <c:formatCode>0.000000</c:formatCode>
                <c:ptCount val="9"/>
                <c:pt idx="2">
                  <c:v>2.716191066368659E-3</c:v>
                </c:pt>
                <c:pt idx="3">
                  <c:v>2.7081558094962242E-3</c:v>
                </c:pt>
                <c:pt idx="4">
                  <c:v>2.7066377301836479E-3</c:v>
                </c:pt>
                <c:pt idx="5">
                  <c:v>2.7039888528213288E-3</c:v>
                </c:pt>
                <c:pt idx="6">
                  <c:v>2.7083593921107996E-3</c:v>
                </c:pt>
                <c:pt idx="7">
                  <c:v>2.7113931086155036E-3</c:v>
                </c:pt>
                <c:pt idx="8">
                  <c:v>2.7129502229887351E-3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06-4EFB-9FC5-7A720116447A}"/>
            </c:ext>
          </c:extLst>
        </c:ser>
        <c:ser>
          <c:idx val="2"/>
          <c:order val="2"/>
          <c:tx>
            <c:v>Forecast Trend</c:v>
          </c:tx>
          <c:marker>
            <c:symbol val="none"/>
          </c:marker>
          <c:cat>
            <c:numRef>
              <c:f>('kW Forecast (Weather Normal)'!$X$5:$X$12,'kW Forecast (Weather Normal)'!$X$26:$X$28)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 (Weather Normal)'!$AJ$5:$AJ$12,'kW Forecast (Weather Normal)'!$AI$26:$AI$28)</c:f>
              <c:numCache>
                <c:formatCode>0.000000</c:formatCode>
                <c:ptCount val="11"/>
                <c:pt idx="8" formatCode="_-* #,##0.000000_-;\-* #,##0.000000_-;_-* &quot;-&quot;??_-;_-@_-">
                  <c:v>2.7065182014375908E-3</c:v>
                </c:pt>
                <c:pt idx="9" formatCode="_-* #,##0.000000_-;\-* #,##0.000000_-;_-* &quot;-&quot;??_-;_-@_-">
                  <c:v>2.7057745466294659E-3</c:v>
                </c:pt>
                <c:pt idx="10" formatCode="_-* #,##0.000000_-;\-* #,##0.000000_-;_-* &quot;-&quot;??_-;_-@_-">
                  <c:v>2.7050308918213414E-3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06-4EFB-9FC5-7A720116447A}"/>
            </c:ext>
          </c:extLst>
        </c:ser>
        <c:ser>
          <c:idx val="3"/>
          <c:order val="3"/>
          <c:tx>
            <c:v>Forecast Average</c:v>
          </c:tx>
          <c:marker>
            <c:symbol val="none"/>
          </c:marker>
          <c:cat>
            <c:numRef>
              <c:f>('kW Forecast (Weather Normal)'!$X$5:$X$12,'kW Forecast (Weather Normal)'!$X$26:$X$28)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('kW Forecast (Weather Normal)'!$AJ$5:$AJ$12,'kW Forecast (Weather Normal)'!$AH$26:$AH$28)</c:f>
              <c:numCache>
                <c:formatCode>0.000000</c:formatCode>
                <c:ptCount val="11"/>
                <c:pt idx="8" formatCode="_-* #,##0.000000_-;\-* #,##0.000000_-;_-* &quot;-&quot;??_-;_-@_-">
                  <c:v>2.7110433807262407E-3</c:v>
                </c:pt>
                <c:pt idx="9" formatCode="_-* #,##0.000000_-;\-* #,##0.000000_-;_-* &quot;-&quot;??_-;_-@_-">
                  <c:v>2.7110433807262407E-3</c:v>
                </c:pt>
                <c:pt idx="10" formatCode="_-* #,##0.000000_-;\-* #,##0.000000_-;_-* &quot;-&quot;??_-;_-@_-">
                  <c:v>2.7110433807262407E-3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06-4EFB-9FC5-7A7201164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330432"/>
        <c:axId val="177340416"/>
      </c:lineChart>
      <c:catAx>
        <c:axId val="17733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340416"/>
        <c:crosses val="autoZero"/>
        <c:auto val="1"/>
        <c:lblAlgn val="ctr"/>
        <c:lblOffset val="100"/>
        <c:noMultiLvlLbl val="0"/>
      </c:catAx>
      <c:valAx>
        <c:axId val="17734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33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Billed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'Summary Tables'!$B$27</c:f>
              <c:strCache>
                <c:ptCount val="1"/>
                <c:pt idx="0">
                  <c:v>GS &gt; 50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Tables'!$AG$26:$AQ$26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Tables'!$AG$27:$AQ$27</c:f>
              <c:numCache>
                <c:formatCode>#,##0</c:formatCode>
                <c:ptCount val="11"/>
                <c:pt idx="0">
                  <c:v>3708563.0700000008</c:v>
                </c:pt>
                <c:pt idx="1">
                  <c:v>3744566.08</c:v>
                </c:pt>
                <c:pt idx="2">
                  <c:v>3636724.4299999997</c:v>
                </c:pt>
                <c:pt idx="3">
                  <c:v>3426345.0799999996</c:v>
                </c:pt>
                <c:pt idx="4">
                  <c:v>3496519.7399999998</c:v>
                </c:pt>
                <c:pt idx="5">
                  <c:v>3574256.7199999997</c:v>
                </c:pt>
                <c:pt idx="6">
                  <c:v>3541020.3</c:v>
                </c:pt>
                <c:pt idx="7">
                  <c:v>3656086</c:v>
                </c:pt>
                <c:pt idx="8">
                  <c:v>3705957.01</c:v>
                </c:pt>
                <c:pt idx="9">
                  <c:v>3651493.8006045213</c:v>
                </c:pt>
                <c:pt idx="10">
                  <c:v>3658332.2230457268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7D-41CC-AB37-7C87A4683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645391"/>
        <c:axId val="150650191"/>
      </c:lineChart>
      <c:catAx>
        <c:axId val="150645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50191"/>
        <c:crosses val="autoZero"/>
        <c:auto val="1"/>
        <c:lblAlgn val="ctr"/>
        <c:lblOffset val="100"/>
        <c:noMultiLvlLbl val="0"/>
      </c:catAx>
      <c:valAx>
        <c:axId val="15065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45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Billed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'Summary Tables'!$B$28</c:f>
              <c:strCache>
                <c:ptCount val="1"/>
                <c:pt idx="0">
                  <c:v>GS Co Gen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Tables'!$AG$26:$AQ$26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Tables'!$AG$28:$AQ$28</c:f>
              <c:numCache>
                <c:formatCode>#,##0</c:formatCode>
                <c:ptCount val="11"/>
                <c:pt idx="0">
                  <c:v>74118.640000000014</c:v>
                </c:pt>
                <c:pt idx="1">
                  <c:v>88637.540000000008</c:v>
                </c:pt>
                <c:pt idx="2">
                  <c:v>55790.87999999999</c:v>
                </c:pt>
                <c:pt idx="3">
                  <c:v>60972.479999999996</c:v>
                </c:pt>
                <c:pt idx="4">
                  <c:v>50765.990000000005</c:v>
                </c:pt>
                <c:pt idx="5">
                  <c:v>72458.680000000008</c:v>
                </c:pt>
                <c:pt idx="6">
                  <c:v>81016.87999999999</c:v>
                </c:pt>
                <c:pt idx="7">
                  <c:v>69036</c:v>
                </c:pt>
                <c:pt idx="8">
                  <c:v>70644.329999999987</c:v>
                </c:pt>
                <c:pt idx="9">
                  <c:v>68137.894046668254</c:v>
                </c:pt>
                <c:pt idx="10">
                  <c:v>67531.955359512373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07-4B75-8781-01D166FC4651}"/>
            </c:ext>
          </c:extLst>
        </c:ser>
        <c:ser>
          <c:idx val="2"/>
          <c:order val="1"/>
          <c:tx>
            <c:strRef>
              <c:f>'Summary Tables'!$B$29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Tables'!$AG$26:$AQ$26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Tables'!$AG$29:$AQ$29</c:f>
              <c:numCache>
                <c:formatCode>#,##0</c:formatCode>
                <c:ptCount val="11"/>
                <c:pt idx="0">
                  <c:v>227423.46000000002</c:v>
                </c:pt>
                <c:pt idx="1">
                  <c:v>221470.55</c:v>
                </c:pt>
                <c:pt idx="2">
                  <c:v>216188.63999999998</c:v>
                </c:pt>
                <c:pt idx="3">
                  <c:v>189813.83000000002</c:v>
                </c:pt>
                <c:pt idx="4">
                  <c:v>194965.44</c:v>
                </c:pt>
                <c:pt idx="5">
                  <c:v>213689.69</c:v>
                </c:pt>
                <c:pt idx="6">
                  <c:v>298641.74</c:v>
                </c:pt>
                <c:pt idx="7">
                  <c:v>311835.54000000004</c:v>
                </c:pt>
                <c:pt idx="8">
                  <c:v>310223.76000000007</c:v>
                </c:pt>
                <c:pt idx="9">
                  <c:v>302940.87640740536</c:v>
                </c:pt>
                <c:pt idx="10">
                  <c:v>308313.00551821408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07-4B75-8781-01D166FC4651}"/>
            </c:ext>
          </c:extLst>
        </c:ser>
        <c:ser>
          <c:idx val="3"/>
          <c:order val="2"/>
          <c:tx>
            <c:strRef>
              <c:f>'Summary Tables'!$B$30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Tables'!$AG$26:$AQ$26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Tables'!$AG$30:$AQ$30</c:f>
              <c:numCache>
                <c:formatCode>#,##0</c:formatCode>
                <c:ptCount val="11"/>
                <c:pt idx="0">
                  <c:v>55752.55</c:v>
                </c:pt>
                <c:pt idx="1">
                  <c:v>47864.480000000003</c:v>
                </c:pt>
                <c:pt idx="2">
                  <c:v>46618.69</c:v>
                </c:pt>
                <c:pt idx="3">
                  <c:v>47272.400000000009</c:v>
                </c:pt>
                <c:pt idx="4">
                  <c:v>47347.969999999994</c:v>
                </c:pt>
                <c:pt idx="5">
                  <c:v>47685.229999999996</c:v>
                </c:pt>
                <c:pt idx="6">
                  <c:v>48191.71</c:v>
                </c:pt>
                <c:pt idx="7">
                  <c:v>48655.009999999995</c:v>
                </c:pt>
                <c:pt idx="8">
                  <c:v>48926.820000000007</c:v>
                </c:pt>
                <c:pt idx="9">
                  <c:v>49535.270487028029</c:v>
                </c:pt>
                <c:pt idx="10">
                  <c:v>50166.768464444751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07-4B75-8781-01D166FC4651}"/>
            </c:ext>
          </c:extLst>
        </c:ser>
        <c:ser>
          <c:idx val="4"/>
          <c:order val="3"/>
          <c:tx>
            <c:strRef>
              <c:f>'Summary Tables'!$B$31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Tables'!$AG$26:$AQ$26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Tables'!$AG$31:$AQ$31</c:f>
              <c:numCache>
                <c:formatCode>#,##0</c:formatCode>
                <c:ptCount val="11"/>
                <c:pt idx="0">
                  <c:v>1579.19</c:v>
                </c:pt>
                <c:pt idx="1">
                  <c:v>1489.9299999999998</c:v>
                </c:pt>
                <c:pt idx="2">
                  <c:v>1467.4</c:v>
                </c:pt>
                <c:pt idx="3">
                  <c:v>1446.0000000000002</c:v>
                </c:pt>
                <c:pt idx="4">
                  <c:v>1433.2900000000002</c:v>
                </c:pt>
                <c:pt idx="5">
                  <c:v>1427.4699999999998</c:v>
                </c:pt>
                <c:pt idx="6">
                  <c:v>1416.03</c:v>
                </c:pt>
                <c:pt idx="7">
                  <c:v>1394.79</c:v>
                </c:pt>
                <c:pt idx="8">
                  <c:v>1371.2399999999998</c:v>
                </c:pt>
                <c:pt idx="9">
                  <c:v>1353.053944619983</c:v>
                </c:pt>
                <c:pt idx="10">
                  <c:v>1333.9778607983192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407-4B75-8781-01D166FC4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645391"/>
        <c:axId val="150650191"/>
      </c:lineChart>
      <c:catAx>
        <c:axId val="150645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50191"/>
        <c:crosses val="autoZero"/>
        <c:auto val="1"/>
        <c:lblAlgn val="ctr"/>
        <c:lblOffset val="100"/>
        <c:noMultiLvlLbl val="0"/>
      </c:catAx>
      <c:valAx>
        <c:axId val="15065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45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'Summary Tables'!$B$3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Tables'!$AG$3:$AQ$3</c:f>
              <c:numCache>
                <c:formatCode>#,##0</c:formatCode>
                <c:ptCount val="11"/>
                <c:pt idx="0">
                  <c:v>1047993667</c:v>
                </c:pt>
                <c:pt idx="1">
                  <c:v>1139376021</c:v>
                </c:pt>
                <c:pt idx="2">
                  <c:v>1101433888.4783466</c:v>
                </c:pt>
                <c:pt idx="3">
                  <c:v>1174376356.2405562</c:v>
                </c:pt>
                <c:pt idx="4">
                  <c:v>1183155978.337724</c:v>
                </c:pt>
                <c:pt idx="5">
                  <c:v>1180210179.8745952</c:v>
                </c:pt>
                <c:pt idx="6">
                  <c:v>1127950490.8539553</c:v>
                </c:pt>
                <c:pt idx="7">
                  <c:v>1181706111.5087397</c:v>
                </c:pt>
                <c:pt idx="8">
                  <c:v>1217191863.2636447</c:v>
                </c:pt>
                <c:pt idx="9">
                  <c:v>1221708841.5844655</c:v>
                </c:pt>
                <c:pt idx="10">
                  <c:v>1246806816.5202808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CC-406F-B2C8-EB0DE4F6AC68}"/>
            </c:ext>
          </c:extLst>
        </c:ser>
        <c:ser>
          <c:idx val="4"/>
          <c:order val="1"/>
          <c:tx>
            <c:strRef>
              <c:f>'Summary Tables'!$B$4</c:f>
              <c:strCache>
                <c:ptCount val="1"/>
                <c:pt idx="0">
                  <c:v>GS &lt; 50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Tables'!$AG$4:$AQ$4</c:f>
              <c:numCache>
                <c:formatCode>#,##0</c:formatCode>
                <c:ptCount val="11"/>
                <c:pt idx="0">
                  <c:v>385223199</c:v>
                </c:pt>
                <c:pt idx="1">
                  <c:v>398801024</c:v>
                </c:pt>
                <c:pt idx="2">
                  <c:v>394237702.73931646</c:v>
                </c:pt>
                <c:pt idx="3">
                  <c:v>374506007.7641958</c:v>
                </c:pt>
                <c:pt idx="4">
                  <c:v>381478906.71076226</c:v>
                </c:pt>
                <c:pt idx="5">
                  <c:v>404904347.96509457</c:v>
                </c:pt>
                <c:pt idx="6">
                  <c:v>399918444.19770122</c:v>
                </c:pt>
                <c:pt idx="7">
                  <c:v>404233973.90292341</c:v>
                </c:pt>
                <c:pt idx="8">
                  <c:v>416596865.08434409</c:v>
                </c:pt>
                <c:pt idx="9">
                  <c:v>414457157.80414426</c:v>
                </c:pt>
                <c:pt idx="10">
                  <c:v>419590048.81029916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CC-406F-B2C8-EB0DE4F6AC68}"/>
            </c:ext>
          </c:extLst>
        </c:ser>
        <c:ser>
          <c:idx val="3"/>
          <c:order val="2"/>
          <c:tx>
            <c:strRef>
              <c:f>'Summary Tables'!$B$5</c:f>
              <c:strCache>
                <c:ptCount val="1"/>
                <c:pt idx="0">
                  <c:v>GS &gt; 50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Tables'!$AG$5:$AQ$5</c:f>
              <c:numCache>
                <c:formatCode>#,##0</c:formatCode>
                <c:ptCount val="11"/>
                <c:pt idx="0">
                  <c:v>1458855316</c:v>
                </c:pt>
                <c:pt idx="1">
                  <c:v>1485117370</c:v>
                </c:pt>
                <c:pt idx="2">
                  <c:v>1408341173.2980461</c:v>
                </c:pt>
                <c:pt idx="3">
                  <c:v>1365678433.9229021</c:v>
                </c:pt>
                <c:pt idx="4">
                  <c:v>1385380121.3308113</c:v>
                </c:pt>
                <c:pt idx="5">
                  <c:v>1424708525.6983182</c:v>
                </c:pt>
                <c:pt idx="6">
                  <c:v>1400393230.0632451</c:v>
                </c:pt>
                <c:pt idx="7">
                  <c:v>1446263151.7577271</c:v>
                </c:pt>
                <c:pt idx="8">
                  <c:v>1470647189.1957462</c:v>
                </c:pt>
                <c:pt idx="9">
                  <c:v>1442877696.6794028</c:v>
                </c:pt>
                <c:pt idx="10">
                  <c:v>1445764307.0847273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CC-406F-B2C8-EB0DE4F6A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645391"/>
        <c:axId val="150650191"/>
      </c:lineChart>
      <c:catAx>
        <c:axId val="150645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50191"/>
        <c:crosses val="autoZero"/>
        <c:auto val="1"/>
        <c:lblAlgn val="ctr"/>
        <c:lblOffset val="100"/>
        <c:noMultiLvlLbl val="0"/>
      </c:catAx>
      <c:valAx>
        <c:axId val="15065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45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'Summary Tables'!$B$7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Tables'!$AG$7:$AQ$7</c:f>
              <c:numCache>
                <c:formatCode>#,##0</c:formatCode>
                <c:ptCount val="11"/>
                <c:pt idx="0">
                  <c:v>117991437</c:v>
                </c:pt>
                <c:pt idx="1">
                  <c:v>117777486</c:v>
                </c:pt>
                <c:pt idx="2">
                  <c:v>110589767.84308411</c:v>
                </c:pt>
                <c:pt idx="3">
                  <c:v>101893892.280927</c:v>
                </c:pt>
                <c:pt idx="4">
                  <c:v>105654509.1076003</c:v>
                </c:pt>
                <c:pt idx="5">
                  <c:v>112464987.29709665</c:v>
                </c:pt>
                <c:pt idx="6">
                  <c:v>153160749.79471761</c:v>
                </c:pt>
                <c:pt idx="7">
                  <c:v>162734021.88019371</c:v>
                </c:pt>
                <c:pt idx="8">
                  <c:v>160084660.45041481</c:v>
                </c:pt>
                <c:pt idx="9">
                  <c:v>158677986.92773831</c:v>
                </c:pt>
                <c:pt idx="10">
                  <c:v>161514993.61743999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45-4587-AECD-07A6BDEB0B07}"/>
            </c:ext>
          </c:extLst>
        </c:ser>
        <c:ser>
          <c:idx val="4"/>
          <c:order val="1"/>
          <c:tx>
            <c:strRef>
              <c:f>'Summary Tables'!$B$6</c:f>
              <c:strCache>
                <c:ptCount val="1"/>
                <c:pt idx="0">
                  <c:v>GS Co Gen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Tables'!$AG$6:$AQ$6</c:f>
              <c:numCache>
                <c:formatCode>#,##0</c:formatCode>
                <c:ptCount val="11"/>
                <c:pt idx="0">
                  <c:v>46826076</c:v>
                </c:pt>
                <c:pt idx="1">
                  <c:v>47167618</c:v>
                </c:pt>
                <c:pt idx="2">
                  <c:v>34966867.902733505</c:v>
                </c:pt>
                <c:pt idx="3">
                  <c:v>36542441.547490597</c:v>
                </c:pt>
                <c:pt idx="4">
                  <c:v>28072541.583803825</c:v>
                </c:pt>
                <c:pt idx="5">
                  <c:v>43045721.021658659</c:v>
                </c:pt>
                <c:pt idx="6">
                  <c:v>51773685.92783922</c:v>
                </c:pt>
                <c:pt idx="7">
                  <c:v>34855427.423796594</c:v>
                </c:pt>
                <c:pt idx="8">
                  <c:v>31417818.32771375</c:v>
                </c:pt>
                <c:pt idx="9">
                  <c:v>38299276.110258639</c:v>
                </c:pt>
                <c:pt idx="10">
                  <c:v>37958687.17058029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45-4587-AECD-07A6BDEB0B07}"/>
            </c:ext>
          </c:extLst>
        </c:ser>
        <c:ser>
          <c:idx val="3"/>
          <c:order val="2"/>
          <c:tx>
            <c:strRef>
              <c:f>'Summary Tables'!$B$8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'Summary Tables'!$AG$2:$AQ$2</c:f>
              <c:strCache>
                <c:ptCount val="11"/>
                <c:pt idx="0">
                  <c:v>2017 Actual</c:v>
                </c:pt>
                <c:pt idx="1">
                  <c:v>2018 Actual</c:v>
                </c:pt>
                <c:pt idx="2">
                  <c:v>2019 Actual</c:v>
                </c:pt>
                <c:pt idx="3">
                  <c:v>2020 Actual</c:v>
                </c:pt>
                <c:pt idx="4">
                  <c:v>2021 Actual</c:v>
                </c:pt>
                <c:pt idx="5">
                  <c:v>2022 Actual</c:v>
                </c:pt>
                <c:pt idx="6">
                  <c:v>2023 Actual</c:v>
                </c:pt>
                <c:pt idx="7">
                  <c:v>2024 Actual</c:v>
                </c:pt>
                <c:pt idx="8">
                  <c:v>2025 Actual</c:v>
                </c:pt>
                <c:pt idx="9">
                  <c:v>2026 Forecast</c:v>
                </c:pt>
                <c:pt idx="10">
                  <c:v>2027 Forecast</c:v>
                </c:pt>
              </c:strCache>
            </c:strRef>
          </c:cat>
          <c:val>
            <c:numRef>
              <c:f>'Summary Tables'!$AG$8:$AQ$8</c:f>
              <c:numCache>
                <c:formatCode>#,##0</c:formatCode>
                <c:ptCount val="11"/>
                <c:pt idx="0">
                  <c:v>19787895.879999999</c:v>
                </c:pt>
                <c:pt idx="1">
                  <c:v>17086178.68</c:v>
                </c:pt>
                <c:pt idx="2">
                  <c:v>16623912.16</c:v>
                </c:pt>
                <c:pt idx="3">
                  <c:v>16908317.240000002</c:v>
                </c:pt>
                <c:pt idx="4">
                  <c:v>16882808.740000002</c:v>
                </c:pt>
                <c:pt idx="5">
                  <c:v>17000378.439999998</c:v>
                </c:pt>
                <c:pt idx="6">
                  <c:v>17184523.530000001</c:v>
                </c:pt>
                <c:pt idx="7">
                  <c:v>17401184.109999996</c:v>
                </c:pt>
                <c:pt idx="8">
                  <c:v>17445300.079999998</c:v>
                </c:pt>
                <c:pt idx="9">
                  <c:v>17667700.63636383</c:v>
                </c:pt>
                <c:pt idx="10">
                  <c:v>17892936.455362532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45-4587-AECD-07A6BDEB0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645391"/>
        <c:axId val="150650191"/>
      </c:lineChart>
      <c:catAx>
        <c:axId val="150645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50191"/>
        <c:crosses val="autoZero"/>
        <c:auto val="1"/>
        <c:lblAlgn val="ctr"/>
        <c:lblOffset val="100"/>
        <c:noMultiLvlLbl val="0"/>
      </c:catAx>
      <c:valAx>
        <c:axId val="15065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645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5" Type="http://schemas.openxmlformats.org/officeDocument/2006/relationships/chart" Target="../charts/chart22.xml"/><Relationship Id="rId4" Type="http://schemas.openxmlformats.org/officeDocument/2006/relationships/chart" Target="../charts/chart2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13" Type="http://schemas.openxmlformats.org/officeDocument/2006/relationships/chart" Target="../charts/chart45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12" Type="http://schemas.openxmlformats.org/officeDocument/2006/relationships/chart" Target="../charts/chart44.xml"/><Relationship Id="rId2" Type="http://schemas.openxmlformats.org/officeDocument/2006/relationships/chart" Target="../charts/chart34.xml"/><Relationship Id="rId16" Type="http://schemas.openxmlformats.org/officeDocument/2006/relationships/chart" Target="../charts/chart48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11" Type="http://schemas.openxmlformats.org/officeDocument/2006/relationships/chart" Target="../charts/chart43.xml"/><Relationship Id="rId5" Type="http://schemas.openxmlformats.org/officeDocument/2006/relationships/chart" Target="../charts/chart37.xml"/><Relationship Id="rId15" Type="http://schemas.openxmlformats.org/officeDocument/2006/relationships/chart" Target="../charts/chart47.xml"/><Relationship Id="rId10" Type="http://schemas.openxmlformats.org/officeDocument/2006/relationships/chart" Target="../charts/chart42.xml"/><Relationship Id="rId4" Type="http://schemas.openxmlformats.org/officeDocument/2006/relationships/chart" Target="../charts/chart36.xml"/><Relationship Id="rId9" Type="http://schemas.openxmlformats.org/officeDocument/2006/relationships/chart" Target="../charts/chart41.xml"/><Relationship Id="rId14" Type="http://schemas.openxmlformats.org/officeDocument/2006/relationships/chart" Target="../charts/chart4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6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5" Type="http://schemas.openxmlformats.org/officeDocument/2006/relationships/chart" Target="../charts/chart58.xml"/><Relationship Id="rId4" Type="http://schemas.openxmlformats.org/officeDocument/2006/relationships/chart" Target="../charts/chart57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1.xml"/><Relationship Id="rId2" Type="http://schemas.openxmlformats.org/officeDocument/2006/relationships/chart" Target="../charts/chart60.xml"/><Relationship Id="rId1" Type="http://schemas.openxmlformats.org/officeDocument/2006/relationships/chart" Target="../charts/chart59.xml"/><Relationship Id="rId4" Type="http://schemas.openxmlformats.org/officeDocument/2006/relationships/chart" Target="../charts/char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860107</xdr:colOff>
      <xdr:row>26</xdr:row>
      <xdr:rowOff>3809</xdr:rowOff>
    </xdr:from>
    <xdr:to>
      <xdr:col>22</xdr:col>
      <xdr:colOff>591502</xdr:colOff>
      <xdr:row>43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BAC360-5F0B-41B5-AEB1-6D425702C6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281940</xdr:colOff>
      <xdr:row>26</xdr:row>
      <xdr:rowOff>0</xdr:rowOff>
    </xdr:from>
    <xdr:to>
      <xdr:col>32</xdr:col>
      <xdr:colOff>436245</xdr:colOff>
      <xdr:row>43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7CA543-4908-4D40-87D3-16DBD96201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782955</xdr:colOff>
      <xdr:row>4</xdr:row>
      <xdr:rowOff>123825</xdr:rowOff>
    </xdr:from>
    <xdr:to>
      <xdr:col>22</xdr:col>
      <xdr:colOff>516255</xdr:colOff>
      <xdr:row>25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B603C4E-2CEB-4DB1-8B92-76496F857A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300990</xdr:colOff>
      <xdr:row>4</xdr:row>
      <xdr:rowOff>123825</xdr:rowOff>
    </xdr:from>
    <xdr:to>
      <xdr:col>32</xdr:col>
      <xdr:colOff>472440</xdr:colOff>
      <xdr:row>25</xdr:row>
      <xdr:rowOff>9525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BF67E16-A4EC-4827-808B-A95BCDCEE2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250507</xdr:colOff>
      <xdr:row>195</xdr:row>
      <xdr:rowOff>24765</xdr:rowOff>
    </xdr:from>
    <xdr:to>
      <xdr:col>32</xdr:col>
      <xdr:colOff>896302</xdr:colOff>
      <xdr:row>212</xdr:row>
      <xdr:rowOff>15240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182FF06-B730-40FE-A759-8412C69312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421005</xdr:colOff>
      <xdr:row>212</xdr:row>
      <xdr:rowOff>161925</xdr:rowOff>
    </xdr:from>
    <xdr:to>
      <xdr:col>32</xdr:col>
      <xdr:colOff>1055370</xdr:colOff>
      <xdr:row>229</xdr:row>
      <xdr:rowOff>152400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C43F0D0-B4ED-499A-896E-B8C006B488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344805</xdr:colOff>
      <xdr:row>231</xdr:row>
      <xdr:rowOff>91440</xdr:rowOff>
    </xdr:from>
    <xdr:to>
      <xdr:col>32</xdr:col>
      <xdr:colOff>986790</xdr:colOff>
      <xdr:row>248</xdr:row>
      <xdr:rowOff>91440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DB8B8257-E742-406A-B896-CC5DEDF513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37</xdr:col>
      <xdr:colOff>400685</xdr:colOff>
      <xdr:row>213</xdr:row>
      <xdr:rowOff>55880</xdr:rowOff>
    </xdr:from>
    <xdr:to>
      <xdr:col>47</xdr:col>
      <xdr:colOff>312420</xdr:colOff>
      <xdr:row>234</xdr:row>
      <xdr:rowOff>91440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0DD0EDB-12CF-4CD6-B77E-9B2C6A5B89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122</xdr:col>
      <xdr:colOff>390525</xdr:colOff>
      <xdr:row>8</xdr:row>
      <xdr:rowOff>152400</xdr:rowOff>
    </xdr:from>
    <xdr:to>
      <xdr:col>131</xdr:col>
      <xdr:colOff>560388</xdr:colOff>
      <xdr:row>27</xdr:row>
      <xdr:rowOff>134938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E6A5DF1-FCD2-4801-A04B-106D0AC40B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122</xdr:col>
      <xdr:colOff>379413</xdr:colOff>
      <xdr:row>29</xdr:row>
      <xdr:rowOff>36513</xdr:rowOff>
    </xdr:from>
    <xdr:to>
      <xdr:col>131</xdr:col>
      <xdr:colOff>534988</xdr:colOff>
      <xdr:row>47</xdr:row>
      <xdr:rowOff>96838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5E5D7D2-22EC-469C-976A-68FB4A7E4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122</xdr:col>
      <xdr:colOff>447674</xdr:colOff>
      <xdr:row>49</xdr:row>
      <xdr:rowOff>166689</xdr:rowOff>
    </xdr:from>
    <xdr:to>
      <xdr:col>132</xdr:col>
      <xdr:colOff>19049</xdr:colOff>
      <xdr:row>68</xdr:row>
      <xdr:rowOff>65089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77EAD0FA-8407-4128-88F0-4F38EE3EBB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817561</xdr:colOff>
      <xdr:row>28</xdr:row>
      <xdr:rowOff>38100</xdr:rowOff>
    </xdr:from>
    <xdr:to>
      <xdr:col>39</xdr:col>
      <xdr:colOff>31749</xdr:colOff>
      <xdr:row>55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9C5335-E387-4EA7-94A6-7F0B39647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417511</xdr:colOff>
      <xdr:row>27</xdr:row>
      <xdr:rowOff>15875</xdr:rowOff>
    </xdr:from>
    <xdr:to>
      <xdr:col>36</xdr:col>
      <xdr:colOff>3174</xdr:colOff>
      <xdr:row>52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2A0542-330B-41E3-BBDD-1231783A3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255586</xdr:colOff>
      <xdr:row>28</xdr:row>
      <xdr:rowOff>6350</xdr:rowOff>
    </xdr:from>
    <xdr:to>
      <xdr:col>36</xdr:col>
      <xdr:colOff>488949</xdr:colOff>
      <xdr:row>53</xdr:row>
      <xdr:rowOff>15875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774E03-D7A2-482D-A465-669F579489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255586</xdr:colOff>
      <xdr:row>28</xdr:row>
      <xdr:rowOff>6350</xdr:rowOff>
    </xdr:from>
    <xdr:to>
      <xdr:col>28</xdr:col>
      <xdr:colOff>488949</xdr:colOff>
      <xdr:row>53</xdr:row>
      <xdr:rowOff>15875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3750A9-72AD-4F95-9416-A81CF6D566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255586</xdr:colOff>
      <xdr:row>28</xdr:row>
      <xdr:rowOff>6350</xdr:rowOff>
    </xdr:from>
    <xdr:to>
      <xdr:col>28</xdr:col>
      <xdr:colOff>488949</xdr:colOff>
      <xdr:row>53</xdr:row>
      <xdr:rowOff>15875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2F7233-D5DF-480A-B6F3-803D97956B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255586</xdr:colOff>
      <xdr:row>28</xdr:row>
      <xdr:rowOff>6350</xdr:rowOff>
    </xdr:from>
    <xdr:to>
      <xdr:col>38</xdr:col>
      <xdr:colOff>488949</xdr:colOff>
      <xdr:row>53</xdr:row>
      <xdr:rowOff>15875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CF9129-3EF8-44D0-B035-B428B54F04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18</xdr:row>
      <xdr:rowOff>19050</xdr:rowOff>
    </xdr:from>
    <xdr:to>
      <xdr:col>5</xdr:col>
      <xdr:colOff>1162050</xdr:colOff>
      <xdr:row>37</xdr:row>
      <xdr:rowOff>66674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7590AFF-BB6F-4DED-9880-DF110456E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171449</xdr:colOff>
      <xdr:row>18</xdr:row>
      <xdr:rowOff>1</xdr:rowOff>
    </xdr:from>
    <xdr:to>
      <xdr:col>11</xdr:col>
      <xdr:colOff>1038225</xdr:colOff>
      <xdr:row>37</xdr:row>
      <xdr:rowOff>133350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D0E956E-CA50-4E8E-9AC9-5C37805A2F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49531</xdr:colOff>
      <xdr:row>18</xdr:row>
      <xdr:rowOff>0</xdr:rowOff>
    </xdr:from>
    <xdr:to>
      <xdr:col>17</xdr:col>
      <xdr:colOff>809626</xdr:colOff>
      <xdr:row>37</xdr:row>
      <xdr:rowOff>87630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3C8B755-117E-4AC4-8DC7-99FA99E081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1504950</xdr:colOff>
      <xdr:row>18</xdr:row>
      <xdr:rowOff>0</xdr:rowOff>
    </xdr:from>
    <xdr:to>
      <xdr:col>24</xdr:col>
      <xdr:colOff>0</xdr:colOff>
      <xdr:row>37</xdr:row>
      <xdr:rowOff>87630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DE6129-0D1F-4274-9589-4F99F932E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49529</xdr:colOff>
      <xdr:row>18</xdr:row>
      <xdr:rowOff>0</xdr:rowOff>
    </xdr:from>
    <xdr:to>
      <xdr:col>30</xdr:col>
      <xdr:colOff>314324</xdr:colOff>
      <xdr:row>37</xdr:row>
      <xdr:rowOff>87630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DCEE289-4199-4290-A819-6FE55CCB20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507681</xdr:colOff>
      <xdr:row>4</xdr:row>
      <xdr:rowOff>30480</xdr:rowOff>
    </xdr:from>
    <xdr:to>
      <xdr:col>37</xdr:col>
      <xdr:colOff>335279</xdr:colOff>
      <xdr:row>29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F9CC11-B6D9-4D70-863D-8AAC065173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72705</xdr:colOff>
      <xdr:row>3</xdr:row>
      <xdr:rowOff>133350</xdr:rowOff>
    </xdr:from>
    <xdr:to>
      <xdr:col>34</xdr:col>
      <xdr:colOff>527684</xdr:colOff>
      <xdr:row>28</xdr:row>
      <xdr:rowOff>141605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4FA056-E3C1-4B9E-BDD3-ABE97F8A0E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216216</xdr:colOff>
      <xdr:row>2</xdr:row>
      <xdr:rowOff>59055</xdr:rowOff>
    </xdr:from>
    <xdr:to>
      <xdr:col>34</xdr:col>
      <xdr:colOff>403859</xdr:colOff>
      <xdr:row>27</xdr:row>
      <xdr:rowOff>64770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B3CE61-437C-44EB-9BA7-86F666E600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216216</xdr:colOff>
      <xdr:row>2</xdr:row>
      <xdr:rowOff>59055</xdr:rowOff>
    </xdr:from>
    <xdr:to>
      <xdr:col>26</xdr:col>
      <xdr:colOff>403859</xdr:colOff>
      <xdr:row>27</xdr:row>
      <xdr:rowOff>64770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D2B425-8535-43CB-8782-BFC957677D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216216</xdr:colOff>
      <xdr:row>2</xdr:row>
      <xdr:rowOff>59055</xdr:rowOff>
    </xdr:from>
    <xdr:to>
      <xdr:col>36</xdr:col>
      <xdr:colOff>403859</xdr:colOff>
      <xdr:row>27</xdr:row>
      <xdr:rowOff>64770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083C9A-DBDF-4AD2-821B-287F2FBB8A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599121</xdr:colOff>
      <xdr:row>4</xdr:row>
      <xdr:rowOff>72390</xdr:rowOff>
    </xdr:from>
    <xdr:to>
      <xdr:col>41</xdr:col>
      <xdr:colOff>630554</xdr:colOff>
      <xdr:row>29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C2FF30-F7B1-4067-BF48-D6F16D114F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91755</xdr:colOff>
      <xdr:row>2</xdr:row>
      <xdr:rowOff>152400</xdr:rowOff>
    </xdr:from>
    <xdr:to>
      <xdr:col>36</xdr:col>
      <xdr:colOff>546734</xdr:colOff>
      <xdr:row>27</xdr:row>
      <xdr:rowOff>160655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69C4AB-0AAA-490A-85DF-1F82CBBBA3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86676</xdr:colOff>
      <xdr:row>2</xdr:row>
      <xdr:rowOff>49530</xdr:rowOff>
    </xdr:from>
    <xdr:to>
      <xdr:col>37</xdr:col>
      <xdr:colOff>268604</xdr:colOff>
      <xdr:row>27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E1ED790-0326-418E-9571-FE68985A45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86676</xdr:colOff>
      <xdr:row>2</xdr:row>
      <xdr:rowOff>49530</xdr:rowOff>
    </xdr:from>
    <xdr:to>
      <xdr:col>28</xdr:col>
      <xdr:colOff>268604</xdr:colOff>
      <xdr:row>27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96C75A-C9A9-48E3-9C07-7A06E599F1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86676</xdr:colOff>
      <xdr:row>2</xdr:row>
      <xdr:rowOff>49530</xdr:rowOff>
    </xdr:from>
    <xdr:to>
      <xdr:col>39</xdr:col>
      <xdr:colOff>268604</xdr:colOff>
      <xdr:row>27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006CD3-92D9-4762-A12F-BF0AFE6412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122236</xdr:colOff>
      <xdr:row>17</xdr:row>
      <xdr:rowOff>104774</xdr:rowOff>
    </xdr:from>
    <xdr:to>
      <xdr:col>10</xdr:col>
      <xdr:colOff>781050</xdr:colOff>
      <xdr:row>39</xdr:row>
      <xdr:rowOff>31749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EC5470-2573-4812-8C56-A375D48556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228600</xdr:colOff>
      <xdr:row>17</xdr:row>
      <xdr:rowOff>63500</xdr:rowOff>
    </xdr:from>
    <xdr:to>
      <xdr:col>22</xdr:col>
      <xdr:colOff>196850</xdr:colOff>
      <xdr:row>38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207334A-4535-49F6-B963-9DF4E61F9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124140</xdr:colOff>
      <xdr:row>17</xdr:row>
      <xdr:rowOff>102869</xdr:rowOff>
    </xdr:from>
    <xdr:to>
      <xdr:col>32</xdr:col>
      <xdr:colOff>1066800</xdr:colOff>
      <xdr:row>37</xdr:row>
      <xdr:rowOff>137159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179CB86-EF05-4293-9BF9-C3CE5E30A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55</xdr:col>
      <xdr:colOff>371474</xdr:colOff>
      <xdr:row>17</xdr:row>
      <xdr:rowOff>95250</xdr:rowOff>
    </xdr:from>
    <xdr:to>
      <xdr:col>61</xdr:col>
      <xdr:colOff>57150</xdr:colOff>
      <xdr:row>35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1D7B650-B93B-4A6B-BC1A-C8DC8DAACA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55</xdr:col>
      <xdr:colOff>130809</xdr:colOff>
      <xdr:row>36</xdr:row>
      <xdr:rowOff>91440</xdr:rowOff>
    </xdr:from>
    <xdr:to>
      <xdr:col>60</xdr:col>
      <xdr:colOff>838201</xdr:colOff>
      <xdr:row>52</xdr:row>
      <xdr:rowOff>11430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D65ED44-DEA9-4369-A6E4-F18A7F779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68</xdr:col>
      <xdr:colOff>100965</xdr:colOff>
      <xdr:row>17</xdr:row>
      <xdr:rowOff>88265</xdr:rowOff>
    </xdr:from>
    <xdr:to>
      <xdr:col>73</xdr:col>
      <xdr:colOff>125730</xdr:colOff>
      <xdr:row>35</xdr:row>
      <xdr:rowOff>111125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4E4D4AA-714F-4FCE-BEC7-D02D6565B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68</xdr:col>
      <xdr:colOff>116840</xdr:colOff>
      <xdr:row>36</xdr:row>
      <xdr:rowOff>135255</xdr:rowOff>
    </xdr:from>
    <xdr:to>
      <xdr:col>73</xdr:col>
      <xdr:colOff>523875</xdr:colOff>
      <xdr:row>52</xdr:row>
      <xdr:rowOff>135255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E7106142-F296-4EFA-ACBE-ABB7D55E1D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122236</xdr:colOff>
      <xdr:row>59</xdr:row>
      <xdr:rowOff>104774</xdr:rowOff>
    </xdr:from>
    <xdr:to>
      <xdr:col>10</xdr:col>
      <xdr:colOff>781050</xdr:colOff>
      <xdr:row>81</xdr:row>
      <xdr:rowOff>31749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9ACA521-3A13-442F-BB11-8D015FE58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228600</xdr:colOff>
      <xdr:row>59</xdr:row>
      <xdr:rowOff>63500</xdr:rowOff>
    </xdr:from>
    <xdr:to>
      <xdr:col>22</xdr:col>
      <xdr:colOff>196850</xdr:colOff>
      <xdr:row>80</xdr:row>
      <xdr:rowOff>142875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8F3309F-B253-4BF7-AF29-430166367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23</xdr:col>
      <xdr:colOff>126046</xdr:colOff>
      <xdr:row>59</xdr:row>
      <xdr:rowOff>99059</xdr:rowOff>
    </xdr:from>
    <xdr:to>
      <xdr:col>33</xdr:col>
      <xdr:colOff>276226</xdr:colOff>
      <xdr:row>79</xdr:row>
      <xdr:rowOff>133349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E27C60D-1488-456F-A928-ABF86B42AC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34</xdr:col>
      <xdr:colOff>124140</xdr:colOff>
      <xdr:row>17</xdr:row>
      <xdr:rowOff>102869</xdr:rowOff>
    </xdr:from>
    <xdr:to>
      <xdr:col>43</xdr:col>
      <xdr:colOff>1066800</xdr:colOff>
      <xdr:row>37</xdr:row>
      <xdr:rowOff>137159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EFD178A3-43F2-4680-9590-941AAD0D8F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45</xdr:col>
      <xdr:colOff>124140</xdr:colOff>
      <xdr:row>17</xdr:row>
      <xdr:rowOff>102869</xdr:rowOff>
    </xdr:from>
    <xdr:to>
      <xdr:col>54</xdr:col>
      <xdr:colOff>1066800</xdr:colOff>
      <xdr:row>37</xdr:row>
      <xdr:rowOff>137159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E62D959B-D270-4F4B-A36B-A30213A83F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61</xdr:col>
      <xdr:colOff>521969</xdr:colOff>
      <xdr:row>17</xdr:row>
      <xdr:rowOff>76200</xdr:rowOff>
    </xdr:from>
    <xdr:to>
      <xdr:col>67</xdr:col>
      <xdr:colOff>552450</xdr:colOff>
      <xdr:row>35</xdr:row>
      <xdr:rowOff>38100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20E77553-54D8-464A-A778-98FB02144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61</xdr:col>
      <xdr:colOff>448944</xdr:colOff>
      <xdr:row>36</xdr:row>
      <xdr:rowOff>95250</xdr:rowOff>
    </xdr:from>
    <xdr:to>
      <xdr:col>67</xdr:col>
      <xdr:colOff>314326</xdr:colOff>
      <xdr:row>52</xdr:row>
      <xdr:rowOff>15240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35BB8CAF-ADA7-4B4F-A6A3-29ABEF4403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34</xdr:col>
      <xdr:colOff>142875</xdr:colOff>
      <xdr:row>59</xdr:row>
      <xdr:rowOff>114300</xdr:rowOff>
    </xdr:from>
    <xdr:to>
      <xdr:col>43</xdr:col>
      <xdr:colOff>1079820</xdr:colOff>
      <xdr:row>79</xdr:row>
      <xdr:rowOff>148590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DE0D5381-AF22-4F6E-84D0-C5966D85D5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45</xdr:col>
      <xdr:colOff>0</xdr:colOff>
      <xdr:row>59</xdr:row>
      <xdr:rowOff>114300</xdr:rowOff>
    </xdr:from>
    <xdr:to>
      <xdr:col>54</xdr:col>
      <xdr:colOff>936945</xdr:colOff>
      <xdr:row>79</xdr:row>
      <xdr:rowOff>148590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C41FF6F-0240-4C9D-921D-8FD4978A33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74</xdr:row>
      <xdr:rowOff>0</xdr:rowOff>
    </xdr:from>
    <xdr:to>
      <xdr:col>7</xdr:col>
      <xdr:colOff>723901</xdr:colOff>
      <xdr:row>83</xdr:row>
      <xdr:rowOff>93481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A4D53E-85F9-D36A-74BC-F49730B7B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1" y="12753975"/>
          <a:ext cx="4362450" cy="163272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27</xdr:row>
      <xdr:rowOff>136207</xdr:rowOff>
    </xdr:from>
    <xdr:to>
      <xdr:col>7</xdr:col>
      <xdr:colOff>560070</xdr:colOff>
      <xdr:row>44</xdr:row>
      <xdr:rowOff>122872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864834-8FA9-40BB-B627-5873514A76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240031</xdr:colOff>
      <xdr:row>27</xdr:row>
      <xdr:rowOff>114300</xdr:rowOff>
    </xdr:from>
    <xdr:to>
      <xdr:col>29</xdr:col>
      <xdr:colOff>514351</xdr:colOff>
      <xdr:row>44</xdr:row>
      <xdr:rowOff>102870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1B1688-285F-41BE-B46D-6BD238C81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247650</xdr:colOff>
      <xdr:row>27</xdr:row>
      <xdr:rowOff>136207</xdr:rowOff>
    </xdr:from>
    <xdr:to>
      <xdr:col>14</xdr:col>
      <xdr:colOff>560070</xdr:colOff>
      <xdr:row>44</xdr:row>
      <xdr:rowOff>122872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90EE0F8-4946-4A5E-B101-C35DD7E588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247650</xdr:colOff>
      <xdr:row>27</xdr:row>
      <xdr:rowOff>136207</xdr:rowOff>
    </xdr:from>
    <xdr:to>
      <xdr:col>21</xdr:col>
      <xdr:colOff>560070</xdr:colOff>
      <xdr:row>44</xdr:row>
      <xdr:rowOff>122872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9E64193-A6CA-4FEA-B019-4AD20C781E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30</xdr:col>
      <xdr:colOff>240031</xdr:colOff>
      <xdr:row>27</xdr:row>
      <xdr:rowOff>114300</xdr:rowOff>
    </xdr:from>
    <xdr:to>
      <xdr:col>36</xdr:col>
      <xdr:colOff>514351</xdr:colOff>
      <xdr:row>44</xdr:row>
      <xdr:rowOff>102870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3825234-30D5-406C-A00E-2E61A89E0F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35</xdr:row>
      <xdr:rowOff>136207</xdr:rowOff>
    </xdr:from>
    <xdr:to>
      <xdr:col>7</xdr:col>
      <xdr:colOff>560070</xdr:colOff>
      <xdr:row>52</xdr:row>
      <xdr:rowOff>122872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9BD45E-F338-4016-AD3C-4C9EDCDD55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240031</xdr:colOff>
      <xdr:row>35</xdr:row>
      <xdr:rowOff>114300</xdr:rowOff>
    </xdr:from>
    <xdr:to>
      <xdr:col>29</xdr:col>
      <xdr:colOff>514351</xdr:colOff>
      <xdr:row>52</xdr:row>
      <xdr:rowOff>102870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B4405F7-93F8-413A-B7C1-05CA28BC21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247650</xdr:colOff>
      <xdr:row>35</xdr:row>
      <xdr:rowOff>136207</xdr:rowOff>
    </xdr:from>
    <xdr:to>
      <xdr:col>14</xdr:col>
      <xdr:colOff>560070</xdr:colOff>
      <xdr:row>52</xdr:row>
      <xdr:rowOff>122872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AFE7648-CDA2-469E-BC43-D75814296A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247650</xdr:colOff>
      <xdr:row>35</xdr:row>
      <xdr:rowOff>136207</xdr:rowOff>
    </xdr:from>
    <xdr:to>
      <xdr:col>21</xdr:col>
      <xdr:colOff>560070</xdr:colOff>
      <xdr:row>52</xdr:row>
      <xdr:rowOff>122872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0624BEB-D8EE-4569-B1DB-4238C88FB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30</xdr:col>
      <xdr:colOff>240031</xdr:colOff>
      <xdr:row>35</xdr:row>
      <xdr:rowOff>114300</xdr:rowOff>
    </xdr:from>
    <xdr:to>
      <xdr:col>36</xdr:col>
      <xdr:colOff>514351</xdr:colOff>
      <xdr:row>52</xdr:row>
      <xdr:rowOff>102870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94C0C63-45FA-4521-9E79-9B8833410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806767</xdr:colOff>
      <xdr:row>20</xdr:row>
      <xdr:rowOff>116205</xdr:rowOff>
    </xdr:from>
    <xdr:to>
      <xdr:col>21</xdr:col>
      <xdr:colOff>534352</xdr:colOff>
      <xdr:row>35</xdr:row>
      <xdr:rowOff>382905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558807-14C4-8862-A15E-B27C0217CD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276225</xdr:colOff>
      <xdr:row>20</xdr:row>
      <xdr:rowOff>64770</xdr:rowOff>
    </xdr:from>
    <xdr:to>
      <xdr:col>29</xdr:col>
      <xdr:colOff>443865</xdr:colOff>
      <xdr:row>35</xdr:row>
      <xdr:rowOff>325755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9909DEA-6FD1-4B3D-9564-4CBA012AD6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819150</xdr:colOff>
      <xdr:row>1</xdr:row>
      <xdr:rowOff>66675</xdr:rowOff>
    </xdr:from>
    <xdr:to>
      <xdr:col>21</xdr:col>
      <xdr:colOff>539115</xdr:colOff>
      <xdr:row>14</xdr:row>
      <xdr:rowOff>9525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5FE52F-02C9-4995-BD4C-D4D54B96D4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300990</xdr:colOff>
      <xdr:row>1</xdr:row>
      <xdr:rowOff>91440</xdr:rowOff>
    </xdr:from>
    <xdr:to>
      <xdr:col>29</xdr:col>
      <xdr:colOff>476250</xdr:colOff>
      <xdr:row>14</xdr:row>
      <xdr:rowOff>34290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906C701-7521-49A0-ACC4-06FC7BCA56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council.cleanairpartnership.org/wp-content/uploads/2021/11/2-21-050-EV-Charging-Performance-Requirements-in-GTHA.pdf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oee.nrcan.gc.ca/pml-lmp/index.cfm?language_langue=en&amp;action=app.search-recherche&amp;appliance=ASHP1_GH&amp;_gl=1*22c7uc*_ga*MTkyNTkxMzczNi4xNjg5MDg1ODA2*_ga_C2N57Y7DX5*MTcxNTM1MDU3Ni40My4xLjE3MTUzNTA1ODAuMC4wLjA.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D3D01-40D3-4574-B419-989868A2C74F}">
  <sheetPr>
    <tabColor rgb="FFFF0000"/>
  </sheetPr>
  <dimension ref="B1:AT49"/>
  <sheetViews>
    <sheetView tabSelected="1" topLeftCell="A11" workbookViewId="0">
      <selection activeCell="C34" sqref="C34:G34"/>
    </sheetView>
  </sheetViews>
  <sheetFormatPr defaultColWidth="9.1640625" defaultRowHeight="12.75" x14ac:dyDescent="0.2"/>
  <cols>
    <col min="1" max="1" width="3" style="27" customWidth="1"/>
    <col min="2" max="2" width="28.33203125" style="27" bestFit="1" customWidth="1"/>
    <col min="3" max="3" width="16.6640625" style="27" customWidth="1"/>
    <col min="4" max="13" width="16.33203125" style="27" bestFit="1" customWidth="1"/>
    <col min="14" max="14" width="15.6640625" style="27" bestFit="1" customWidth="1"/>
    <col min="15" max="35" width="9.1640625" style="27"/>
    <col min="36" max="46" width="14.1640625" style="27" bestFit="1" customWidth="1"/>
    <col min="47" max="16384" width="9.1640625" style="27"/>
  </cols>
  <sheetData>
    <row r="1" spans="2:13" ht="16.5" thickBot="1" x14ac:dyDescent="0.3">
      <c r="B1" s="45" t="s">
        <v>366</v>
      </c>
      <c r="C1" s="45"/>
      <c r="D1" s="149"/>
    </row>
    <row r="2" spans="2:13" ht="25.5" x14ac:dyDescent="0.2">
      <c r="B2" s="150">
        <v>2027</v>
      </c>
      <c r="C2" s="151" t="s">
        <v>116</v>
      </c>
      <c r="D2" s="151" t="s">
        <v>117</v>
      </c>
      <c r="E2" s="152" t="s">
        <v>367</v>
      </c>
    </row>
    <row r="3" spans="2:13" x14ac:dyDescent="0.2">
      <c r="B3" s="48" t="str">
        <f t="shared" ref="B3:B10" si="0">B39</f>
        <v>Residential</v>
      </c>
      <c r="C3" s="28">
        <f t="shared" ref="C3:C10" ca="1" si="1">M17</f>
        <v>1246806816.5202808</v>
      </c>
      <c r="D3" s="28"/>
      <c r="E3" s="47">
        <f t="shared" ref="E3:E10" ca="1" si="2">M39</f>
        <v>156277.41463038934</v>
      </c>
    </row>
    <row r="4" spans="2:13" x14ac:dyDescent="0.2">
      <c r="B4" s="48" t="str">
        <f t="shared" si="0"/>
        <v>GS &lt; 50</v>
      </c>
      <c r="C4" s="28">
        <f t="shared" ca="1" si="1"/>
        <v>419590048.81029916</v>
      </c>
      <c r="D4" s="28"/>
      <c r="E4" s="47">
        <f t="shared" ca="1" si="2"/>
        <v>13763.954379707202</v>
      </c>
    </row>
    <row r="5" spans="2:13" x14ac:dyDescent="0.2">
      <c r="B5" s="48" t="str">
        <f t="shared" si="0"/>
        <v>GS &gt; 50</v>
      </c>
      <c r="C5" s="28">
        <f t="shared" ca="1" si="1"/>
        <v>1445764307.0847273</v>
      </c>
      <c r="D5" s="28">
        <f ca="1">M29</f>
        <v>3658332.2230457268</v>
      </c>
      <c r="E5" s="47">
        <f t="shared" ca="1" si="2"/>
        <v>1518.8343192026005</v>
      </c>
      <c r="G5" s="28"/>
    </row>
    <row r="6" spans="2:13" x14ac:dyDescent="0.2">
      <c r="B6" s="48" t="str">
        <f t="shared" si="0"/>
        <v>GS Co Gen</v>
      </c>
      <c r="C6" s="28">
        <f t="shared" ca="1" si="1"/>
        <v>37958687.17058029</v>
      </c>
      <c r="D6" s="28">
        <f ca="1">M30</f>
        <v>67531.955359512373</v>
      </c>
      <c r="E6" s="47">
        <f t="shared" ca="1" si="2"/>
        <v>7</v>
      </c>
      <c r="K6" s="28"/>
      <c r="L6" s="147"/>
    </row>
    <row r="7" spans="2:13" x14ac:dyDescent="0.2">
      <c r="B7" s="48" t="str">
        <f t="shared" si="0"/>
        <v>Large Use</v>
      </c>
      <c r="C7" s="28">
        <f t="shared" ca="1" si="1"/>
        <v>161514993.61743999</v>
      </c>
      <c r="D7" s="28">
        <f ca="1">M31</f>
        <v>308313.00551821408</v>
      </c>
      <c r="E7" s="47">
        <f t="shared" ca="1" si="2"/>
        <v>2</v>
      </c>
      <c r="K7" s="28"/>
      <c r="L7" s="147"/>
    </row>
    <row r="8" spans="2:13" x14ac:dyDescent="0.2">
      <c r="B8" s="48" t="str">
        <f t="shared" si="0"/>
        <v>Street Light</v>
      </c>
      <c r="C8" s="28">
        <f t="shared" ca="1" si="1"/>
        <v>17892936.455362532</v>
      </c>
      <c r="D8" s="28">
        <f ca="1">M32</f>
        <v>50166.768464444751</v>
      </c>
      <c r="E8" s="47">
        <f t="shared" ca="1" si="2"/>
        <v>41542.967478485029</v>
      </c>
      <c r="K8" s="28"/>
      <c r="L8" s="147"/>
    </row>
    <row r="9" spans="2:13" x14ac:dyDescent="0.2">
      <c r="B9" s="48" t="str">
        <f t="shared" si="0"/>
        <v>Sentinel Light</v>
      </c>
      <c r="C9" s="28">
        <f t="shared" ca="1" si="1"/>
        <v>492053.30695998308</v>
      </c>
      <c r="D9" s="28">
        <f ca="1">M33</f>
        <v>1333.9778607983192</v>
      </c>
      <c r="E9" s="47">
        <f t="shared" ca="1" si="2"/>
        <v>466.20579173246864</v>
      </c>
      <c r="K9" s="28"/>
      <c r="L9" s="147"/>
    </row>
    <row r="10" spans="2:13" x14ac:dyDescent="0.2">
      <c r="B10" s="48" t="str">
        <f t="shared" si="0"/>
        <v>USL</v>
      </c>
      <c r="C10" s="28">
        <f t="shared" ca="1" si="1"/>
        <v>5443581.0518559851</v>
      </c>
      <c r="D10" s="28"/>
      <c r="E10" s="47">
        <f t="shared" ca="1" si="2"/>
        <v>1585.3160962621569</v>
      </c>
      <c r="K10" s="28"/>
      <c r="L10" s="147"/>
    </row>
    <row r="11" spans="2:13" x14ac:dyDescent="0.2">
      <c r="B11" s="48" t="str">
        <f>B34</f>
        <v>Standby</v>
      </c>
      <c r="C11" s="28"/>
      <c r="D11" s="28">
        <f ca="1">M34</f>
        <v>196800</v>
      </c>
      <c r="E11" s="47"/>
      <c r="K11" s="28"/>
      <c r="L11" s="147"/>
    </row>
    <row r="12" spans="2:13" ht="13.5" thickBot="1" x14ac:dyDescent="0.25">
      <c r="B12" s="153" t="s">
        <v>128</v>
      </c>
      <c r="C12" s="154">
        <f ca="1">SUM(C3:C11)</f>
        <v>3335463424.0175056</v>
      </c>
      <c r="D12" s="154">
        <f ca="1">SUM(D3:D11)</f>
        <v>4282477.9302486964</v>
      </c>
      <c r="E12" s="155">
        <f ca="1">SUM(E3:E11)</f>
        <v>215163.69269577879</v>
      </c>
      <c r="K12" s="28"/>
      <c r="L12" s="147"/>
    </row>
    <row r="13" spans="2:13" x14ac:dyDescent="0.2">
      <c r="K13" s="28"/>
      <c r="L13" s="147"/>
    </row>
    <row r="14" spans="2:13" x14ac:dyDescent="0.2">
      <c r="K14" s="28"/>
      <c r="L14" s="505"/>
    </row>
    <row r="15" spans="2:13" ht="16.5" thickBot="1" x14ac:dyDescent="0.3">
      <c r="B15" s="45" t="s">
        <v>116</v>
      </c>
      <c r="C15" s="45"/>
      <c r="L15" s="505"/>
    </row>
    <row r="16" spans="2:13" x14ac:dyDescent="0.2">
      <c r="B16" s="156" t="s">
        <v>116</v>
      </c>
      <c r="C16" s="150" t="str">
        <f>'Summary Tables'!AG2</f>
        <v>2017 Actual</v>
      </c>
      <c r="D16" s="353" t="str">
        <f>'Summary Tables'!AH2</f>
        <v>2018 Actual</v>
      </c>
      <c r="E16" s="353" t="str">
        <f>'Summary Tables'!AI2</f>
        <v>2019 Actual</v>
      </c>
      <c r="F16" s="353" t="str">
        <f>'Summary Tables'!AJ2</f>
        <v>2020 Actual</v>
      </c>
      <c r="G16" s="353" t="str">
        <f>'Summary Tables'!AK2</f>
        <v>2021 Actual</v>
      </c>
      <c r="H16" s="353" t="str">
        <f>'Summary Tables'!AL2</f>
        <v>2022 Actual</v>
      </c>
      <c r="I16" s="353" t="str">
        <f>'Summary Tables'!AM2</f>
        <v>2023 Actual</v>
      </c>
      <c r="J16" s="353" t="str">
        <f>'Summary Tables'!AN2</f>
        <v>2024 Actual</v>
      </c>
      <c r="K16" s="353" t="str">
        <f>'Summary Tables'!AO2</f>
        <v>2025 Actual</v>
      </c>
      <c r="L16" s="353" t="str">
        <f>'Summary Tables'!AP2</f>
        <v>2026 Forecast</v>
      </c>
      <c r="M16" s="354" t="str">
        <f>'Summary Tables'!AQ2</f>
        <v>2027 Forecast</v>
      </c>
    </row>
    <row r="17" spans="2:46" x14ac:dyDescent="0.2">
      <c r="B17" s="482" t="s">
        <v>24</v>
      </c>
      <c r="C17" s="485">
        <f ca="1">'Summary Tables'!AG3</f>
        <v>1047993667</v>
      </c>
      <c r="D17" s="486">
        <f ca="1">'Summary Tables'!AH3</f>
        <v>1139376021</v>
      </c>
      <c r="E17" s="486">
        <f ca="1">'Summary Tables'!AI3</f>
        <v>1101433888.4783466</v>
      </c>
      <c r="F17" s="486">
        <f ca="1">'Summary Tables'!AJ3</f>
        <v>1174376356.2405562</v>
      </c>
      <c r="G17" s="486">
        <f ca="1">'Summary Tables'!AK3</f>
        <v>1183155978.337724</v>
      </c>
      <c r="H17" s="486">
        <f ca="1">'Summary Tables'!AL3</f>
        <v>1180210179.8745952</v>
      </c>
      <c r="I17" s="486">
        <f ca="1">'Summary Tables'!AM3</f>
        <v>1127950490.8539553</v>
      </c>
      <c r="J17" s="486">
        <f ca="1">'Summary Tables'!AN3</f>
        <v>1181706111.5087397</v>
      </c>
      <c r="K17" s="486">
        <f ca="1">'Summary Tables'!AO3</f>
        <v>1217191863.2636447</v>
      </c>
      <c r="L17" s="486">
        <f ca="1">'Summary Tables'!AP3</f>
        <v>1221708841.5844655</v>
      </c>
      <c r="M17" s="487">
        <f ca="1">'Summary Tables'!AQ3</f>
        <v>1246806816.5202808</v>
      </c>
    </row>
    <row r="18" spans="2:46" x14ac:dyDescent="0.2">
      <c r="B18" s="483" t="s">
        <v>111</v>
      </c>
      <c r="C18" s="485">
        <f ca="1">'Summary Tables'!AG4</f>
        <v>385223199</v>
      </c>
      <c r="D18" s="486">
        <f ca="1">'Summary Tables'!AH4</f>
        <v>398801024</v>
      </c>
      <c r="E18" s="486">
        <f ca="1">'Summary Tables'!AI4</f>
        <v>394237702.73931646</v>
      </c>
      <c r="F18" s="486">
        <f ca="1">'Summary Tables'!AJ4</f>
        <v>374506007.7641958</v>
      </c>
      <c r="G18" s="486">
        <f ca="1">'Summary Tables'!AK4</f>
        <v>381478906.71076226</v>
      </c>
      <c r="H18" s="486">
        <f ca="1">'Summary Tables'!AL4</f>
        <v>404904347.96509457</v>
      </c>
      <c r="I18" s="486">
        <f ca="1">'Summary Tables'!AM4</f>
        <v>399918444.19770122</v>
      </c>
      <c r="J18" s="486">
        <f ca="1">'Summary Tables'!AN4</f>
        <v>404233973.90292341</v>
      </c>
      <c r="K18" s="486">
        <f ca="1">'Summary Tables'!AO4</f>
        <v>416596865.08434409</v>
      </c>
      <c r="L18" s="486">
        <f ca="1">'Summary Tables'!AP4</f>
        <v>414457157.80414426</v>
      </c>
      <c r="M18" s="487">
        <f ca="1">'Summary Tables'!AQ4</f>
        <v>419590048.81029916</v>
      </c>
    </row>
    <row r="19" spans="2:46" x14ac:dyDescent="0.2">
      <c r="B19" s="483" t="s">
        <v>112</v>
      </c>
      <c r="C19" s="485">
        <f ca="1">'Summary Tables'!AG5</f>
        <v>1458855316</v>
      </c>
      <c r="D19" s="486">
        <f ca="1">'Summary Tables'!AH5</f>
        <v>1485117370</v>
      </c>
      <c r="E19" s="486">
        <f ca="1">'Summary Tables'!AI5</f>
        <v>1408341173.2980461</v>
      </c>
      <c r="F19" s="486">
        <f ca="1">'Summary Tables'!AJ5</f>
        <v>1365678433.9229021</v>
      </c>
      <c r="G19" s="486">
        <f ca="1">'Summary Tables'!AK5</f>
        <v>1385380121.3308113</v>
      </c>
      <c r="H19" s="486">
        <f ca="1">'Summary Tables'!AL5</f>
        <v>1424708525.6983182</v>
      </c>
      <c r="I19" s="486">
        <f ca="1">'Summary Tables'!AM5</f>
        <v>1400393230.0632451</v>
      </c>
      <c r="J19" s="486">
        <f ca="1">'Summary Tables'!AN5</f>
        <v>1446263151.7577271</v>
      </c>
      <c r="K19" s="486">
        <f ca="1">'Summary Tables'!AO5</f>
        <v>1470647189.1957462</v>
      </c>
      <c r="L19" s="486">
        <f ca="1">'Summary Tables'!AP5</f>
        <v>1442877696.6794028</v>
      </c>
      <c r="M19" s="487">
        <f ca="1">'Summary Tables'!AQ5</f>
        <v>1445764307.0847273</v>
      </c>
    </row>
    <row r="20" spans="2:46" x14ac:dyDescent="0.2">
      <c r="B20" s="483" t="s">
        <v>481</v>
      </c>
      <c r="C20" s="485">
        <f ca="1">'Summary Tables'!AG6</f>
        <v>46826076</v>
      </c>
      <c r="D20" s="486">
        <f ca="1">'Summary Tables'!AH6</f>
        <v>47167618</v>
      </c>
      <c r="E20" s="486">
        <f ca="1">'Summary Tables'!AI6</f>
        <v>34966867.902733505</v>
      </c>
      <c r="F20" s="486">
        <f ca="1">'Summary Tables'!AJ6</f>
        <v>36542441.547490597</v>
      </c>
      <c r="G20" s="486">
        <f ca="1">'Summary Tables'!AK6</f>
        <v>28072541.583803825</v>
      </c>
      <c r="H20" s="486">
        <f ca="1">'Summary Tables'!AL6</f>
        <v>43045721.021658659</v>
      </c>
      <c r="I20" s="486">
        <f ca="1">'Summary Tables'!AM6</f>
        <v>51773685.92783922</v>
      </c>
      <c r="J20" s="486">
        <f ca="1">'Summary Tables'!AN6</f>
        <v>34855427.423796594</v>
      </c>
      <c r="K20" s="486">
        <f ca="1">'Summary Tables'!AO6</f>
        <v>31417818.32771375</v>
      </c>
      <c r="L20" s="486">
        <f ca="1">'Summary Tables'!AP6</f>
        <v>38299276.110258639</v>
      </c>
      <c r="M20" s="487">
        <f ca="1">'Summary Tables'!AQ6</f>
        <v>37958687.17058029</v>
      </c>
    </row>
    <row r="21" spans="2:46" x14ac:dyDescent="0.2">
      <c r="B21" s="483" t="s">
        <v>444</v>
      </c>
      <c r="C21" s="485">
        <f ca="1">'Summary Tables'!AG7</f>
        <v>117991437</v>
      </c>
      <c r="D21" s="486">
        <f ca="1">'Summary Tables'!AH7</f>
        <v>117777486</v>
      </c>
      <c r="E21" s="486">
        <f ca="1">'Summary Tables'!AI7</f>
        <v>110589767.84308411</v>
      </c>
      <c r="F21" s="486">
        <f ca="1">'Summary Tables'!AJ7</f>
        <v>101893892.280927</v>
      </c>
      <c r="G21" s="486">
        <f ca="1">'Summary Tables'!AK7</f>
        <v>105654509.1076003</v>
      </c>
      <c r="H21" s="486">
        <f ca="1">'Summary Tables'!AL7</f>
        <v>112464987.29709665</v>
      </c>
      <c r="I21" s="486">
        <f ca="1">'Summary Tables'!AM7</f>
        <v>153160749.79471761</v>
      </c>
      <c r="J21" s="486">
        <f ca="1">'Summary Tables'!AN7</f>
        <v>162734021.88019371</v>
      </c>
      <c r="K21" s="486">
        <f ca="1">'Summary Tables'!AO7</f>
        <v>160084660.45041481</v>
      </c>
      <c r="L21" s="486">
        <f ca="1">'Summary Tables'!AP7</f>
        <v>158677986.92773831</v>
      </c>
      <c r="M21" s="487">
        <f ca="1">'Summary Tables'!AQ7</f>
        <v>161514993.61743999</v>
      </c>
    </row>
    <row r="22" spans="2:46" x14ac:dyDescent="0.2">
      <c r="B22" s="483" t="s">
        <v>122</v>
      </c>
      <c r="C22" s="485">
        <f ca="1">'Summary Tables'!AG8</f>
        <v>19787895.879999999</v>
      </c>
      <c r="D22" s="486">
        <f ca="1">'Summary Tables'!AH8</f>
        <v>17086178.68</v>
      </c>
      <c r="E22" s="486">
        <f ca="1">'Summary Tables'!AI8</f>
        <v>16623912.16</v>
      </c>
      <c r="F22" s="486">
        <f ca="1">'Summary Tables'!AJ8</f>
        <v>16908317.240000002</v>
      </c>
      <c r="G22" s="486">
        <f ca="1">'Summary Tables'!AK8</f>
        <v>16882808.740000002</v>
      </c>
      <c r="H22" s="486">
        <f ca="1">'Summary Tables'!AL8</f>
        <v>17000378.439999998</v>
      </c>
      <c r="I22" s="486">
        <f ca="1">'Summary Tables'!AM8</f>
        <v>17184523.530000001</v>
      </c>
      <c r="J22" s="486">
        <f ca="1">'Summary Tables'!AN8</f>
        <v>17401184.109999996</v>
      </c>
      <c r="K22" s="486">
        <f ca="1">'Summary Tables'!AO8</f>
        <v>17445300.079999998</v>
      </c>
      <c r="L22" s="486">
        <f ca="1">'Summary Tables'!AP8</f>
        <v>17667700.63636383</v>
      </c>
      <c r="M22" s="487">
        <f ca="1">'Summary Tables'!AQ8</f>
        <v>17892936.455362532</v>
      </c>
    </row>
    <row r="23" spans="2:46" x14ac:dyDescent="0.2">
      <c r="B23" s="483" t="s">
        <v>508</v>
      </c>
      <c r="C23" s="485">
        <f ca="1">'Summary Tables'!AG9</f>
        <v>580140.85</v>
      </c>
      <c r="D23" s="486">
        <f ca="1">'Summary Tables'!AH9</f>
        <v>548884.51</v>
      </c>
      <c r="E23" s="486">
        <f ca="1">'Summary Tables'!AI9</f>
        <v>541071.94000000006</v>
      </c>
      <c r="F23" s="486">
        <f ca="1">'Summary Tables'!AJ9</f>
        <v>535957.61</v>
      </c>
      <c r="G23" s="486">
        <f ca="1">'Summary Tables'!AK9</f>
        <v>528905.92999999993</v>
      </c>
      <c r="H23" s="486">
        <f ca="1">'Summary Tables'!AL9</f>
        <v>527895.42999999993</v>
      </c>
      <c r="I23" s="486">
        <f ca="1">'Summary Tables'!AM9</f>
        <v>522310.94999999995</v>
      </c>
      <c r="J23" s="486">
        <f ca="1">'Summary Tables'!AN9</f>
        <v>512976.02999999985</v>
      </c>
      <c r="K23" s="486">
        <f ca="1">'Summary Tables'!AO9</f>
        <v>506226.3899999999</v>
      </c>
      <c r="L23" s="486">
        <f ca="1">'Summary Tables'!AP9</f>
        <v>499089.74317390809</v>
      </c>
      <c r="M23" s="487">
        <f ca="1">'Summary Tables'!AQ9</f>
        <v>492053.30695998308</v>
      </c>
    </row>
    <row r="24" spans="2:46" x14ac:dyDescent="0.2">
      <c r="B24" s="483" t="s">
        <v>35</v>
      </c>
      <c r="C24" s="485">
        <f ca="1">'Summary Tables'!AG10</f>
        <v>5547493.9300000006</v>
      </c>
      <c r="D24" s="486">
        <f ca="1">'Summary Tables'!AH10</f>
        <v>5495625.3000000007</v>
      </c>
      <c r="E24" s="486">
        <f ca="1">'Summary Tables'!AI10</f>
        <v>5503096.21</v>
      </c>
      <c r="F24" s="486">
        <f ca="1">'Summary Tables'!AJ10</f>
        <v>5418852.5500000007</v>
      </c>
      <c r="G24" s="486">
        <f ca="1">'Summary Tables'!AK10</f>
        <v>5433333.7500000009</v>
      </c>
      <c r="H24" s="486">
        <f ca="1">'Summary Tables'!AL10</f>
        <v>5441494.0800000001</v>
      </c>
      <c r="I24" s="486">
        <f ca="1">'Summary Tables'!AM10</f>
        <v>5450500.6399999978</v>
      </c>
      <c r="J24" s="486">
        <f ca="1">'Summary Tables'!AN10</f>
        <v>5428926.6799999997</v>
      </c>
      <c r="K24" s="486">
        <f ca="1">'Summary Tables'!AO10</f>
        <v>5436603.9800000004</v>
      </c>
      <c r="L24" s="486">
        <f ca="1">'Summary Tables'!AP10</f>
        <v>5438761.2873400953</v>
      </c>
      <c r="M24" s="487">
        <f ca="1">'Summary Tables'!AQ10</f>
        <v>5443581.0518559851</v>
      </c>
    </row>
    <row r="25" spans="2:46" ht="13.5" thickBot="1" x14ac:dyDescent="0.25">
      <c r="B25" s="484" t="s">
        <v>128</v>
      </c>
      <c r="C25" s="161">
        <f t="shared" ref="C25:M25" ca="1" si="3">SUM(C17:C24)</f>
        <v>3082805225.6599998</v>
      </c>
      <c r="D25" s="154">
        <f t="shared" ca="1" si="3"/>
        <v>3211370207.4900002</v>
      </c>
      <c r="E25" s="154">
        <f t="shared" ca="1" si="3"/>
        <v>3072237480.5715265</v>
      </c>
      <c r="F25" s="154">
        <f t="shared" ca="1" si="3"/>
        <v>3075860259.1560721</v>
      </c>
      <c r="G25" s="154">
        <f t="shared" ca="1" si="3"/>
        <v>3106587105.4907007</v>
      </c>
      <c r="H25" s="154">
        <f t="shared" ca="1" si="3"/>
        <v>3188303529.8067632</v>
      </c>
      <c r="I25" s="154">
        <f t="shared" ca="1" si="3"/>
        <v>3156353935.9574585</v>
      </c>
      <c r="J25" s="154">
        <f t="shared" ca="1" si="3"/>
        <v>3253135773.2933807</v>
      </c>
      <c r="K25" s="154">
        <f t="shared" ca="1" si="3"/>
        <v>3319326526.7718635</v>
      </c>
      <c r="L25" s="154">
        <f t="shared" ca="1" si="3"/>
        <v>3299626510.7728877</v>
      </c>
      <c r="M25" s="155">
        <f t="shared" ca="1" si="3"/>
        <v>3335463424.0175056</v>
      </c>
    </row>
    <row r="26" spans="2:46" ht="15.75" x14ac:dyDescent="0.25">
      <c r="C26" s="549"/>
      <c r="D26" s="549"/>
      <c r="E26" s="549"/>
      <c r="F26" s="549"/>
      <c r="G26" s="549"/>
      <c r="H26" s="549"/>
      <c r="I26" s="549"/>
      <c r="J26" s="549"/>
      <c r="K26" s="549"/>
      <c r="L26" s="147"/>
      <c r="M26" s="147"/>
    </row>
    <row r="27" spans="2:46" ht="16.5" thickBot="1" x14ac:dyDescent="0.3">
      <c r="B27" s="45" t="s">
        <v>522</v>
      </c>
      <c r="C27" s="549"/>
      <c r="D27" s="549"/>
      <c r="E27" s="549"/>
      <c r="F27" s="549"/>
      <c r="G27" s="549"/>
      <c r="H27" s="549"/>
      <c r="I27" s="549"/>
      <c r="J27" s="549"/>
      <c r="K27" s="549"/>
    </row>
    <row r="28" spans="2:46" x14ac:dyDescent="0.2">
      <c r="B28" s="156" t="s">
        <v>117</v>
      </c>
      <c r="C28" s="353" t="str">
        <f>'Summary Tables'!AG26</f>
        <v>2017 Actual</v>
      </c>
      <c r="D28" s="353" t="str">
        <f>'Summary Tables'!AH26</f>
        <v>2018 Actual</v>
      </c>
      <c r="E28" s="353" t="str">
        <f>'Summary Tables'!AI26</f>
        <v>2019 Actual</v>
      </c>
      <c r="F28" s="353" t="str">
        <f>'Summary Tables'!AJ26</f>
        <v>2020 Actual</v>
      </c>
      <c r="G28" s="353" t="str">
        <f>'Summary Tables'!AK26</f>
        <v>2021 Actual</v>
      </c>
      <c r="H28" s="353" t="str">
        <f>'Summary Tables'!AL26</f>
        <v>2022 Actual</v>
      </c>
      <c r="I28" s="353" t="str">
        <f>'Summary Tables'!AM26</f>
        <v>2023 Actual</v>
      </c>
      <c r="J28" s="353" t="str">
        <f>'Summary Tables'!AN26</f>
        <v>2024 Actual</v>
      </c>
      <c r="K28" s="353" t="str">
        <f>'Summary Tables'!AO26</f>
        <v>2025 Actual</v>
      </c>
      <c r="L28" s="353" t="str">
        <f>'Summary Tables'!AP26</f>
        <v>2026 Forecast</v>
      </c>
      <c r="M28" s="354" t="str">
        <f>'Summary Tables'!AQ26</f>
        <v>2027 Forecast</v>
      </c>
      <c r="AJ28" s="481"/>
      <c r="AK28" s="481"/>
      <c r="AL28" s="481"/>
      <c r="AM28" s="481"/>
      <c r="AN28" s="481"/>
      <c r="AO28" s="481"/>
      <c r="AP28" s="481"/>
      <c r="AQ28" s="481"/>
      <c r="AR28" s="481"/>
      <c r="AS28" s="481"/>
      <c r="AT28" s="481"/>
    </row>
    <row r="29" spans="2:46" x14ac:dyDescent="0.2">
      <c r="B29" s="48" t="str">
        <f>B19</f>
        <v>GS &gt; 50</v>
      </c>
      <c r="C29" s="486">
        <f ca="1">'Summary Tables'!AG27</f>
        <v>3708563.0700000008</v>
      </c>
      <c r="D29" s="486">
        <f ca="1">'Summary Tables'!AH27</f>
        <v>3744566.08</v>
      </c>
      <c r="E29" s="486">
        <f ca="1">'Summary Tables'!AI27</f>
        <v>3636724.4299999997</v>
      </c>
      <c r="F29" s="486">
        <f ca="1">'Summary Tables'!AJ27</f>
        <v>3426345.0799999996</v>
      </c>
      <c r="G29" s="486">
        <f ca="1">'Summary Tables'!AK27</f>
        <v>3496519.7399999998</v>
      </c>
      <c r="H29" s="486">
        <f ca="1">'Summary Tables'!AL27</f>
        <v>3574256.7199999997</v>
      </c>
      <c r="I29" s="486">
        <f ca="1">'Summary Tables'!AM27</f>
        <v>3541020.3</v>
      </c>
      <c r="J29" s="486">
        <f ca="1">'Summary Tables'!AN27</f>
        <v>3656086</v>
      </c>
      <c r="K29" s="486">
        <f ca="1">'Summary Tables'!AO27</f>
        <v>3705957.01</v>
      </c>
      <c r="L29" s="486">
        <f ca="1">'Summary Tables'!AP27</f>
        <v>3651493.8006045213</v>
      </c>
      <c r="M29" s="487">
        <f ca="1">'Summary Tables'!AQ27</f>
        <v>3658332.2230457268</v>
      </c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</row>
    <row r="30" spans="2:46" x14ac:dyDescent="0.2">
      <c r="B30" s="48" t="str">
        <f>B20</f>
        <v>GS Co Gen</v>
      </c>
      <c r="C30" s="486">
        <f ca="1">'Summary Tables'!AG28</f>
        <v>74118.640000000014</v>
      </c>
      <c r="D30" s="486">
        <f ca="1">'Summary Tables'!AH28</f>
        <v>88637.540000000008</v>
      </c>
      <c r="E30" s="486">
        <f ca="1">'Summary Tables'!AI28</f>
        <v>55790.87999999999</v>
      </c>
      <c r="F30" s="486">
        <f ca="1">'Summary Tables'!AJ28</f>
        <v>60972.479999999996</v>
      </c>
      <c r="G30" s="486">
        <f ca="1">'Summary Tables'!AK28</f>
        <v>50765.990000000005</v>
      </c>
      <c r="H30" s="486">
        <f ca="1">'Summary Tables'!AL28</f>
        <v>72458.680000000008</v>
      </c>
      <c r="I30" s="486">
        <f ca="1">'Summary Tables'!AM28</f>
        <v>81016.87999999999</v>
      </c>
      <c r="J30" s="486">
        <f ca="1">'Summary Tables'!AN28</f>
        <v>69036</v>
      </c>
      <c r="K30" s="486">
        <f ca="1">'Summary Tables'!AO28</f>
        <v>70644.329999999987</v>
      </c>
      <c r="L30" s="486">
        <f ca="1">'Summary Tables'!AP28</f>
        <v>68137.894046668254</v>
      </c>
      <c r="M30" s="487">
        <f ca="1">'Summary Tables'!AQ28</f>
        <v>67531.955359512373</v>
      </c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</row>
    <row r="31" spans="2:46" x14ac:dyDescent="0.2">
      <c r="B31" s="48" t="str">
        <f>B21</f>
        <v>Large Use</v>
      </c>
      <c r="C31" s="486">
        <f ca="1">'Summary Tables'!AG29</f>
        <v>227423.46000000002</v>
      </c>
      <c r="D31" s="486">
        <f ca="1">'Summary Tables'!AH29</f>
        <v>221470.55</v>
      </c>
      <c r="E31" s="486">
        <f ca="1">'Summary Tables'!AI29</f>
        <v>216188.63999999998</v>
      </c>
      <c r="F31" s="486">
        <f ca="1">'Summary Tables'!AJ29</f>
        <v>189813.83000000002</v>
      </c>
      <c r="G31" s="486">
        <f ca="1">'Summary Tables'!AK29</f>
        <v>194965.44</v>
      </c>
      <c r="H31" s="486">
        <f ca="1">'Summary Tables'!AL29</f>
        <v>213689.69</v>
      </c>
      <c r="I31" s="486">
        <f ca="1">'Summary Tables'!AM29</f>
        <v>298641.74</v>
      </c>
      <c r="J31" s="486">
        <f ca="1">'Summary Tables'!AN29</f>
        <v>311835.54000000004</v>
      </c>
      <c r="K31" s="486">
        <f ca="1">'Summary Tables'!AO29</f>
        <v>310223.76000000007</v>
      </c>
      <c r="L31" s="486">
        <f ca="1">'Summary Tables'!AP29</f>
        <v>302940.87640740536</v>
      </c>
      <c r="M31" s="487">
        <f ca="1">'Summary Tables'!AQ29</f>
        <v>308313.00551821408</v>
      </c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</row>
    <row r="32" spans="2:46" x14ac:dyDescent="0.2">
      <c r="B32" s="48" t="str">
        <f>B22</f>
        <v>Street Light</v>
      </c>
      <c r="C32" s="486">
        <f ca="1">'Summary Tables'!AG30</f>
        <v>55752.55</v>
      </c>
      <c r="D32" s="486">
        <f ca="1">'Summary Tables'!AH30</f>
        <v>47864.480000000003</v>
      </c>
      <c r="E32" s="486">
        <f ca="1">'Summary Tables'!AI30</f>
        <v>46618.69</v>
      </c>
      <c r="F32" s="486">
        <f ca="1">'Summary Tables'!AJ30</f>
        <v>47272.400000000009</v>
      </c>
      <c r="G32" s="486">
        <f ca="1">'Summary Tables'!AK30</f>
        <v>47347.969999999994</v>
      </c>
      <c r="H32" s="486">
        <f ca="1">'Summary Tables'!AL30</f>
        <v>47685.229999999996</v>
      </c>
      <c r="I32" s="486">
        <f ca="1">'Summary Tables'!AM30</f>
        <v>48191.71</v>
      </c>
      <c r="J32" s="486">
        <f ca="1">'Summary Tables'!AN30</f>
        <v>48655.009999999995</v>
      </c>
      <c r="K32" s="486">
        <f ca="1">'Summary Tables'!AO30</f>
        <v>48926.820000000007</v>
      </c>
      <c r="L32" s="486">
        <f ca="1">'Summary Tables'!AP30</f>
        <v>49535.270487028029</v>
      </c>
      <c r="M32" s="487">
        <f ca="1">'Summary Tables'!AQ30</f>
        <v>50166.768464444751</v>
      </c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</row>
    <row r="33" spans="2:46" x14ac:dyDescent="0.2">
      <c r="B33" s="48" t="str">
        <f>B23</f>
        <v>Sentinel Light</v>
      </c>
      <c r="C33" s="486">
        <f ca="1">'Summary Tables'!AG31</f>
        <v>1579.19</v>
      </c>
      <c r="D33" s="486">
        <f ca="1">'Summary Tables'!AH31</f>
        <v>1489.9299999999998</v>
      </c>
      <c r="E33" s="486">
        <f ca="1">'Summary Tables'!AI31</f>
        <v>1467.4</v>
      </c>
      <c r="F33" s="486">
        <f ca="1">'Summary Tables'!AJ31</f>
        <v>1446.0000000000002</v>
      </c>
      <c r="G33" s="486">
        <f ca="1">'Summary Tables'!AK31</f>
        <v>1433.2900000000002</v>
      </c>
      <c r="H33" s="486">
        <f ca="1">'Summary Tables'!AL31</f>
        <v>1427.4699999999998</v>
      </c>
      <c r="I33" s="486">
        <f ca="1">'Summary Tables'!AM31</f>
        <v>1416.03</v>
      </c>
      <c r="J33" s="486">
        <f ca="1">'Summary Tables'!AN31</f>
        <v>1394.79</v>
      </c>
      <c r="K33" s="486">
        <f ca="1">'Summary Tables'!AO31</f>
        <v>1371.2399999999998</v>
      </c>
      <c r="L33" s="486">
        <f ca="1">'Summary Tables'!AP31</f>
        <v>1353.053944619983</v>
      </c>
      <c r="M33" s="487">
        <f ca="1">'Summary Tables'!AQ31</f>
        <v>1333.9778607983192</v>
      </c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</row>
    <row r="34" spans="2:46" x14ac:dyDescent="0.2">
      <c r="B34" s="48" t="s">
        <v>524</v>
      </c>
      <c r="C34" s="486">
        <f ca="1">'Summary Tables'!AG32</f>
        <v>157800</v>
      </c>
      <c r="D34" s="486">
        <f ca="1">'Summary Tables'!AH32</f>
        <v>172800</v>
      </c>
      <c r="E34" s="486">
        <f ca="1">'Summary Tables'!AI32</f>
        <v>172800</v>
      </c>
      <c r="F34" s="486">
        <f ca="1">'Summary Tables'!AJ32</f>
        <v>182800</v>
      </c>
      <c r="G34" s="486">
        <f ca="1">'Summary Tables'!AK32</f>
        <v>194300</v>
      </c>
      <c r="H34" s="486">
        <f ca="1">'Summary Tables'!AL32</f>
        <v>196800</v>
      </c>
      <c r="I34" s="486">
        <f ca="1">'Summary Tables'!AM32</f>
        <v>196800</v>
      </c>
      <c r="J34" s="486">
        <f ca="1">'Summary Tables'!AN32</f>
        <v>196800</v>
      </c>
      <c r="K34" s="486">
        <f ca="1">'Summary Tables'!AO32</f>
        <v>196800</v>
      </c>
      <c r="L34" s="486">
        <f ca="1">'Summary Tables'!AP32</f>
        <v>196800</v>
      </c>
      <c r="M34" s="487">
        <f ca="1">'Summary Tables'!AQ32</f>
        <v>196800</v>
      </c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</row>
    <row r="35" spans="2:46" ht="13.5" thickBot="1" x14ac:dyDescent="0.25">
      <c r="B35" s="153" t="s">
        <v>128</v>
      </c>
      <c r="C35" s="154">
        <f t="shared" ref="C35:M35" ca="1" si="4">SUM(C29:C34)</f>
        <v>4225236.91</v>
      </c>
      <c r="D35" s="154">
        <f t="shared" ca="1" si="4"/>
        <v>4276828.58</v>
      </c>
      <c r="E35" s="154">
        <f t="shared" ca="1" si="4"/>
        <v>4129590.0399999996</v>
      </c>
      <c r="F35" s="154">
        <f t="shared" ca="1" si="4"/>
        <v>3908649.7899999996</v>
      </c>
      <c r="G35" s="154">
        <f t="shared" ca="1" si="4"/>
        <v>3985332.43</v>
      </c>
      <c r="H35" s="154">
        <f t="shared" ca="1" si="4"/>
        <v>4106317.79</v>
      </c>
      <c r="I35" s="154">
        <f t="shared" ca="1" si="4"/>
        <v>4167086.6599999997</v>
      </c>
      <c r="J35" s="154">
        <f t="shared" ca="1" si="4"/>
        <v>4283807.34</v>
      </c>
      <c r="K35" s="154">
        <f t="shared" ca="1" si="4"/>
        <v>4333923.16</v>
      </c>
      <c r="L35" s="154">
        <f t="shared" ca="1" si="4"/>
        <v>4270260.8954902431</v>
      </c>
      <c r="M35" s="155">
        <f t="shared" ca="1" si="4"/>
        <v>4282477.9302486964</v>
      </c>
    </row>
    <row r="36" spans="2:46" ht="15.75" x14ac:dyDescent="0.25">
      <c r="C36" s="549"/>
      <c r="D36" s="549"/>
      <c r="E36" s="549"/>
      <c r="F36" s="549"/>
      <c r="G36" s="549"/>
      <c r="H36" s="549"/>
      <c r="I36" s="549"/>
      <c r="J36" s="549"/>
      <c r="K36" s="549"/>
    </row>
    <row r="37" spans="2:46" ht="16.5" thickBot="1" x14ac:dyDescent="0.3">
      <c r="B37" s="45" t="s">
        <v>175</v>
      </c>
      <c r="C37" s="549"/>
      <c r="D37" s="549"/>
      <c r="E37" s="549"/>
      <c r="F37" s="549"/>
      <c r="G37" s="549"/>
      <c r="H37" s="549"/>
      <c r="I37" s="549"/>
      <c r="J37" s="549"/>
      <c r="K37" s="549"/>
    </row>
    <row r="38" spans="2:46" x14ac:dyDescent="0.2">
      <c r="B38" s="156" t="s">
        <v>114</v>
      </c>
      <c r="C38" s="157" t="s">
        <v>126</v>
      </c>
      <c r="D38" s="157" t="s">
        <v>127</v>
      </c>
      <c r="E38" s="157" t="s">
        <v>151</v>
      </c>
      <c r="F38" s="157" t="s">
        <v>328</v>
      </c>
      <c r="G38" s="157" t="s">
        <v>329</v>
      </c>
      <c r="H38" s="157" t="s">
        <v>330</v>
      </c>
      <c r="I38" s="157" t="s">
        <v>331</v>
      </c>
      <c r="J38" s="157" t="s">
        <v>392</v>
      </c>
      <c r="K38" s="157" t="s">
        <v>543</v>
      </c>
      <c r="L38" s="157" t="s">
        <v>317</v>
      </c>
      <c r="M38" s="159" t="s">
        <v>507</v>
      </c>
    </row>
    <row r="39" spans="2:46" x14ac:dyDescent="0.2">
      <c r="B39" s="48" t="str">
        <f t="shared" ref="B39:B46" si="5">B17</f>
        <v>Residential</v>
      </c>
      <c r="C39" s="28">
        <f ca="1">'Summary Tables'!C47</f>
        <v>142206.66666666666</v>
      </c>
      <c r="D39" s="28">
        <f ca="1">'Summary Tables'!D47</f>
        <v>143926.91666666666</v>
      </c>
      <c r="E39" s="28">
        <f ca="1">'Summary Tables'!E47</f>
        <v>145514.41666666666</v>
      </c>
      <c r="F39" s="28">
        <f ca="1">'Summary Tables'!F47</f>
        <v>146977.5</v>
      </c>
      <c r="G39" s="28">
        <f ca="1">'Summary Tables'!G47</f>
        <v>148595.83333333334</v>
      </c>
      <c r="H39" s="28">
        <f ca="1">'Summary Tables'!H47</f>
        <v>150464.33333333334</v>
      </c>
      <c r="I39" s="28">
        <f ca="1">'Summary Tables'!I47</f>
        <v>151858.5</v>
      </c>
      <c r="J39" s="28">
        <f ca="1">'Summary Tables'!J47</f>
        <v>152856.16666666666</v>
      </c>
      <c r="K39" s="28">
        <f ca="1">'Summary Tables'!K47</f>
        <v>153673.75</v>
      </c>
      <c r="L39" s="28">
        <f ca="1">'Summary Tables'!L47</f>
        <v>154970.11436582473</v>
      </c>
      <c r="M39" s="47">
        <f ca="1">'Summary Tables'!M47</f>
        <v>156277.41463038934</v>
      </c>
    </row>
    <row r="40" spans="2:46" x14ac:dyDescent="0.2">
      <c r="B40" s="48" t="str">
        <f t="shared" si="5"/>
        <v>GS &lt; 50</v>
      </c>
      <c r="C40" s="28">
        <f ca="1">'Summary Tables'!C48</f>
        <v>12575.25</v>
      </c>
      <c r="D40" s="28">
        <f ca="1">'Summary Tables'!D48</f>
        <v>12635.833333333334</v>
      </c>
      <c r="E40" s="28">
        <f ca="1">'Summary Tables'!E48</f>
        <v>12771.833333333334</v>
      </c>
      <c r="F40" s="28">
        <f ca="1">'Summary Tables'!F48</f>
        <v>12891.583333333334</v>
      </c>
      <c r="G40" s="28">
        <f ca="1">'Summary Tables'!G48</f>
        <v>12991.75</v>
      </c>
      <c r="H40" s="28">
        <f ca="1">'Summary Tables'!H48</f>
        <v>13153.666666666666</v>
      </c>
      <c r="I40" s="28">
        <f ca="1">'Summary Tables'!I48</f>
        <v>13233</v>
      </c>
      <c r="J40" s="28">
        <f ca="1">'Summary Tables'!J48</f>
        <v>13363.583333333334</v>
      </c>
      <c r="K40" s="28">
        <f ca="1">'Summary Tables'!K48</f>
        <v>13501.583333333334</v>
      </c>
      <c r="L40" s="28">
        <f ca="1">'Summary Tables'!L48</f>
        <v>13632.13765532813</v>
      </c>
      <c r="M40" s="47">
        <f ca="1">'Summary Tables'!M48</f>
        <v>13763.954379707202</v>
      </c>
    </row>
    <row r="41" spans="2:46" ht="13.5" customHeight="1" x14ac:dyDescent="0.2">
      <c r="B41" s="48" t="str">
        <f t="shared" si="5"/>
        <v>GS &gt; 50</v>
      </c>
      <c r="C41" s="28">
        <f ca="1">'Summary Tables'!C49</f>
        <v>1604.5833333333333</v>
      </c>
      <c r="D41" s="28">
        <f ca="1">'Summary Tables'!D49</f>
        <v>1622</v>
      </c>
      <c r="E41" s="28">
        <f ca="1">'Summary Tables'!E49</f>
        <v>1578.75</v>
      </c>
      <c r="F41" s="28">
        <f ca="1">'Summary Tables'!F49</f>
        <v>1540.9166666666667</v>
      </c>
      <c r="G41" s="28">
        <f ca="1">'Summary Tables'!G49</f>
        <v>1521.8333333333333</v>
      </c>
      <c r="H41" s="28">
        <f ca="1">'Summary Tables'!H49</f>
        <v>1467.6666666666667</v>
      </c>
      <c r="I41" s="28">
        <f ca="1">'Summary Tables'!I49</f>
        <v>1464.0833333333333</v>
      </c>
      <c r="J41" s="28">
        <f ca="1">'Summary Tables'!J49</f>
        <v>1496.75</v>
      </c>
      <c r="K41" s="28">
        <f ca="1">'Summary Tables'!K49</f>
        <v>1519.8333333333333</v>
      </c>
      <c r="L41" s="28">
        <f ca="1">'Summary Tables'!L49</f>
        <v>1519.3337441572053</v>
      </c>
      <c r="M41" s="47">
        <f ca="1">'Summary Tables'!M49</f>
        <v>1518.8343192026005</v>
      </c>
    </row>
    <row r="42" spans="2:46" ht="13.5" customHeight="1" x14ac:dyDescent="0.2">
      <c r="B42" s="48" t="str">
        <f t="shared" si="5"/>
        <v>GS Co Gen</v>
      </c>
      <c r="C42" s="28">
        <f ca="1">'Summary Tables'!C50</f>
        <v>4</v>
      </c>
      <c r="D42" s="28">
        <f ca="1">'Summary Tables'!D50</f>
        <v>5</v>
      </c>
      <c r="E42" s="28">
        <f ca="1">'Summary Tables'!E50</f>
        <v>5</v>
      </c>
      <c r="F42" s="28">
        <f ca="1">'Summary Tables'!F50</f>
        <v>5.166666666666667</v>
      </c>
      <c r="G42" s="28">
        <f ca="1">'Summary Tables'!G50</f>
        <v>7</v>
      </c>
      <c r="H42" s="28">
        <f ca="1">'Summary Tables'!H50</f>
        <v>7.25</v>
      </c>
      <c r="I42" s="28">
        <f ca="1">'Summary Tables'!I50</f>
        <v>7</v>
      </c>
      <c r="J42" s="28">
        <f ca="1">'Summary Tables'!J50</f>
        <v>7</v>
      </c>
      <c r="K42" s="28">
        <f ca="1">'Summary Tables'!K50</f>
        <v>7</v>
      </c>
      <c r="L42" s="28">
        <f ca="1">'Summary Tables'!L50</f>
        <v>7</v>
      </c>
      <c r="M42" s="47">
        <f ca="1">'Summary Tables'!M50</f>
        <v>7</v>
      </c>
    </row>
    <row r="43" spans="2:46" ht="13.5" customHeight="1" x14ac:dyDescent="0.2">
      <c r="B43" s="48" t="str">
        <f t="shared" si="5"/>
        <v>Large Use</v>
      </c>
      <c r="C43" s="28">
        <f ca="1">'Summary Tables'!C51</f>
        <v>1</v>
      </c>
      <c r="D43" s="28">
        <f ca="1">'Summary Tables'!D51</f>
        <v>1</v>
      </c>
      <c r="E43" s="28">
        <f ca="1">'Summary Tables'!E51</f>
        <v>1</v>
      </c>
      <c r="F43" s="28">
        <f ca="1">'Summary Tables'!F51</f>
        <v>1</v>
      </c>
      <c r="G43" s="28">
        <f ca="1">'Summary Tables'!G51</f>
        <v>1</v>
      </c>
      <c r="H43" s="28">
        <f ca="1">'Summary Tables'!H51</f>
        <v>1.25</v>
      </c>
      <c r="I43" s="28">
        <f ca="1">'Summary Tables'!I51</f>
        <v>2</v>
      </c>
      <c r="J43" s="28">
        <f ca="1">'Summary Tables'!J51</f>
        <v>2</v>
      </c>
      <c r="K43" s="28">
        <f ca="1">'Summary Tables'!K51</f>
        <v>2</v>
      </c>
      <c r="L43" s="28">
        <f ca="1">'Summary Tables'!L51</f>
        <v>2</v>
      </c>
      <c r="M43" s="47">
        <f ca="1">'Summary Tables'!M51</f>
        <v>2</v>
      </c>
    </row>
    <row r="44" spans="2:46" x14ac:dyDescent="0.2">
      <c r="B44" s="48" t="str">
        <f t="shared" si="5"/>
        <v>Street Light</v>
      </c>
      <c r="C44" s="28">
        <f ca="1">'Summary Tables'!C52</f>
        <v>36184.083333333336</v>
      </c>
      <c r="D44" s="28">
        <f ca="1">'Summary Tables'!D52</f>
        <v>36831.416666666664</v>
      </c>
      <c r="E44" s="28">
        <f ca="1">'Summary Tables'!E52</f>
        <v>37110.833333333336</v>
      </c>
      <c r="F44" s="28">
        <f ca="1">'Summary Tables'!F52</f>
        <v>37806.583333333336</v>
      </c>
      <c r="G44" s="28">
        <f ca="1">'Summary Tables'!G52</f>
        <v>38502.416666666664</v>
      </c>
      <c r="H44" s="28">
        <f ca="1">'Summary Tables'!H52</f>
        <v>39231.916666666664</v>
      </c>
      <c r="I44" s="28">
        <f ca="1">'Summary Tables'!I52</f>
        <v>39733.333333333336</v>
      </c>
      <c r="J44" s="28">
        <f ca="1">'Summary Tables'!J52</f>
        <v>40243.833333333336</v>
      </c>
      <c r="K44" s="28">
        <f ca="1">'Summary Tables'!K52</f>
        <v>40503.666666666664</v>
      </c>
      <c r="L44" s="28">
        <f ca="1">'Summary Tables'!L52</f>
        <v>41020.025683716136</v>
      </c>
      <c r="M44" s="47">
        <f ca="1">'Summary Tables'!M52</f>
        <v>41542.967478485029</v>
      </c>
    </row>
    <row r="45" spans="2:46" x14ac:dyDescent="0.2">
      <c r="B45" s="48" t="str">
        <f t="shared" si="5"/>
        <v>Sentinel Light</v>
      </c>
      <c r="C45" s="28">
        <f ca="1">'Summary Tables'!C53</f>
        <v>547.91666666666663</v>
      </c>
      <c r="D45" s="28">
        <f ca="1">'Summary Tables'!D53</f>
        <v>530.25</v>
      </c>
      <c r="E45" s="28">
        <f ca="1">'Summary Tables'!E53</f>
        <v>525</v>
      </c>
      <c r="F45" s="28">
        <f ca="1">'Summary Tables'!F53</f>
        <v>515.75</v>
      </c>
      <c r="G45" s="28">
        <f ca="1">'Summary Tables'!G53</f>
        <v>510.41666666666669</v>
      </c>
      <c r="H45" s="28">
        <f ca="1">'Summary Tables'!H53</f>
        <v>505.75</v>
      </c>
      <c r="I45" s="28">
        <f ca="1">'Summary Tables'!I53</f>
        <v>500.83333333333331</v>
      </c>
      <c r="J45" s="28">
        <f ca="1">'Summary Tables'!J53</f>
        <v>492.5</v>
      </c>
      <c r="K45" s="28">
        <f ca="1">'Summary Tables'!K53</f>
        <v>480.5</v>
      </c>
      <c r="L45" s="28">
        <f ca="1">'Summary Tables'!L53</f>
        <v>473.29893611485244</v>
      </c>
      <c r="M45" s="47">
        <f ca="1">'Summary Tables'!M53</f>
        <v>466.20579173246864</v>
      </c>
    </row>
    <row r="46" spans="2:46" x14ac:dyDescent="0.2">
      <c r="B46" s="48" t="str">
        <f t="shared" si="5"/>
        <v>USL</v>
      </c>
      <c r="C46" s="28">
        <f ca="1">'Summary Tables'!C54</f>
        <v>1515.5833333333333</v>
      </c>
      <c r="D46" s="28">
        <f ca="1">'Summary Tables'!D54</f>
        <v>1522.25</v>
      </c>
      <c r="E46" s="28">
        <f ca="1">'Summary Tables'!E54</f>
        <v>1543.5</v>
      </c>
      <c r="F46" s="28">
        <f ca="1">'Summary Tables'!F54</f>
        <v>1533.75</v>
      </c>
      <c r="G46" s="28">
        <f ca="1">'Summary Tables'!G54</f>
        <v>1543</v>
      </c>
      <c r="H46" s="28">
        <f ca="1">'Summary Tables'!H54</f>
        <v>1549.75</v>
      </c>
      <c r="I46" s="28">
        <f ca="1">'Summary Tables'!I54</f>
        <v>1563.8333333333333</v>
      </c>
      <c r="J46" s="28">
        <f ca="1">'Summary Tables'!J54</f>
        <v>1565.5833333333333</v>
      </c>
      <c r="K46" s="28">
        <f ca="1">'Summary Tables'!K54</f>
        <v>1571.0833333333333</v>
      </c>
      <c r="L46" s="28">
        <f ca="1">'Summary Tables'!L54</f>
        <v>1578.1836702052574</v>
      </c>
      <c r="M46" s="47">
        <f ca="1">'Summary Tables'!M54</f>
        <v>1585.3160962621569</v>
      </c>
    </row>
    <row r="47" spans="2:46" ht="13.5" thickBot="1" x14ac:dyDescent="0.25">
      <c r="B47" s="153" t="s">
        <v>128</v>
      </c>
      <c r="C47" s="154">
        <f t="shared" ref="C47:M47" ca="1" si="6">SUM(C39:C46)</f>
        <v>194639.08333333334</v>
      </c>
      <c r="D47" s="154">
        <f t="shared" ca="1" si="6"/>
        <v>197074.66666666666</v>
      </c>
      <c r="E47" s="154">
        <f t="shared" ca="1" si="6"/>
        <v>199050.33333333334</v>
      </c>
      <c r="F47" s="154">
        <f t="shared" ca="1" si="6"/>
        <v>201272.25</v>
      </c>
      <c r="G47" s="154">
        <f t="shared" ca="1" si="6"/>
        <v>203673.25</v>
      </c>
      <c r="H47" s="154">
        <f t="shared" ca="1" si="6"/>
        <v>206381.58333333331</v>
      </c>
      <c r="I47" s="154">
        <f t="shared" ca="1" si="6"/>
        <v>208362.58333333337</v>
      </c>
      <c r="J47" s="154">
        <f t="shared" ca="1" si="6"/>
        <v>210027.41666666669</v>
      </c>
      <c r="K47" s="154">
        <f t="shared" ca="1" si="6"/>
        <v>211259.41666666669</v>
      </c>
      <c r="L47" s="158">
        <f t="shared" ca="1" si="6"/>
        <v>213202.09405534633</v>
      </c>
      <c r="M47" s="155">
        <f t="shared" ca="1" si="6"/>
        <v>215163.69269577879</v>
      </c>
    </row>
    <row r="48" spans="2:46" x14ac:dyDescent="0.2"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4:13" x14ac:dyDescent="0.2">
      <c r="D49" s="505"/>
      <c r="E49" s="505"/>
      <c r="F49" s="505"/>
      <c r="G49" s="505"/>
      <c r="H49" s="505"/>
      <c r="I49" s="505"/>
      <c r="J49" s="505"/>
      <c r="K49" s="505"/>
      <c r="L49" s="505"/>
      <c r="M49" s="505"/>
    </row>
  </sheetData>
  <phoneticPr fontId="4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362D-F7BD-4647-97DB-2B0F4E55DEC6}">
  <sheetPr codeName="Sheet2">
    <tabColor theme="7" tint="0.79998168889431442"/>
    <pageSetUpPr fitToPage="1"/>
  </sheetPr>
  <dimension ref="A1:EL111"/>
  <sheetViews>
    <sheetView workbookViewId="0">
      <pane xSplit="1" ySplit="1" topLeftCell="CB57" activePane="bottomRight" state="frozen"/>
      <selection activeCell="M13" sqref="M13"/>
      <selection pane="topRight" activeCell="M13" sqref="M13"/>
      <selection pane="bottomLeft" activeCell="M13" sqref="M13"/>
      <selection pane="bottomRight" activeCell="CQ92" sqref="CQ92"/>
    </sheetView>
  </sheetViews>
  <sheetFormatPr defaultColWidth="8.83203125" defaultRowHeight="12.75" x14ac:dyDescent="0.2"/>
  <cols>
    <col min="1" max="1" width="11.83203125" style="3" bestFit="1" customWidth="1"/>
    <col min="2" max="3" width="10.33203125" style="1" customWidth="1"/>
    <col min="4" max="4" width="14.33203125" style="2" customWidth="1"/>
    <col min="5" max="5" width="14.1640625" style="2" customWidth="1"/>
    <col min="6" max="6" width="13.1640625" style="2" customWidth="1"/>
    <col min="7" max="7" width="11.83203125" style="5" customWidth="1"/>
    <col min="8" max="8" width="15.5" style="44" customWidth="1"/>
    <col min="9" max="11" width="13.1640625" style="1" customWidth="1"/>
    <col min="12" max="12" width="17.1640625" style="5" customWidth="1"/>
    <col min="13" max="13" width="14.33203125" style="5" customWidth="1"/>
    <col min="14" max="14" width="15.83203125" style="5" customWidth="1"/>
    <col min="15" max="15" width="15.33203125" style="5" customWidth="1"/>
    <col min="16" max="16" width="13.83203125" style="5" customWidth="1"/>
    <col min="17" max="17" width="14" style="5" customWidth="1"/>
    <col min="18" max="19" width="13.83203125" style="5" customWidth="1"/>
    <col min="20" max="20" width="21.1640625" style="5" customWidth="1"/>
    <col min="21" max="26" width="13.83203125" style="5" customWidth="1"/>
    <col min="27" max="27" width="19.5" style="5" bestFit="1" customWidth="1"/>
    <col min="28" max="28" width="18.33203125" style="5" customWidth="1"/>
    <col min="29" max="29" width="20" style="5" bestFit="1" customWidth="1"/>
    <col min="30" max="30" width="12.33203125" style="5" bestFit="1" customWidth="1"/>
    <col min="31" max="31" width="18.33203125" style="1" bestFit="1" customWidth="1"/>
    <col min="32" max="35" width="18.33203125" style="1" customWidth="1"/>
    <col min="36" max="36" width="12.33203125" style="14" bestFit="1" customWidth="1"/>
    <col min="37" max="41" width="12.33203125" style="14" customWidth="1"/>
    <col min="42" max="45" width="10.1640625" style="14" bestFit="1" customWidth="1"/>
    <col min="46" max="47" width="9.5" style="14" bestFit="1" customWidth="1"/>
    <col min="48" max="48" width="11.5" style="14" customWidth="1"/>
    <col min="49" max="54" width="8.83203125" style="14" customWidth="1"/>
    <col min="55" max="69" width="8.83203125" style="15"/>
    <col min="70" max="98" width="8.83203125" style="1"/>
    <col min="99" max="99" width="8.33203125" style="1" bestFit="1" customWidth="1"/>
    <col min="100" max="100" width="12.33203125" style="1" bestFit="1" customWidth="1"/>
    <col min="101" max="101" width="12.33203125" style="1" customWidth="1"/>
    <col min="102" max="102" width="13.6640625" style="1" bestFit="1" customWidth="1"/>
    <col min="103" max="103" width="12.33203125" style="1" bestFit="1" customWidth="1"/>
    <col min="104" max="131" width="10.1640625" style="1" customWidth="1"/>
    <col min="132" max="132" width="10.6640625" style="1" customWidth="1"/>
    <col min="133" max="133" width="8.83203125" style="1" bestFit="1" customWidth="1"/>
    <col min="134" max="134" width="12.83203125" style="1" customWidth="1"/>
    <col min="135" max="135" width="10.83203125" style="1" bestFit="1" customWidth="1"/>
    <col min="136" max="136" width="8.83203125" style="1" bestFit="1" customWidth="1"/>
    <col min="137" max="137" width="13.1640625" style="1" bestFit="1" customWidth="1"/>
    <col min="138" max="138" width="12.1640625" style="1" bestFit="1" customWidth="1"/>
    <col min="139" max="140" width="10.83203125" style="1" bestFit="1" customWidth="1"/>
    <col min="141" max="142" width="14.1640625" style="1" bestFit="1" customWidth="1"/>
    <col min="143" max="16384" width="8.83203125" style="1"/>
  </cols>
  <sheetData>
    <row r="1" spans="1:142" x14ac:dyDescent="0.2">
      <c r="A1" s="3" t="s">
        <v>14</v>
      </c>
      <c r="B1" s="1" t="s">
        <v>0</v>
      </c>
      <c r="C1" s="1" t="s">
        <v>23</v>
      </c>
      <c r="D1" s="2" t="s">
        <v>1</v>
      </c>
      <c r="E1" s="2" t="s">
        <v>36</v>
      </c>
      <c r="F1" s="2" t="s">
        <v>38</v>
      </c>
      <c r="G1" s="5" t="s">
        <v>9</v>
      </c>
      <c r="H1" s="44" t="s">
        <v>2</v>
      </c>
      <c r="I1" s="2" t="s">
        <v>3</v>
      </c>
      <c r="J1" s="2" t="s">
        <v>37</v>
      </c>
      <c r="K1" s="2" t="s">
        <v>181</v>
      </c>
      <c r="L1" s="6" t="s">
        <v>4</v>
      </c>
      <c r="M1" s="6" t="s">
        <v>39</v>
      </c>
      <c r="N1" s="6" t="s">
        <v>40</v>
      </c>
      <c r="O1" s="6" t="s">
        <v>5</v>
      </c>
      <c r="P1" s="6" t="s">
        <v>10</v>
      </c>
      <c r="Q1" s="6" t="s">
        <v>423</v>
      </c>
      <c r="R1" s="6" t="s">
        <v>426</v>
      </c>
      <c r="S1" s="6" t="s">
        <v>427</v>
      </c>
      <c r="T1" s="6" t="s">
        <v>424</v>
      </c>
      <c r="U1" s="6" t="s">
        <v>425</v>
      </c>
      <c r="V1" s="6" t="s">
        <v>428</v>
      </c>
      <c r="W1" s="6" t="s">
        <v>429</v>
      </c>
      <c r="X1" s="6" t="s">
        <v>430</v>
      </c>
      <c r="Y1" s="6" t="s">
        <v>431</v>
      </c>
      <c r="Z1" s="6" t="s">
        <v>432</v>
      </c>
      <c r="AA1" s="6" t="s">
        <v>6</v>
      </c>
      <c r="AB1" s="6" t="s">
        <v>7</v>
      </c>
      <c r="AC1" s="6" t="s">
        <v>11</v>
      </c>
      <c r="AD1" s="6" t="s">
        <v>8</v>
      </c>
      <c r="AE1" s="1" t="s">
        <v>12</v>
      </c>
      <c r="AF1" s="6" t="s">
        <v>433</v>
      </c>
      <c r="AG1" s="6" t="s">
        <v>434</v>
      </c>
      <c r="AH1" s="6" t="s">
        <v>435</v>
      </c>
      <c r="AI1" s="6" t="s">
        <v>511</v>
      </c>
      <c r="AJ1" s="14" t="s">
        <v>493</v>
      </c>
      <c r="AK1" s="14" t="s">
        <v>494</v>
      </c>
      <c r="AL1" s="14" t="s">
        <v>495</v>
      </c>
      <c r="AM1" s="14" t="s">
        <v>496</v>
      </c>
      <c r="AN1" s="14" t="s">
        <v>497</v>
      </c>
      <c r="AO1" s="14" t="s">
        <v>185</v>
      </c>
      <c r="AP1" s="14" t="s">
        <v>467</v>
      </c>
      <c r="AQ1" s="14" t="s">
        <v>468</v>
      </c>
      <c r="AR1" s="14" t="s">
        <v>469</v>
      </c>
      <c r="AS1" s="14" t="s">
        <v>498</v>
      </c>
      <c r="AT1" s="14" t="s">
        <v>16</v>
      </c>
      <c r="AU1" s="14" t="s">
        <v>17</v>
      </c>
      <c r="AV1" s="14" t="s">
        <v>456</v>
      </c>
      <c r="AW1" s="14" t="s">
        <v>457</v>
      </c>
      <c r="AX1" s="14" t="str">
        <f>Economic!W2&amp;Economic!W3</f>
        <v>OEA_GDPChange</v>
      </c>
      <c r="AY1" s="14" t="s">
        <v>489</v>
      </c>
      <c r="AZ1" s="14" t="s">
        <v>490</v>
      </c>
      <c r="BA1" s="14" t="s">
        <v>491</v>
      </c>
      <c r="BB1" s="14" t="s">
        <v>492</v>
      </c>
      <c r="BC1" s="15" t="s">
        <v>25</v>
      </c>
      <c r="BD1" s="15" t="s">
        <v>140</v>
      </c>
      <c r="BE1" s="15" t="s">
        <v>141</v>
      </c>
      <c r="BF1" s="15" t="s">
        <v>26</v>
      </c>
      <c r="BG1" s="15" t="s">
        <v>27</v>
      </c>
      <c r="BH1" s="15" t="s">
        <v>28</v>
      </c>
      <c r="BI1" s="15" t="s">
        <v>29</v>
      </c>
      <c r="BJ1" s="15" t="s">
        <v>30</v>
      </c>
      <c r="BK1" s="15" t="s">
        <v>31</v>
      </c>
      <c r="BL1" s="15" t="s">
        <v>32</v>
      </c>
      <c r="BM1" s="15" t="s">
        <v>33</v>
      </c>
      <c r="BN1" s="15" t="s">
        <v>142</v>
      </c>
      <c r="BO1" s="15" t="s">
        <v>143</v>
      </c>
      <c r="BP1" s="15" t="s">
        <v>144</v>
      </c>
      <c r="BQ1" s="15" t="s">
        <v>145</v>
      </c>
      <c r="BR1" s="17" t="s">
        <v>43</v>
      </c>
      <c r="BS1" s="17" t="s">
        <v>44</v>
      </c>
      <c r="BT1" s="17" t="s">
        <v>45</v>
      </c>
      <c r="BU1" s="17" t="s">
        <v>46</v>
      </c>
      <c r="BV1" s="17" t="s">
        <v>47</v>
      </c>
      <c r="BW1" s="17" t="s">
        <v>48</v>
      </c>
      <c r="BX1" s="17" t="s">
        <v>49</v>
      </c>
      <c r="BY1" s="17" t="s">
        <v>50</v>
      </c>
      <c r="BZ1" s="17" t="s">
        <v>51</v>
      </c>
      <c r="CA1" s="17" t="s">
        <v>52</v>
      </c>
      <c r="CB1" s="17" t="s">
        <v>53</v>
      </c>
      <c r="CC1" s="17" t="s">
        <v>54</v>
      </c>
      <c r="CD1" s="17" t="s">
        <v>55</v>
      </c>
      <c r="CE1" s="17" t="s">
        <v>516</v>
      </c>
      <c r="CF1" s="17" t="s">
        <v>56</v>
      </c>
      <c r="CG1" s="17" t="s">
        <v>517</v>
      </c>
      <c r="CH1" s="17" t="s">
        <v>57</v>
      </c>
      <c r="CI1" s="17" t="s">
        <v>518</v>
      </c>
      <c r="CJ1" s="17" t="s">
        <v>519</v>
      </c>
      <c r="CK1" s="17" t="s">
        <v>515</v>
      </c>
      <c r="CL1" s="17" t="s">
        <v>534</v>
      </c>
      <c r="CM1" s="1" t="s">
        <v>58</v>
      </c>
      <c r="CN1" s="1" t="s">
        <v>555</v>
      </c>
      <c r="CO1" s="1" t="s">
        <v>556</v>
      </c>
      <c r="CP1" s="1" t="s">
        <v>557</v>
      </c>
      <c r="CQ1" s="1" t="s">
        <v>558</v>
      </c>
      <c r="CR1" s="1" t="s">
        <v>559</v>
      </c>
      <c r="CS1" s="17" t="s">
        <v>59</v>
      </c>
      <c r="CT1" s="17" t="s">
        <v>60</v>
      </c>
      <c r="CU1" s="69" t="s">
        <v>186</v>
      </c>
      <c r="CV1" s="69" t="s">
        <v>187</v>
      </c>
      <c r="CW1" s="69" t="s">
        <v>554</v>
      </c>
      <c r="CX1" s="69" t="s">
        <v>188</v>
      </c>
      <c r="CY1" s="69" t="s">
        <v>189</v>
      </c>
      <c r="CZ1" s="69" t="s">
        <v>333</v>
      </c>
      <c r="DA1" s="69" t="s">
        <v>334</v>
      </c>
      <c r="DB1" s="69" t="s">
        <v>335</v>
      </c>
      <c r="DC1" s="69" t="s">
        <v>336</v>
      </c>
      <c r="DD1" s="69" t="s">
        <v>337</v>
      </c>
      <c r="DE1" s="69" t="s">
        <v>338</v>
      </c>
      <c r="DF1" s="69" t="s">
        <v>339</v>
      </c>
      <c r="DG1" s="69" t="s">
        <v>340</v>
      </c>
      <c r="DH1" s="69" t="s">
        <v>341</v>
      </c>
      <c r="DI1" s="69" t="s">
        <v>342</v>
      </c>
      <c r="DJ1" s="69" t="s">
        <v>343</v>
      </c>
      <c r="DK1" s="69" t="s">
        <v>344</v>
      </c>
      <c r="DL1" s="69" t="s">
        <v>345</v>
      </c>
      <c r="DM1" s="69" t="s">
        <v>346</v>
      </c>
      <c r="DN1" s="69" t="s">
        <v>347</v>
      </c>
      <c r="DO1" s="69" t="s">
        <v>348</v>
      </c>
      <c r="DP1" s="69" t="s">
        <v>349</v>
      </c>
      <c r="DQ1" s="69" t="s">
        <v>350</v>
      </c>
      <c r="DR1" s="69" t="s">
        <v>351</v>
      </c>
      <c r="DS1" s="69" t="s">
        <v>352</v>
      </c>
      <c r="DT1" s="69" t="s">
        <v>353</v>
      </c>
      <c r="DU1" s="69" t="s">
        <v>354</v>
      </c>
      <c r="DV1" s="69" t="s">
        <v>355</v>
      </c>
      <c r="DW1" s="69" t="s">
        <v>356</v>
      </c>
      <c r="DX1" s="69" t="s">
        <v>357</v>
      </c>
      <c r="DY1" s="69" t="s">
        <v>358</v>
      </c>
      <c r="DZ1" s="69" t="s">
        <v>359</v>
      </c>
      <c r="EA1" s="69" t="s">
        <v>360</v>
      </c>
      <c r="EB1" s="1" t="s">
        <v>153</v>
      </c>
      <c r="EC1" s="1" t="s">
        <v>154</v>
      </c>
      <c r="ED1" s="1" t="s">
        <v>160</v>
      </c>
      <c r="EE1" s="1" t="s">
        <v>155</v>
      </c>
      <c r="EF1" s="1" t="s">
        <v>156</v>
      </c>
      <c r="EG1" s="1" t="s">
        <v>161</v>
      </c>
      <c r="EH1" s="1" t="s">
        <v>157</v>
      </c>
      <c r="EI1" s="1" t="s">
        <v>158</v>
      </c>
      <c r="EJ1" s="1" t="s">
        <v>159</v>
      </c>
      <c r="EK1" s="1" t="s">
        <v>162</v>
      </c>
      <c r="EL1" s="1" t="s">
        <v>163</v>
      </c>
    </row>
    <row r="2" spans="1:142" x14ac:dyDescent="0.2">
      <c r="A2" s="66">
        <v>42736</v>
      </c>
      <c r="B2" s="4">
        <f t="shared" ref="B2:B53" si="0">YEAR(A2)</f>
        <v>2017</v>
      </c>
      <c r="C2" s="4">
        <f t="shared" ref="C2:C53" si="1">MONTH(A2)</f>
        <v>1</v>
      </c>
      <c r="D2" s="44">
        <v>95873581</v>
      </c>
      <c r="E2" s="44">
        <f>IFERROR(VLOOKUP($B2-1,CDM!$L$7:$T$18,2,FALSE)/12,0)+IFERROR(VLOOKUP($B2,CDM!$L$37:$O$47,2,FALSE)/24,0)+IFERROR(VLOOKUP($B2,CDM!$L$37:$O$47,2,FALSE)/2*$C2/78,0)</f>
        <v>654530.98910609609</v>
      </c>
      <c r="F2" s="44">
        <f>D2+E2</f>
        <v>96528111.989106089</v>
      </c>
      <c r="G2" s="488">
        <v>141495</v>
      </c>
      <c r="H2" s="44">
        <v>34553601</v>
      </c>
      <c r="I2" s="44">
        <f>IFERROR(VLOOKUP($B2-1,CDM!$L$7:$T$18,3,FALSE)/12,0)+IFERROR(VLOOKUP($B2,CDM!$L$37:$O$47,3,FALSE)/24,0)+IFERROR(VLOOKUP($B2,CDM!$L$37:$O$47,3,FALSE)/2*$C2/78,0)</f>
        <v>129448.00184315298</v>
      </c>
      <c r="J2" s="44">
        <f>H2+I2</f>
        <v>34683049.001843154</v>
      </c>
      <c r="K2" s="44">
        <v>12593</v>
      </c>
      <c r="L2" s="44">
        <v>114991755</v>
      </c>
      <c r="M2" s="44">
        <f>IFERROR(VLOOKUP($B2-1,CDM!$L$7:$T$18,4,FALSE)/12,0)+IFERROR(VLOOKUP($B2,CDM!$L$37:$O$47,4,FALSE)/24,0)+IFERROR(VLOOKUP($B2,CDM!$L$37:$O$47,4,FALSE)/2*$C2/78,0)</f>
        <v>958978.09478092112</v>
      </c>
      <c r="N2" s="44">
        <f>L2+M2</f>
        <v>115950733.09478092</v>
      </c>
      <c r="O2" s="44">
        <v>291162.15000000002</v>
      </c>
      <c r="P2" s="488">
        <v>1594</v>
      </c>
      <c r="Q2" s="488">
        <v>1948930</v>
      </c>
      <c r="R2" s="488">
        <f>IFERROR(VLOOKUP($B2-1,CDM!$L$7:$T$18,5,FALSE)/12,0)+IFERROR(VLOOKUP($B2,CDM!$L$37:$T$47,5,FALSE)/24,0)+IFERROR(VLOOKUP($B2,CDM!$L$37:$T$47,5,FALSE)/2*$C2/78,0)</f>
        <v>26299.710384891532</v>
      </c>
      <c r="S2" s="488">
        <f>R2+Q2</f>
        <v>1975229.7103848916</v>
      </c>
      <c r="T2" s="44">
        <v>3859</v>
      </c>
      <c r="U2" s="488">
        <v>4</v>
      </c>
      <c r="V2" s="488">
        <v>8997855</v>
      </c>
      <c r="W2" s="488">
        <f>IFERROR(VLOOKUP($B2-1,CDM!$L$7:$T$18,6,FALSE)/12,0)+IFERROR(VLOOKUP($B2,CDM!$L$37:$T$47,6,FALSE)/24,0)+IFERROR(VLOOKUP($B2,CDM!$L$37:$T$47,6,FALSE)/2*$C2/78,0)</f>
        <v>1591.6822758781063</v>
      </c>
      <c r="X2" s="488">
        <f>W2+V2</f>
        <v>8999446.6822758783</v>
      </c>
      <c r="Y2" s="488">
        <v>14801.45</v>
      </c>
      <c r="Z2" s="488">
        <v>1</v>
      </c>
      <c r="AA2" s="44">
        <v>2105050.2999999998</v>
      </c>
      <c r="AB2" s="44">
        <v>4712.34</v>
      </c>
      <c r="AC2" s="488">
        <v>35967</v>
      </c>
      <c r="AD2" s="44">
        <v>470992.23</v>
      </c>
      <c r="AE2" s="44">
        <v>1516</v>
      </c>
      <c r="AF2" s="44">
        <v>58050.889999999992</v>
      </c>
      <c r="AG2" s="44">
        <v>157.43</v>
      </c>
      <c r="AH2" s="44">
        <v>613</v>
      </c>
      <c r="AI2" s="44">
        <v>12900</v>
      </c>
      <c r="AJ2" s="68">
        <f>Economic!H16</f>
        <v>764465</v>
      </c>
      <c r="AK2" s="68">
        <f>Economic!I16</f>
        <v>91847.6</v>
      </c>
      <c r="AL2" s="68">
        <f>Economic!J16</f>
        <v>29151.9</v>
      </c>
      <c r="AM2" s="68">
        <f>Economic!K16</f>
        <v>71039.199999999997</v>
      </c>
      <c r="AN2" s="68">
        <f>Economic!L16</f>
        <v>53985.7</v>
      </c>
      <c r="AO2" s="68">
        <f>Economic!M16</f>
        <v>756670</v>
      </c>
      <c r="AP2" s="68">
        <f>Economic!N16</f>
        <v>92615</v>
      </c>
      <c r="AQ2" s="68">
        <f>Economic!O16</f>
        <v>13599</v>
      </c>
      <c r="AR2" s="68">
        <f>Economic!P16</f>
        <v>28874</v>
      </c>
      <c r="AS2" s="68">
        <f>Economic!Q16</f>
        <v>67116</v>
      </c>
      <c r="AT2" s="68">
        <f>Economic!D16</f>
        <v>6998.9</v>
      </c>
      <c r="AU2" s="68">
        <f>Economic!E16</f>
        <v>6968.1</v>
      </c>
      <c r="AV2" s="68">
        <f>Economic!F16</f>
        <v>241.8</v>
      </c>
      <c r="AW2" s="68">
        <f>Economic!G16</f>
        <v>238.7</v>
      </c>
      <c r="AX2" s="68">
        <f>Economic!W16</f>
        <v>12835</v>
      </c>
      <c r="AY2" s="68">
        <f>Economic!R16</f>
        <v>116</v>
      </c>
      <c r="AZ2" s="68">
        <f>Economic!W16</f>
        <v>12835</v>
      </c>
      <c r="BA2" s="68">
        <f>Economic!X16</f>
        <v>134</v>
      </c>
      <c r="BB2" s="68">
        <f>Economic!Y16</f>
        <v>1434</v>
      </c>
      <c r="BC2" s="236">
        <f>Weather!C14</f>
        <v>-2.3577956989247313</v>
      </c>
      <c r="BD2" s="16">
        <f>Weather!D14</f>
        <v>693.0916666666667</v>
      </c>
      <c r="BE2" s="16">
        <f>Weather!E14</f>
        <v>0</v>
      </c>
      <c r="BF2" s="16">
        <f>Weather!F14</f>
        <v>631.09166666666658</v>
      </c>
      <c r="BG2" s="16">
        <f>Weather!G14</f>
        <v>0</v>
      </c>
      <c r="BH2" s="16">
        <f>Weather!H14</f>
        <v>569.09166666666658</v>
      </c>
      <c r="BI2" s="16">
        <f>Weather!I14</f>
        <v>0</v>
      </c>
      <c r="BJ2" s="16">
        <f>Weather!J14</f>
        <v>507.0916666666667</v>
      </c>
      <c r="BK2" s="16">
        <f>Weather!K14</f>
        <v>0</v>
      </c>
      <c r="BL2" s="16">
        <f>Weather!L14</f>
        <v>445.0916666666667</v>
      </c>
      <c r="BM2" s="16">
        <f>Weather!M14</f>
        <v>0</v>
      </c>
      <c r="BN2" s="16">
        <f>Weather!N14</f>
        <v>383.0916666666667</v>
      </c>
      <c r="BO2" s="16">
        <f>Weather!O14</f>
        <v>0</v>
      </c>
      <c r="BP2" s="16">
        <f>Weather!P14</f>
        <v>321.0916666666667</v>
      </c>
      <c r="BQ2" s="16">
        <f>Weather!Q14</f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 s="1">
        <v>0</v>
      </c>
      <c r="CH2">
        <v>0</v>
      </c>
      <c r="CI2">
        <f>CE2+CG2</f>
        <v>0</v>
      </c>
      <c r="CJ2">
        <f>CE2+CF2</f>
        <v>0</v>
      </c>
      <c r="CK2">
        <v>0</v>
      </c>
      <c r="CL2">
        <v>0</v>
      </c>
      <c r="CM2" s="1">
        <v>1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>
        <v>31</v>
      </c>
      <c r="CT2">
        <v>22</v>
      </c>
      <c r="CU2">
        <v>0</v>
      </c>
      <c r="CV2">
        <v>0</v>
      </c>
      <c r="CW2">
        <v>0</v>
      </c>
      <c r="CX2">
        <v>0</v>
      </c>
      <c r="CY2">
        <v>0</v>
      </c>
      <c r="CZ2">
        <f t="shared" ref="CZ2:DM8" si="2">$CV2*BD2</f>
        <v>0</v>
      </c>
      <c r="DA2">
        <f t="shared" si="2"/>
        <v>0</v>
      </c>
      <c r="DB2">
        <f t="shared" si="2"/>
        <v>0</v>
      </c>
      <c r="DC2">
        <f t="shared" si="2"/>
        <v>0</v>
      </c>
      <c r="DD2">
        <f t="shared" si="2"/>
        <v>0</v>
      </c>
      <c r="DE2">
        <f t="shared" si="2"/>
        <v>0</v>
      </c>
      <c r="DF2">
        <f t="shared" si="2"/>
        <v>0</v>
      </c>
      <c r="DG2">
        <f t="shared" si="2"/>
        <v>0</v>
      </c>
      <c r="DH2">
        <f t="shared" si="2"/>
        <v>0</v>
      </c>
      <c r="DI2">
        <f t="shared" si="2"/>
        <v>0</v>
      </c>
      <c r="DJ2">
        <f t="shared" si="2"/>
        <v>0</v>
      </c>
      <c r="DK2">
        <f t="shared" si="2"/>
        <v>0</v>
      </c>
      <c r="DL2">
        <f t="shared" si="2"/>
        <v>0</v>
      </c>
      <c r="DM2">
        <f t="shared" si="2"/>
        <v>0</v>
      </c>
      <c r="DN2">
        <f t="shared" ref="DN2:EA8" si="3">$CX2*BD2</f>
        <v>0</v>
      </c>
      <c r="DO2">
        <f t="shared" si="3"/>
        <v>0</v>
      </c>
      <c r="DP2">
        <f t="shared" si="3"/>
        <v>0</v>
      </c>
      <c r="DQ2">
        <f t="shared" si="3"/>
        <v>0</v>
      </c>
      <c r="DR2">
        <f t="shared" si="3"/>
        <v>0</v>
      </c>
      <c r="DS2">
        <f t="shared" si="3"/>
        <v>0</v>
      </c>
      <c r="DT2">
        <f t="shared" si="3"/>
        <v>0</v>
      </c>
      <c r="DU2">
        <f t="shared" si="3"/>
        <v>0</v>
      </c>
      <c r="DV2">
        <f t="shared" si="3"/>
        <v>0</v>
      </c>
      <c r="DW2">
        <f t="shared" si="3"/>
        <v>0</v>
      </c>
      <c r="DX2">
        <f t="shared" si="3"/>
        <v>0</v>
      </c>
      <c r="DY2">
        <f t="shared" si="3"/>
        <v>0</v>
      </c>
      <c r="DZ2">
        <f t="shared" si="3"/>
        <v>0</v>
      </c>
      <c r="EA2">
        <f t="shared" si="3"/>
        <v>0</v>
      </c>
      <c r="EB2" s="44">
        <f t="shared" ref="EB2:EB33" si="4">F2/G2</f>
        <v>682.20157595042997</v>
      </c>
      <c r="EC2" s="44">
        <f t="shared" ref="EC2:EC53" si="5">EB2/CS2</f>
        <v>22.006502450013869</v>
      </c>
      <c r="ED2" s="44">
        <f t="shared" ref="ED2:ED33" si="6">F2/CS2</f>
        <v>3113810.0641647126</v>
      </c>
      <c r="EE2" s="44">
        <f t="shared" ref="EE2:EE33" si="7">J2/K2</f>
        <v>2754.1530216662554</v>
      </c>
      <c r="EF2" s="44">
        <f t="shared" ref="EF2:EF53" si="8">EE2/CS2</f>
        <v>88.843645860201789</v>
      </c>
      <c r="EG2" s="44">
        <f t="shared" ref="EG2:EG33" si="9">J2/CS2</f>
        <v>1118808.0323175211</v>
      </c>
      <c r="EH2" s="44">
        <f t="shared" ref="EH2:EH33" si="10">N2/P2</f>
        <v>72741.990649172469</v>
      </c>
      <c r="EI2" s="44">
        <f t="shared" ref="EI2:EI53" si="11">EH2/CS2</f>
        <v>2346.5158273926604</v>
      </c>
      <c r="EJ2" s="44">
        <f t="shared" ref="EJ2:EJ25" si="12">EH2/CT2</f>
        <v>3306.4541204169304</v>
      </c>
      <c r="EK2" s="44">
        <f t="shared" ref="EK2:EK25" si="13">N2/CS2</f>
        <v>3740346.2288639005</v>
      </c>
      <c r="EL2" s="44">
        <f t="shared" ref="EL2:EL25" si="14">N2/CT2</f>
        <v>5270487.867944587</v>
      </c>
    </row>
    <row r="3" spans="1:142" x14ac:dyDescent="0.2">
      <c r="A3" s="66">
        <v>42767</v>
      </c>
      <c r="B3" s="4">
        <f t="shared" si="0"/>
        <v>2017</v>
      </c>
      <c r="C3" s="4">
        <f t="shared" si="1"/>
        <v>2</v>
      </c>
      <c r="D3" s="44">
        <v>80558289</v>
      </c>
      <c r="E3" s="44">
        <f>IFERROR(VLOOKUP($B3-1,CDM!$L$7:$T$18,2,FALSE)/12,0)+IFERROR(VLOOKUP($B3,CDM!$L$37:$O$47,2,FALSE)/24,0)+IFERROR(VLOOKUP($B3,CDM!$L$37:$O$47,2,FALSE)/2*$C3/78,0)</f>
        <v>741801.78765357565</v>
      </c>
      <c r="F3" s="44">
        <f t="shared" ref="F3:F31" si="15">D3+E3</f>
        <v>81300090.78765358</v>
      </c>
      <c r="G3" s="488">
        <v>141664</v>
      </c>
      <c r="H3" s="44">
        <v>31484081</v>
      </c>
      <c r="I3" s="44">
        <f>IFERROR(VLOOKUP($B3-1,CDM!$L$7:$T$18,3,FALSE)/12,0)+IFERROR(VLOOKUP($B3,CDM!$L$37:$O$47,3,FALSE)/24,0)+IFERROR(VLOOKUP($B3,CDM!$L$37:$O$47,3,FALSE)/2*$C3/78,0)</f>
        <v>146707.73542224005</v>
      </c>
      <c r="J3" s="44">
        <f t="shared" ref="J3:J31" si="16">H3+I3</f>
        <v>31630788.735422239</v>
      </c>
      <c r="K3" s="44">
        <v>12577</v>
      </c>
      <c r="L3" s="44">
        <v>122254037</v>
      </c>
      <c r="M3" s="44">
        <f>IFERROR(VLOOKUP($B3-1,CDM!$L$7:$T$18,4,FALSE)/12,0)+IFERROR(VLOOKUP($B3,CDM!$L$37:$O$47,4,FALSE)/24,0)+IFERROR(VLOOKUP($B3,CDM!$L$37:$O$47,4,FALSE)/2*$C3/78,0)</f>
        <v>1086841.8407517106</v>
      </c>
      <c r="N3" s="44">
        <f t="shared" ref="N3:N31" si="17">L3+M3</f>
        <v>123340878.84075171</v>
      </c>
      <c r="O3" s="44">
        <v>292258.40000000002</v>
      </c>
      <c r="P3" s="488">
        <v>1596</v>
      </c>
      <c r="Q3" s="488">
        <v>2172576</v>
      </c>
      <c r="R3" s="488">
        <f>IFERROR(VLOOKUP($B3-1,CDM!$L$7:$T$18,5,FALSE)/12,0)+IFERROR(VLOOKUP($B3,CDM!$L$37:$T$47,5,FALSE)/24,0)+IFERROR(VLOOKUP($B3,CDM!$L$37:$T$47,5,FALSE)/2*$C3/78,0)</f>
        <v>29806.338436210401</v>
      </c>
      <c r="S3" s="488">
        <f t="shared" ref="S3:S66" si="18">R3+Q3</f>
        <v>2202382.3384362105</v>
      </c>
      <c r="T3" s="44">
        <v>3499.77</v>
      </c>
      <c r="U3" s="488">
        <v>4</v>
      </c>
      <c r="V3" s="488">
        <v>8123127</v>
      </c>
      <c r="W3" s="488">
        <f>IFERROR(VLOOKUP($B3-1,CDM!$L$7:$T$18,6,FALSE)/12,0)+IFERROR(VLOOKUP($B3,CDM!$L$37:$T$47,6,FALSE)/24,0)+IFERROR(VLOOKUP($B3,CDM!$L$37:$T$47,6,FALSE)/2*$C3/78,0)</f>
        <v>1803.9065793285204</v>
      </c>
      <c r="X3" s="488">
        <f t="shared" ref="X3:X66" si="19">W3+V3</f>
        <v>8124930.9065793287</v>
      </c>
      <c r="Y3" s="488">
        <v>15066.08</v>
      </c>
      <c r="Z3" s="488">
        <v>1</v>
      </c>
      <c r="AA3" s="44">
        <v>1773206.17</v>
      </c>
      <c r="AB3" s="44">
        <v>4718.99</v>
      </c>
      <c r="AC3" s="488">
        <v>36059</v>
      </c>
      <c r="AD3" s="44">
        <v>426893.95</v>
      </c>
      <c r="AE3" s="44">
        <v>1516</v>
      </c>
      <c r="AF3" s="44">
        <v>52947.819999999992</v>
      </c>
      <c r="AG3" s="44">
        <v>156.37</v>
      </c>
      <c r="AH3" s="44">
        <v>607</v>
      </c>
      <c r="AI3" s="44">
        <v>12900</v>
      </c>
      <c r="AJ3" s="68">
        <f>Economic!H17</f>
        <v>764465</v>
      </c>
      <c r="AK3" s="68">
        <f>Economic!I17</f>
        <v>91847.6</v>
      </c>
      <c r="AL3" s="68">
        <f>Economic!J17</f>
        <v>29151.9</v>
      </c>
      <c r="AM3" s="68">
        <f>Economic!K17</f>
        <v>71039.199999999997</v>
      </c>
      <c r="AN3" s="68">
        <f>Economic!L17</f>
        <v>53985.7</v>
      </c>
      <c r="AO3" s="68">
        <f>Economic!M17</f>
        <v>756670</v>
      </c>
      <c r="AP3" s="68">
        <f>Economic!N17</f>
        <v>92615</v>
      </c>
      <c r="AQ3" s="68">
        <f>Economic!O17</f>
        <v>13599</v>
      </c>
      <c r="AR3" s="68">
        <f>Economic!P17</f>
        <v>28874</v>
      </c>
      <c r="AS3" s="68">
        <f>Economic!Q17</f>
        <v>67116</v>
      </c>
      <c r="AT3" s="68">
        <f>Economic!D17</f>
        <v>7017.3</v>
      </c>
      <c r="AU3" s="68">
        <f>Economic!E17</f>
        <v>6948.4</v>
      </c>
      <c r="AV3" s="68">
        <f>Economic!F17</f>
        <v>244.4</v>
      </c>
      <c r="AW3" s="68">
        <f>Economic!G17</f>
        <v>241.5</v>
      </c>
      <c r="AX3" s="68">
        <f>Economic!W17</f>
        <v>12835</v>
      </c>
      <c r="AY3" s="68">
        <f>Economic!R17</f>
        <v>117.80000000000018</v>
      </c>
      <c r="AZ3" s="68">
        <f>Economic!W17</f>
        <v>12835</v>
      </c>
      <c r="BA3" s="68">
        <f>Economic!X17</f>
        <v>134</v>
      </c>
      <c r="BB3" s="68">
        <f>Economic!Y17</f>
        <v>1434</v>
      </c>
      <c r="BC3" s="236">
        <f>Weather!C15</f>
        <v>-7.0684523809523572E-2</v>
      </c>
      <c r="BD3" s="16">
        <f>Weather!D15</f>
        <v>561.97916666666674</v>
      </c>
      <c r="BE3" s="16">
        <f>Weather!E15</f>
        <v>0</v>
      </c>
      <c r="BF3" s="16">
        <f>Weather!F15</f>
        <v>505.97916666666669</v>
      </c>
      <c r="BG3" s="16">
        <f>Weather!G15</f>
        <v>0</v>
      </c>
      <c r="BH3" s="16">
        <f>Weather!H15</f>
        <v>449.97916666666669</v>
      </c>
      <c r="BI3" s="16">
        <f>Weather!I15</f>
        <v>0</v>
      </c>
      <c r="BJ3" s="16">
        <f>Weather!J15</f>
        <v>393.97916666666669</v>
      </c>
      <c r="BK3" s="16">
        <f>Weather!K15</f>
        <v>0</v>
      </c>
      <c r="BL3" s="16">
        <f>Weather!L15</f>
        <v>337.97916666666674</v>
      </c>
      <c r="BM3" s="16">
        <f>Weather!M15</f>
        <v>0</v>
      </c>
      <c r="BN3" s="16">
        <f>Weather!N15</f>
        <v>282.74583333333328</v>
      </c>
      <c r="BO3" s="16">
        <f>Weather!O15</f>
        <v>0.76666666666666572</v>
      </c>
      <c r="BP3" s="16">
        <f>Weather!P15</f>
        <v>230.00416666666666</v>
      </c>
      <c r="BQ3" s="16">
        <f>Weather!Q15</f>
        <v>4.0249999999999986</v>
      </c>
      <c r="BR3">
        <v>0</v>
      </c>
      <c r="BS3">
        <v>1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f t="shared" ref="CI3:CI13" si="20">CE3+CG3</f>
        <v>0</v>
      </c>
      <c r="CJ3">
        <f t="shared" ref="CJ3:CJ66" si="21">CE3+CF3</f>
        <v>0</v>
      </c>
      <c r="CK3">
        <v>0</v>
      </c>
      <c r="CL3">
        <v>0</v>
      </c>
      <c r="CM3" s="1">
        <f t="shared" ref="CM3:CM53" si="22">1+CM2</f>
        <v>2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>
        <v>28</v>
      </c>
      <c r="CT3">
        <v>19</v>
      </c>
      <c r="CU3">
        <v>0</v>
      </c>
      <c r="CV3">
        <v>0</v>
      </c>
      <c r="CW3">
        <v>0</v>
      </c>
      <c r="CX3">
        <v>0</v>
      </c>
      <c r="CY3">
        <v>0</v>
      </c>
      <c r="CZ3">
        <f t="shared" si="2"/>
        <v>0</v>
      </c>
      <c r="DA3">
        <f t="shared" si="2"/>
        <v>0</v>
      </c>
      <c r="DB3">
        <f t="shared" si="2"/>
        <v>0</v>
      </c>
      <c r="DC3">
        <f t="shared" si="2"/>
        <v>0</v>
      </c>
      <c r="DD3">
        <f t="shared" si="2"/>
        <v>0</v>
      </c>
      <c r="DE3">
        <f t="shared" si="2"/>
        <v>0</v>
      </c>
      <c r="DF3">
        <f t="shared" si="2"/>
        <v>0</v>
      </c>
      <c r="DG3">
        <f t="shared" si="2"/>
        <v>0</v>
      </c>
      <c r="DH3">
        <f t="shared" si="2"/>
        <v>0</v>
      </c>
      <c r="DI3">
        <f t="shared" si="2"/>
        <v>0</v>
      </c>
      <c r="DJ3">
        <f t="shared" si="2"/>
        <v>0</v>
      </c>
      <c r="DK3">
        <f t="shared" si="2"/>
        <v>0</v>
      </c>
      <c r="DL3">
        <f t="shared" si="2"/>
        <v>0</v>
      </c>
      <c r="DM3">
        <f t="shared" si="2"/>
        <v>0</v>
      </c>
      <c r="DN3">
        <f t="shared" si="3"/>
        <v>0</v>
      </c>
      <c r="DO3">
        <f t="shared" si="3"/>
        <v>0</v>
      </c>
      <c r="DP3">
        <f t="shared" si="3"/>
        <v>0</v>
      </c>
      <c r="DQ3">
        <f t="shared" si="3"/>
        <v>0</v>
      </c>
      <c r="DR3">
        <f t="shared" si="3"/>
        <v>0</v>
      </c>
      <c r="DS3">
        <f t="shared" si="3"/>
        <v>0</v>
      </c>
      <c r="DT3">
        <f t="shared" si="3"/>
        <v>0</v>
      </c>
      <c r="DU3">
        <f t="shared" si="3"/>
        <v>0</v>
      </c>
      <c r="DV3">
        <f t="shared" si="3"/>
        <v>0</v>
      </c>
      <c r="DW3">
        <f t="shared" si="3"/>
        <v>0</v>
      </c>
      <c r="DX3">
        <f t="shared" si="3"/>
        <v>0</v>
      </c>
      <c r="DY3">
        <f t="shared" si="3"/>
        <v>0</v>
      </c>
      <c r="DZ3">
        <f t="shared" si="3"/>
        <v>0</v>
      </c>
      <c r="EA3">
        <f t="shared" si="3"/>
        <v>0</v>
      </c>
      <c r="EB3" s="44">
        <f t="shared" si="4"/>
        <v>573.8937965019594</v>
      </c>
      <c r="EC3" s="44">
        <f t="shared" si="5"/>
        <v>20.496207017927123</v>
      </c>
      <c r="ED3" s="44">
        <f t="shared" si="6"/>
        <v>2903574.6709876279</v>
      </c>
      <c r="EE3" s="44">
        <f t="shared" si="7"/>
        <v>2514.97087822392</v>
      </c>
      <c r="EF3" s="44">
        <f t="shared" si="8"/>
        <v>89.820388507997137</v>
      </c>
      <c r="EG3" s="44">
        <f t="shared" si="9"/>
        <v>1129671.0262650799</v>
      </c>
      <c r="EH3" s="44">
        <f t="shared" si="10"/>
        <v>77281.252406486034</v>
      </c>
      <c r="EI3" s="44">
        <f t="shared" si="11"/>
        <v>2760.0447288030728</v>
      </c>
      <c r="EJ3" s="44">
        <f t="shared" si="12"/>
        <v>4067.4343371834752</v>
      </c>
      <c r="EK3" s="44">
        <f t="shared" si="13"/>
        <v>4405031.3871697038</v>
      </c>
      <c r="EL3" s="44">
        <f t="shared" si="14"/>
        <v>6491625.2021448268</v>
      </c>
    </row>
    <row r="4" spans="1:142" x14ac:dyDescent="0.2">
      <c r="A4" s="66">
        <v>42795</v>
      </c>
      <c r="B4" s="4">
        <f t="shared" si="0"/>
        <v>2017</v>
      </c>
      <c r="C4" s="4">
        <f t="shared" si="1"/>
        <v>3</v>
      </c>
      <c r="D4" s="44">
        <v>87149622</v>
      </c>
      <c r="E4" s="44">
        <f>IFERROR(VLOOKUP($B4-1,CDM!$L$7:$T$18,2,FALSE)/12,0)+IFERROR(VLOOKUP($B4,CDM!$L$37:$O$47,2,FALSE)/24,0)+IFERROR(VLOOKUP($B4,CDM!$L$37:$O$47,2,FALSE)/2*$C4/78,0)</f>
        <v>829072.58620105509</v>
      </c>
      <c r="F4" s="44">
        <f t="shared" si="15"/>
        <v>87978694.586201057</v>
      </c>
      <c r="G4" s="488">
        <v>141783</v>
      </c>
      <c r="H4" s="44">
        <v>33557905</v>
      </c>
      <c r="I4" s="44">
        <f>IFERROR(VLOOKUP($B4-1,CDM!$L$7:$T$18,3,FALSE)/12,0)+IFERROR(VLOOKUP($B4,CDM!$L$37:$O$47,3,FALSE)/24,0)+IFERROR(VLOOKUP($B4,CDM!$L$37:$O$47,3,FALSE)/2*$C4/78,0)</f>
        <v>163967.46900132709</v>
      </c>
      <c r="J4" s="44">
        <f t="shared" si="16"/>
        <v>33721872.46900133</v>
      </c>
      <c r="K4" s="44">
        <v>12578</v>
      </c>
      <c r="L4" s="44">
        <v>124913359</v>
      </c>
      <c r="M4" s="44">
        <f>IFERROR(VLOOKUP($B4-1,CDM!$L$7:$T$18,4,FALSE)/12,0)+IFERROR(VLOOKUP($B4,CDM!$L$37:$O$47,4,FALSE)/24,0)+IFERROR(VLOOKUP($B4,CDM!$L$37:$O$47,4,FALSE)/2*$C4/78,0)</f>
        <v>1214705.5867225002</v>
      </c>
      <c r="N4" s="44">
        <f t="shared" si="17"/>
        <v>126128064.58672249</v>
      </c>
      <c r="O4" s="44">
        <v>292186.08</v>
      </c>
      <c r="P4" s="488">
        <v>1599</v>
      </c>
      <c r="Q4" s="488">
        <v>3265577</v>
      </c>
      <c r="R4" s="488">
        <f>IFERROR(VLOOKUP($B4-1,CDM!$L$7:$T$18,5,FALSE)/12,0)+IFERROR(VLOOKUP($B4,CDM!$L$37:$T$47,5,FALSE)/24,0)+IFERROR(VLOOKUP($B4,CDM!$L$37:$T$47,5,FALSE)/2*$C4/78,0)</f>
        <v>33312.966487529273</v>
      </c>
      <c r="S4" s="488">
        <f t="shared" si="18"/>
        <v>3298889.9664875292</v>
      </c>
      <c r="T4" s="44">
        <v>1823.1899999999996</v>
      </c>
      <c r="U4" s="488">
        <v>4</v>
      </c>
      <c r="V4" s="488">
        <v>9232208</v>
      </c>
      <c r="W4" s="488">
        <f>IFERROR(VLOOKUP($B4-1,CDM!$L$7:$T$18,6,FALSE)/12,0)+IFERROR(VLOOKUP($B4,CDM!$L$37:$T$47,6,FALSE)/24,0)+IFERROR(VLOOKUP($B4,CDM!$L$37:$T$47,6,FALSE)/2*$C4/78,0)</f>
        <v>2016.1308827789346</v>
      </c>
      <c r="X4" s="488">
        <f t="shared" si="19"/>
        <v>9234224.1308827791</v>
      </c>
      <c r="Y4" s="488">
        <v>15289.22</v>
      </c>
      <c r="Z4" s="488">
        <v>1</v>
      </c>
      <c r="AA4" s="44">
        <v>1748321.51</v>
      </c>
      <c r="AB4" s="44">
        <v>4723.41</v>
      </c>
      <c r="AC4" s="488">
        <v>36096</v>
      </c>
      <c r="AD4" s="44">
        <v>471289.47</v>
      </c>
      <c r="AE4" s="44">
        <v>1516</v>
      </c>
      <c r="AF4" s="44">
        <v>48152.349999999991</v>
      </c>
      <c r="AG4" s="44">
        <v>131.13</v>
      </c>
      <c r="AH4" s="44">
        <v>537</v>
      </c>
      <c r="AI4" s="44">
        <v>12900</v>
      </c>
      <c r="AJ4" s="68">
        <f>Economic!H18</f>
        <v>764465</v>
      </c>
      <c r="AK4" s="68">
        <f>Economic!I18</f>
        <v>91847.6</v>
      </c>
      <c r="AL4" s="68">
        <f>Economic!J18</f>
        <v>29151.9</v>
      </c>
      <c r="AM4" s="68">
        <f>Economic!K18</f>
        <v>71039.199999999997</v>
      </c>
      <c r="AN4" s="68">
        <f>Economic!L18</f>
        <v>53985.7</v>
      </c>
      <c r="AO4" s="68">
        <f>Economic!M18</f>
        <v>756670</v>
      </c>
      <c r="AP4" s="68">
        <f>Economic!N18</f>
        <v>92615</v>
      </c>
      <c r="AQ4" s="68">
        <f>Economic!O18</f>
        <v>13599</v>
      </c>
      <c r="AR4" s="68">
        <f>Economic!P18</f>
        <v>28874</v>
      </c>
      <c r="AS4" s="68">
        <f>Economic!Q18</f>
        <v>67116</v>
      </c>
      <c r="AT4" s="68">
        <f>Economic!D18</f>
        <v>7035.4</v>
      </c>
      <c r="AU4" s="68">
        <f>Economic!E18</f>
        <v>6933.2</v>
      </c>
      <c r="AV4" s="68">
        <f>Economic!F18</f>
        <v>248</v>
      </c>
      <c r="AW4" s="68">
        <f>Economic!G18</f>
        <v>244.3</v>
      </c>
      <c r="AX4" s="68">
        <f>Economic!W18</f>
        <v>12835</v>
      </c>
      <c r="AY4" s="68">
        <f>Economic!R18</f>
        <v>126.79999999999927</v>
      </c>
      <c r="AZ4" s="68">
        <f>Economic!W18</f>
        <v>12835</v>
      </c>
      <c r="BA4" s="68">
        <f>Economic!X18</f>
        <v>134</v>
      </c>
      <c r="BB4" s="68">
        <f>Economic!Y18</f>
        <v>1434</v>
      </c>
      <c r="BC4" s="236">
        <f>Weather!C16</f>
        <v>-0.17392473118279589</v>
      </c>
      <c r="BD4" s="16">
        <f>Weather!D16</f>
        <v>625.39166666666665</v>
      </c>
      <c r="BE4" s="16">
        <f>Weather!E16</f>
        <v>0</v>
      </c>
      <c r="BF4" s="16">
        <f>Weather!F16</f>
        <v>563.39166666666665</v>
      </c>
      <c r="BG4" s="16">
        <f>Weather!G16</f>
        <v>0</v>
      </c>
      <c r="BH4" s="16">
        <f>Weather!H16</f>
        <v>501.39166666666665</v>
      </c>
      <c r="BI4" s="16">
        <f>Weather!I16</f>
        <v>0</v>
      </c>
      <c r="BJ4" s="16">
        <f>Weather!J16</f>
        <v>439.39166666666665</v>
      </c>
      <c r="BK4" s="16">
        <f>Weather!K16</f>
        <v>0</v>
      </c>
      <c r="BL4" s="16">
        <f>Weather!L16</f>
        <v>377.39166666666677</v>
      </c>
      <c r="BM4" s="16">
        <f>Weather!M16</f>
        <v>0</v>
      </c>
      <c r="BN4" s="16">
        <f>Weather!N16</f>
        <v>315.91666666666663</v>
      </c>
      <c r="BO4" s="16">
        <f>Weather!O16</f>
        <v>0.52500000000000036</v>
      </c>
      <c r="BP4" s="16">
        <f>Weather!P16</f>
        <v>259.54583333333329</v>
      </c>
      <c r="BQ4" s="16">
        <f>Weather!Q16</f>
        <v>6.1541666666666703</v>
      </c>
      <c r="BR4">
        <v>0</v>
      </c>
      <c r="BS4">
        <v>0</v>
      </c>
      <c r="BT4">
        <v>1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1</v>
      </c>
      <c r="CE4">
        <v>1</v>
      </c>
      <c r="CF4">
        <v>0</v>
      </c>
      <c r="CG4">
        <v>0</v>
      </c>
      <c r="CH4">
        <v>1</v>
      </c>
      <c r="CI4">
        <f t="shared" si="20"/>
        <v>1</v>
      </c>
      <c r="CJ4">
        <f t="shared" si="21"/>
        <v>1</v>
      </c>
      <c r="CK4">
        <v>0</v>
      </c>
      <c r="CL4">
        <v>0</v>
      </c>
      <c r="CM4" s="1">
        <f t="shared" si="22"/>
        <v>3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>
        <v>31</v>
      </c>
      <c r="CT4">
        <v>23</v>
      </c>
      <c r="CU4">
        <v>0</v>
      </c>
      <c r="CV4">
        <v>0</v>
      </c>
      <c r="CW4">
        <v>0</v>
      </c>
      <c r="CX4">
        <v>0</v>
      </c>
      <c r="CY4">
        <v>0</v>
      </c>
      <c r="CZ4">
        <f t="shared" si="2"/>
        <v>0</v>
      </c>
      <c r="DA4">
        <f t="shared" si="2"/>
        <v>0</v>
      </c>
      <c r="DB4">
        <f t="shared" si="2"/>
        <v>0</v>
      </c>
      <c r="DC4">
        <f t="shared" si="2"/>
        <v>0</v>
      </c>
      <c r="DD4">
        <f t="shared" si="2"/>
        <v>0</v>
      </c>
      <c r="DE4">
        <f t="shared" si="2"/>
        <v>0</v>
      </c>
      <c r="DF4">
        <f t="shared" si="2"/>
        <v>0</v>
      </c>
      <c r="DG4">
        <f t="shared" si="2"/>
        <v>0</v>
      </c>
      <c r="DH4">
        <f t="shared" si="2"/>
        <v>0</v>
      </c>
      <c r="DI4">
        <f t="shared" si="2"/>
        <v>0</v>
      </c>
      <c r="DJ4">
        <f t="shared" si="2"/>
        <v>0</v>
      </c>
      <c r="DK4">
        <f t="shared" si="2"/>
        <v>0</v>
      </c>
      <c r="DL4">
        <f t="shared" si="2"/>
        <v>0</v>
      </c>
      <c r="DM4">
        <f t="shared" si="2"/>
        <v>0</v>
      </c>
      <c r="DN4">
        <f t="shared" si="3"/>
        <v>0</v>
      </c>
      <c r="DO4">
        <f t="shared" si="3"/>
        <v>0</v>
      </c>
      <c r="DP4">
        <f t="shared" si="3"/>
        <v>0</v>
      </c>
      <c r="DQ4">
        <f t="shared" si="3"/>
        <v>0</v>
      </c>
      <c r="DR4">
        <f t="shared" si="3"/>
        <v>0</v>
      </c>
      <c r="DS4">
        <f t="shared" si="3"/>
        <v>0</v>
      </c>
      <c r="DT4">
        <f t="shared" si="3"/>
        <v>0</v>
      </c>
      <c r="DU4">
        <f t="shared" si="3"/>
        <v>0</v>
      </c>
      <c r="DV4">
        <f t="shared" si="3"/>
        <v>0</v>
      </c>
      <c r="DW4">
        <f t="shared" si="3"/>
        <v>0</v>
      </c>
      <c r="DX4">
        <f t="shared" si="3"/>
        <v>0</v>
      </c>
      <c r="DY4">
        <f t="shared" si="3"/>
        <v>0</v>
      </c>
      <c r="DZ4">
        <f t="shared" si="3"/>
        <v>0</v>
      </c>
      <c r="EA4">
        <f t="shared" si="3"/>
        <v>0</v>
      </c>
      <c r="EB4" s="44">
        <f t="shared" si="4"/>
        <v>620.5165258613589</v>
      </c>
      <c r="EC4" s="44">
        <f t="shared" si="5"/>
        <v>20.016662124559964</v>
      </c>
      <c r="ED4" s="44">
        <f t="shared" si="6"/>
        <v>2838022.4060064857</v>
      </c>
      <c r="EE4" s="44">
        <f t="shared" si="7"/>
        <v>2681.0202312769384</v>
      </c>
      <c r="EF4" s="44">
        <f t="shared" si="8"/>
        <v>86.484523589578657</v>
      </c>
      <c r="EG4" s="44">
        <f t="shared" si="9"/>
        <v>1087802.3377097202</v>
      </c>
      <c r="EH4" s="44">
        <f t="shared" si="10"/>
        <v>78879.339954172916</v>
      </c>
      <c r="EI4" s="44">
        <f t="shared" si="11"/>
        <v>2544.4948372313843</v>
      </c>
      <c r="EJ4" s="44">
        <f t="shared" si="12"/>
        <v>3429.5365197466485</v>
      </c>
      <c r="EK4" s="44">
        <f t="shared" si="13"/>
        <v>4068647.2447329839</v>
      </c>
      <c r="EL4" s="44">
        <f t="shared" si="14"/>
        <v>5483828.8950748909</v>
      </c>
    </row>
    <row r="5" spans="1:142" x14ac:dyDescent="0.2">
      <c r="A5" s="66">
        <v>42826</v>
      </c>
      <c r="B5" s="4">
        <f t="shared" si="0"/>
        <v>2017</v>
      </c>
      <c r="C5" s="4">
        <f t="shared" si="1"/>
        <v>4</v>
      </c>
      <c r="D5" s="44">
        <v>72157766</v>
      </c>
      <c r="E5" s="44">
        <f>IFERROR(VLOOKUP($B5-1,CDM!$L$7:$T$18,2,FALSE)/12,0)+IFERROR(VLOOKUP($B5,CDM!$L$37:$O$47,2,FALSE)/24,0)+IFERROR(VLOOKUP($B5,CDM!$L$37:$O$47,2,FALSE)/2*$C5/78,0)</f>
        <v>916343.38474853453</v>
      </c>
      <c r="F5" s="44">
        <f t="shared" si="15"/>
        <v>73074109.384748533</v>
      </c>
      <c r="G5" s="488">
        <v>141833</v>
      </c>
      <c r="H5" s="44">
        <v>28819249</v>
      </c>
      <c r="I5" s="44">
        <f>IFERROR(VLOOKUP($B5-1,CDM!$L$7:$T$18,3,FALSE)/12,0)+IFERROR(VLOOKUP($B5,CDM!$L$37:$O$47,3,FALSE)/24,0)+IFERROR(VLOOKUP($B5,CDM!$L$37:$O$47,3,FALSE)/2*$C5/78,0)</f>
        <v>181227.20258041416</v>
      </c>
      <c r="J5" s="44">
        <f t="shared" si="16"/>
        <v>29000476.202580415</v>
      </c>
      <c r="K5" s="44">
        <v>12567</v>
      </c>
      <c r="L5" s="44">
        <v>111628772</v>
      </c>
      <c r="M5" s="44">
        <f>IFERROR(VLOOKUP($B5-1,CDM!$L$7:$T$18,4,FALSE)/12,0)+IFERROR(VLOOKUP($B5,CDM!$L$37:$O$47,4,FALSE)/24,0)+IFERROR(VLOOKUP($B5,CDM!$L$37:$O$47,4,FALSE)/2*$C5/78,0)</f>
        <v>1342569.3326932895</v>
      </c>
      <c r="N5" s="44">
        <f t="shared" si="17"/>
        <v>112971341.33269329</v>
      </c>
      <c r="O5" s="44">
        <v>299701.82</v>
      </c>
      <c r="P5" s="488">
        <v>1599</v>
      </c>
      <c r="Q5" s="488">
        <v>3797978</v>
      </c>
      <c r="R5" s="488">
        <f>IFERROR(VLOOKUP($B5-1,CDM!$L$7:$T$18,5,FALSE)/12,0)+IFERROR(VLOOKUP($B5,CDM!$L$37:$T$47,5,FALSE)/24,0)+IFERROR(VLOOKUP($B5,CDM!$L$37:$T$47,5,FALSE)/2*$C5/78,0)</f>
        <v>36819.594538848141</v>
      </c>
      <c r="S5" s="488">
        <f t="shared" si="18"/>
        <v>3834797.5945388479</v>
      </c>
      <c r="T5" s="44">
        <v>9182.6200000000008</v>
      </c>
      <c r="U5" s="488">
        <v>4</v>
      </c>
      <c r="V5" s="488">
        <v>8837800</v>
      </c>
      <c r="W5" s="488">
        <f>IFERROR(VLOOKUP($B5-1,CDM!$L$7:$T$18,6,FALSE)/12,0)+IFERROR(VLOOKUP($B5,CDM!$L$37:$T$47,6,FALSE)/24,0)+IFERROR(VLOOKUP($B5,CDM!$L$37:$T$47,6,FALSE)/2*$C5/78,0)</f>
        <v>2228.3551862293489</v>
      </c>
      <c r="X5" s="488">
        <f t="shared" si="19"/>
        <v>8840028.3551862296</v>
      </c>
      <c r="Y5" s="488">
        <v>19310.259999999998</v>
      </c>
      <c r="Z5" s="488">
        <v>1</v>
      </c>
      <c r="AA5" s="44">
        <v>1516681.98</v>
      </c>
      <c r="AB5" s="44">
        <v>4724.87</v>
      </c>
      <c r="AC5" s="488">
        <v>36107</v>
      </c>
      <c r="AD5" s="44">
        <v>456723.76</v>
      </c>
      <c r="AE5" s="44">
        <v>1516</v>
      </c>
      <c r="AF5" s="44">
        <v>46114.020000000004</v>
      </c>
      <c r="AG5" s="44">
        <v>127.67</v>
      </c>
      <c r="AH5" s="44">
        <v>537</v>
      </c>
      <c r="AI5" s="44">
        <v>12900</v>
      </c>
      <c r="AJ5" s="68">
        <f>Economic!H19</f>
        <v>764465</v>
      </c>
      <c r="AK5" s="68">
        <f>Economic!I19</f>
        <v>91847.6</v>
      </c>
      <c r="AL5" s="68">
        <f>Economic!J19</f>
        <v>29151.9</v>
      </c>
      <c r="AM5" s="68">
        <f>Economic!K19</f>
        <v>71039.199999999997</v>
      </c>
      <c r="AN5" s="68">
        <f>Economic!L19</f>
        <v>53985.7</v>
      </c>
      <c r="AO5" s="68">
        <f>Economic!M19</f>
        <v>764676</v>
      </c>
      <c r="AP5" s="68">
        <f>Economic!N19</f>
        <v>92541</v>
      </c>
      <c r="AQ5" s="68">
        <f>Economic!O19</f>
        <v>13363</v>
      </c>
      <c r="AR5" s="68">
        <f>Economic!P19</f>
        <v>29347</v>
      </c>
      <c r="AS5" s="68">
        <f>Economic!Q19</f>
        <v>70966</v>
      </c>
      <c r="AT5" s="68">
        <f>Economic!D19</f>
        <v>7041.8</v>
      </c>
      <c r="AU5" s="68">
        <f>Economic!E19</f>
        <v>6951.9</v>
      </c>
      <c r="AV5" s="68">
        <f>Economic!F19</f>
        <v>250.7</v>
      </c>
      <c r="AW5" s="68">
        <f>Economic!G19</f>
        <v>246.2</v>
      </c>
      <c r="AX5" s="68">
        <f>Economic!W19</f>
        <v>23847</v>
      </c>
      <c r="AY5" s="68">
        <f>Economic!R19</f>
        <v>132.80000000000018</v>
      </c>
      <c r="AZ5" s="68">
        <f>Economic!W19</f>
        <v>23847</v>
      </c>
      <c r="BA5" s="68">
        <f>Economic!X19</f>
        <v>2369</v>
      </c>
      <c r="BB5" s="68">
        <f>Economic!Y19</f>
        <v>5722</v>
      </c>
      <c r="BC5" s="236">
        <f>Weather!C17</f>
        <v>9.3709722222222247</v>
      </c>
      <c r="BD5" s="16">
        <f>Weather!D17</f>
        <v>318.87083333333334</v>
      </c>
      <c r="BE5" s="16">
        <f>Weather!E17</f>
        <v>0</v>
      </c>
      <c r="BF5" s="16">
        <f>Weather!F17</f>
        <v>259.11666666666662</v>
      </c>
      <c r="BG5" s="16">
        <f>Weather!G17</f>
        <v>0.24583333333333357</v>
      </c>
      <c r="BH5" s="16">
        <f>Weather!H17</f>
        <v>202.63749999999996</v>
      </c>
      <c r="BI5" s="16">
        <f>Weather!I17</f>
        <v>3.7666666666666728</v>
      </c>
      <c r="BJ5" s="16">
        <f>Weather!J17</f>
        <v>150.22500000000002</v>
      </c>
      <c r="BK5" s="16">
        <f>Weather!K17</f>
        <v>11.354166666666671</v>
      </c>
      <c r="BL5" s="16">
        <f>Weather!L17</f>
        <v>102.53749999999998</v>
      </c>
      <c r="BM5" s="16">
        <f>Weather!M17</f>
        <v>23.666666666666675</v>
      </c>
      <c r="BN5" s="16">
        <f>Weather!N17</f>
        <v>61.175000000000026</v>
      </c>
      <c r="BO5" s="16">
        <f>Weather!O17</f>
        <v>42.304166666666667</v>
      </c>
      <c r="BP5" s="16">
        <f>Weather!P17</f>
        <v>28.69166666666667</v>
      </c>
      <c r="BQ5" s="16">
        <f>Weather!Q17</f>
        <v>69.820833333333354</v>
      </c>
      <c r="BR5">
        <v>0</v>
      </c>
      <c r="BS5">
        <v>0</v>
      </c>
      <c r="BT5">
        <v>0</v>
      </c>
      <c r="BU5">
        <v>1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1</v>
      </c>
      <c r="CE5">
        <v>1</v>
      </c>
      <c r="CF5">
        <v>0</v>
      </c>
      <c r="CG5">
        <v>0</v>
      </c>
      <c r="CH5">
        <v>1</v>
      </c>
      <c r="CI5">
        <f t="shared" si="20"/>
        <v>1</v>
      </c>
      <c r="CJ5">
        <f t="shared" si="21"/>
        <v>1</v>
      </c>
      <c r="CK5">
        <v>0</v>
      </c>
      <c r="CL5">
        <v>0</v>
      </c>
      <c r="CM5" s="1">
        <f t="shared" si="22"/>
        <v>4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>
        <v>30</v>
      </c>
      <c r="CT5">
        <v>19</v>
      </c>
      <c r="CU5">
        <v>0</v>
      </c>
      <c r="CV5">
        <v>0</v>
      </c>
      <c r="CW5">
        <v>0</v>
      </c>
      <c r="CX5">
        <v>0</v>
      </c>
      <c r="CY5">
        <v>0</v>
      </c>
      <c r="CZ5">
        <f t="shared" si="2"/>
        <v>0</v>
      </c>
      <c r="DA5">
        <f t="shared" si="2"/>
        <v>0</v>
      </c>
      <c r="DB5">
        <f t="shared" si="2"/>
        <v>0</v>
      </c>
      <c r="DC5">
        <f t="shared" si="2"/>
        <v>0</v>
      </c>
      <c r="DD5">
        <f t="shared" si="2"/>
        <v>0</v>
      </c>
      <c r="DE5">
        <f t="shared" si="2"/>
        <v>0</v>
      </c>
      <c r="DF5">
        <f t="shared" si="2"/>
        <v>0</v>
      </c>
      <c r="DG5">
        <f t="shared" si="2"/>
        <v>0</v>
      </c>
      <c r="DH5">
        <f t="shared" si="2"/>
        <v>0</v>
      </c>
      <c r="DI5">
        <f t="shared" si="2"/>
        <v>0</v>
      </c>
      <c r="DJ5">
        <f t="shared" si="2"/>
        <v>0</v>
      </c>
      <c r="DK5">
        <f t="shared" si="2"/>
        <v>0</v>
      </c>
      <c r="DL5">
        <f t="shared" si="2"/>
        <v>0</v>
      </c>
      <c r="DM5">
        <f t="shared" si="2"/>
        <v>0</v>
      </c>
      <c r="DN5">
        <f t="shared" si="3"/>
        <v>0</v>
      </c>
      <c r="DO5">
        <f t="shared" si="3"/>
        <v>0</v>
      </c>
      <c r="DP5">
        <f t="shared" si="3"/>
        <v>0</v>
      </c>
      <c r="DQ5">
        <f t="shared" si="3"/>
        <v>0</v>
      </c>
      <c r="DR5">
        <f t="shared" si="3"/>
        <v>0</v>
      </c>
      <c r="DS5">
        <f t="shared" si="3"/>
        <v>0</v>
      </c>
      <c r="DT5">
        <f t="shared" si="3"/>
        <v>0</v>
      </c>
      <c r="DU5">
        <f t="shared" si="3"/>
        <v>0</v>
      </c>
      <c r="DV5">
        <f t="shared" si="3"/>
        <v>0</v>
      </c>
      <c r="DW5">
        <f t="shared" si="3"/>
        <v>0</v>
      </c>
      <c r="DX5">
        <f t="shared" si="3"/>
        <v>0</v>
      </c>
      <c r="DY5">
        <f t="shared" si="3"/>
        <v>0</v>
      </c>
      <c r="DZ5">
        <f t="shared" si="3"/>
        <v>0</v>
      </c>
      <c r="EA5">
        <f t="shared" si="3"/>
        <v>0</v>
      </c>
      <c r="EB5" s="44">
        <f t="shared" si="4"/>
        <v>515.21232283564848</v>
      </c>
      <c r="EC5" s="44">
        <f t="shared" si="5"/>
        <v>17.173744094521616</v>
      </c>
      <c r="ED5" s="44">
        <f t="shared" si="6"/>
        <v>2435803.6461582845</v>
      </c>
      <c r="EE5" s="44">
        <f t="shared" si="7"/>
        <v>2307.6689904177938</v>
      </c>
      <c r="EF5" s="44">
        <f t="shared" si="8"/>
        <v>76.922299680593127</v>
      </c>
      <c r="EG5" s="44">
        <f t="shared" si="9"/>
        <v>966682.54008601385</v>
      </c>
      <c r="EH5" s="44">
        <f t="shared" si="10"/>
        <v>70651.245361284105</v>
      </c>
      <c r="EI5" s="44">
        <f t="shared" si="11"/>
        <v>2355.0415120428033</v>
      </c>
      <c r="EJ5" s="44">
        <f t="shared" si="12"/>
        <v>3718.4865979623214</v>
      </c>
      <c r="EK5" s="44">
        <f t="shared" si="13"/>
        <v>3765711.3777564433</v>
      </c>
      <c r="EL5" s="44">
        <f t="shared" si="14"/>
        <v>5945860.0701417523</v>
      </c>
    </row>
    <row r="6" spans="1:142" x14ac:dyDescent="0.2">
      <c r="A6" s="66">
        <v>42856</v>
      </c>
      <c r="B6" s="4">
        <f t="shared" si="0"/>
        <v>2017</v>
      </c>
      <c r="C6" s="4">
        <f t="shared" si="1"/>
        <v>5</v>
      </c>
      <c r="D6" s="44">
        <v>73173599</v>
      </c>
      <c r="E6" s="44">
        <f>IFERROR(VLOOKUP($B6-1,CDM!$L$7:$T$18,2,FALSE)/12,0)+IFERROR(VLOOKUP($B6,CDM!$L$37:$O$47,2,FALSE)/24,0)+IFERROR(VLOOKUP($B6,CDM!$L$37:$O$47,2,FALSE)/2*$C6/78,0)</f>
        <v>1003614.1832960141</v>
      </c>
      <c r="F6" s="44">
        <f t="shared" si="15"/>
        <v>74177213.18329601</v>
      </c>
      <c r="G6" s="488">
        <v>141997</v>
      </c>
      <c r="H6" s="44">
        <v>29942579</v>
      </c>
      <c r="I6" s="44">
        <f>IFERROR(VLOOKUP($B6-1,CDM!$L$7:$T$18,3,FALSE)/12,0)+IFERROR(VLOOKUP($B6,CDM!$L$37:$O$47,3,FALSE)/24,0)+IFERROR(VLOOKUP($B6,CDM!$L$37:$O$47,3,FALSE)/2*$C6/78,0)</f>
        <v>198486.9361595012</v>
      </c>
      <c r="J6" s="44">
        <f t="shared" si="16"/>
        <v>30141065.936159503</v>
      </c>
      <c r="K6" s="44">
        <v>12575</v>
      </c>
      <c r="L6" s="44">
        <v>119336727</v>
      </c>
      <c r="M6" s="44">
        <f>IFERROR(VLOOKUP($B6-1,CDM!$L$7:$T$18,4,FALSE)/12,0)+IFERROR(VLOOKUP($B6,CDM!$L$37:$O$47,4,FALSE)/24,0)+IFERROR(VLOOKUP($B6,CDM!$L$37:$O$47,4,FALSE)/2*$C6/78,0)</f>
        <v>1470433.0786640791</v>
      </c>
      <c r="N6" s="44">
        <f t="shared" si="17"/>
        <v>120807160.07866408</v>
      </c>
      <c r="O6" s="44">
        <v>314401.45</v>
      </c>
      <c r="P6" s="488">
        <v>1602</v>
      </c>
      <c r="Q6" s="488">
        <v>4070442</v>
      </c>
      <c r="R6" s="488">
        <f>IFERROR(VLOOKUP($B6-1,CDM!$L$7:$T$18,5,FALSE)/12,0)+IFERROR(VLOOKUP($B6,CDM!$L$37:$T$47,5,FALSE)/24,0)+IFERROR(VLOOKUP($B6,CDM!$L$37:$T$47,5,FALSE)/2*$C6/78,0)</f>
        <v>40326.222590167017</v>
      </c>
      <c r="S6" s="488">
        <f t="shared" si="18"/>
        <v>4110768.2225901671</v>
      </c>
      <c r="T6" s="44">
        <v>8727.15</v>
      </c>
      <c r="U6" s="488">
        <v>4</v>
      </c>
      <c r="V6" s="488">
        <v>9324282</v>
      </c>
      <c r="W6" s="488">
        <f>IFERROR(VLOOKUP($B6-1,CDM!$L$7:$T$18,6,FALSE)/12,0)+IFERROR(VLOOKUP($B6,CDM!$L$37:$T$47,6,FALSE)/24,0)+IFERROR(VLOOKUP($B6,CDM!$L$37:$T$47,6,FALSE)/2*$C6/78,0)</f>
        <v>2440.5794896797629</v>
      </c>
      <c r="X6" s="488">
        <f t="shared" si="19"/>
        <v>9326722.57948968</v>
      </c>
      <c r="Y6" s="488">
        <v>20527.560000000001</v>
      </c>
      <c r="Z6" s="488">
        <v>1</v>
      </c>
      <c r="AA6" s="44">
        <v>1353573.8</v>
      </c>
      <c r="AB6" s="44">
        <v>4740.8999999999996</v>
      </c>
      <c r="AC6" s="488">
        <v>36107</v>
      </c>
      <c r="AD6" s="44">
        <v>471343.42</v>
      </c>
      <c r="AE6" s="44">
        <v>1514</v>
      </c>
      <c r="AF6" s="44">
        <v>47527.789999999994</v>
      </c>
      <c r="AG6" s="44">
        <v>126.02</v>
      </c>
      <c r="AH6" s="44">
        <v>536</v>
      </c>
      <c r="AI6" s="44">
        <v>12900</v>
      </c>
      <c r="AJ6" s="68">
        <f>Economic!H20</f>
        <v>764465</v>
      </c>
      <c r="AK6" s="68">
        <f>Economic!I20</f>
        <v>91847.6</v>
      </c>
      <c r="AL6" s="68">
        <f>Economic!J20</f>
        <v>29151.9</v>
      </c>
      <c r="AM6" s="68">
        <f>Economic!K20</f>
        <v>71039.199999999997</v>
      </c>
      <c r="AN6" s="68">
        <f>Economic!L20</f>
        <v>53985.7</v>
      </c>
      <c r="AO6" s="68">
        <f>Economic!M20</f>
        <v>764676</v>
      </c>
      <c r="AP6" s="68">
        <f>Economic!N20</f>
        <v>92541</v>
      </c>
      <c r="AQ6" s="68">
        <f>Economic!O20</f>
        <v>13363</v>
      </c>
      <c r="AR6" s="68">
        <f>Economic!P20</f>
        <v>29347</v>
      </c>
      <c r="AS6" s="68">
        <f>Economic!Q20</f>
        <v>70966</v>
      </c>
      <c r="AT6" s="68">
        <f>Economic!D20</f>
        <v>7055.9</v>
      </c>
      <c r="AU6" s="68">
        <f>Economic!E20</f>
        <v>7023.7</v>
      </c>
      <c r="AV6" s="68">
        <f>Economic!F20</f>
        <v>251.2</v>
      </c>
      <c r="AW6" s="68">
        <f>Economic!G20</f>
        <v>249</v>
      </c>
      <c r="AX6" s="68">
        <f>Economic!W20</f>
        <v>23847</v>
      </c>
      <c r="AY6" s="68">
        <f>Economic!R20</f>
        <v>136.79999999999927</v>
      </c>
      <c r="AZ6" s="68">
        <f>Economic!W20</f>
        <v>23847</v>
      </c>
      <c r="BA6" s="68">
        <f>Economic!X20</f>
        <v>2369</v>
      </c>
      <c r="BB6" s="68">
        <f>Economic!Y20</f>
        <v>5722</v>
      </c>
      <c r="BC6" s="236">
        <f>Weather!C18</f>
        <v>12.226209677419357</v>
      </c>
      <c r="BD6" s="16">
        <f>Weather!D18</f>
        <v>247.3</v>
      </c>
      <c r="BE6" s="16">
        <f>Weather!E18</f>
        <v>6.3125000000000036</v>
      </c>
      <c r="BF6" s="16">
        <f>Weather!F18</f>
        <v>189.45833333333337</v>
      </c>
      <c r="BG6" s="16">
        <f>Weather!G18</f>
        <v>10.470833333333339</v>
      </c>
      <c r="BH6" s="16">
        <f>Weather!H18</f>
        <v>136.45833333333337</v>
      </c>
      <c r="BI6" s="16">
        <f>Weather!I18</f>
        <v>19.470833333333339</v>
      </c>
      <c r="BJ6" s="16">
        <f>Weather!J18</f>
        <v>92.170833333333348</v>
      </c>
      <c r="BK6" s="16">
        <f>Weather!K18</f>
        <v>37.183333333333337</v>
      </c>
      <c r="BL6" s="16">
        <f>Weather!L18</f>
        <v>54.95</v>
      </c>
      <c r="BM6" s="16">
        <f>Weather!M18</f>
        <v>61.962500000000006</v>
      </c>
      <c r="BN6" s="16">
        <f>Weather!N18</f>
        <v>29.462500000000006</v>
      </c>
      <c r="BO6" s="16">
        <f>Weather!O18</f>
        <v>98.474999999999994</v>
      </c>
      <c r="BP6" s="16">
        <f>Weather!P18</f>
        <v>12.970833333333339</v>
      </c>
      <c r="BQ6" s="16">
        <f>Weather!Q18</f>
        <v>143.98333333333332</v>
      </c>
      <c r="BR6">
        <v>0</v>
      </c>
      <c r="BS6">
        <v>0</v>
      </c>
      <c r="BT6">
        <v>0</v>
      </c>
      <c r="BU6">
        <v>0</v>
      </c>
      <c r="BV6">
        <v>1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1</v>
      </c>
      <c r="CE6">
        <v>0</v>
      </c>
      <c r="CF6">
        <v>0</v>
      </c>
      <c r="CG6">
        <v>0</v>
      </c>
      <c r="CH6">
        <v>1</v>
      </c>
      <c r="CI6">
        <f t="shared" si="20"/>
        <v>0</v>
      </c>
      <c r="CJ6">
        <f t="shared" si="21"/>
        <v>0</v>
      </c>
      <c r="CK6">
        <v>1</v>
      </c>
      <c r="CL6">
        <v>0</v>
      </c>
      <c r="CM6" s="1">
        <f t="shared" si="22"/>
        <v>5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>
        <v>31</v>
      </c>
      <c r="CT6">
        <v>22</v>
      </c>
      <c r="CU6">
        <v>0</v>
      </c>
      <c r="CV6">
        <v>0</v>
      </c>
      <c r="CW6">
        <v>0</v>
      </c>
      <c r="CX6">
        <v>0</v>
      </c>
      <c r="CY6">
        <v>0</v>
      </c>
      <c r="CZ6">
        <f t="shared" si="2"/>
        <v>0</v>
      </c>
      <c r="DA6">
        <f t="shared" si="2"/>
        <v>0</v>
      </c>
      <c r="DB6">
        <f t="shared" si="2"/>
        <v>0</v>
      </c>
      <c r="DC6">
        <f t="shared" si="2"/>
        <v>0</v>
      </c>
      <c r="DD6">
        <f t="shared" si="2"/>
        <v>0</v>
      </c>
      <c r="DE6">
        <f t="shared" si="2"/>
        <v>0</v>
      </c>
      <c r="DF6">
        <f t="shared" si="2"/>
        <v>0</v>
      </c>
      <c r="DG6">
        <f t="shared" si="2"/>
        <v>0</v>
      </c>
      <c r="DH6">
        <f t="shared" si="2"/>
        <v>0</v>
      </c>
      <c r="DI6">
        <f t="shared" si="2"/>
        <v>0</v>
      </c>
      <c r="DJ6">
        <f t="shared" si="2"/>
        <v>0</v>
      </c>
      <c r="DK6">
        <f t="shared" si="2"/>
        <v>0</v>
      </c>
      <c r="DL6">
        <f t="shared" si="2"/>
        <v>0</v>
      </c>
      <c r="DM6">
        <f t="shared" si="2"/>
        <v>0</v>
      </c>
      <c r="DN6">
        <f t="shared" si="3"/>
        <v>0</v>
      </c>
      <c r="DO6">
        <f t="shared" si="3"/>
        <v>0</v>
      </c>
      <c r="DP6">
        <f t="shared" si="3"/>
        <v>0</v>
      </c>
      <c r="DQ6">
        <f t="shared" si="3"/>
        <v>0</v>
      </c>
      <c r="DR6">
        <f t="shared" si="3"/>
        <v>0</v>
      </c>
      <c r="DS6">
        <f t="shared" si="3"/>
        <v>0</v>
      </c>
      <c r="DT6">
        <f t="shared" si="3"/>
        <v>0</v>
      </c>
      <c r="DU6">
        <f t="shared" si="3"/>
        <v>0</v>
      </c>
      <c r="DV6">
        <f t="shared" si="3"/>
        <v>0</v>
      </c>
      <c r="DW6">
        <f t="shared" si="3"/>
        <v>0</v>
      </c>
      <c r="DX6">
        <f t="shared" si="3"/>
        <v>0</v>
      </c>
      <c r="DY6">
        <f t="shared" si="3"/>
        <v>0</v>
      </c>
      <c r="DZ6">
        <f t="shared" si="3"/>
        <v>0</v>
      </c>
      <c r="EA6">
        <f t="shared" si="3"/>
        <v>0</v>
      </c>
      <c r="EB6" s="44">
        <f t="shared" si="4"/>
        <v>522.38577704667011</v>
      </c>
      <c r="EC6" s="44">
        <f t="shared" si="5"/>
        <v>16.851154098279682</v>
      </c>
      <c r="ED6" s="44">
        <f t="shared" si="6"/>
        <v>2392813.3284934196</v>
      </c>
      <c r="EE6" s="44">
        <f t="shared" si="7"/>
        <v>2396.9038517820677</v>
      </c>
      <c r="EF6" s="44">
        <f t="shared" si="8"/>
        <v>77.319479089744121</v>
      </c>
      <c r="EG6" s="44">
        <f t="shared" si="9"/>
        <v>972292.44955353229</v>
      </c>
      <c r="EH6" s="44">
        <f t="shared" si="10"/>
        <v>75410.21228381028</v>
      </c>
      <c r="EI6" s="44">
        <f t="shared" si="11"/>
        <v>2432.587493026138</v>
      </c>
      <c r="EJ6" s="44">
        <f t="shared" si="12"/>
        <v>3427.7369219913762</v>
      </c>
      <c r="EK6" s="44">
        <f t="shared" si="13"/>
        <v>3897005.1638278733</v>
      </c>
      <c r="EL6" s="44">
        <f t="shared" si="14"/>
        <v>5491234.5490301857</v>
      </c>
    </row>
    <row r="7" spans="1:142" x14ac:dyDescent="0.2">
      <c r="A7" s="66">
        <v>42887</v>
      </c>
      <c r="B7" s="4">
        <f t="shared" si="0"/>
        <v>2017</v>
      </c>
      <c r="C7" s="4">
        <f t="shared" si="1"/>
        <v>6</v>
      </c>
      <c r="D7" s="44">
        <v>90036466</v>
      </c>
      <c r="E7" s="44">
        <f>IFERROR(VLOOKUP($B7-1,CDM!$L$7:$T$18,2,FALSE)/12,0)+IFERROR(VLOOKUP($B7,CDM!$L$37:$O$47,2,FALSE)/24,0)+IFERROR(VLOOKUP($B7,CDM!$L$37:$O$47,2,FALSE)/2*$C7/78,0)</f>
        <v>1090884.9818434934</v>
      </c>
      <c r="F7" s="44">
        <f t="shared" si="15"/>
        <v>91127350.981843486</v>
      </c>
      <c r="G7" s="488">
        <v>142062</v>
      </c>
      <c r="H7" s="44">
        <v>32060147</v>
      </c>
      <c r="I7" s="44">
        <f>IFERROR(VLOOKUP($B7-1,CDM!$L$7:$T$18,3,FALSE)/12,0)+IFERROR(VLOOKUP($B7,CDM!$L$37:$O$47,3,FALSE)/24,0)+IFERROR(VLOOKUP($B7,CDM!$L$37:$O$47,3,FALSE)/2*$C7/78,0)</f>
        <v>215746.66973858827</v>
      </c>
      <c r="J7" s="44">
        <f t="shared" si="16"/>
        <v>32275893.669738587</v>
      </c>
      <c r="K7" s="44">
        <v>12572</v>
      </c>
      <c r="L7" s="44">
        <v>126432223</v>
      </c>
      <c r="M7" s="44">
        <f>IFERROR(VLOOKUP($B7-1,CDM!$L$7:$T$18,4,FALSE)/12,0)+IFERROR(VLOOKUP($B7,CDM!$L$37:$O$47,4,FALSE)/24,0)+IFERROR(VLOOKUP($B7,CDM!$L$37:$O$47,4,FALSE)/2*$C7/78,0)</f>
        <v>1598296.8246348687</v>
      </c>
      <c r="N7" s="44">
        <f t="shared" si="17"/>
        <v>128030519.82463486</v>
      </c>
      <c r="O7" s="44">
        <v>331731.48</v>
      </c>
      <c r="P7" s="488">
        <v>1602</v>
      </c>
      <c r="Q7" s="488">
        <v>5699728</v>
      </c>
      <c r="R7" s="488">
        <f>IFERROR(VLOOKUP($B7-1,CDM!$L$7:$T$18,5,FALSE)/12,0)+IFERROR(VLOOKUP($B7,CDM!$L$37:$T$47,5,FALSE)/24,0)+IFERROR(VLOOKUP($B7,CDM!$L$37:$T$47,5,FALSE)/2*$C7/78,0)</f>
        <v>43832.850641485886</v>
      </c>
      <c r="S7" s="488">
        <f t="shared" si="18"/>
        <v>5743560.8506414862</v>
      </c>
      <c r="T7" s="44">
        <v>10882.609999999999</v>
      </c>
      <c r="U7" s="488">
        <v>4</v>
      </c>
      <c r="V7" s="488">
        <v>10994901</v>
      </c>
      <c r="W7" s="488">
        <f>IFERROR(VLOOKUP($B7-1,CDM!$L$7:$T$18,6,FALSE)/12,0)+IFERROR(VLOOKUP($B7,CDM!$L$37:$T$47,6,FALSE)/24,0)+IFERROR(VLOOKUP($B7,CDM!$L$37:$T$47,6,FALSE)/2*$C7/78,0)</f>
        <v>2652.8037931301769</v>
      </c>
      <c r="X7" s="488">
        <f t="shared" si="19"/>
        <v>10997553.80379313</v>
      </c>
      <c r="Y7" s="488">
        <v>21755.73</v>
      </c>
      <c r="Z7" s="488">
        <v>1</v>
      </c>
      <c r="AA7" s="44">
        <v>1237045.7</v>
      </c>
      <c r="AB7" s="44">
        <v>4728.7700000000004</v>
      </c>
      <c r="AC7" s="488">
        <v>36141</v>
      </c>
      <c r="AD7" s="44">
        <v>456487.39</v>
      </c>
      <c r="AE7" s="44">
        <v>1513</v>
      </c>
      <c r="AF7" s="44">
        <v>45904.6</v>
      </c>
      <c r="AG7" s="44">
        <v>125.84</v>
      </c>
      <c r="AH7" s="44">
        <v>535</v>
      </c>
      <c r="AI7" s="44">
        <v>12900</v>
      </c>
      <c r="AJ7" s="68">
        <f>Economic!H21</f>
        <v>764465</v>
      </c>
      <c r="AK7" s="68">
        <f>Economic!I21</f>
        <v>91847.6</v>
      </c>
      <c r="AL7" s="68">
        <f>Economic!J21</f>
        <v>29151.9</v>
      </c>
      <c r="AM7" s="68">
        <f>Economic!K21</f>
        <v>71039.199999999997</v>
      </c>
      <c r="AN7" s="68">
        <f>Economic!L21</f>
        <v>53985.7</v>
      </c>
      <c r="AO7" s="68">
        <f>Economic!M21</f>
        <v>764676</v>
      </c>
      <c r="AP7" s="68">
        <f>Economic!N21</f>
        <v>92541</v>
      </c>
      <c r="AQ7" s="68">
        <f>Economic!O21</f>
        <v>13363</v>
      </c>
      <c r="AR7" s="68">
        <f>Economic!P21</f>
        <v>29347</v>
      </c>
      <c r="AS7" s="68">
        <f>Economic!Q21</f>
        <v>70966</v>
      </c>
      <c r="AT7" s="68">
        <f>Economic!D21</f>
        <v>7071</v>
      </c>
      <c r="AU7" s="68">
        <f>Economic!E21</f>
        <v>7112.9</v>
      </c>
      <c r="AV7" s="68">
        <f>Economic!F21</f>
        <v>250.9</v>
      </c>
      <c r="AW7" s="68">
        <f>Economic!G21</f>
        <v>253.2</v>
      </c>
      <c r="AX7" s="68">
        <f>Economic!W21</f>
        <v>23847</v>
      </c>
      <c r="AY7" s="68">
        <f>Economic!R21</f>
        <v>141</v>
      </c>
      <c r="AZ7" s="68">
        <f>Economic!W21</f>
        <v>23847</v>
      </c>
      <c r="BA7" s="68">
        <f>Economic!X21</f>
        <v>2369</v>
      </c>
      <c r="BB7" s="68">
        <f>Economic!Y21</f>
        <v>5722</v>
      </c>
      <c r="BC7" s="236">
        <f>Weather!C19</f>
        <v>18.87166666666667</v>
      </c>
      <c r="BD7" s="16">
        <f>Weather!D19</f>
        <v>66.325000000000003</v>
      </c>
      <c r="BE7" s="16">
        <f>Weather!E19</f>
        <v>32.475000000000009</v>
      </c>
      <c r="BF7" s="16">
        <f>Weather!F19</f>
        <v>33.816666666666677</v>
      </c>
      <c r="BG7" s="16">
        <f>Weather!G19</f>
        <v>59.966666666666683</v>
      </c>
      <c r="BH7" s="16">
        <f>Weather!H19</f>
        <v>11.108333333333343</v>
      </c>
      <c r="BI7" s="16">
        <f>Weather!I19</f>
        <v>97.25833333333334</v>
      </c>
      <c r="BJ7" s="16">
        <f>Weather!J19</f>
        <v>0.98333333333333428</v>
      </c>
      <c r="BK7" s="16">
        <f>Weather!K19</f>
        <v>147.1333333333333</v>
      </c>
      <c r="BL7" s="16">
        <f>Weather!L19</f>
        <v>0</v>
      </c>
      <c r="BM7" s="16">
        <f>Weather!M19</f>
        <v>206.14999999999995</v>
      </c>
      <c r="BN7" s="16">
        <f>Weather!N19</f>
        <v>0</v>
      </c>
      <c r="BO7" s="16">
        <f>Weather!O19</f>
        <v>266.14999999999992</v>
      </c>
      <c r="BP7" s="16">
        <f>Weather!P19</f>
        <v>0</v>
      </c>
      <c r="BQ7" s="16">
        <f>Weather!Q19</f>
        <v>326.15000000000009</v>
      </c>
      <c r="BR7">
        <v>0</v>
      </c>
      <c r="BS7">
        <v>0</v>
      </c>
      <c r="BT7">
        <v>0</v>
      </c>
      <c r="BU7">
        <v>0</v>
      </c>
      <c r="BV7">
        <v>0</v>
      </c>
      <c r="BW7">
        <v>1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f t="shared" si="20"/>
        <v>0</v>
      </c>
      <c r="CJ7">
        <f t="shared" si="21"/>
        <v>0</v>
      </c>
      <c r="CK7">
        <v>1</v>
      </c>
      <c r="CL7">
        <v>0</v>
      </c>
      <c r="CM7" s="1">
        <f t="shared" si="22"/>
        <v>6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>
        <v>30</v>
      </c>
      <c r="CT7">
        <v>22</v>
      </c>
      <c r="CU7">
        <v>0</v>
      </c>
      <c r="CV7">
        <v>0</v>
      </c>
      <c r="CW7">
        <v>0</v>
      </c>
      <c r="CX7">
        <v>0</v>
      </c>
      <c r="CY7">
        <v>0</v>
      </c>
      <c r="CZ7">
        <f t="shared" si="2"/>
        <v>0</v>
      </c>
      <c r="DA7">
        <f t="shared" si="2"/>
        <v>0</v>
      </c>
      <c r="DB7">
        <f t="shared" si="2"/>
        <v>0</v>
      </c>
      <c r="DC7">
        <f t="shared" si="2"/>
        <v>0</v>
      </c>
      <c r="DD7">
        <f t="shared" si="2"/>
        <v>0</v>
      </c>
      <c r="DE7">
        <f t="shared" si="2"/>
        <v>0</v>
      </c>
      <c r="DF7">
        <f t="shared" si="2"/>
        <v>0</v>
      </c>
      <c r="DG7">
        <f t="shared" si="2"/>
        <v>0</v>
      </c>
      <c r="DH7">
        <f t="shared" si="2"/>
        <v>0</v>
      </c>
      <c r="DI7">
        <f t="shared" si="2"/>
        <v>0</v>
      </c>
      <c r="DJ7">
        <f t="shared" si="2"/>
        <v>0</v>
      </c>
      <c r="DK7">
        <f t="shared" si="2"/>
        <v>0</v>
      </c>
      <c r="DL7">
        <f t="shared" si="2"/>
        <v>0</v>
      </c>
      <c r="DM7">
        <f t="shared" si="2"/>
        <v>0</v>
      </c>
      <c r="DN7">
        <f t="shared" si="3"/>
        <v>0</v>
      </c>
      <c r="DO7">
        <f t="shared" si="3"/>
        <v>0</v>
      </c>
      <c r="DP7">
        <f t="shared" si="3"/>
        <v>0</v>
      </c>
      <c r="DQ7">
        <f t="shared" si="3"/>
        <v>0</v>
      </c>
      <c r="DR7">
        <f t="shared" si="3"/>
        <v>0</v>
      </c>
      <c r="DS7">
        <f t="shared" si="3"/>
        <v>0</v>
      </c>
      <c r="DT7">
        <f t="shared" si="3"/>
        <v>0</v>
      </c>
      <c r="DU7">
        <f t="shared" si="3"/>
        <v>0</v>
      </c>
      <c r="DV7">
        <f t="shared" si="3"/>
        <v>0</v>
      </c>
      <c r="DW7">
        <f t="shared" si="3"/>
        <v>0</v>
      </c>
      <c r="DX7">
        <f t="shared" si="3"/>
        <v>0</v>
      </c>
      <c r="DY7">
        <f t="shared" si="3"/>
        <v>0</v>
      </c>
      <c r="DZ7">
        <f t="shared" si="3"/>
        <v>0</v>
      </c>
      <c r="EA7">
        <f t="shared" si="3"/>
        <v>0</v>
      </c>
      <c r="EB7" s="44">
        <f t="shared" si="4"/>
        <v>641.46183343781934</v>
      </c>
      <c r="EC7" s="44">
        <f t="shared" si="5"/>
        <v>21.382061114593977</v>
      </c>
      <c r="ED7" s="44">
        <f t="shared" si="6"/>
        <v>3037578.3660614495</v>
      </c>
      <c r="EE7" s="44">
        <f t="shared" si="7"/>
        <v>2567.2839380956561</v>
      </c>
      <c r="EF7" s="44">
        <f t="shared" si="8"/>
        <v>85.57613126985521</v>
      </c>
      <c r="EG7" s="44">
        <f t="shared" si="9"/>
        <v>1075863.1223246197</v>
      </c>
      <c r="EH7" s="44">
        <f t="shared" si="10"/>
        <v>79919.175920496171</v>
      </c>
      <c r="EI7" s="44">
        <f t="shared" si="11"/>
        <v>2663.9725306832056</v>
      </c>
      <c r="EJ7" s="44">
        <f t="shared" si="12"/>
        <v>3632.6898145680079</v>
      </c>
      <c r="EK7" s="44">
        <f t="shared" si="13"/>
        <v>4267683.9941544952</v>
      </c>
      <c r="EL7" s="44">
        <f t="shared" si="14"/>
        <v>5819569.0829379484</v>
      </c>
    </row>
    <row r="8" spans="1:142" x14ac:dyDescent="0.2">
      <c r="A8" s="66">
        <v>42917</v>
      </c>
      <c r="B8" s="4">
        <f t="shared" si="0"/>
        <v>2017</v>
      </c>
      <c r="C8" s="4">
        <f t="shared" si="1"/>
        <v>7</v>
      </c>
      <c r="D8" s="44">
        <v>107049192</v>
      </c>
      <c r="E8" s="44">
        <f>IFERROR(VLOOKUP($B8-1,CDM!$L$7:$T$18,2,FALSE)/12,0)+IFERROR(VLOOKUP($B8,CDM!$L$37:$O$47,2,FALSE)/24,0)+IFERROR(VLOOKUP($B8,CDM!$L$37:$O$47,2,FALSE)/2*$C8/78,0)</f>
        <v>1178155.780390973</v>
      </c>
      <c r="F8" s="44">
        <f t="shared" si="15"/>
        <v>108227347.78039098</v>
      </c>
      <c r="G8" s="488">
        <v>142175</v>
      </c>
      <c r="H8" s="44">
        <v>34823079</v>
      </c>
      <c r="I8" s="44">
        <f>IFERROR(VLOOKUP($B8-1,CDM!$L$7:$T$18,3,FALSE)/12,0)+IFERROR(VLOOKUP($B8,CDM!$L$37:$O$47,3,FALSE)/24,0)+IFERROR(VLOOKUP($B8,CDM!$L$37:$O$47,3,FALSE)/2*$C8/78,0)</f>
        <v>233006.40331767534</v>
      </c>
      <c r="J8" s="44">
        <f t="shared" si="16"/>
        <v>35056085.403317675</v>
      </c>
      <c r="K8" s="44">
        <v>12570</v>
      </c>
      <c r="L8" s="44">
        <v>131478817</v>
      </c>
      <c r="M8" s="44">
        <f>IFERROR(VLOOKUP($B8-1,CDM!$L$7:$T$18,4,FALSE)/12,0)+IFERROR(VLOOKUP($B8,CDM!$L$37:$O$47,4,FALSE)/24,0)+IFERROR(VLOOKUP($B8,CDM!$L$37:$O$47,4,FALSE)/2*$C8/78,0)</f>
        <v>1726160.570605658</v>
      </c>
      <c r="N8" s="44">
        <f t="shared" si="17"/>
        <v>133204977.57060567</v>
      </c>
      <c r="O8" s="44">
        <v>330107.02</v>
      </c>
      <c r="P8" s="488">
        <v>1604</v>
      </c>
      <c r="Q8" s="488">
        <v>5577236</v>
      </c>
      <c r="R8" s="488">
        <f>IFERROR(VLOOKUP($B8-1,CDM!$L$7:$T$18,5,FALSE)/12,0)+IFERROR(VLOOKUP($B8,CDM!$L$37:$T$47,5,FALSE)/24,0)+IFERROR(VLOOKUP($B8,CDM!$L$37:$T$47,5,FALSE)/2*$C8/78,0)</f>
        <v>47339.478692804754</v>
      </c>
      <c r="S8" s="488">
        <f t="shared" si="18"/>
        <v>5624575.4786928045</v>
      </c>
      <c r="T8" s="44">
        <v>7052.6100000000006</v>
      </c>
      <c r="U8" s="488">
        <v>4</v>
      </c>
      <c r="V8" s="488">
        <v>12308029</v>
      </c>
      <c r="W8" s="488">
        <f>IFERROR(VLOOKUP($B8-1,CDM!$L$7:$T$18,6,FALSE)/12,0)+IFERROR(VLOOKUP($B8,CDM!$L$37:$T$47,6,FALSE)/24,0)+IFERROR(VLOOKUP($B8,CDM!$L$37:$T$47,6,FALSE)/2*$C8/78,0)</f>
        <v>2865.0280965805914</v>
      </c>
      <c r="X8" s="488">
        <f t="shared" si="19"/>
        <v>12310894.028096581</v>
      </c>
      <c r="Y8" s="488">
        <v>22719.27</v>
      </c>
      <c r="Z8" s="488">
        <v>1</v>
      </c>
      <c r="AA8" s="44">
        <v>1314062.56</v>
      </c>
      <c r="AB8" s="44">
        <v>4730.93</v>
      </c>
      <c r="AC8" s="488">
        <v>36153</v>
      </c>
      <c r="AD8" s="44">
        <v>470912.14</v>
      </c>
      <c r="AE8" s="44">
        <v>1512</v>
      </c>
      <c r="AF8" s="44">
        <v>47158.149999999994</v>
      </c>
      <c r="AG8" s="44">
        <v>125.85</v>
      </c>
      <c r="AH8" s="44">
        <v>535</v>
      </c>
      <c r="AI8" s="44">
        <v>12900</v>
      </c>
      <c r="AJ8" s="68">
        <f>Economic!H22</f>
        <v>764465</v>
      </c>
      <c r="AK8" s="68">
        <f>Economic!I22</f>
        <v>91847.6</v>
      </c>
      <c r="AL8" s="68">
        <f>Economic!J22</f>
        <v>29151.9</v>
      </c>
      <c r="AM8" s="68">
        <f>Economic!K22</f>
        <v>71039.199999999997</v>
      </c>
      <c r="AN8" s="68">
        <f>Economic!L22</f>
        <v>53985.7</v>
      </c>
      <c r="AO8" s="68">
        <f>Economic!M22</f>
        <v>765009</v>
      </c>
      <c r="AP8" s="68">
        <f>Economic!N22</f>
        <v>90558</v>
      </c>
      <c r="AQ8" s="68">
        <f>Economic!O22</f>
        <v>13304</v>
      </c>
      <c r="AR8" s="68">
        <f>Economic!P22</f>
        <v>29370</v>
      </c>
      <c r="AS8" s="68">
        <f>Economic!Q22</f>
        <v>71934</v>
      </c>
      <c r="AT8" s="68">
        <f>Economic!D22</f>
        <v>7099.1</v>
      </c>
      <c r="AU8" s="68">
        <f>Economic!E22</f>
        <v>7186.7</v>
      </c>
      <c r="AV8" s="68">
        <f>Economic!F22</f>
        <v>250.1</v>
      </c>
      <c r="AW8" s="68">
        <f>Economic!G22</f>
        <v>255.5</v>
      </c>
      <c r="AX8" s="68">
        <f>Economic!W22</f>
        <v>18299</v>
      </c>
      <c r="AY8" s="68">
        <f>Economic!R22</f>
        <v>165.30000000000018</v>
      </c>
      <c r="AZ8" s="68">
        <f>Economic!W22</f>
        <v>18299</v>
      </c>
      <c r="BA8" s="68">
        <f>Economic!X22</f>
        <v>-841</v>
      </c>
      <c r="BB8" s="68">
        <f>Economic!Y22</f>
        <v>6035</v>
      </c>
      <c r="BC8" s="236">
        <f>Weather!C20</f>
        <v>20.67211021505376</v>
      </c>
      <c r="BD8" s="16">
        <f>Weather!D20</f>
        <v>10.095833333333328</v>
      </c>
      <c r="BE8" s="16">
        <f>Weather!E20</f>
        <v>30.931249999999977</v>
      </c>
      <c r="BF8" s="16">
        <f>Weather!F20</f>
        <v>0.49166666666666714</v>
      </c>
      <c r="BG8" s="16">
        <f>Weather!G20</f>
        <v>83.327083333333306</v>
      </c>
      <c r="BH8" s="16">
        <f>Weather!H20</f>
        <v>0</v>
      </c>
      <c r="BI8" s="16">
        <f>Weather!I20</f>
        <v>144.83541666666665</v>
      </c>
      <c r="BJ8" s="16">
        <f>Weather!J20</f>
        <v>0</v>
      </c>
      <c r="BK8" s="16">
        <f>Weather!K20</f>
        <v>206.83541666666665</v>
      </c>
      <c r="BL8" s="16">
        <f>Weather!L20</f>
        <v>0</v>
      </c>
      <c r="BM8" s="16">
        <f>Weather!M20</f>
        <v>268.83541666666667</v>
      </c>
      <c r="BN8" s="16">
        <f>Weather!N20</f>
        <v>0</v>
      </c>
      <c r="BO8" s="16">
        <f>Weather!O20</f>
        <v>330.83541666666667</v>
      </c>
      <c r="BP8" s="16">
        <f>Weather!P20</f>
        <v>0</v>
      </c>
      <c r="BQ8" s="16">
        <f>Weather!Q20</f>
        <v>392.83541666666667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1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f t="shared" si="20"/>
        <v>0</v>
      </c>
      <c r="CJ8">
        <f t="shared" si="21"/>
        <v>0</v>
      </c>
      <c r="CK8">
        <v>1</v>
      </c>
      <c r="CL8">
        <v>1</v>
      </c>
      <c r="CM8" s="1">
        <f t="shared" si="22"/>
        <v>7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>
        <v>31</v>
      </c>
      <c r="CT8">
        <v>20</v>
      </c>
      <c r="CU8">
        <v>0</v>
      </c>
      <c r="CV8">
        <v>0</v>
      </c>
      <c r="CW8">
        <v>0</v>
      </c>
      <c r="CX8">
        <v>0</v>
      </c>
      <c r="CY8">
        <v>0</v>
      </c>
      <c r="CZ8">
        <f t="shared" si="2"/>
        <v>0</v>
      </c>
      <c r="DA8">
        <f t="shared" si="2"/>
        <v>0</v>
      </c>
      <c r="DB8">
        <f t="shared" si="2"/>
        <v>0</v>
      </c>
      <c r="DC8">
        <f t="shared" si="2"/>
        <v>0</v>
      </c>
      <c r="DD8">
        <f t="shared" si="2"/>
        <v>0</v>
      </c>
      <c r="DE8">
        <f t="shared" si="2"/>
        <v>0</v>
      </c>
      <c r="DF8">
        <f t="shared" si="2"/>
        <v>0</v>
      </c>
      <c r="DG8">
        <f t="shared" si="2"/>
        <v>0</v>
      </c>
      <c r="DH8">
        <f t="shared" si="2"/>
        <v>0</v>
      </c>
      <c r="DI8">
        <f t="shared" si="2"/>
        <v>0</v>
      </c>
      <c r="DJ8">
        <f t="shared" si="2"/>
        <v>0</v>
      </c>
      <c r="DK8">
        <f t="shared" si="2"/>
        <v>0</v>
      </c>
      <c r="DL8">
        <f t="shared" si="2"/>
        <v>0</v>
      </c>
      <c r="DM8">
        <f t="shared" si="2"/>
        <v>0</v>
      </c>
      <c r="DN8">
        <f t="shared" si="3"/>
        <v>0</v>
      </c>
      <c r="DO8">
        <f t="shared" si="3"/>
        <v>0</v>
      </c>
      <c r="DP8">
        <f t="shared" si="3"/>
        <v>0</v>
      </c>
      <c r="DQ8">
        <f t="shared" si="3"/>
        <v>0</v>
      </c>
      <c r="DR8">
        <f t="shared" si="3"/>
        <v>0</v>
      </c>
      <c r="DS8">
        <f t="shared" si="3"/>
        <v>0</v>
      </c>
      <c r="DT8">
        <f t="shared" si="3"/>
        <v>0</v>
      </c>
      <c r="DU8">
        <f t="shared" si="3"/>
        <v>0</v>
      </c>
      <c r="DV8">
        <f t="shared" si="3"/>
        <v>0</v>
      </c>
      <c r="DW8">
        <f t="shared" si="3"/>
        <v>0</v>
      </c>
      <c r="DX8">
        <f t="shared" si="3"/>
        <v>0</v>
      </c>
      <c r="DY8">
        <f t="shared" si="3"/>
        <v>0</v>
      </c>
      <c r="DZ8">
        <f t="shared" si="3"/>
        <v>0</v>
      </c>
      <c r="EA8">
        <f t="shared" si="3"/>
        <v>0</v>
      </c>
      <c r="EB8" s="44">
        <f t="shared" si="4"/>
        <v>761.22628999747474</v>
      </c>
      <c r="EC8" s="44">
        <f t="shared" si="5"/>
        <v>24.55568677411209</v>
      </c>
      <c r="ED8" s="44">
        <f t="shared" si="6"/>
        <v>3491204.7671093862</v>
      </c>
      <c r="EE8" s="44">
        <f t="shared" si="7"/>
        <v>2788.8691649417401</v>
      </c>
      <c r="EF8" s="44">
        <f t="shared" si="8"/>
        <v>89.963521449733548</v>
      </c>
      <c r="EG8" s="44">
        <f t="shared" si="9"/>
        <v>1130841.4646231509</v>
      </c>
      <c r="EH8" s="44">
        <f t="shared" si="10"/>
        <v>83045.497238532203</v>
      </c>
      <c r="EI8" s="44">
        <f t="shared" si="11"/>
        <v>2678.8870076945873</v>
      </c>
      <c r="EJ8" s="44">
        <f t="shared" si="12"/>
        <v>4152.2748619266104</v>
      </c>
      <c r="EK8" s="44">
        <f t="shared" si="13"/>
        <v>4296934.7603421183</v>
      </c>
      <c r="EL8" s="44">
        <f t="shared" si="14"/>
        <v>6660248.8785302835</v>
      </c>
    </row>
    <row r="9" spans="1:142" x14ac:dyDescent="0.2">
      <c r="A9" s="66">
        <v>42948</v>
      </c>
      <c r="B9" s="4">
        <f t="shared" si="0"/>
        <v>2017</v>
      </c>
      <c r="C9" s="4">
        <f t="shared" si="1"/>
        <v>8</v>
      </c>
      <c r="D9" s="44">
        <v>94105753</v>
      </c>
      <c r="E9" s="44">
        <f>IFERROR(VLOOKUP($B9-1,CDM!$L$7:$T$18,2,FALSE)/12,0)+IFERROR(VLOOKUP($B9,CDM!$L$37:$O$47,2,FALSE)/24,0)+IFERROR(VLOOKUP($B9,CDM!$L$37:$O$47,2,FALSE)/2*$C9/78,0)</f>
        <v>1265426.5789384525</v>
      </c>
      <c r="F9" s="44">
        <f t="shared" si="15"/>
        <v>95371179.578938454</v>
      </c>
      <c r="G9" s="488">
        <v>142403</v>
      </c>
      <c r="H9" s="44">
        <v>33473974</v>
      </c>
      <c r="I9" s="44">
        <f>IFERROR(VLOOKUP($B9-1,CDM!$L$7:$T$18,3,FALSE)/12,0)+IFERROR(VLOOKUP($B9,CDM!$L$37:$O$47,3,FALSE)/24,0)+IFERROR(VLOOKUP($B9,CDM!$L$37:$O$47,3,FALSE)/2*$C9/78,0)</f>
        <v>250266.13689676241</v>
      </c>
      <c r="J9" s="44">
        <f t="shared" si="16"/>
        <v>33724240.136896759</v>
      </c>
      <c r="K9" s="44">
        <v>12569</v>
      </c>
      <c r="L9" s="44">
        <v>129638713</v>
      </c>
      <c r="M9" s="44">
        <f>IFERROR(VLOOKUP($B9-1,CDM!$L$7:$T$18,4,FALSE)/12,0)+IFERROR(VLOOKUP($B9,CDM!$L$37:$O$47,4,FALSE)/24,0)+IFERROR(VLOOKUP($B9,CDM!$L$37:$O$47,4,FALSE)/2*$C9/78,0)</f>
        <v>1854024.3165764476</v>
      </c>
      <c r="N9" s="44">
        <f t="shared" si="17"/>
        <v>131492737.31657645</v>
      </c>
      <c r="O9" s="44">
        <v>322207.49</v>
      </c>
      <c r="P9" s="488">
        <v>1604</v>
      </c>
      <c r="Q9" s="488">
        <v>4755040</v>
      </c>
      <c r="R9" s="488">
        <f>IFERROR(VLOOKUP($B9-1,CDM!$L$7:$T$18,5,FALSE)/12,0)+IFERROR(VLOOKUP($B9,CDM!$L$37:$T$47,5,FALSE)/24,0)+IFERROR(VLOOKUP($B9,CDM!$L$37:$T$47,5,FALSE)/2*$C9/78,0)</f>
        <v>50846.106744123623</v>
      </c>
      <c r="S9" s="488">
        <f t="shared" si="18"/>
        <v>4805886.1067441236</v>
      </c>
      <c r="T9" s="44">
        <v>6747.4399999999987</v>
      </c>
      <c r="U9" s="488">
        <v>4</v>
      </c>
      <c r="V9" s="488">
        <v>11682519</v>
      </c>
      <c r="W9" s="488">
        <f>IFERROR(VLOOKUP($B9-1,CDM!$L$7:$T$18,6,FALSE)/12,0)+IFERROR(VLOOKUP($B9,CDM!$L$37:$T$47,6,FALSE)/24,0)+IFERROR(VLOOKUP($B9,CDM!$L$37:$T$47,6,FALSE)/2*$C9/78,0)</f>
        <v>3077.2524000310054</v>
      </c>
      <c r="X9" s="488">
        <f t="shared" si="19"/>
        <v>11685596.252400031</v>
      </c>
      <c r="Y9" s="488">
        <v>21983.95</v>
      </c>
      <c r="Z9" s="488">
        <v>1</v>
      </c>
      <c r="AA9" s="44">
        <v>1461499.41</v>
      </c>
      <c r="AB9" s="44">
        <v>4733.45</v>
      </c>
      <c r="AC9" s="488">
        <v>36162</v>
      </c>
      <c r="AD9" s="44">
        <v>471113.6</v>
      </c>
      <c r="AE9" s="44">
        <v>1512</v>
      </c>
      <c r="AF9" s="44">
        <v>47545.109999999979</v>
      </c>
      <c r="AG9" s="44">
        <v>125.79</v>
      </c>
      <c r="AH9" s="44">
        <v>535</v>
      </c>
      <c r="AI9" s="44">
        <v>12900</v>
      </c>
      <c r="AJ9" s="68">
        <f>Economic!H23</f>
        <v>764465</v>
      </c>
      <c r="AK9" s="68">
        <f>Economic!I23</f>
        <v>91847.6</v>
      </c>
      <c r="AL9" s="68">
        <f>Economic!J23</f>
        <v>29151.9</v>
      </c>
      <c r="AM9" s="68">
        <f>Economic!K23</f>
        <v>71039.199999999997</v>
      </c>
      <c r="AN9" s="68">
        <f>Economic!L23</f>
        <v>53985.7</v>
      </c>
      <c r="AO9" s="68">
        <f>Economic!M23</f>
        <v>765009</v>
      </c>
      <c r="AP9" s="68">
        <f>Economic!N23</f>
        <v>90558</v>
      </c>
      <c r="AQ9" s="68">
        <f>Economic!O23</f>
        <v>13304</v>
      </c>
      <c r="AR9" s="68">
        <f>Economic!P23</f>
        <v>29370</v>
      </c>
      <c r="AS9" s="68">
        <f>Economic!Q23</f>
        <v>71934</v>
      </c>
      <c r="AT9" s="68">
        <f>Economic!D23</f>
        <v>7118</v>
      </c>
      <c r="AU9" s="68">
        <f>Economic!E23</f>
        <v>7207.6</v>
      </c>
      <c r="AV9" s="68">
        <f>Economic!F23</f>
        <v>246.8</v>
      </c>
      <c r="AW9" s="68">
        <f>Economic!G23</f>
        <v>252.1</v>
      </c>
      <c r="AX9" s="68">
        <f>Economic!W23</f>
        <v>18299</v>
      </c>
      <c r="AY9" s="68">
        <f>Economic!R23</f>
        <v>186.80000000000018</v>
      </c>
      <c r="AZ9" s="68">
        <f>Economic!W23</f>
        <v>18299</v>
      </c>
      <c r="BA9" s="68">
        <f>Economic!X23</f>
        <v>-841</v>
      </c>
      <c r="BB9" s="68">
        <f>Economic!Y23</f>
        <v>6035</v>
      </c>
      <c r="BC9" s="236">
        <f>Weather!C21</f>
        <v>18.813172043010749</v>
      </c>
      <c r="BD9" s="16">
        <f>Weather!D21</f>
        <v>49.708333333333336</v>
      </c>
      <c r="BE9" s="16">
        <f>Weather!E21</f>
        <v>12.916666666666671</v>
      </c>
      <c r="BF9" s="16">
        <f>Weather!F21</f>
        <v>20.012500000000003</v>
      </c>
      <c r="BG9" s="16">
        <f>Weather!G21</f>
        <v>45.220833333333346</v>
      </c>
      <c r="BH9" s="16">
        <f>Weather!H21</f>
        <v>5.6166666666666707</v>
      </c>
      <c r="BI9" s="16">
        <f>Weather!I21</f>
        <v>92.825000000000003</v>
      </c>
      <c r="BJ9" s="16">
        <f>Weather!J21</f>
        <v>0</v>
      </c>
      <c r="BK9" s="16">
        <f>Weather!K21</f>
        <v>149.20833333333331</v>
      </c>
      <c r="BL9" s="16">
        <f>Weather!L21</f>
        <v>0</v>
      </c>
      <c r="BM9" s="16">
        <f>Weather!M21</f>
        <v>211.20833333333331</v>
      </c>
      <c r="BN9" s="16">
        <f>Weather!N21</f>
        <v>0</v>
      </c>
      <c r="BO9" s="16">
        <f>Weather!O21</f>
        <v>273.20833333333337</v>
      </c>
      <c r="BP9" s="16">
        <f>Weather!P21</f>
        <v>0</v>
      </c>
      <c r="BQ9" s="16">
        <f>Weather!Q21</f>
        <v>335.20833333333337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f t="shared" si="20"/>
        <v>0</v>
      </c>
      <c r="CJ9">
        <f t="shared" si="21"/>
        <v>0</v>
      </c>
      <c r="CK9">
        <v>1</v>
      </c>
      <c r="CL9">
        <v>1</v>
      </c>
      <c r="CM9" s="1">
        <f t="shared" si="22"/>
        <v>8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>
        <v>31</v>
      </c>
      <c r="CT9">
        <v>22</v>
      </c>
      <c r="CU9">
        <v>0</v>
      </c>
      <c r="CV9">
        <v>0</v>
      </c>
      <c r="CW9">
        <v>0</v>
      </c>
      <c r="CX9">
        <v>0</v>
      </c>
      <c r="CY9">
        <v>0</v>
      </c>
      <c r="CZ9">
        <f t="shared" ref="CZ9:CZ39" si="23">$CV9*BD9</f>
        <v>0</v>
      </c>
      <c r="DA9">
        <f t="shared" ref="DA9:DA39" si="24">$CV9*BE9</f>
        <v>0</v>
      </c>
      <c r="DB9">
        <f t="shared" ref="DB9:DB39" si="25">$CV9*BF9</f>
        <v>0</v>
      </c>
      <c r="DC9">
        <f t="shared" ref="DC9:DC30" si="26">$CV9*BG9</f>
        <v>0</v>
      </c>
      <c r="DD9">
        <f t="shared" ref="DD9:DD30" si="27">$CV9*BH9</f>
        <v>0</v>
      </c>
      <c r="DE9">
        <f t="shared" ref="DE9:DE30" si="28">$CV9*BI9</f>
        <v>0</v>
      </c>
      <c r="DF9">
        <f t="shared" ref="DF9:DF30" si="29">$CV9*BJ9</f>
        <v>0</v>
      </c>
      <c r="DG9">
        <f t="shared" ref="DG9:DG30" si="30">$CV9*BK9</f>
        <v>0</v>
      </c>
      <c r="DH9">
        <f t="shared" ref="DH9:DH30" si="31">$CV9*BL9</f>
        <v>0</v>
      </c>
      <c r="DI9">
        <f t="shared" ref="DI9:DI30" si="32">$CV9*BM9</f>
        <v>0</v>
      </c>
      <c r="DJ9">
        <f t="shared" ref="DJ9:DJ30" si="33">$CV9*BN9</f>
        <v>0</v>
      </c>
      <c r="DK9">
        <f t="shared" ref="DK9:DK30" si="34">$CV9*BO9</f>
        <v>0</v>
      </c>
      <c r="DL9">
        <f t="shared" ref="DL9:DL30" si="35">$CV9*BP9</f>
        <v>0</v>
      </c>
      <c r="DM9">
        <f t="shared" ref="DM9:DM30" si="36">$CV9*BQ9</f>
        <v>0</v>
      </c>
      <c r="DN9">
        <f t="shared" ref="DN9:DN39" si="37">$CX9*BD9</f>
        <v>0</v>
      </c>
      <c r="DO9">
        <f t="shared" ref="DO9:DO39" si="38">$CX9*BE9</f>
        <v>0</v>
      </c>
      <c r="DP9">
        <f t="shared" ref="DP9:DP39" si="39">$CX9*BF9</f>
        <v>0</v>
      </c>
      <c r="DQ9">
        <f t="shared" ref="DQ9:DQ30" si="40">$CX9*BG9</f>
        <v>0</v>
      </c>
      <c r="DR9">
        <f t="shared" ref="DR9:DR30" si="41">$CX9*BH9</f>
        <v>0</v>
      </c>
      <c r="DS9">
        <f t="shared" ref="DS9:DS30" si="42">$CX9*BI9</f>
        <v>0</v>
      </c>
      <c r="DT9">
        <f t="shared" ref="DT9:DT30" si="43">$CX9*BJ9</f>
        <v>0</v>
      </c>
      <c r="DU9">
        <f t="shared" ref="DU9:DU30" si="44">$CX9*BK9</f>
        <v>0</v>
      </c>
      <c r="DV9">
        <f t="shared" ref="DV9:DV30" si="45">$CX9*BL9</f>
        <v>0</v>
      </c>
      <c r="DW9">
        <f t="shared" ref="DW9:DW30" si="46">$CX9*BM9</f>
        <v>0</v>
      </c>
      <c r="DX9">
        <f t="shared" ref="DX9:DX30" si="47">$CX9*BN9</f>
        <v>0</v>
      </c>
      <c r="DY9">
        <f t="shared" ref="DY9:DY30" si="48">$CX9*BO9</f>
        <v>0</v>
      </c>
      <c r="DZ9">
        <f t="shared" ref="DZ9:DZ30" si="49">$CX9*BP9</f>
        <v>0</v>
      </c>
      <c r="EA9">
        <f t="shared" ref="EA9:EA30" si="50">$CX9*BQ9</f>
        <v>0</v>
      </c>
      <c r="EB9" s="44">
        <f t="shared" si="4"/>
        <v>669.72732020349611</v>
      </c>
      <c r="EC9" s="44">
        <f t="shared" si="5"/>
        <v>21.604107103338585</v>
      </c>
      <c r="ED9" s="44">
        <f t="shared" si="6"/>
        <v>3076489.6638367241</v>
      </c>
      <c r="EE9" s="44">
        <f t="shared" si="7"/>
        <v>2683.1283425011343</v>
      </c>
      <c r="EF9" s="44">
        <f t="shared" si="8"/>
        <v>86.552527177455943</v>
      </c>
      <c r="EG9" s="44">
        <f t="shared" si="9"/>
        <v>1087878.7140934439</v>
      </c>
      <c r="EH9" s="44">
        <f t="shared" si="10"/>
        <v>81978.015783401774</v>
      </c>
      <c r="EI9" s="44">
        <f t="shared" si="11"/>
        <v>2644.4521220452184</v>
      </c>
      <c r="EJ9" s="44">
        <f t="shared" si="12"/>
        <v>3726.2734447000807</v>
      </c>
      <c r="EK9" s="44">
        <f t="shared" si="13"/>
        <v>4241701.2037605308</v>
      </c>
      <c r="EL9" s="44">
        <f t="shared" si="14"/>
        <v>5976942.6052989298</v>
      </c>
    </row>
    <row r="10" spans="1:142" x14ac:dyDescent="0.2">
      <c r="A10" s="66">
        <v>42979</v>
      </c>
      <c r="B10" s="4">
        <f t="shared" si="0"/>
        <v>2017</v>
      </c>
      <c r="C10" s="4">
        <f t="shared" si="1"/>
        <v>9</v>
      </c>
      <c r="D10" s="44">
        <v>87805190</v>
      </c>
      <c r="E10" s="44">
        <f>IFERROR(VLOOKUP($B10-1,CDM!$L$7:$T$18,2,FALSE)/12,0)+IFERROR(VLOOKUP($B10,CDM!$L$37:$O$47,2,FALSE)/24,0)+IFERROR(VLOOKUP($B10,CDM!$L$37:$O$47,2,FALSE)/2*$C10/78,0)</f>
        <v>1352697.3774859319</v>
      </c>
      <c r="F10" s="44">
        <f t="shared" si="15"/>
        <v>89157887.377485931</v>
      </c>
      <c r="G10" s="488">
        <v>142513</v>
      </c>
      <c r="H10" s="44">
        <v>31626552</v>
      </c>
      <c r="I10" s="44">
        <f>IFERROR(VLOOKUP($B10-1,CDM!$L$7:$T$18,3,FALSE)/12,0)+IFERROR(VLOOKUP($B10,CDM!$L$37:$O$47,3,FALSE)/24,0)+IFERROR(VLOOKUP($B10,CDM!$L$37:$O$47,3,FALSE)/2*$C10/78,0)</f>
        <v>267525.87047584949</v>
      </c>
      <c r="J10" s="44">
        <f t="shared" si="16"/>
        <v>31894077.870475851</v>
      </c>
      <c r="K10" s="44">
        <v>12564</v>
      </c>
      <c r="L10" s="44">
        <v>123880301</v>
      </c>
      <c r="M10" s="44">
        <f>IFERROR(VLOOKUP($B10-1,CDM!$L$7:$T$18,4,FALSE)/12,0)+IFERROR(VLOOKUP($B10,CDM!$L$37:$O$47,4,FALSE)/24,0)+IFERROR(VLOOKUP($B10,CDM!$L$37:$O$47,4,FALSE)/2*$C10/78,0)</f>
        <v>1981888.0625472369</v>
      </c>
      <c r="N10" s="44">
        <f t="shared" si="17"/>
        <v>125862189.06254724</v>
      </c>
      <c r="O10" s="44">
        <v>336043.77</v>
      </c>
      <c r="P10" s="488">
        <v>1609</v>
      </c>
      <c r="Q10" s="488">
        <v>3916579</v>
      </c>
      <c r="R10" s="488">
        <f>IFERROR(VLOOKUP($B10-1,CDM!$L$7:$T$18,5,FALSE)/12,0)+IFERROR(VLOOKUP($B10,CDM!$L$37:$T$47,5,FALSE)/24,0)+IFERROR(VLOOKUP($B10,CDM!$L$37:$T$47,5,FALSE)/2*$C10/78,0)</f>
        <v>54352.734795442499</v>
      </c>
      <c r="S10" s="488">
        <f t="shared" si="18"/>
        <v>3970931.7347954423</v>
      </c>
      <c r="T10" s="44">
        <v>6677.69</v>
      </c>
      <c r="U10" s="488">
        <v>4</v>
      </c>
      <c r="V10" s="488">
        <v>11268578</v>
      </c>
      <c r="W10" s="488">
        <f>IFERROR(VLOOKUP($B10-1,CDM!$L$7:$T$18,6,FALSE)/12,0)+IFERROR(VLOOKUP($B10,CDM!$L$37:$T$47,6,FALSE)/24,0)+IFERROR(VLOOKUP($B10,CDM!$L$37:$T$47,6,FALSE)/2*$C10/78,0)</f>
        <v>3289.4767034814195</v>
      </c>
      <c r="X10" s="488">
        <f t="shared" si="19"/>
        <v>11271867.476703482</v>
      </c>
      <c r="Y10" s="488">
        <v>24452.48</v>
      </c>
      <c r="Z10" s="488">
        <v>1</v>
      </c>
      <c r="AA10" s="44">
        <v>1625593.57</v>
      </c>
      <c r="AB10" s="44">
        <v>4736.58</v>
      </c>
      <c r="AC10" s="488">
        <v>36182</v>
      </c>
      <c r="AD10" s="44">
        <v>456332.73</v>
      </c>
      <c r="AE10" s="44">
        <v>1513</v>
      </c>
      <c r="AF10" s="44">
        <v>46298.339999999982</v>
      </c>
      <c r="AG10" s="44">
        <v>125.68</v>
      </c>
      <c r="AH10" s="44">
        <v>535</v>
      </c>
      <c r="AI10" s="44">
        <v>12900</v>
      </c>
      <c r="AJ10" s="68">
        <f>Economic!H24</f>
        <v>764465</v>
      </c>
      <c r="AK10" s="68">
        <f>Economic!I24</f>
        <v>91847.6</v>
      </c>
      <c r="AL10" s="68">
        <f>Economic!J24</f>
        <v>29151.9</v>
      </c>
      <c r="AM10" s="68">
        <f>Economic!K24</f>
        <v>71039.199999999997</v>
      </c>
      <c r="AN10" s="68">
        <f>Economic!L24</f>
        <v>53985.7</v>
      </c>
      <c r="AO10" s="68">
        <f>Economic!M24</f>
        <v>765009</v>
      </c>
      <c r="AP10" s="68">
        <f>Economic!N24</f>
        <v>90558</v>
      </c>
      <c r="AQ10" s="68">
        <f>Economic!O24</f>
        <v>13304</v>
      </c>
      <c r="AR10" s="68">
        <f>Economic!P24</f>
        <v>29370</v>
      </c>
      <c r="AS10" s="68">
        <f>Economic!Q24</f>
        <v>71934</v>
      </c>
      <c r="AT10" s="68">
        <f>Economic!D24</f>
        <v>7143.3</v>
      </c>
      <c r="AU10" s="68">
        <f>Economic!E24</f>
        <v>7185.7</v>
      </c>
      <c r="AV10" s="68">
        <f>Economic!F24</f>
        <v>245.3</v>
      </c>
      <c r="AW10" s="68">
        <f>Economic!G24</f>
        <v>247.1</v>
      </c>
      <c r="AX10" s="68">
        <f>Economic!W24</f>
        <v>18299</v>
      </c>
      <c r="AY10" s="68">
        <f>Economic!R24</f>
        <v>213.60000000000036</v>
      </c>
      <c r="AZ10" s="68">
        <f>Economic!W24</f>
        <v>18299</v>
      </c>
      <c r="BA10" s="68">
        <f>Economic!X24</f>
        <v>-841</v>
      </c>
      <c r="BB10" s="68">
        <f>Economic!Y24</f>
        <v>6035</v>
      </c>
      <c r="BC10" s="236">
        <f>Weather!C22</f>
        <v>17.06013888888889</v>
      </c>
      <c r="BD10" s="16">
        <f>Weather!D22</f>
        <v>107.17083333333331</v>
      </c>
      <c r="BE10" s="16">
        <f>Weather!E22</f>
        <v>18.974999999999991</v>
      </c>
      <c r="BF10" s="16">
        <f>Weather!F22</f>
        <v>71.945833333333312</v>
      </c>
      <c r="BG10" s="16">
        <f>Weather!G22</f>
        <v>43.749999999999986</v>
      </c>
      <c r="BH10" s="16">
        <f>Weather!H22</f>
        <v>43.908333333333324</v>
      </c>
      <c r="BI10" s="16">
        <f>Weather!I22</f>
        <v>75.712499999999991</v>
      </c>
      <c r="BJ10" s="16">
        <f>Weather!J22</f>
        <v>20.80416666666666</v>
      </c>
      <c r="BK10" s="16">
        <f>Weather!K22</f>
        <v>112.60833333333332</v>
      </c>
      <c r="BL10" s="16">
        <f>Weather!L22</f>
        <v>4.6958333333333293</v>
      </c>
      <c r="BM10" s="16">
        <f>Weather!M22</f>
        <v>156.5</v>
      </c>
      <c r="BN10" s="16">
        <f>Weather!N22</f>
        <v>0.10416666666666607</v>
      </c>
      <c r="BO10" s="16">
        <f>Weather!O22</f>
        <v>211.90833333333333</v>
      </c>
      <c r="BP10" s="16">
        <f>Weather!P22</f>
        <v>0</v>
      </c>
      <c r="BQ10" s="16">
        <f>Weather!Q22</f>
        <v>271.80416666666673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1</v>
      </c>
      <c r="CG10">
        <v>1</v>
      </c>
      <c r="CH10">
        <v>1</v>
      </c>
      <c r="CI10">
        <f t="shared" si="20"/>
        <v>1</v>
      </c>
      <c r="CJ10">
        <f t="shared" si="21"/>
        <v>1</v>
      </c>
      <c r="CK10">
        <v>0</v>
      </c>
      <c r="CL10">
        <v>0</v>
      </c>
      <c r="CM10" s="1">
        <f t="shared" si="22"/>
        <v>9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>
        <v>30</v>
      </c>
      <c r="CT10">
        <v>20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f t="shared" si="23"/>
        <v>0</v>
      </c>
      <c r="DA10">
        <f t="shared" si="24"/>
        <v>0</v>
      </c>
      <c r="DB10">
        <f t="shared" si="25"/>
        <v>0</v>
      </c>
      <c r="DC10">
        <f t="shared" si="26"/>
        <v>0</v>
      </c>
      <c r="DD10">
        <f t="shared" si="27"/>
        <v>0</v>
      </c>
      <c r="DE10">
        <f t="shared" si="28"/>
        <v>0</v>
      </c>
      <c r="DF10">
        <f t="shared" si="29"/>
        <v>0</v>
      </c>
      <c r="DG10">
        <f t="shared" si="30"/>
        <v>0</v>
      </c>
      <c r="DH10">
        <f t="shared" si="31"/>
        <v>0</v>
      </c>
      <c r="DI10">
        <f t="shared" si="32"/>
        <v>0</v>
      </c>
      <c r="DJ10">
        <f t="shared" si="33"/>
        <v>0</v>
      </c>
      <c r="DK10">
        <f t="shared" si="34"/>
        <v>0</v>
      </c>
      <c r="DL10">
        <f t="shared" si="35"/>
        <v>0</v>
      </c>
      <c r="DM10">
        <f t="shared" si="36"/>
        <v>0</v>
      </c>
      <c r="DN10">
        <f t="shared" si="37"/>
        <v>0</v>
      </c>
      <c r="DO10">
        <f t="shared" si="38"/>
        <v>0</v>
      </c>
      <c r="DP10">
        <f t="shared" si="39"/>
        <v>0</v>
      </c>
      <c r="DQ10">
        <f t="shared" si="40"/>
        <v>0</v>
      </c>
      <c r="DR10">
        <f t="shared" si="41"/>
        <v>0</v>
      </c>
      <c r="DS10">
        <f t="shared" si="42"/>
        <v>0</v>
      </c>
      <c r="DT10">
        <f t="shared" si="43"/>
        <v>0</v>
      </c>
      <c r="DU10">
        <f t="shared" si="44"/>
        <v>0</v>
      </c>
      <c r="DV10">
        <f t="shared" si="45"/>
        <v>0</v>
      </c>
      <c r="DW10">
        <f t="shared" si="46"/>
        <v>0</v>
      </c>
      <c r="DX10">
        <f t="shared" si="47"/>
        <v>0</v>
      </c>
      <c r="DY10">
        <f t="shared" si="48"/>
        <v>0</v>
      </c>
      <c r="DZ10">
        <f t="shared" si="49"/>
        <v>0</v>
      </c>
      <c r="EA10">
        <f t="shared" si="50"/>
        <v>0</v>
      </c>
      <c r="EB10" s="44">
        <f t="shared" si="4"/>
        <v>625.61231170128997</v>
      </c>
      <c r="EC10" s="44">
        <f t="shared" si="5"/>
        <v>20.853743723376333</v>
      </c>
      <c r="ED10" s="44">
        <f t="shared" si="6"/>
        <v>2971929.579249531</v>
      </c>
      <c r="EE10" s="44">
        <f t="shared" si="7"/>
        <v>2538.5289613559257</v>
      </c>
      <c r="EF10" s="44">
        <f t="shared" si="8"/>
        <v>84.617632045197524</v>
      </c>
      <c r="EG10" s="44">
        <f t="shared" si="9"/>
        <v>1063135.9290158616</v>
      </c>
      <c r="EH10" s="44">
        <f t="shared" si="10"/>
        <v>78223.858957456338</v>
      </c>
      <c r="EI10" s="44">
        <f t="shared" si="11"/>
        <v>2607.4619652485444</v>
      </c>
      <c r="EJ10" s="44">
        <f t="shared" si="12"/>
        <v>3911.1929478728171</v>
      </c>
      <c r="EK10" s="44">
        <f t="shared" si="13"/>
        <v>4195406.3020849079</v>
      </c>
      <c r="EL10" s="44">
        <f t="shared" si="14"/>
        <v>6293109.4531273618</v>
      </c>
    </row>
    <row r="11" spans="1:142" x14ac:dyDescent="0.2">
      <c r="A11" s="66">
        <v>43009</v>
      </c>
      <c r="B11" s="4">
        <f t="shared" si="0"/>
        <v>2017</v>
      </c>
      <c r="C11" s="4">
        <f t="shared" si="1"/>
        <v>10</v>
      </c>
      <c r="D11" s="44">
        <v>76066658</v>
      </c>
      <c r="E11" s="44">
        <f>IFERROR(VLOOKUP($B11-1,CDM!$L$7:$T$18,2,FALSE)/12,0)+IFERROR(VLOOKUP($B11,CDM!$L$37:$O$47,2,FALSE)/24,0)+IFERROR(VLOOKUP($B11,CDM!$L$37:$O$47,2,FALSE)/2*$C11/78,0)</f>
        <v>1439968.1760334114</v>
      </c>
      <c r="F11" s="44">
        <f t="shared" si="15"/>
        <v>77506626.176033407</v>
      </c>
      <c r="G11" s="488">
        <v>142654</v>
      </c>
      <c r="H11" s="44">
        <v>29861241</v>
      </c>
      <c r="I11" s="44">
        <f>IFERROR(VLOOKUP($B11-1,CDM!$L$7:$T$18,3,FALSE)/12,0)+IFERROR(VLOOKUP($B11,CDM!$L$37:$O$47,3,FALSE)/24,0)+IFERROR(VLOOKUP($B11,CDM!$L$37:$O$47,3,FALSE)/2*$C11/78,0)</f>
        <v>284785.60405493656</v>
      </c>
      <c r="J11" s="44">
        <f t="shared" si="16"/>
        <v>30146026.604054935</v>
      </c>
      <c r="K11" s="44">
        <v>12570</v>
      </c>
      <c r="L11" s="44">
        <v>118433173</v>
      </c>
      <c r="M11" s="44">
        <f>IFERROR(VLOOKUP($B11-1,CDM!$L$7:$T$18,4,FALSE)/12,0)+IFERROR(VLOOKUP($B11,CDM!$L$37:$O$47,4,FALSE)/24,0)+IFERROR(VLOOKUP($B11,CDM!$L$37:$O$47,4,FALSE)/2*$C11/78,0)</f>
        <v>2109751.8085180265</v>
      </c>
      <c r="N11" s="44">
        <f t="shared" si="17"/>
        <v>120542924.80851802</v>
      </c>
      <c r="O11" s="44">
        <v>316110.81</v>
      </c>
      <c r="P11" s="488">
        <v>1610</v>
      </c>
      <c r="Q11" s="488">
        <v>5119784</v>
      </c>
      <c r="R11" s="488">
        <f>IFERROR(VLOOKUP($B11-1,CDM!$L$7:$T$18,5,FALSE)/12,0)+IFERROR(VLOOKUP($B11,CDM!$L$37:$T$47,5,FALSE)/24,0)+IFERROR(VLOOKUP($B11,CDM!$L$37:$T$47,5,FALSE)/2*$C11/78,0)</f>
        <v>57859.362846761367</v>
      </c>
      <c r="S11" s="488">
        <f t="shared" si="18"/>
        <v>5177643.362846761</v>
      </c>
      <c r="T11" s="44">
        <v>6223.6900000000005</v>
      </c>
      <c r="U11" s="488">
        <v>4</v>
      </c>
      <c r="V11" s="488">
        <v>9991016</v>
      </c>
      <c r="W11" s="488">
        <f>IFERROR(VLOOKUP($B11-1,CDM!$L$7:$T$18,6,FALSE)/12,0)+IFERROR(VLOOKUP($B11,CDM!$L$37:$T$47,6,FALSE)/24,0)+IFERROR(VLOOKUP($B11,CDM!$L$37:$T$47,6,FALSE)/2*$C11/78,0)</f>
        <v>3501.7010069318339</v>
      </c>
      <c r="X11" s="488">
        <f t="shared" si="19"/>
        <v>9994517.7010069322</v>
      </c>
      <c r="Y11" s="488">
        <v>22527.759999999998</v>
      </c>
      <c r="Z11" s="488">
        <v>1</v>
      </c>
      <c r="AA11" s="44">
        <v>1901617.29</v>
      </c>
      <c r="AB11" s="44">
        <v>4744.2</v>
      </c>
      <c r="AC11" s="488">
        <v>36253</v>
      </c>
      <c r="AD11" s="44">
        <v>471147.45</v>
      </c>
      <c r="AE11" s="44">
        <v>1514</v>
      </c>
      <c r="AF11" s="44">
        <v>46556.71</v>
      </c>
      <c r="AG11" s="44">
        <v>125.85</v>
      </c>
      <c r="AH11" s="44">
        <v>535</v>
      </c>
      <c r="AI11" s="44">
        <v>12900</v>
      </c>
      <c r="AJ11" s="68">
        <f>Economic!H25</f>
        <v>764465</v>
      </c>
      <c r="AK11" s="68">
        <f>Economic!I25</f>
        <v>91847.6</v>
      </c>
      <c r="AL11" s="68">
        <f>Economic!J25</f>
        <v>29151.9</v>
      </c>
      <c r="AM11" s="68">
        <f>Economic!K25</f>
        <v>71039.199999999997</v>
      </c>
      <c r="AN11" s="68">
        <f>Economic!L25</f>
        <v>53985.7</v>
      </c>
      <c r="AO11" s="68">
        <f>Economic!M25</f>
        <v>771506</v>
      </c>
      <c r="AP11" s="68">
        <f>Economic!N25</f>
        <v>91677</v>
      </c>
      <c r="AQ11" s="68">
        <f>Economic!O25</f>
        <v>13398</v>
      </c>
      <c r="AR11" s="68">
        <f>Economic!P25</f>
        <v>29018</v>
      </c>
      <c r="AS11" s="68">
        <f>Economic!Q25</f>
        <v>74140</v>
      </c>
      <c r="AT11" s="68">
        <f>Economic!D25</f>
        <v>7158.3</v>
      </c>
      <c r="AU11" s="68">
        <f>Economic!E25</f>
        <v>7179.8</v>
      </c>
      <c r="AV11" s="68">
        <f>Economic!F25</f>
        <v>245.1</v>
      </c>
      <c r="AW11" s="68">
        <f>Economic!G25</f>
        <v>245.6</v>
      </c>
      <c r="AX11" s="68">
        <f>Economic!W25</f>
        <v>26260</v>
      </c>
      <c r="AY11" s="68">
        <f>Economic!R25</f>
        <v>216.30000000000018</v>
      </c>
      <c r="AZ11" s="68">
        <f>Economic!W25</f>
        <v>26260</v>
      </c>
      <c r="BA11" s="68">
        <f>Economic!X25</f>
        <v>612</v>
      </c>
      <c r="BB11" s="68">
        <f>Economic!Y25</f>
        <v>8887</v>
      </c>
      <c r="BC11" s="236">
        <f>Weather!C23</f>
        <v>12.279435483870973</v>
      </c>
      <c r="BD11" s="16">
        <f>Weather!D23</f>
        <v>241.64583333333334</v>
      </c>
      <c r="BE11" s="16">
        <f>Weather!E23</f>
        <v>2.3083333333333371</v>
      </c>
      <c r="BF11" s="16">
        <f>Weather!F23</f>
        <v>183.64583333333334</v>
      </c>
      <c r="BG11" s="16">
        <f>Weather!G23</f>
        <v>6.3083333333333371</v>
      </c>
      <c r="BH11" s="16">
        <f>Weather!H23</f>
        <v>129.94583333333333</v>
      </c>
      <c r="BI11" s="16">
        <f>Weather!I23</f>
        <v>14.608333333333348</v>
      </c>
      <c r="BJ11" s="16">
        <f>Weather!J23</f>
        <v>90.324999999999989</v>
      </c>
      <c r="BK11" s="16">
        <f>Weather!K23</f>
        <v>36.987500000000026</v>
      </c>
      <c r="BL11" s="16">
        <f>Weather!L23</f>
        <v>59.745833333333337</v>
      </c>
      <c r="BM11" s="16">
        <f>Weather!M23</f>
        <v>68.40833333333336</v>
      </c>
      <c r="BN11" s="16">
        <f>Weather!N23</f>
        <v>36.958333333333336</v>
      </c>
      <c r="BO11" s="16">
        <f>Weather!O23</f>
        <v>107.62083333333337</v>
      </c>
      <c r="BP11" s="16">
        <f>Weather!P23</f>
        <v>22.65</v>
      </c>
      <c r="BQ11" s="16">
        <f>Weather!Q23</f>
        <v>155.3125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1</v>
      </c>
      <c r="CG11">
        <v>1</v>
      </c>
      <c r="CH11">
        <v>1</v>
      </c>
      <c r="CI11">
        <f t="shared" si="20"/>
        <v>1</v>
      </c>
      <c r="CJ11">
        <f t="shared" si="21"/>
        <v>1</v>
      </c>
      <c r="CK11">
        <v>0</v>
      </c>
      <c r="CL11">
        <v>0</v>
      </c>
      <c r="CM11" s="1">
        <f t="shared" si="22"/>
        <v>10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>
        <v>31</v>
      </c>
      <c r="CT11">
        <v>21</v>
      </c>
      <c r="CU11">
        <v>0</v>
      </c>
      <c r="CV11">
        <v>0</v>
      </c>
      <c r="CW11">
        <v>0</v>
      </c>
      <c r="CX11">
        <v>0</v>
      </c>
      <c r="CY11">
        <v>0</v>
      </c>
      <c r="CZ11">
        <f t="shared" si="23"/>
        <v>0</v>
      </c>
      <c r="DA11">
        <f t="shared" si="24"/>
        <v>0</v>
      </c>
      <c r="DB11">
        <f t="shared" si="25"/>
        <v>0</v>
      </c>
      <c r="DC11">
        <f t="shared" si="26"/>
        <v>0</v>
      </c>
      <c r="DD11">
        <f t="shared" si="27"/>
        <v>0</v>
      </c>
      <c r="DE11">
        <f t="shared" si="28"/>
        <v>0</v>
      </c>
      <c r="DF11">
        <f t="shared" si="29"/>
        <v>0</v>
      </c>
      <c r="DG11">
        <f t="shared" si="30"/>
        <v>0</v>
      </c>
      <c r="DH11">
        <f t="shared" si="31"/>
        <v>0</v>
      </c>
      <c r="DI11">
        <f t="shared" si="32"/>
        <v>0</v>
      </c>
      <c r="DJ11">
        <f t="shared" si="33"/>
        <v>0</v>
      </c>
      <c r="DK11">
        <f t="shared" si="34"/>
        <v>0</v>
      </c>
      <c r="DL11">
        <f t="shared" si="35"/>
        <v>0</v>
      </c>
      <c r="DM11">
        <f t="shared" si="36"/>
        <v>0</v>
      </c>
      <c r="DN11">
        <f t="shared" si="37"/>
        <v>0</v>
      </c>
      <c r="DO11">
        <f t="shared" si="38"/>
        <v>0</v>
      </c>
      <c r="DP11">
        <f t="shared" si="39"/>
        <v>0</v>
      </c>
      <c r="DQ11">
        <f t="shared" si="40"/>
        <v>0</v>
      </c>
      <c r="DR11">
        <f t="shared" si="41"/>
        <v>0</v>
      </c>
      <c r="DS11">
        <f t="shared" si="42"/>
        <v>0</v>
      </c>
      <c r="DT11">
        <f t="shared" si="43"/>
        <v>0</v>
      </c>
      <c r="DU11">
        <f t="shared" si="44"/>
        <v>0</v>
      </c>
      <c r="DV11">
        <f t="shared" si="45"/>
        <v>0</v>
      </c>
      <c r="DW11">
        <f t="shared" si="46"/>
        <v>0</v>
      </c>
      <c r="DX11">
        <f t="shared" si="47"/>
        <v>0</v>
      </c>
      <c r="DY11">
        <f t="shared" si="48"/>
        <v>0</v>
      </c>
      <c r="DZ11">
        <f t="shared" si="49"/>
        <v>0</v>
      </c>
      <c r="EA11">
        <f t="shared" si="50"/>
        <v>0</v>
      </c>
      <c r="EB11" s="44">
        <f t="shared" si="4"/>
        <v>543.31898282581221</v>
      </c>
      <c r="EC11" s="44">
        <f t="shared" si="5"/>
        <v>17.526418800832651</v>
      </c>
      <c r="ED11" s="44">
        <f t="shared" si="6"/>
        <v>2500213.7476139809</v>
      </c>
      <c r="EE11" s="44">
        <f t="shared" si="7"/>
        <v>2398.2519175859138</v>
      </c>
      <c r="EF11" s="44">
        <f t="shared" si="8"/>
        <v>77.362965083416569</v>
      </c>
      <c r="EG11" s="44">
        <f t="shared" si="9"/>
        <v>972452.47109854629</v>
      </c>
      <c r="EH11" s="44">
        <f t="shared" si="10"/>
        <v>74871.381868644734</v>
      </c>
      <c r="EI11" s="44">
        <f t="shared" si="11"/>
        <v>2415.2058667304755</v>
      </c>
      <c r="EJ11" s="44">
        <f t="shared" si="12"/>
        <v>3565.303898506892</v>
      </c>
      <c r="EK11" s="44">
        <f t="shared" si="13"/>
        <v>3888481.4454360651</v>
      </c>
      <c r="EL11" s="44">
        <f t="shared" si="14"/>
        <v>5740139.2765960963</v>
      </c>
    </row>
    <row r="12" spans="1:142" x14ac:dyDescent="0.2">
      <c r="A12" s="66">
        <v>43040</v>
      </c>
      <c r="B12" s="4">
        <f t="shared" si="0"/>
        <v>2017</v>
      </c>
      <c r="C12" s="4">
        <f t="shared" si="1"/>
        <v>11</v>
      </c>
      <c r="D12" s="44">
        <v>82898269</v>
      </c>
      <c r="E12" s="44">
        <f>IFERROR(VLOOKUP($B12-1,CDM!$L$7:$T$18,2,FALSE)/12,0)+IFERROR(VLOOKUP($B12,CDM!$L$37:$O$47,2,FALSE)/24,0)+IFERROR(VLOOKUP($B12,CDM!$L$37:$O$47,2,FALSE)/2*$C12/78,0)</f>
        <v>1527238.974580891</v>
      </c>
      <c r="F12" s="44">
        <f t="shared" si="15"/>
        <v>84425507.974580884</v>
      </c>
      <c r="G12" s="488">
        <v>142883</v>
      </c>
      <c r="H12" s="44">
        <v>31138349</v>
      </c>
      <c r="I12" s="44">
        <f>IFERROR(VLOOKUP($B12-1,CDM!$L$7:$T$18,3,FALSE)/12,0)+IFERROR(VLOOKUP($B12,CDM!$L$37:$O$47,3,FALSE)/24,0)+IFERROR(VLOOKUP($B12,CDM!$L$37:$O$47,3,FALSE)/2*$C12/78,0)</f>
        <v>302045.33763402363</v>
      </c>
      <c r="J12" s="44">
        <f t="shared" si="16"/>
        <v>31440394.337634023</v>
      </c>
      <c r="K12" s="44">
        <v>12569</v>
      </c>
      <c r="L12" s="44">
        <v>116281914</v>
      </c>
      <c r="M12" s="44">
        <f>IFERROR(VLOOKUP($B12-1,CDM!$L$7:$T$18,4,FALSE)/12,0)+IFERROR(VLOOKUP($B12,CDM!$L$37:$O$47,4,FALSE)/24,0)+IFERROR(VLOOKUP($B12,CDM!$L$37:$O$47,4,FALSE)/2*$C12/78,0)</f>
        <v>2237615.5544888163</v>
      </c>
      <c r="N12" s="44">
        <f t="shared" si="17"/>
        <v>118519529.55448882</v>
      </c>
      <c r="O12" s="44">
        <v>291467.09999999998</v>
      </c>
      <c r="P12" s="488">
        <v>1614</v>
      </c>
      <c r="Q12" s="488">
        <v>3235223</v>
      </c>
      <c r="R12" s="488">
        <f>IFERROR(VLOOKUP($B12-1,CDM!$L$7:$T$18,5,FALSE)/12,0)+IFERROR(VLOOKUP($B12,CDM!$L$37:$T$47,5,FALSE)/24,0)+IFERROR(VLOOKUP($B12,CDM!$L$37:$T$47,5,FALSE)/2*$C12/78,0)</f>
        <v>61365.990898080236</v>
      </c>
      <c r="S12" s="488">
        <f t="shared" si="18"/>
        <v>3296588.9908980802</v>
      </c>
      <c r="T12" s="44">
        <v>4721.3499999999995</v>
      </c>
      <c r="U12" s="488">
        <v>4</v>
      </c>
      <c r="V12" s="488">
        <v>8683088</v>
      </c>
      <c r="W12" s="488">
        <f>IFERROR(VLOOKUP($B12-1,CDM!$L$7:$T$18,6,FALSE)/12,0)+IFERROR(VLOOKUP($B12,CDM!$L$37:$T$47,6,FALSE)/24,0)+IFERROR(VLOOKUP($B12,CDM!$L$37:$T$47,6,FALSE)/2*$C12/78,0)</f>
        <v>3713.9253103822475</v>
      </c>
      <c r="X12" s="488">
        <f t="shared" si="19"/>
        <v>8686801.9253103826</v>
      </c>
      <c r="Y12" s="488">
        <v>14608.34</v>
      </c>
      <c r="Z12" s="488">
        <v>1</v>
      </c>
      <c r="AA12" s="44">
        <v>1796120.25</v>
      </c>
      <c r="AB12" s="44">
        <v>4228.16</v>
      </c>
      <c r="AC12" s="488">
        <v>36484</v>
      </c>
      <c r="AD12" s="44">
        <v>456409.04</v>
      </c>
      <c r="AE12" s="44">
        <v>1515</v>
      </c>
      <c r="AF12" s="44">
        <v>45729.339999999989</v>
      </c>
      <c r="AG12" s="44">
        <v>125.79</v>
      </c>
      <c r="AH12" s="44">
        <v>535</v>
      </c>
      <c r="AI12" s="44">
        <v>14400</v>
      </c>
      <c r="AJ12" s="68">
        <f>Economic!H26</f>
        <v>764465</v>
      </c>
      <c r="AK12" s="68">
        <f>Economic!I26</f>
        <v>91847.6</v>
      </c>
      <c r="AL12" s="68">
        <f>Economic!J26</f>
        <v>29151.9</v>
      </c>
      <c r="AM12" s="68">
        <f>Economic!K26</f>
        <v>71039.199999999997</v>
      </c>
      <c r="AN12" s="68">
        <f>Economic!L26</f>
        <v>53985.7</v>
      </c>
      <c r="AO12" s="68">
        <f>Economic!M26</f>
        <v>771506</v>
      </c>
      <c r="AP12" s="68">
        <f>Economic!N26</f>
        <v>91677</v>
      </c>
      <c r="AQ12" s="68">
        <f>Economic!O26</f>
        <v>13398</v>
      </c>
      <c r="AR12" s="68">
        <f>Economic!P26</f>
        <v>29018</v>
      </c>
      <c r="AS12" s="68">
        <f>Economic!Q26</f>
        <v>74140</v>
      </c>
      <c r="AT12" s="68">
        <f>Economic!D26</f>
        <v>7182.2</v>
      </c>
      <c r="AU12" s="68">
        <f>Economic!E26</f>
        <v>7182.5</v>
      </c>
      <c r="AV12" s="68">
        <f>Economic!F26</f>
        <v>249.3</v>
      </c>
      <c r="AW12" s="68">
        <f>Economic!G26</f>
        <v>247</v>
      </c>
      <c r="AX12" s="68">
        <f>Economic!W26</f>
        <v>26260</v>
      </c>
      <c r="AY12" s="68">
        <f>Economic!R26</f>
        <v>223.19999999999982</v>
      </c>
      <c r="AZ12" s="68">
        <f>Economic!W26</f>
        <v>26260</v>
      </c>
      <c r="BA12" s="68">
        <f>Economic!X26</f>
        <v>612</v>
      </c>
      <c r="BB12" s="68">
        <f>Economic!Y26</f>
        <v>8887</v>
      </c>
      <c r="BC12" s="236">
        <f>Weather!C24</f>
        <v>2.9639583333333333</v>
      </c>
      <c r="BD12" s="16">
        <f>Weather!D24</f>
        <v>511.08124999999984</v>
      </c>
      <c r="BE12" s="16">
        <f>Weather!E24</f>
        <v>0</v>
      </c>
      <c r="BF12" s="16">
        <f>Weather!F24</f>
        <v>451.08124999999984</v>
      </c>
      <c r="BG12" s="16">
        <f>Weather!G24</f>
        <v>0</v>
      </c>
      <c r="BH12" s="16">
        <f>Weather!H24</f>
        <v>391.08124999999995</v>
      </c>
      <c r="BI12" s="16">
        <f>Weather!I24</f>
        <v>0</v>
      </c>
      <c r="BJ12" s="16">
        <f>Weather!J24</f>
        <v>331.08124999999995</v>
      </c>
      <c r="BK12" s="16">
        <f>Weather!K24</f>
        <v>0</v>
      </c>
      <c r="BL12" s="16">
        <f>Weather!L24</f>
        <v>271.19791666666663</v>
      </c>
      <c r="BM12" s="16">
        <f>Weather!M24</f>
        <v>0.11666666666666714</v>
      </c>
      <c r="BN12" s="16">
        <f>Weather!N24</f>
        <v>214.85624999999996</v>
      </c>
      <c r="BO12" s="16">
        <f>Weather!O24</f>
        <v>3.7750000000000004</v>
      </c>
      <c r="BP12" s="16">
        <f>Weather!P24</f>
        <v>159.84375</v>
      </c>
      <c r="BQ12" s="16">
        <f>Weather!Q24</f>
        <v>8.7624999999999993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1</v>
      </c>
      <c r="CG12">
        <v>0</v>
      </c>
      <c r="CH12">
        <v>1</v>
      </c>
      <c r="CI12">
        <f t="shared" si="20"/>
        <v>0</v>
      </c>
      <c r="CJ12">
        <f t="shared" si="21"/>
        <v>1</v>
      </c>
      <c r="CK12">
        <v>0</v>
      </c>
      <c r="CL12">
        <v>0</v>
      </c>
      <c r="CM12" s="1">
        <f t="shared" si="22"/>
        <v>11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>
        <v>30</v>
      </c>
      <c r="CT12">
        <v>22</v>
      </c>
      <c r="CU12">
        <v>0</v>
      </c>
      <c r="CV12">
        <v>0</v>
      </c>
      <c r="CW12">
        <v>0</v>
      </c>
      <c r="CX12">
        <v>0</v>
      </c>
      <c r="CY12">
        <v>0</v>
      </c>
      <c r="CZ12">
        <f t="shared" si="23"/>
        <v>0</v>
      </c>
      <c r="DA12">
        <f t="shared" si="24"/>
        <v>0</v>
      </c>
      <c r="DB12">
        <f t="shared" si="25"/>
        <v>0</v>
      </c>
      <c r="DC12">
        <f t="shared" si="26"/>
        <v>0</v>
      </c>
      <c r="DD12">
        <f t="shared" si="27"/>
        <v>0</v>
      </c>
      <c r="DE12">
        <f t="shared" si="28"/>
        <v>0</v>
      </c>
      <c r="DF12">
        <f t="shared" si="29"/>
        <v>0</v>
      </c>
      <c r="DG12">
        <f t="shared" si="30"/>
        <v>0</v>
      </c>
      <c r="DH12">
        <f t="shared" si="31"/>
        <v>0</v>
      </c>
      <c r="DI12">
        <f t="shared" si="32"/>
        <v>0</v>
      </c>
      <c r="DJ12">
        <f t="shared" si="33"/>
        <v>0</v>
      </c>
      <c r="DK12">
        <f t="shared" si="34"/>
        <v>0</v>
      </c>
      <c r="DL12">
        <f t="shared" si="35"/>
        <v>0</v>
      </c>
      <c r="DM12">
        <f t="shared" si="36"/>
        <v>0</v>
      </c>
      <c r="DN12">
        <f t="shared" si="37"/>
        <v>0</v>
      </c>
      <c r="DO12">
        <f t="shared" si="38"/>
        <v>0</v>
      </c>
      <c r="DP12">
        <f t="shared" si="39"/>
        <v>0</v>
      </c>
      <c r="DQ12">
        <f t="shared" si="40"/>
        <v>0</v>
      </c>
      <c r="DR12">
        <f t="shared" si="41"/>
        <v>0</v>
      </c>
      <c r="DS12">
        <f t="shared" si="42"/>
        <v>0</v>
      </c>
      <c r="DT12">
        <f t="shared" si="43"/>
        <v>0</v>
      </c>
      <c r="DU12">
        <f t="shared" si="44"/>
        <v>0</v>
      </c>
      <c r="DV12">
        <f t="shared" si="45"/>
        <v>0</v>
      </c>
      <c r="DW12">
        <f t="shared" si="46"/>
        <v>0</v>
      </c>
      <c r="DX12">
        <f t="shared" si="47"/>
        <v>0</v>
      </c>
      <c r="DY12">
        <f t="shared" si="48"/>
        <v>0</v>
      </c>
      <c r="DZ12">
        <f t="shared" si="49"/>
        <v>0</v>
      </c>
      <c r="EA12">
        <f t="shared" si="50"/>
        <v>0</v>
      </c>
      <c r="EB12" s="44">
        <f t="shared" si="4"/>
        <v>590.87160806100712</v>
      </c>
      <c r="EC12" s="44">
        <f t="shared" si="5"/>
        <v>19.695720268700239</v>
      </c>
      <c r="ED12" s="44">
        <f t="shared" si="6"/>
        <v>2814183.5991526963</v>
      </c>
      <c r="EE12" s="44">
        <f t="shared" si="7"/>
        <v>2501.4236882515734</v>
      </c>
      <c r="EF12" s="44">
        <f t="shared" si="8"/>
        <v>83.380789608385783</v>
      </c>
      <c r="EG12" s="44">
        <f t="shared" si="9"/>
        <v>1048013.1445878007</v>
      </c>
      <c r="EH12" s="44">
        <f t="shared" si="10"/>
        <v>73432.174445160359</v>
      </c>
      <c r="EI12" s="44">
        <f t="shared" si="11"/>
        <v>2447.7391481720119</v>
      </c>
      <c r="EJ12" s="44">
        <f t="shared" si="12"/>
        <v>3337.8261111436527</v>
      </c>
      <c r="EK12" s="44">
        <f t="shared" si="13"/>
        <v>3950650.9851496276</v>
      </c>
      <c r="EL12" s="44">
        <f t="shared" si="14"/>
        <v>5387251.3433858557</v>
      </c>
    </row>
    <row r="13" spans="1:142" x14ac:dyDescent="0.2">
      <c r="A13" s="66">
        <v>43070</v>
      </c>
      <c r="B13" s="4">
        <f t="shared" si="0"/>
        <v>2017</v>
      </c>
      <c r="C13" s="4">
        <f t="shared" si="1"/>
        <v>12</v>
      </c>
      <c r="D13" s="44">
        <v>101119282</v>
      </c>
      <c r="E13" s="44">
        <f>IFERROR(VLOOKUP($B13-1,CDM!$L$7:$T$18,2,FALSE)/12,0)+IFERROR(VLOOKUP($B13,CDM!$L$37:$O$47,2,FALSE)/24,0)+IFERROR(VLOOKUP($B13,CDM!$L$37:$O$47,2,FALSE)/2*$C13/78,0)</f>
        <v>1614509.7731283703</v>
      </c>
      <c r="F13" s="44">
        <f t="shared" si="15"/>
        <v>102733791.77312838</v>
      </c>
      <c r="G13" s="488">
        <v>143018</v>
      </c>
      <c r="H13" s="44">
        <v>33882442</v>
      </c>
      <c r="I13" s="44">
        <f>IFERROR(VLOOKUP($B13-1,CDM!$L$7:$T$18,3,FALSE)/12,0)+IFERROR(VLOOKUP($B13,CDM!$L$37:$O$47,3,FALSE)/24,0)+IFERROR(VLOOKUP($B13,CDM!$L$37:$O$47,3,FALSE)/2*$C13/78,0)</f>
        <v>319305.0712131107</v>
      </c>
      <c r="J13" s="44">
        <f t="shared" si="16"/>
        <v>34201747.071213111</v>
      </c>
      <c r="K13" s="44">
        <v>12599</v>
      </c>
      <c r="L13" s="44">
        <v>119585525</v>
      </c>
      <c r="M13" s="44">
        <f>IFERROR(VLOOKUP($B13-1,CDM!$L$7:$T$18,4,FALSE)/12,0)+IFERROR(VLOOKUP($B13,CDM!$L$37:$O$47,4,FALSE)/24,0)+IFERROR(VLOOKUP($B13,CDM!$L$37:$O$47,4,FALSE)/2*$C13/78,0)</f>
        <v>2365479.3004596056</v>
      </c>
      <c r="N13" s="44">
        <f t="shared" si="17"/>
        <v>121951004.30045961</v>
      </c>
      <c r="O13" s="44">
        <v>291185.5</v>
      </c>
      <c r="P13" s="488">
        <v>1622</v>
      </c>
      <c r="Q13" s="488">
        <v>3266983</v>
      </c>
      <c r="R13" s="488">
        <f>IFERROR(VLOOKUP($B13-1,CDM!$L$7:$T$18,5,FALSE)/12,0)+IFERROR(VLOOKUP($B13,CDM!$L$37:$T$47,5,FALSE)/24,0)+IFERROR(VLOOKUP($B13,CDM!$L$37:$T$47,5,FALSE)/2*$C13/78,0)</f>
        <v>64872.618949399111</v>
      </c>
      <c r="S13" s="488">
        <f t="shared" si="18"/>
        <v>3331855.6189493993</v>
      </c>
      <c r="T13" s="44">
        <v>4721.5200000000004</v>
      </c>
      <c r="U13" s="488">
        <v>4</v>
      </c>
      <c r="V13" s="488">
        <v>8548034</v>
      </c>
      <c r="W13" s="488">
        <f>IFERROR(VLOOKUP($B13-1,CDM!$L$7:$T$18,6,FALSE)/12,0)+IFERROR(VLOOKUP($B13,CDM!$L$37:$T$47,6,FALSE)/24,0)+IFERROR(VLOOKUP($B13,CDM!$L$37:$T$47,6,FALSE)/2*$C13/78,0)</f>
        <v>3926.149613832662</v>
      </c>
      <c r="X13" s="488">
        <f t="shared" si="19"/>
        <v>8551960.1496138331</v>
      </c>
      <c r="Y13" s="488">
        <v>14381.36</v>
      </c>
      <c r="Z13" s="488">
        <v>1</v>
      </c>
      <c r="AA13" s="44">
        <v>1955123.34</v>
      </c>
      <c r="AB13" s="44">
        <v>4229.95</v>
      </c>
      <c r="AC13" s="488">
        <v>36498</v>
      </c>
      <c r="AD13" s="44">
        <v>467848.74999999994</v>
      </c>
      <c r="AE13" s="44">
        <v>1530</v>
      </c>
      <c r="AF13" s="44">
        <v>48155.729999999981</v>
      </c>
      <c r="AG13" s="44">
        <v>125.77</v>
      </c>
      <c r="AH13" s="44">
        <v>535</v>
      </c>
      <c r="AI13" s="44">
        <v>14400</v>
      </c>
      <c r="AJ13" s="68">
        <f>Economic!H27</f>
        <v>764465</v>
      </c>
      <c r="AK13" s="68">
        <f>Economic!I27</f>
        <v>91847.6</v>
      </c>
      <c r="AL13" s="68">
        <f>Economic!J27</f>
        <v>29151.9</v>
      </c>
      <c r="AM13" s="68">
        <f>Economic!K27</f>
        <v>71039.199999999997</v>
      </c>
      <c r="AN13" s="68">
        <f>Economic!L27</f>
        <v>53985.7</v>
      </c>
      <c r="AO13" s="68">
        <f>Economic!M27</f>
        <v>771506</v>
      </c>
      <c r="AP13" s="68">
        <f>Economic!N27</f>
        <v>91677</v>
      </c>
      <c r="AQ13" s="68">
        <f>Economic!O27</f>
        <v>13398</v>
      </c>
      <c r="AR13" s="68">
        <f>Economic!P27</f>
        <v>29018</v>
      </c>
      <c r="AS13" s="68">
        <f>Economic!Q27</f>
        <v>74140</v>
      </c>
      <c r="AT13" s="68">
        <f>Economic!D27</f>
        <v>7196.8</v>
      </c>
      <c r="AU13" s="68">
        <f>Economic!E27</f>
        <v>7205</v>
      </c>
      <c r="AV13" s="68">
        <f>Economic!F27</f>
        <v>250.7</v>
      </c>
      <c r="AW13" s="68">
        <f>Economic!G27</f>
        <v>248</v>
      </c>
      <c r="AX13" s="68">
        <f>Economic!W27</f>
        <v>26260</v>
      </c>
      <c r="AY13" s="68">
        <f>Economic!R27</f>
        <v>222.40000000000055</v>
      </c>
      <c r="AZ13" s="68">
        <f>Economic!W27</f>
        <v>26260</v>
      </c>
      <c r="BA13" s="68">
        <f>Economic!X27</f>
        <v>612</v>
      </c>
      <c r="BB13" s="68">
        <f>Economic!Y27</f>
        <v>8887</v>
      </c>
      <c r="BC13" s="236">
        <f>Weather!C25</f>
        <v>-5.1143817204301074</v>
      </c>
      <c r="BD13" s="16">
        <f>Weather!D25</f>
        <v>778.54583333333335</v>
      </c>
      <c r="BE13" s="16">
        <f>Weather!E25</f>
        <v>0</v>
      </c>
      <c r="BF13" s="16">
        <f>Weather!F25</f>
        <v>716.54583333333335</v>
      </c>
      <c r="BG13" s="16">
        <f>Weather!G25</f>
        <v>0</v>
      </c>
      <c r="BH13" s="16">
        <f>Weather!H25</f>
        <v>654.54583333333335</v>
      </c>
      <c r="BI13" s="16">
        <f>Weather!I25</f>
        <v>0</v>
      </c>
      <c r="BJ13" s="16">
        <f>Weather!J25</f>
        <v>592.54583333333346</v>
      </c>
      <c r="BK13" s="16">
        <f>Weather!K25</f>
        <v>0</v>
      </c>
      <c r="BL13" s="16">
        <f>Weather!L25</f>
        <v>530.54583333333335</v>
      </c>
      <c r="BM13" s="16">
        <f>Weather!M25</f>
        <v>0</v>
      </c>
      <c r="BN13" s="16">
        <f>Weather!N25</f>
        <v>468.54583333333341</v>
      </c>
      <c r="BO13" s="16">
        <f>Weather!O25</f>
        <v>0</v>
      </c>
      <c r="BP13" s="16">
        <f>Weather!P25</f>
        <v>406.54583333333329</v>
      </c>
      <c r="BQ13" s="16">
        <f>Weather!Q25</f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1</v>
      </c>
      <c r="CD13">
        <v>0</v>
      </c>
      <c r="CE13">
        <v>0</v>
      </c>
      <c r="CF13">
        <v>0</v>
      </c>
      <c r="CG13">
        <v>0</v>
      </c>
      <c r="CH13">
        <v>0</v>
      </c>
      <c r="CI13">
        <f t="shared" si="20"/>
        <v>0</v>
      </c>
      <c r="CJ13">
        <f t="shared" si="21"/>
        <v>0</v>
      </c>
      <c r="CK13">
        <v>0</v>
      </c>
      <c r="CL13">
        <v>0</v>
      </c>
      <c r="CM13" s="1">
        <f t="shared" si="22"/>
        <v>12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>
        <v>31</v>
      </c>
      <c r="CT13">
        <v>19</v>
      </c>
      <c r="CU13">
        <v>0</v>
      </c>
      <c r="CV13">
        <v>0</v>
      </c>
      <c r="CW13">
        <v>0</v>
      </c>
      <c r="CX13">
        <v>0</v>
      </c>
      <c r="CY13">
        <v>0</v>
      </c>
      <c r="CZ13">
        <f t="shared" si="23"/>
        <v>0</v>
      </c>
      <c r="DA13">
        <f t="shared" si="24"/>
        <v>0</v>
      </c>
      <c r="DB13">
        <f t="shared" si="25"/>
        <v>0</v>
      </c>
      <c r="DC13">
        <f t="shared" si="26"/>
        <v>0</v>
      </c>
      <c r="DD13">
        <f t="shared" si="27"/>
        <v>0</v>
      </c>
      <c r="DE13">
        <f t="shared" si="28"/>
        <v>0</v>
      </c>
      <c r="DF13">
        <f t="shared" si="29"/>
        <v>0</v>
      </c>
      <c r="DG13">
        <f t="shared" si="30"/>
        <v>0</v>
      </c>
      <c r="DH13">
        <f t="shared" si="31"/>
        <v>0</v>
      </c>
      <c r="DI13">
        <f t="shared" si="32"/>
        <v>0</v>
      </c>
      <c r="DJ13">
        <f t="shared" si="33"/>
        <v>0</v>
      </c>
      <c r="DK13">
        <f t="shared" si="34"/>
        <v>0</v>
      </c>
      <c r="DL13">
        <f t="shared" si="35"/>
        <v>0</v>
      </c>
      <c r="DM13">
        <f t="shared" si="36"/>
        <v>0</v>
      </c>
      <c r="DN13">
        <f t="shared" si="37"/>
        <v>0</v>
      </c>
      <c r="DO13">
        <f t="shared" si="38"/>
        <v>0</v>
      </c>
      <c r="DP13">
        <f t="shared" si="39"/>
        <v>0</v>
      </c>
      <c r="DQ13">
        <f t="shared" si="40"/>
        <v>0</v>
      </c>
      <c r="DR13">
        <f t="shared" si="41"/>
        <v>0</v>
      </c>
      <c r="DS13">
        <f t="shared" si="42"/>
        <v>0</v>
      </c>
      <c r="DT13">
        <f t="shared" si="43"/>
        <v>0</v>
      </c>
      <c r="DU13">
        <f t="shared" si="44"/>
        <v>0</v>
      </c>
      <c r="DV13">
        <f t="shared" si="45"/>
        <v>0</v>
      </c>
      <c r="DW13">
        <f t="shared" si="46"/>
        <v>0</v>
      </c>
      <c r="DX13">
        <f t="shared" si="47"/>
        <v>0</v>
      </c>
      <c r="DY13">
        <f t="shared" si="48"/>
        <v>0</v>
      </c>
      <c r="DZ13">
        <f t="shared" si="49"/>
        <v>0</v>
      </c>
      <c r="EA13">
        <f t="shared" si="50"/>
        <v>0</v>
      </c>
      <c r="EB13" s="44">
        <f t="shared" si="4"/>
        <v>718.32770541560069</v>
      </c>
      <c r="EC13" s="44">
        <f t="shared" si="5"/>
        <v>23.171861465019376</v>
      </c>
      <c r="ED13" s="44">
        <f t="shared" si="6"/>
        <v>3313993.2830041409</v>
      </c>
      <c r="EE13" s="44">
        <f t="shared" si="7"/>
        <v>2714.6398183358292</v>
      </c>
      <c r="EF13" s="44">
        <f t="shared" si="8"/>
        <v>87.569026397929974</v>
      </c>
      <c r="EG13" s="44">
        <f t="shared" si="9"/>
        <v>1103282.1635875197</v>
      </c>
      <c r="EH13" s="44">
        <f t="shared" si="10"/>
        <v>75185.576017546002</v>
      </c>
      <c r="EI13" s="44">
        <f t="shared" si="11"/>
        <v>2425.3411618563227</v>
      </c>
      <c r="EJ13" s="44">
        <f t="shared" si="12"/>
        <v>3957.1355798708423</v>
      </c>
      <c r="EK13" s="44">
        <f t="shared" si="13"/>
        <v>3933903.364530955</v>
      </c>
      <c r="EL13" s="44">
        <f t="shared" si="14"/>
        <v>6418473.9105505059</v>
      </c>
    </row>
    <row r="14" spans="1:142" x14ac:dyDescent="0.2">
      <c r="A14" s="66">
        <v>43101</v>
      </c>
      <c r="B14" s="4">
        <f t="shared" si="0"/>
        <v>2018</v>
      </c>
      <c r="C14" s="4">
        <f t="shared" si="1"/>
        <v>1</v>
      </c>
      <c r="D14" s="44">
        <v>103110214</v>
      </c>
      <c r="E14" s="44">
        <f>IFERROR(VLOOKUP($B14-1,CDM!$L$7:$T$18,2,FALSE)/12,0)+IFERROR(VLOOKUP($B14,CDM!$L$37:$O$47,2,FALSE)/24,0)+IFERROR(VLOOKUP($B14,CDM!$L$37:$O$47,2,FALSE)/2*$C14/78,0)</f>
        <v>1655176.0340444506</v>
      </c>
      <c r="F14" s="44">
        <f t="shared" si="15"/>
        <v>104765390.03404444</v>
      </c>
      <c r="G14" s="488">
        <v>143169</v>
      </c>
      <c r="H14" s="44">
        <v>36703749</v>
      </c>
      <c r="I14" s="44">
        <f>IFERROR(VLOOKUP($B14-1,CDM!$L$7:$T$18,3,FALSE)/12,0)+IFERROR(VLOOKUP($B14,CDM!$L$37:$O$47,3,FALSE)/24,0)+IFERROR(VLOOKUP($B14,CDM!$L$37:$O$47,3,FALSE)/2*$C14/78,0)</f>
        <v>444106.28196956223</v>
      </c>
      <c r="J14" s="44">
        <f t="shared" si="16"/>
        <v>37147855.281969562</v>
      </c>
      <c r="K14" s="44">
        <v>12614</v>
      </c>
      <c r="L14" s="44">
        <v>127178163</v>
      </c>
      <c r="M14" s="44">
        <f>IFERROR(VLOOKUP($B14-1,CDM!$L$7:$T$18,4,FALSE)/12,0)+IFERROR(VLOOKUP($B14,CDM!$L$37:$O$47,4,FALSE)/24,0)+IFERROR(VLOOKUP($B14,CDM!$L$37:$O$47,4,FALSE)/2*$C14/78,0)</f>
        <v>2945203.2118904912</v>
      </c>
      <c r="N14" s="44">
        <f t="shared" si="17"/>
        <v>130123366.21189049</v>
      </c>
      <c r="O14" s="44">
        <v>294391.73</v>
      </c>
      <c r="P14" s="488">
        <v>1615</v>
      </c>
      <c r="Q14" s="488">
        <v>3806686</v>
      </c>
      <c r="R14" s="488">
        <f>IFERROR(VLOOKUP($B14-1,CDM!$L$7:$T$18,5,FALSE)/12,0)+IFERROR(VLOOKUP($B14,CDM!$L$37:$T$47,5,FALSE)/24,0)+IFERROR(VLOOKUP($B14,CDM!$L$37:$T$47,5,FALSE)/2*$C14/78,0)</f>
        <v>74090.363584551713</v>
      </c>
      <c r="S14" s="488">
        <f t="shared" si="18"/>
        <v>3880776.3635845515</v>
      </c>
      <c r="T14" s="44">
        <v>1808.99</v>
      </c>
      <c r="U14" s="488">
        <v>5</v>
      </c>
      <c r="V14" s="488">
        <v>9015210</v>
      </c>
      <c r="W14" s="488">
        <f>IFERROR(VLOOKUP($B14-1,CDM!$L$7:$T$18,6,FALSE)/12,0)+IFERROR(VLOOKUP($B14,CDM!$L$37:$T$47,6,FALSE)/24,0)+IFERROR(VLOOKUP($B14,CDM!$L$37:$T$47,6,FALSE)/2*$C14/78,0)</f>
        <v>87856.042936148995</v>
      </c>
      <c r="X14" s="488">
        <f t="shared" si="19"/>
        <v>9103066.0429361481</v>
      </c>
      <c r="Y14" s="488">
        <v>14598.05</v>
      </c>
      <c r="Z14" s="488">
        <v>1</v>
      </c>
      <c r="AA14" s="44">
        <v>1895959.63</v>
      </c>
      <c r="AB14" s="44">
        <v>4244.2700000000004</v>
      </c>
      <c r="AC14" s="488">
        <v>36633</v>
      </c>
      <c r="AD14" s="44">
        <v>466851.67000000004</v>
      </c>
      <c r="AE14" s="44">
        <v>1523</v>
      </c>
      <c r="AF14" s="44">
        <v>46307.57</v>
      </c>
      <c r="AG14" s="44">
        <v>125.85</v>
      </c>
      <c r="AH14" s="44">
        <v>535</v>
      </c>
      <c r="AI14" s="44">
        <v>14400</v>
      </c>
      <c r="AJ14" s="68">
        <f>Economic!H28</f>
        <v>789828.1</v>
      </c>
      <c r="AK14" s="68">
        <f>Economic!I28</f>
        <v>95159.5</v>
      </c>
      <c r="AL14" s="68">
        <f>Economic!J28</f>
        <v>30609.7</v>
      </c>
      <c r="AM14" s="68">
        <f>Economic!K28</f>
        <v>72894</v>
      </c>
      <c r="AN14" s="68">
        <f>Economic!L28</f>
        <v>57384.800000000003</v>
      </c>
      <c r="AO14" s="68">
        <f>Economic!M28</f>
        <v>779694</v>
      </c>
      <c r="AP14" s="68">
        <f>Economic!N28</f>
        <v>94103</v>
      </c>
      <c r="AQ14" s="68">
        <f>Economic!O28</f>
        <v>13370</v>
      </c>
      <c r="AR14" s="68">
        <f>Economic!P28</f>
        <v>28868</v>
      </c>
      <c r="AS14" s="68">
        <f>Economic!Q28</f>
        <v>73963</v>
      </c>
      <c r="AT14" s="68">
        <f>Economic!D28</f>
        <v>7195</v>
      </c>
      <c r="AU14" s="68">
        <f>Economic!E28</f>
        <v>7165</v>
      </c>
      <c r="AV14" s="68">
        <f>Economic!F28</f>
        <v>251.3</v>
      </c>
      <c r="AW14" s="68">
        <f>Economic!G28</f>
        <v>247.7</v>
      </c>
      <c r="AX14" s="68">
        <f>Economic!W28</f>
        <v>23024</v>
      </c>
      <c r="AY14" s="68">
        <f>Economic!R28</f>
        <v>196.10000000000036</v>
      </c>
      <c r="AZ14" s="68">
        <f>Economic!W28</f>
        <v>23024</v>
      </c>
      <c r="BA14" s="68">
        <f>Economic!X28</f>
        <v>1488</v>
      </c>
      <c r="BB14" s="68">
        <f>Economic!Y28</f>
        <v>6847</v>
      </c>
      <c r="BC14" s="236">
        <f>Weather!C26</f>
        <v>-6.2030913978494651</v>
      </c>
      <c r="BD14" s="16">
        <f>Weather!D26</f>
        <v>812.29583333333323</v>
      </c>
      <c r="BE14" s="16">
        <f>Weather!E26</f>
        <v>0</v>
      </c>
      <c r="BF14" s="16">
        <f>Weather!F26</f>
        <v>750.29583333333323</v>
      </c>
      <c r="BG14" s="16">
        <f>Weather!G26</f>
        <v>0</v>
      </c>
      <c r="BH14" s="16">
        <f>Weather!H26</f>
        <v>688.29583333333312</v>
      </c>
      <c r="BI14" s="16">
        <f>Weather!I26</f>
        <v>0</v>
      </c>
      <c r="BJ14" s="16">
        <f>Weather!J26</f>
        <v>626.29583333333323</v>
      </c>
      <c r="BK14" s="16">
        <f>Weather!K26</f>
        <v>0</v>
      </c>
      <c r="BL14" s="16">
        <f>Weather!L26</f>
        <v>564.29583333333323</v>
      </c>
      <c r="BM14" s="16">
        <f>Weather!M26</f>
        <v>0</v>
      </c>
      <c r="BN14" s="16">
        <f>Weather!N26</f>
        <v>502.29583333333318</v>
      </c>
      <c r="BO14" s="16">
        <f>Weather!O26</f>
        <v>0</v>
      </c>
      <c r="BP14" s="16">
        <f>Weather!P26</f>
        <v>440.3624999999999</v>
      </c>
      <c r="BQ14" s="16">
        <f>Weather!Q26</f>
        <v>6.6666666666668206E-2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f>CE2</f>
        <v>0</v>
      </c>
      <c r="CF14">
        <v>0</v>
      </c>
      <c r="CG14">
        <f>CG2</f>
        <v>0</v>
      </c>
      <c r="CH14">
        <v>0</v>
      </c>
      <c r="CI14">
        <f t="shared" ref="CI14:CI50" si="51">CI2</f>
        <v>0</v>
      </c>
      <c r="CJ14">
        <f>CE14+CF14</f>
        <v>0</v>
      </c>
      <c r="CK14">
        <f>CK2</f>
        <v>0</v>
      </c>
      <c r="CL14">
        <f>CL2</f>
        <v>0</v>
      </c>
      <c r="CM14" s="1">
        <f t="shared" si="22"/>
        <v>13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>
        <v>31</v>
      </c>
      <c r="CT14">
        <v>22</v>
      </c>
      <c r="CU14">
        <v>0</v>
      </c>
      <c r="CV14">
        <v>0</v>
      </c>
      <c r="CW14">
        <v>0</v>
      </c>
      <c r="CX14">
        <v>0</v>
      </c>
      <c r="CY14">
        <v>0</v>
      </c>
      <c r="CZ14">
        <f t="shared" si="23"/>
        <v>0</v>
      </c>
      <c r="DA14">
        <f t="shared" si="24"/>
        <v>0</v>
      </c>
      <c r="DB14">
        <f t="shared" si="25"/>
        <v>0</v>
      </c>
      <c r="DC14">
        <f t="shared" si="26"/>
        <v>0</v>
      </c>
      <c r="DD14">
        <f t="shared" si="27"/>
        <v>0</v>
      </c>
      <c r="DE14">
        <f t="shared" si="28"/>
        <v>0</v>
      </c>
      <c r="DF14">
        <f t="shared" si="29"/>
        <v>0</v>
      </c>
      <c r="DG14">
        <f t="shared" si="30"/>
        <v>0</v>
      </c>
      <c r="DH14">
        <f t="shared" si="31"/>
        <v>0</v>
      </c>
      <c r="DI14">
        <f t="shared" si="32"/>
        <v>0</v>
      </c>
      <c r="DJ14">
        <f t="shared" si="33"/>
        <v>0</v>
      </c>
      <c r="DK14">
        <f t="shared" si="34"/>
        <v>0</v>
      </c>
      <c r="DL14">
        <f t="shared" si="35"/>
        <v>0</v>
      </c>
      <c r="DM14">
        <f t="shared" si="36"/>
        <v>0</v>
      </c>
      <c r="DN14">
        <f t="shared" si="37"/>
        <v>0</v>
      </c>
      <c r="DO14">
        <f t="shared" si="38"/>
        <v>0</v>
      </c>
      <c r="DP14">
        <f t="shared" si="39"/>
        <v>0</v>
      </c>
      <c r="DQ14">
        <f t="shared" si="40"/>
        <v>0</v>
      </c>
      <c r="DR14">
        <f t="shared" si="41"/>
        <v>0</v>
      </c>
      <c r="DS14">
        <f t="shared" si="42"/>
        <v>0</v>
      </c>
      <c r="DT14">
        <f t="shared" si="43"/>
        <v>0</v>
      </c>
      <c r="DU14">
        <f t="shared" si="44"/>
        <v>0</v>
      </c>
      <c r="DV14">
        <f t="shared" si="45"/>
        <v>0</v>
      </c>
      <c r="DW14">
        <f t="shared" si="46"/>
        <v>0</v>
      </c>
      <c r="DX14">
        <f t="shared" si="47"/>
        <v>0</v>
      </c>
      <c r="DY14">
        <f t="shared" si="48"/>
        <v>0</v>
      </c>
      <c r="DZ14">
        <f t="shared" si="49"/>
        <v>0</v>
      </c>
      <c r="EA14">
        <f t="shared" si="50"/>
        <v>0</v>
      </c>
      <c r="EB14" s="44">
        <f t="shared" si="4"/>
        <v>731.76029750884925</v>
      </c>
      <c r="EC14" s="44">
        <f t="shared" si="5"/>
        <v>23.605170887382233</v>
      </c>
      <c r="ED14" s="44">
        <f t="shared" si="6"/>
        <v>3379528.7107756273</v>
      </c>
      <c r="EE14" s="44">
        <f t="shared" si="7"/>
        <v>2944.970293481018</v>
      </c>
      <c r="EF14" s="44">
        <f t="shared" si="8"/>
        <v>94.999041725194132</v>
      </c>
      <c r="EG14" s="44">
        <f t="shared" si="9"/>
        <v>1198317.9123215987</v>
      </c>
      <c r="EH14" s="44">
        <f t="shared" si="10"/>
        <v>80571.743784452308</v>
      </c>
      <c r="EI14" s="44">
        <f t="shared" si="11"/>
        <v>2599.088509175881</v>
      </c>
      <c r="EJ14" s="44">
        <f t="shared" si="12"/>
        <v>3662.3519902023777</v>
      </c>
      <c r="EK14" s="44">
        <f t="shared" si="13"/>
        <v>4197527.9423190476</v>
      </c>
      <c r="EL14" s="44">
        <f t="shared" si="14"/>
        <v>5914698.4641768401</v>
      </c>
    </row>
    <row r="15" spans="1:142" x14ac:dyDescent="0.2">
      <c r="A15" s="66">
        <v>43132</v>
      </c>
      <c r="B15" s="4">
        <f t="shared" si="0"/>
        <v>2018</v>
      </c>
      <c r="C15" s="4">
        <f t="shared" si="1"/>
        <v>2</v>
      </c>
      <c r="D15" s="44">
        <v>86184598</v>
      </c>
      <c r="E15" s="44">
        <f>IFERROR(VLOOKUP($B15-1,CDM!$L$7:$T$18,2,FALSE)/12,0)+IFERROR(VLOOKUP($B15,CDM!$L$37:$O$47,2,FALSE)/24,0)+IFERROR(VLOOKUP($B15,CDM!$L$37:$O$47,2,FALSE)/2*$C15/78,0)</f>
        <v>1724596.7877680794</v>
      </c>
      <c r="F15" s="44">
        <f t="shared" si="15"/>
        <v>87909194.787768081</v>
      </c>
      <c r="G15" s="488">
        <v>143313</v>
      </c>
      <c r="H15" s="44">
        <v>31657129</v>
      </c>
      <c r="I15" s="44">
        <f>IFERROR(VLOOKUP($B15-1,CDM!$L$7:$T$18,3,FALSE)/12,0)+IFERROR(VLOOKUP($B15,CDM!$L$37:$O$47,3,FALSE)/24,0)+IFERROR(VLOOKUP($B15,CDM!$L$37:$O$47,3,FALSE)/2*$C15/78,0)</f>
        <v>473403.58136175299</v>
      </c>
      <c r="J15" s="44">
        <f t="shared" si="16"/>
        <v>32130532.581361752</v>
      </c>
      <c r="K15" s="44">
        <v>12617</v>
      </c>
      <c r="L15" s="44">
        <v>112578328</v>
      </c>
      <c r="M15" s="44">
        <f>IFERROR(VLOOKUP($B15-1,CDM!$L$7:$T$18,4,FALSE)/12,0)+IFERROR(VLOOKUP($B15,CDM!$L$37:$O$47,4,FALSE)/24,0)+IFERROR(VLOOKUP($B15,CDM!$L$37:$O$47,4,FALSE)/2*$C15/78,0)</f>
        <v>3116266.4804598549</v>
      </c>
      <c r="N15" s="44">
        <f t="shared" si="17"/>
        <v>115694594.48045985</v>
      </c>
      <c r="O15" s="44">
        <v>288880.62</v>
      </c>
      <c r="P15" s="488">
        <v>1618</v>
      </c>
      <c r="Q15" s="488">
        <v>2426603</v>
      </c>
      <c r="R15" s="488">
        <f>IFERROR(VLOOKUP($B15-1,CDM!$L$7:$T$18,5,FALSE)/12,0)+IFERROR(VLOOKUP($B15,CDM!$L$37:$T$47,5,FALSE)/24,0)+IFERROR(VLOOKUP($B15,CDM!$L$37:$T$47,5,FALSE)/2*$C15/78,0)</f>
        <v>77890.923440205908</v>
      </c>
      <c r="S15" s="488">
        <f t="shared" si="18"/>
        <v>2504493.9234402059</v>
      </c>
      <c r="T15" s="44">
        <v>2682.4500000000003</v>
      </c>
      <c r="U15" s="488">
        <v>5</v>
      </c>
      <c r="V15" s="488">
        <v>7970781</v>
      </c>
      <c r="W15" s="488">
        <f>IFERROR(VLOOKUP($B15-1,CDM!$L$7:$T$18,6,FALSE)/12,0)+IFERROR(VLOOKUP($B15,CDM!$L$37:$T$47,6,FALSE)/24,0)+IFERROR(VLOOKUP($B15,CDM!$L$37:$T$47,6,FALSE)/2*$C15/78,0)</f>
        <v>99202.326534988155</v>
      </c>
      <c r="X15" s="488">
        <f t="shared" si="19"/>
        <v>8069983.3265349884</v>
      </c>
      <c r="Y15" s="488">
        <v>14562.37</v>
      </c>
      <c r="Z15" s="488">
        <v>1</v>
      </c>
      <c r="AA15" s="44">
        <v>1596418.98</v>
      </c>
      <c r="AB15" s="44">
        <v>4248.51</v>
      </c>
      <c r="AC15" s="488">
        <v>36684</v>
      </c>
      <c r="AD15" s="44">
        <v>422523.02</v>
      </c>
      <c r="AE15" s="44">
        <v>1520</v>
      </c>
      <c r="AF15" s="44">
        <v>43010.51999999999</v>
      </c>
      <c r="AG15" s="44">
        <v>125.56</v>
      </c>
      <c r="AH15" s="44">
        <v>534</v>
      </c>
      <c r="AI15" s="44">
        <v>14400</v>
      </c>
      <c r="AJ15" s="68">
        <f>Economic!H29</f>
        <v>789828.1</v>
      </c>
      <c r="AK15" s="68">
        <f>Economic!I29</f>
        <v>95159.5</v>
      </c>
      <c r="AL15" s="68">
        <f>Economic!J29</f>
        <v>30609.7</v>
      </c>
      <c r="AM15" s="68">
        <f>Economic!K29</f>
        <v>72894</v>
      </c>
      <c r="AN15" s="68">
        <f>Economic!L29</f>
        <v>57384.800000000003</v>
      </c>
      <c r="AO15" s="68">
        <f>Economic!M29</f>
        <v>779694</v>
      </c>
      <c r="AP15" s="68">
        <f>Economic!N29</f>
        <v>94103</v>
      </c>
      <c r="AQ15" s="68">
        <f>Economic!O29</f>
        <v>13370</v>
      </c>
      <c r="AR15" s="68">
        <f>Economic!P29</f>
        <v>28868</v>
      </c>
      <c r="AS15" s="68">
        <f>Economic!Q29</f>
        <v>73963</v>
      </c>
      <c r="AT15" s="68">
        <f>Economic!D29</f>
        <v>7183.9</v>
      </c>
      <c r="AU15" s="68">
        <f>Economic!E29</f>
        <v>7116</v>
      </c>
      <c r="AV15" s="68">
        <f>Economic!F29</f>
        <v>253</v>
      </c>
      <c r="AW15" s="68">
        <f>Economic!G29</f>
        <v>250</v>
      </c>
      <c r="AX15" s="68">
        <f>Economic!W29</f>
        <v>23024</v>
      </c>
      <c r="AY15" s="68">
        <f>Economic!R29</f>
        <v>166.59999999999945</v>
      </c>
      <c r="AZ15" s="68">
        <f>Economic!W29</f>
        <v>23024</v>
      </c>
      <c r="BA15" s="68">
        <f>Economic!X29</f>
        <v>1488</v>
      </c>
      <c r="BB15" s="68">
        <f>Economic!Y29</f>
        <v>6847</v>
      </c>
      <c r="BC15" s="236">
        <f>Weather!C27</f>
        <v>-2.5132440476190467</v>
      </c>
      <c r="BD15" s="16">
        <f>Weather!D27</f>
        <v>630.37083333333339</v>
      </c>
      <c r="BE15" s="16">
        <f>Weather!E27</f>
        <v>0</v>
      </c>
      <c r="BF15" s="16">
        <f>Weather!F27</f>
        <v>574.37083333333339</v>
      </c>
      <c r="BG15" s="16">
        <f>Weather!G27</f>
        <v>0</v>
      </c>
      <c r="BH15" s="16">
        <f>Weather!H27</f>
        <v>518.37083333333339</v>
      </c>
      <c r="BI15" s="16">
        <f>Weather!I27</f>
        <v>0</v>
      </c>
      <c r="BJ15" s="16">
        <f>Weather!J27</f>
        <v>462.37083333333339</v>
      </c>
      <c r="BK15" s="16">
        <f>Weather!K27</f>
        <v>0</v>
      </c>
      <c r="BL15" s="16">
        <f>Weather!L27</f>
        <v>406.37083333333339</v>
      </c>
      <c r="BM15" s="16">
        <f>Weather!M27</f>
        <v>0</v>
      </c>
      <c r="BN15" s="16">
        <f>Weather!N27</f>
        <v>351.93333333333339</v>
      </c>
      <c r="BO15" s="16">
        <f>Weather!O27</f>
        <v>1.5625000000000018</v>
      </c>
      <c r="BP15" s="16">
        <f>Weather!P27</f>
        <v>297.93333333333334</v>
      </c>
      <c r="BQ15" s="16">
        <f>Weather!Q27</f>
        <v>3.5625000000000018</v>
      </c>
      <c r="BR15">
        <v>0</v>
      </c>
      <c r="BS15">
        <v>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f t="shared" ref="CE15:CG78" si="52">CE3</f>
        <v>0</v>
      </c>
      <c r="CF15">
        <v>0</v>
      </c>
      <c r="CG15">
        <f t="shared" si="52"/>
        <v>0</v>
      </c>
      <c r="CH15">
        <v>0</v>
      </c>
      <c r="CI15">
        <f t="shared" si="51"/>
        <v>0</v>
      </c>
      <c r="CJ15">
        <f>CE15+CF15</f>
        <v>0</v>
      </c>
      <c r="CK15">
        <f t="shared" ref="CK15:CL78" si="53">CK3</f>
        <v>0</v>
      </c>
      <c r="CL15">
        <f t="shared" si="53"/>
        <v>0</v>
      </c>
      <c r="CM15" s="1">
        <f t="shared" si="22"/>
        <v>14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>
        <v>28</v>
      </c>
      <c r="CT15">
        <v>19</v>
      </c>
      <c r="CU15">
        <v>0</v>
      </c>
      <c r="CV15">
        <v>0</v>
      </c>
      <c r="CW15">
        <v>0</v>
      </c>
      <c r="CX15">
        <v>0</v>
      </c>
      <c r="CY15">
        <v>0</v>
      </c>
      <c r="CZ15">
        <f t="shared" si="23"/>
        <v>0</v>
      </c>
      <c r="DA15">
        <f t="shared" si="24"/>
        <v>0</v>
      </c>
      <c r="DB15">
        <f t="shared" si="25"/>
        <v>0</v>
      </c>
      <c r="DC15">
        <f t="shared" si="26"/>
        <v>0</v>
      </c>
      <c r="DD15">
        <f t="shared" si="27"/>
        <v>0</v>
      </c>
      <c r="DE15">
        <f t="shared" si="28"/>
        <v>0</v>
      </c>
      <c r="DF15">
        <f t="shared" si="29"/>
        <v>0</v>
      </c>
      <c r="DG15">
        <f t="shared" si="30"/>
        <v>0</v>
      </c>
      <c r="DH15">
        <f t="shared" si="31"/>
        <v>0</v>
      </c>
      <c r="DI15">
        <f t="shared" si="32"/>
        <v>0</v>
      </c>
      <c r="DJ15">
        <f t="shared" si="33"/>
        <v>0</v>
      </c>
      <c r="DK15">
        <f t="shared" si="34"/>
        <v>0</v>
      </c>
      <c r="DL15">
        <f t="shared" si="35"/>
        <v>0</v>
      </c>
      <c r="DM15">
        <f t="shared" si="36"/>
        <v>0</v>
      </c>
      <c r="DN15">
        <f t="shared" si="37"/>
        <v>0</v>
      </c>
      <c r="DO15">
        <f t="shared" si="38"/>
        <v>0</v>
      </c>
      <c r="DP15">
        <f t="shared" si="39"/>
        <v>0</v>
      </c>
      <c r="DQ15">
        <f t="shared" si="40"/>
        <v>0</v>
      </c>
      <c r="DR15">
        <f t="shared" si="41"/>
        <v>0</v>
      </c>
      <c r="DS15">
        <f t="shared" si="42"/>
        <v>0</v>
      </c>
      <c r="DT15">
        <f t="shared" si="43"/>
        <v>0</v>
      </c>
      <c r="DU15">
        <f t="shared" si="44"/>
        <v>0</v>
      </c>
      <c r="DV15">
        <f t="shared" si="45"/>
        <v>0</v>
      </c>
      <c r="DW15">
        <f t="shared" si="46"/>
        <v>0</v>
      </c>
      <c r="DX15">
        <f t="shared" si="47"/>
        <v>0</v>
      </c>
      <c r="DY15">
        <f t="shared" si="48"/>
        <v>0</v>
      </c>
      <c r="DZ15">
        <f t="shared" si="49"/>
        <v>0</v>
      </c>
      <c r="EA15">
        <f t="shared" si="50"/>
        <v>0</v>
      </c>
      <c r="EB15" s="44">
        <f t="shared" si="4"/>
        <v>613.40698183534005</v>
      </c>
      <c r="EC15" s="44">
        <f t="shared" si="5"/>
        <v>21.907392208405003</v>
      </c>
      <c r="ED15" s="44">
        <f t="shared" si="6"/>
        <v>3139614.0995631455</v>
      </c>
      <c r="EE15" s="44">
        <f t="shared" si="7"/>
        <v>2546.6063708775264</v>
      </c>
      <c r="EF15" s="44">
        <f t="shared" si="8"/>
        <v>90.950227531340232</v>
      </c>
      <c r="EG15" s="44">
        <f t="shared" si="9"/>
        <v>1147519.0207629197</v>
      </c>
      <c r="EH15" s="44">
        <f t="shared" si="10"/>
        <v>71504.693745648852</v>
      </c>
      <c r="EI15" s="44">
        <f t="shared" si="11"/>
        <v>2553.7390623446017</v>
      </c>
      <c r="EJ15" s="44">
        <f t="shared" si="12"/>
        <v>3763.4049339815188</v>
      </c>
      <c r="EK15" s="44">
        <f t="shared" si="13"/>
        <v>4131949.8028735663</v>
      </c>
      <c r="EL15" s="44">
        <f t="shared" si="14"/>
        <v>6089189.183182098</v>
      </c>
    </row>
    <row r="16" spans="1:142" x14ac:dyDescent="0.2">
      <c r="A16" s="66">
        <v>43160</v>
      </c>
      <c r="B16" s="4">
        <f t="shared" si="0"/>
        <v>2018</v>
      </c>
      <c r="C16" s="4">
        <f t="shared" si="1"/>
        <v>3</v>
      </c>
      <c r="D16" s="44">
        <v>90024514</v>
      </c>
      <c r="E16" s="44">
        <f>IFERROR(VLOOKUP($B16-1,CDM!$L$7:$T$18,2,FALSE)/12,0)+IFERROR(VLOOKUP($B16,CDM!$L$37:$O$47,2,FALSE)/24,0)+IFERROR(VLOOKUP($B16,CDM!$L$37:$O$47,2,FALSE)/2*$C16/78,0)</f>
        <v>1794017.5414917085</v>
      </c>
      <c r="F16" s="44">
        <f t="shared" si="15"/>
        <v>91818531.541491702</v>
      </c>
      <c r="G16" s="488">
        <v>143415</v>
      </c>
      <c r="H16" s="44">
        <v>33579511</v>
      </c>
      <c r="I16" s="44">
        <f>IFERROR(VLOOKUP($B16-1,CDM!$L$7:$T$18,3,FALSE)/12,0)+IFERROR(VLOOKUP($B16,CDM!$L$37:$O$47,3,FALSE)/24,0)+IFERROR(VLOOKUP($B16,CDM!$L$37:$O$47,3,FALSE)/2*$C16/78,0)</f>
        <v>502700.8807539437</v>
      </c>
      <c r="J16" s="44">
        <f t="shared" si="16"/>
        <v>34082211.880753942</v>
      </c>
      <c r="K16" s="44">
        <v>12620</v>
      </c>
      <c r="L16" s="44">
        <v>122191302</v>
      </c>
      <c r="M16" s="44">
        <f>IFERROR(VLOOKUP($B16-1,CDM!$L$7:$T$18,4,FALSE)/12,0)+IFERROR(VLOOKUP($B16,CDM!$L$37:$O$47,4,FALSE)/24,0)+IFERROR(VLOOKUP($B16,CDM!$L$37:$O$47,4,FALSE)/2*$C16/78,0)</f>
        <v>3287329.7490292187</v>
      </c>
      <c r="N16" s="44">
        <f t="shared" si="17"/>
        <v>125478631.74902922</v>
      </c>
      <c r="O16" s="44">
        <v>281907.07</v>
      </c>
      <c r="P16" s="488">
        <v>1618</v>
      </c>
      <c r="Q16" s="488">
        <v>2614332</v>
      </c>
      <c r="R16" s="488">
        <f>IFERROR(VLOOKUP($B16-1,CDM!$L$7:$T$18,5,FALSE)/12,0)+IFERROR(VLOOKUP($B16,CDM!$L$37:$T$47,5,FALSE)/24,0)+IFERROR(VLOOKUP($B16,CDM!$L$37:$T$47,5,FALSE)/2*$C16/78,0)</f>
        <v>81691.483295860089</v>
      </c>
      <c r="S16" s="488">
        <f t="shared" si="18"/>
        <v>2696023.4832958602</v>
      </c>
      <c r="T16" s="44">
        <v>5815.0399999999981</v>
      </c>
      <c r="U16" s="488">
        <v>5</v>
      </c>
      <c r="V16" s="488">
        <v>8912058</v>
      </c>
      <c r="W16" s="488">
        <f>IFERROR(VLOOKUP($B16-1,CDM!$L$7:$T$18,6,FALSE)/12,0)+IFERROR(VLOOKUP($B16,CDM!$L$37:$T$47,6,FALSE)/24,0)+IFERROR(VLOOKUP($B16,CDM!$L$37:$T$47,6,FALSE)/2*$C16/78,0)</f>
        <v>110548.61013382729</v>
      </c>
      <c r="X16" s="488">
        <f t="shared" si="19"/>
        <v>9022606.6101338267</v>
      </c>
      <c r="Y16" s="488">
        <v>14885.16</v>
      </c>
      <c r="Z16" s="488">
        <v>1</v>
      </c>
      <c r="AA16" s="44">
        <v>1572605.29</v>
      </c>
      <c r="AB16" s="44">
        <v>4248.68</v>
      </c>
      <c r="AC16" s="488">
        <v>36684</v>
      </c>
      <c r="AD16" s="44">
        <v>465787.34</v>
      </c>
      <c r="AE16" s="44">
        <v>1521</v>
      </c>
      <c r="AF16" s="44">
        <v>47945.149999999994</v>
      </c>
      <c r="AG16" s="44">
        <v>125.44</v>
      </c>
      <c r="AH16" s="44">
        <v>531</v>
      </c>
      <c r="AI16" s="44">
        <v>14400</v>
      </c>
      <c r="AJ16" s="68">
        <f>Economic!H30</f>
        <v>789828.1</v>
      </c>
      <c r="AK16" s="68">
        <f>Economic!I30</f>
        <v>95159.5</v>
      </c>
      <c r="AL16" s="68">
        <f>Economic!J30</f>
        <v>30609.7</v>
      </c>
      <c r="AM16" s="68">
        <f>Economic!K30</f>
        <v>72894</v>
      </c>
      <c r="AN16" s="68">
        <f>Economic!L30</f>
        <v>57384.800000000003</v>
      </c>
      <c r="AO16" s="68">
        <f>Economic!M30</f>
        <v>779694</v>
      </c>
      <c r="AP16" s="68">
        <f>Economic!N30</f>
        <v>94103</v>
      </c>
      <c r="AQ16" s="68">
        <f>Economic!O30</f>
        <v>13370</v>
      </c>
      <c r="AR16" s="68">
        <f>Economic!P30</f>
        <v>28868</v>
      </c>
      <c r="AS16" s="68">
        <f>Economic!Q30</f>
        <v>73963</v>
      </c>
      <c r="AT16" s="68">
        <f>Economic!D30</f>
        <v>7183.7</v>
      </c>
      <c r="AU16" s="68">
        <f>Economic!E30</f>
        <v>7080.1</v>
      </c>
      <c r="AV16" s="68">
        <f>Economic!F30</f>
        <v>255.1</v>
      </c>
      <c r="AW16" s="68">
        <f>Economic!G30</f>
        <v>251.7</v>
      </c>
      <c r="AX16" s="68">
        <f>Economic!W30</f>
        <v>23024</v>
      </c>
      <c r="AY16" s="68">
        <f>Economic!R30</f>
        <v>148.30000000000018</v>
      </c>
      <c r="AZ16" s="68">
        <f>Economic!W30</f>
        <v>23024</v>
      </c>
      <c r="BA16" s="68">
        <f>Economic!X30</f>
        <v>1488</v>
      </c>
      <c r="BB16" s="68">
        <f>Economic!Y30</f>
        <v>6847</v>
      </c>
      <c r="BC16" s="236">
        <f>Weather!C28</f>
        <v>-1.2198924731182792</v>
      </c>
      <c r="BD16" s="16">
        <f>Weather!D28</f>
        <v>657.81666666666672</v>
      </c>
      <c r="BE16" s="16">
        <f>Weather!E28</f>
        <v>0</v>
      </c>
      <c r="BF16" s="16">
        <f>Weather!F28</f>
        <v>595.81666666666683</v>
      </c>
      <c r="BG16" s="16">
        <f>Weather!G28</f>
        <v>0</v>
      </c>
      <c r="BH16" s="16">
        <f>Weather!H28</f>
        <v>533.81666666666672</v>
      </c>
      <c r="BI16" s="16">
        <f>Weather!I28</f>
        <v>0</v>
      </c>
      <c r="BJ16" s="16">
        <f>Weather!J28</f>
        <v>471.81666666666666</v>
      </c>
      <c r="BK16" s="16">
        <f>Weather!K28</f>
        <v>0</v>
      </c>
      <c r="BL16" s="16">
        <f>Weather!L28</f>
        <v>409.81666666666661</v>
      </c>
      <c r="BM16" s="16">
        <f>Weather!M28</f>
        <v>0</v>
      </c>
      <c r="BN16" s="16">
        <f>Weather!N28</f>
        <v>347.81666666666661</v>
      </c>
      <c r="BO16" s="16">
        <f>Weather!O28</f>
        <v>0</v>
      </c>
      <c r="BP16" s="16">
        <f>Weather!P28</f>
        <v>285.81666666666655</v>
      </c>
      <c r="BQ16" s="16">
        <f>Weather!Q28</f>
        <v>0</v>
      </c>
      <c r="BR16">
        <v>0</v>
      </c>
      <c r="BS16">
        <v>0</v>
      </c>
      <c r="BT16">
        <v>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1</v>
      </c>
      <c r="CE16">
        <f t="shared" si="52"/>
        <v>1</v>
      </c>
      <c r="CF16">
        <v>0</v>
      </c>
      <c r="CG16">
        <f t="shared" si="52"/>
        <v>0</v>
      </c>
      <c r="CH16">
        <v>1</v>
      </c>
      <c r="CI16">
        <f t="shared" si="51"/>
        <v>1</v>
      </c>
      <c r="CJ16">
        <f t="shared" si="21"/>
        <v>1</v>
      </c>
      <c r="CK16">
        <f t="shared" si="53"/>
        <v>0</v>
      </c>
      <c r="CL16">
        <f t="shared" si="53"/>
        <v>0</v>
      </c>
      <c r="CM16" s="1">
        <f t="shared" si="22"/>
        <v>15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>
        <v>31</v>
      </c>
      <c r="CT16">
        <v>21</v>
      </c>
      <c r="CU16">
        <v>0</v>
      </c>
      <c r="CV16">
        <v>0</v>
      </c>
      <c r="CW16">
        <v>0</v>
      </c>
      <c r="CX16">
        <v>0</v>
      </c>
      <c r="CY16">
        <v>0</v>
      </c>
      <c r="CZ16">
        <f t="shared" si="23"/>
        <v>0</v>
      </c>
      <c r="DA16">
        <f t="shared" si="24"/>
        <v>0</v>
      </c>
      <c r="DB16">
        <f t="shared" si="25"/>
        <v>0</v>
      </c>
      <c r="DC16">
        <f t="shared" si="26"/>
        <v>0</v>
      </c>
      <c r="DD16">
        <f t="shared" si="27"/>
        <v>0</v>
      </c>
      <c r="DE16">
        <f t="shared" si="28"/>
        <v>0</v>
      </c>
      <c r="DF16">
        <f t="shared" si="29"/>
        <v>0</v>
      </c>
      <c r="DG16">
        <f t="shared" si="30"/>
        <v>0</v>
      </c>
      <c r="DH16">
        <f t="shared" si="31"/>
        <v>0</v>
      </c>
      <c r="DI16">
        <f t="shared" si="32"/>
        <v>0</v>
      </c>
      <c r="DJ16">
        <f t="shared" si="33"/>
        <v>0</v>
      </c>
      <c r="DK16">
        <f t="shared" si="34"/>
        <v>0</v>
      </c>
      <c r="DL16">
        <f t="shared" si="35"/>
        <v>0</v>
      </c>
      <c r="DM16">
        <f t="shared" si="36"/>
        <v>0</v>
      </c>
      <c r="DN16">
        <f t="shared" si="37"/>
        <v>0</v>
      </c>
      <c r="DO16">
        <f t="shared" si="38"/>
        <v>0</v>
      </c>
      <c r="DP16">
        <f t="shared" si="39"/>
        <v>0</v>
      </c>
      <c r="DQ16">
        <f t="shared" si="40"/>
        <v>0</v>
      </c>
      <c r="DR16">
        <f t="shared" si="41"/>
        <v>0</v>
      </c>
      <c r="DS16">
        <f t="shared" si="42"/>
        <v>0</v>
      </c>
      <c r="DT16">
        <f t="shared" si="43"/>
        <v>0</v>
      </c>
      <c r="DU16">
        <f t="shared" si="44"/>
        <v>0</v>
      </c>
      <c r="DV16">
        <f t="shared" si="45"/>
        <v>0</v>
      </c>
      <c r="DW16">
        <f t="shared" si="46"/>
        <v>0</v>
      </c>
      <c r="DX16">
        <f t="shared" si="47"/>
        <v>0</v>
      </c>
      <c r="DY16">
        <f t="shared" si="48"/>
        <v>0</v>
      </c>
      <c r="DZ16">
        <f t="shared" si="49"/>
        <v>0</v>
      </c>
      <c r="EA16">
        <f t="shared" si="50"/>
        <v>0</v>
      </c>
      <c r="EB16" s="44">
        <f t="shared" si="4"/>
        <v>640.22962410829905</v>
      </c>
      <c r="EC16" s="44">
        <f t="shared" si="5"/>
        <v>20.652568519622552</v>
      </c>
      <c r="ED16" s="44">
        <f t="shared" si="6"/>
        <v>2961888.114241668</v>
      </c>
      <c r="EE16" s="44">
        <f t="shared" si="7"/>
        <v>2700.65070370475</v>
      </c>
      <c r="EF16" s="44">
        <f t="shared" si="8"/>
        <v>87.117764635637101</v>
      </c>
      <c r="EG16" s="44">
        <f t="shared" si="9"/>
        <v>1099426.1897017402</v>
      </c>
      <c r="EH16" s="44">
        <f t="shared" si="10"/>
        <v>77551.688349214601</v>
      </c>
      <c r="EI16" s="44">
        <f t="shared" si="11"/>
        <v>2501.6673661036966</v>
      </c>
      <c r="EJ16" s="44">
        <f t="shared" si="12"/>
        <v>3692.9375404387906</v>
      </c>
      <c r="EK16" s="44">
        <f t="shared" si="13"/>
        <v>4047697.7983557815</v>
      </c>
      <c r="EL16" s="44">
        <f t="shared" si="14"/>
        <v>5975172.9404299632</v>
      </c>
    </row>
    <row r="17" spans="1:142" x14ac:dyDescent="0.2">
      <c r="A17" s="66">
        <v>43191</v>
      </c>
      <c r="B17" s="4">
        <f t="shared" si="0"/>
        <v>2018</v>
      </c>
      <c r="C17" s="4">
        <f t="shared" si="1"/>
        <v>4</v>
      </c>
      <c r="D17" s="44">
        <v>81914583</v>
      </c>
      <c r="E17" s="44">
        <f>IFERROR(VLOOKUP($B17-1,CDM!$L$7:$T$18,2,FALSE)/12,0)+IFERROR(VLOOKUP($B17,CDM!$L$37:$O$47,2,FALSE)/24,0)+IFERROR(VLOOKUP($B17,CDM!$L$37:$O$47,2,FALSE)/2*$C17/78,0)</f>
        <v>1863438.2952153373</v>
      </c>
      <c r="F17" s="44">
        <f t="shared" si="15"/>
        <v>83778021.295215338</v>
      </c>
      <c r="G17" s="488">
        <v>143508</v>
      </c>
      <c r="H17" s="44">
        <v>31046782</v>
      </c>
      <c r="I17" s="44">
        <f>IFERROR(VLOOKUP($B17-1,CDM!$L$7:$T$18,3,FALSE)/12,0)+IFERROR(VLOOKUP($B17,CDM!$L$37:$O$47,3,FALSE)/24,0)+IFERROR(VLOOKUP($B17,CDM!$L$37:$O$47,3,FALSE)/2*$C17/78,0)</f>
        <v>531998.18014613446</v>
      </c>
      <c r="J17" s="44">
        <f t="shared" si="16"/>
        <v>31578780.180146135</v>
      </c>
      <c r="K17" s="44">
        <v>12627</v>
      </c>
      <c r="L17" s="44">
        <v>116259012</v>
      </c>
      <c r="M17" s="44">
        <f>IFERROR(VLOOKUP($B17-1,CDM!$L$7:$T$18,4,FALSE)/12,0)+IFERROR(VLOOKUP($B17,CDM!$L$37:$O$47,4,FALSE)/24,0)+IFERROR(VLOOKUP($B17,CDM!$L$37:$O$47,4,FALSE)/2*$C17/78,0)</f>
        <v>3458393.0175985824</v>
      </c>
      <c r="N17" s="44">
        <f t="shared" si="17"/>
        <v>119717405.01759858</v>
      </c>
      <c r="O17" s="44">
        <v>294103.19</v>
      </c>
      <c r="P17" s="488">
        <v>1619</v>
      </c>
      <c r="Q17" s="488">
        <v>2362135</v>
      </c>
      <c r="R17" s="488">
        <f>IFERROR(VLOOKUP($B17-1,CDM!$L$7:$T$18,5,FALSE)/12,0)+IFERROR(VLOOKUP($B17,CDM!$L$37:$T$47,5,FALSE)/24,0)+IFERROR(VLOOKUP($B17,CDM!$L$37:$T$47,5,FALSE)/2*$C17/78,0)</f>
        <v>85492.043151514285</v>
      </c>
      <c r="S17" s="488">
        <f t="shared" si="18"/>
        <v>2447627.0431515141</v>
      </c>
      <c r="T17" s="44">
        <v>3134.49</v>
      </c>
      <c r="U17" s="488">
        <v>5</v>
      </c>
      <c r="V17" s="488">
        <v>8485452</v>
      </c>
      <c r="W17" s="488">
        <f>IFERROR(VLOOKUP($B17-1,CDM!$L$7:$T$18,6,FALSE)/12,0)+IFERROR(VLOOKUP($B17,CDM!$L$37:$T$47,6,FALSE)/24,0)+IFERROR(VLOOKUP($B17,CDM!$L$37:$T$47,6,FALSE)/2*$C17/78,0)</f>
        <v>121894.89373266645</v>
      </c>
      <c r="X17" s="488">
        <f t="shared" si="19"/>
        <v>8607346.893732667</v>
      </c>
      <c r="Y17" s="488">
        <v>16999.48</v>
      </c>
      <c r="Z17" s="488">
        <v>1</v>
      </c>
      <c r="AA17" s="44">
        <v>1259475.92</v>
      </c>
      <c r="AB17" s="44">
        <v>3923.6</v>
      </c>
      <c r="AC17" s="488">
        <v>36907</v>
      </c>
      <c r="AD17" s="44">
        <v>450870.29</v>
      </c>
      <c r="AE17" s="44">
        <v>1522</v>
      </c>
      <c r="AF17" s="44">
        <v>44364.84</v>
      </c>
      <c r="AG17" s="44">
        <v>125.15</v>
      </c>
      <c r="AH17" s="44">
        <v>531</v>
      </c>
      <c r="AI17" s="44">
        <v>14400</v>
      </c>
      <c r="AJ17" s="68">
        <f>Economic!H31</f>
        <v>789828.1</v>
      </c>
      <c r="AK17" s="68">
        <f>Economic!I31</f>
        <v>95159.5</v>
      </c>
      <c r="AL17" s="68">
        <f>Economic!J31</f>
        <v>30609.7</v>
      </c>
      <c r="AM17" s="68">
        <f>Economic!K31</f>
        <v>72894</v>
      </c>
      <c r="AN17" s="68">
        <f>Economic!L31</f>
        <v>57384.800000000003</v>
      </c>
      <c r="AO17" s="68">
        <f>Economic!M31</f>
        <v>785185</v>
      </c>
      <c r="AP17" s="68">
        <f>Economic!N31</f>
        <v>94344</v>
      </c>
      <c r="AQ17" s="68">
        <f>Economic!O31</f>
        <v>13371</v>
      </c>
      <c r="AR17" s="68">
        <f>Economic!P31</f>
        <v>29967</v>
      </c>
      <c r="AS17" s="68">
        <f>Economic!Q31</f>
        <v>73078</v>
      </c>
      <c r="AT17" s="68">
        <f>Economic!D31</f>
        <v>7196</v>
      </c>
      <c r="AU17" s="68">
        <f>Economic!E31</f>
        <v>7107.1</v>
      </c>
      <c r="AV17" s="68">
        <f>Economic!F31</f>
        <v>257.89999999999998</v>
      </c>
      <c r="AW17" s="68">
        <f>Economic!G31</f>
        <v>254.4</v>
      </c>
      <c r="AX17" s="68">
        <f>Economic!W31</f>
        <v>20509</v>
      </c>
      <c r="AY17" s="68">
        <f>Economic!R31</f>
        <v>154.19999999999982</v>
      </c>
      <c r="AZ17" s="68">
        <f>Economic!W31</f>
        <v>20509</v>
      </c>
      <c r="BA17" s="68">
        <f>Economic!X31</f>
        <v>1803</v>
      </c>
      <c r="BB17" s="68">
        <f>Economic!Y31</f>
        <v>2112</v>
      </c>
      <c r="BC17" s="236">
        <f>Weather!C29</f>
        <v>2.6366666666666663</v>
      </c>
      <c r="BD17" s="16">
        <f>Weather!D29</f>
        <v>520.90000000000009</v>
      </c>
      <c r="BE17" s="16">
        <f>Weather!E29</f>
        <v>0</v>
      </c>
      <c r="BF17" s="16">
        <f>Weather!F29</f>
        <v>460.90000000000003</v>
      </c>
      <c r="BG17" s="16">
        <f>Weather!G29</f>
        <v>0</v>
      </c>
      <c r="BH17" s="16">
        <f>Weather!H29</f>
        <v>400.90000000000003</v>
      </c>
      <c r="BI17" s="16">
        <f>Weather!I29</f>
        <v>0</v>
      </c>
      <c r="BJ17" s="16">
        <f>Weather!J29</f>
        <v>340.9</v>
      </c>
      <c r="BK17" s="16">
        <f>Weather!K29</f>
        <v>0</v>
      </c>
      <c r="BL17" s="16">
        <f>Weather!L29</f>
        <v>281.00416666666666</v>
      </c>
      <c r="BM17" s="16">
        <f>Weather!M29</f>
        <v>0.10416666666666607</v>
      </c>
      <c r="BN17" s="16">
        <f>Weather!N29</f>
        <v>223.94583333333333</v>
      </c>
      <c r="BO17" s="16">
        <f>Weather!O29</f>
        <v>3.045833333333329</v>
      </c>
      <c r="BP17" s="16">
        <f>Weather!P29</f>
        <v>169.39999999999998</v>
      </c>
      <c r="BQ17" s="16">
        <f>Weather!Q29</f>
        <v>8.4999999999999982</v>
      </c>
      <c r="BR17">
        <v>0</v>
      </c>
      <c r="BS17">
        <v>0</v>
      </c>
      <c r="BT17">
        <v>0</v>
      </c>
      <c r="BU17">
        <v>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1</v>
      </c>
      <c r="CE17">
        <f t="shared" si="52"/>
        <v>1</v>
      </c>
      <c r="CF17">
        <v>0</v>
      </c>
      <c r="CG17">
        <f t="shared" si="52"/>
        <v>0</v>
      </c>
      <c r="CH17">
        <v>1</v>
      </c>
      <c r="CI17">
        <f t="shared" si="51"/>
        <v>1</v>
      </c>
      <c r="CJ17">
        <f t="shared" si="21"/>
        <v>1</v>
      </c>
      <c r="CK17">
        <f t="shared" si="53"/>
        <v>0</v>
      </c>
      <c r="CL17">
        <f t="shared" si="53"/>
        <v>0</v>
      </c>
      <c r="CM17" s="1">
        <f t="shared" si="22"/>
        <v>16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>
        <v>30</v>
      </c>
      <c r="CT17">
        <v>21</v>
      </c>
      <c r="CU17">
        <v>0</v>
      </c>
      <c r="CV17">
        <v>0</v>
      </c>
      <c r="CW17">
        <v>0</v>
      </c>
      <c r="CX17">
        <v>0</v>
      </c>
      <c r="CY17">
        <v>0</v>
      </c>
      <c r="CZ17">
        <f t="shared" si="23"/>
        <v>0</v>
      </c>
      <c r="DA17">
        <f t="shared" si="24"/>
        <v>0</v>
      </c>
      <c r="DB17">
        <f t="shared" si="25"/>
        <v>0</v>
      </c>
      <c r="DC17">
        <f t="shared" si="26"/>
        <v>0</v>
      </c>
      <c r="DD17">
        <f t="shared" si="27"/>
        <v>0</v>
      </c>
      <c r="DE17">
        <f t="shared" si="28"/>
        <v>0</v>
      </c>
      <c r="DF17">
        <f t="shared" si="29"/>
        <v>0</v>
      </c>
      <c r="DG17">
        <f t="shared" si="30"/>
        <v>0</v>
      </c>
      <c r="DH17">
        <f t="shared" si="31"/>
        <v>0</v>
      </c>
      <c r="DI17">
        <f t="shared" si="32"/>
        <v>0</v>
      </c>
      <c r="DJ17">
        <f t="shared" si="33"/>
        <v>0</v>
      </c>
      <c r="DK17">
        <f t="shared" si="34"/>
        <v>0</v>
      </c>
      <c r="DL17">
        <f t="shared" si="35"/>
        <v>0</v>
      </c>
      <c r="DM17">
        <f t="shared" si="36"/>
        <v>0</v>
      </c>
      <c r="DN17">
        <f t="shared" si="37"/>
        <v>0</v>
      </c>
      <c r="DO17">
        <f t="shared" si="38"/>
        <v>0</v>
      </c>
      <c r="DP17">
        <f t="shared" si="39"/>
        <v>0</v>
      </c>
      <c r="DQ17">
        <f t="shared" si="40"/>
        <v>0</v>
      </c>
      <c r="DR17">
        <f t="shared" si="41"/>
        <v>0</v>
      </c>
      <c r="DS17">
        <f t="shared" si="42"/>
        <v>0</v>
      </c>
      <c r="DT17">
        <f t="shared" si="43"/>
        <v>0</v>
      </c>
      <c r="DU17">
        <f t="shared" si="44"/>
        <v>0</v>
      </c>
      <c r="DV17">
        <f t="shared" si="45"/>
        <v>0</v>
      </c>
      <c r="DW17">
        <f t="shared" si="46"/>
        <v>0</v>
      </c>
      <c r="DX17">
        <f t="shared" si="47"/>
        <v>0</v>
      </c>
      <c r="DY17">
        <f t="shared" si="48"/>
        <v>0</v>
      </c>
      <c r="DZ17">
        <f t="shared" si="49"/>
        <v>0</v>
      </c>
      <c r="EA17">
        <f t="shared" si="50"/>
        <v>0</v>
      </c>
      <c r="EB17" s="44">
        <f t="shared" si="4"/>
        <v>583.78641814543676</v>
      </c>
      <c r="EC17" s="44">
        <f t="shared" si="5"/>
        <v>19.459547271514559</v>
      </c>
      <c r="ED17" s="44">
        <f t="shared" si="6"/>
        <v>2792600.7098405114</v>
      </c>
      <c r="EE17" s="44">
        <f t="shared" si="7"/>
        <v>2500.8933380966291</v>
      </c>
      <c r="EF17" s="44">
        <f t="shared" si="8"/>
        <v>83.363111269887639</v>
      </c>
      <c r="EG17" s="44">
        <f t="shared" si="9"/>
        <v>1052626.0060048711</v>
      </c>
      <c r="EH17" s="44">
        <f t="shared" si="10"/>
        <v>73945.277960221487</v>
      </c>
      <c r="EI17" s="44">
        <f t="shared" si="11"/>
        <v>2464.8425986740494</v>
      </c>
      <c r="EJ17" s="44">
        <f t="shared" si="12"/>
        <v>3521.2037123914993</v>
      </c>
      <c r="EK17" s="44">
        <f t="shared" si="13"/>
        <v>3990580.1672532861</v>
      </c>
      <c r="EL17" s="44">
        <f t="shared" si="14"/>
        <v>5700828.810361837</v>
      </c>
    </row>
    <row r="18" spans="1:142" x14ac:dyDescent="0.2">
      <c r="A18" s="66">
        <v>43221</v>
      </c>
      <c r="B18" s="4">
        <f t="shared" si="0"/>
        <v>2018</v>
      </c>
      <c r="C18" s="4">
        <f t="shared" si="1"/>
        <v>5</v>
      </c>
      <c r="D18" s="44">
        <v>82919300</v>
      </c>
      <c r="E18" s="44">
        <f>IFERROR(VLOOKUP($B18-1,CDM!$L$7:$T$18,2,FALSE)/12,0)+IFERROR(VLOOKUP($B18,CDM!$L$37:$O$47,2,FALSE)/24,0)+IFERROR(VLOOKUP($B18,CDM!$L$37:$O$47,2,FALSE)/2*$C18/78,0)</f>
        <v>1932859.0489389664</v>
      </c>
      <c r="F18" s="44">
        <f t="shared" si="15"/>
        <v>84852159.04893896</v>
      </c>
      <c r="G18" s="488">
        <v>143726</v>
      </c>
      <c r="H18" s="44">
        <v>31876618</v>
      </c>
      <c r="I18" s="44">
        <f>IFERROR(VLOOKUP($B18-1,CDM!$L$7:$T$18,3,FALSE)/12,0)+IFERROR(VLOOKUP($B18,CDM!$L$37:$O$47,3,FALSE)/24,0)+IFERROR(VLOOKUP($B18,CDM!$L$37:$O$47,3,FALSE)/2*$C18/78,0)</f>
        <v>561295.47953832522</v>
      </c>
      <c r="J18" s="44">
        <f t="shared" si="16"/>
        <v>32437913.479538325</v>
      </c>
      <c r="K18" s="44">
        <v>12628</v>
      </c>
      <c r="L18" s="44">
        <v>123804330</v>
      </c>
      <c r="M18" s="44">
        <f>IFERROR(VLOOKUP($B18-1,CDM!$L$7:$T$18,4,FALSE)/12,0)+IFERROR(VLOOKUP($B18,CDM!$L$37:$O$47,4,FALSE)/24,0)+IFERROR(VLOOKUP($B18,CDM!$L$37:$O$47,4,FALSE)/2*$C18/78,0)</f>
        <v>3629456.2861679462</v>
      </c>
      <c r="N18" s="44">
        <f t="shared" si="17"/>
        <v>127433786.28616795</v>
      </c>
      <c r="O18" s="44">
        <v>327824.17</v>
      </c>
      <c r="P18" s="488">
        <v>1624</v>
      </c>
      <c r="Q18" s="488">
        <v>4462046</v>
      </c>
      <c r="R18" s="488">
        <f>IFERROR(VLOOKUP($B18-1,CDM!$L$7:$T$18,5,FALSE)/12,0)+IFERROR(VLOOKUP($B18,CDM!$L$37:$T$47,5,FALSE)/24,0)+IFERROR(VLOOKUP($B18,CDM!$L$37:$T$47,5,FALSE)/2*$C18/78,0)</f>
        <v>89292.603007168465</v>
      </c>
      <c r="S18" s="488">
        <f t="shared" si="18"/>
        <v>4551338.6030071685</v>
      </c>
      <c r="T18" s="44">
        <v>9762.7099999999991</v>
      </c>
      <c r="U18" s="488">
        <v>5</v>
      </c>
      <c r="V18" s="488">
        <v>10115955</v>
      </c>
      <c r="W18" s="488">
        <f>IFERROR(VLOOKUP($B18-1,CDM!$L$7:$T$18,6,FALSE)/12,0)+IFERROR(VLOOKUP($B18,CDM!$L$37:$T$47,6,FALSE)/24,0)+IFERROR(VLOOKUP($B18,CDM!$L$37:$T$47,6,FALSE)/2*$C18/78,0)</f>
        <v>133241.17733150558</v>
      </c>
      <c r="X18" s="488">
        <f t="shared" si="19"/>
        <v>10249196.177331505</v>
      </c>
      <c r="Y18" s="488">
        <v>21428.48</v>
      </c>
      <c r="Z18" s="488">
        <v>1</v>
      </c>
      <c r="AA18" s="44">
        <v>1120778.6399999999</v>
      </c>
      <c r="AB18" s="44">
        <v>3925.53</v>
      </c>
      <c r="AC18" s="488">
        <v>36910</v>
      </c>
      <c r="AD18" s="44">
        <v>465562.14999999997</v>
      </c>
      <c r="AE18" s="44">
        <v>1521</v>
      </c>
      <c r="AF18" s="44">
        <v>47197.409999999982</v>
      </c>
      <c r="AG18" s="44">
        <v>124.55</v>
      </c>
      <c r="AH18" s="44">
        <v>529</v>
      </c>
      <c r="AI18" s="44">
        <v>14400</v>
      </c>
      <c r="AJ18" s="68">
        <f>Economic!H32</f>
        <v>789828.1</v>
      </c>
      <c r="AK18" s="68">
        <f>Economic!I32</f>
        <v>95159.5</v>
      </c>
      <c r="AL18" s="68">
        <f>Economic!J32</f>
        <v>30609.7</v>
      </c>
      <c r="AM18" s="68">
        <f>Economic!K32</f>
        <v>72894</v>
      </c>
      <c r="AN18" s="68">
        <f>Economic!L32</f>
        <v>57384.800000000003</v>
      </c>
      <c r="AO18" s="68">
        <f>Economic!M32</f>
        <v>785185</v>
      </c>
      <c r="AP18" s="68">
        <f>Economic!N32</f>
        <v>94344</v>
      </c>
      <c r="AQ18" s="68">
        <f>Economic!O32</f>
        <v>13371</v>
      </c>
      <c r="AR18" s="68">
        <f>Economic!P32</f>
        <v>29967</v>
      </c>
      <c r="AS18" s="68">
        <f>Economic!Q32</f>
        <v>73078</v>
      </c>
      <c r="AT18" s="68">
        <f>Economic!D32</f>
        <v>7205</v>
      </c>
      <c r="AU18" s="68">
        <f>Economic!E32</f>
        <v>7172.4</v>
      </c>
      <c r="AV18" s="68">
        <f>Economic!F32</f>
        <v>258.10000000000002</v>
      </c>
      <c r="AW18" s="68">
        <f>Economic!G32</f>
        <v>256.60000000000002</v>
      </c>
      <c r="AX18" s="68">
        <f>Economic!W32</f>
        <v>20509</v>
      </c>
      <c r="AY18" s="68">
        <f>Economic!R32</f>
        <v>149.10000000000036</v>
      </c>
      <c r="AZ18" s="68">
        <f>Economic!W32</f>
        <v>20509</v>
      </c>
      <c r="BA18" s="68">
        <f>Economic!X32</f>
        <v>1803</v>
      </c>
      <c r="BB18" s="68">
        <f>Economic!Y32</f>
        <v>2112</v>
      </c>
      <c r="BC18" s="236">
        <f>Weather!C30</f>
        <v>16.961424731182795</v>
      </c>
      <c r="BD18" s="16">
        <f>Weather!D30</f>
        <v>117.82500000000002</v>
      </c>
      <c r="BE18" s="16">
        <f>Weather!E30</f>
        <v>23.62916666666667</v>
      </c>
      <c r="BF18" s="16">
        <f>Weather!F30</f>
        <v>73.595833333333331</v>
      </c>
      <c r="BG18" s="16">
        <f>Weather!G30</f>
        <v>41.399999999999991</v>
      </c>
      <c r="BH18" s="16">
        <f>Weather!H30</f>
        <v>36.74583333333333</v>
      </c>
      <c r="BI18" s="16">
        <f>Weather!I30</f>
        <v>66.55</v>
      </c>
      <c r="BJ18" s="16">
        <f>Weather!J30</f>
        <v>15.375000000000002</v>
      </c>
      <c r="BK18" s="16">
        <f>Weather!K30</f>
        <v>107.17916666666667</v>
      </c>
      <c r="BL18" s="16">
        <f>Weather!L30</f>
        <v>8.4958333333333336</v>
      </c>
      <c r="BM18" s="16">
        <f>Weather!M30</f>
        <v>162.29999999999998</v>
      </c>
      <c r="BN18" s="16">
        <f>Weather!N30</f>
        <v>4.4958333333333345</v>
      </c>
      <c r="BO18" s="16">
        <f>Weather!O30</f>
        <v>220.29999999999998</v>
      </c>
      <c r="BP18" s="16">
        <f>Weather!P30</f>
        <v>1.8166666666666655</v>
      </c>
      <c r="BQ18" s="16">
        <f>Weather!Q30</f>
        <v>279.62083333333328</v>
      </c>
      <c r="BR18">
        <v>0</v>
      </c>
      <c r="BS18">
        <v>0</v>
      </c>
      <c r="BT18">
        <v>0</v>
      </c>
      <c r="BU18">
        <v>0</v>
      </c>
      <c r="BV18">
        <v>1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1</v>
      </c>
      <c r="CE18">
        <f t="shared" si="52"/>
        <v>0</v>
      </c>
      <c r="CF18">
        <v>0</v>
      </c>
      <c r="CG18">
        <f t="shared" si="52"/>
        <v>0</v>
      </c>
      <c r="CH18">
        <v>1</v>
      </c>
      <c r="CI18">
        <f t="shared" si="51"/>
        <v>0</v>
      </c>
      <c r="CJ18">
        <f t="shared" si="21"/>
        <v>0</v>
      </c>
      <c r="CK18">
        <f t="shared" si="53"/>
        <v>1</v>
      </c>
      <c r="CL18">
        <f t="shared" si="53"/>
        <v>0</v>
      </c>
      <c r="CM18" s="1">
        <f t="shared" si="22"/>
        <v>17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>
        <v>31</v>
      </c>
      <c r="CT18">
        <v>22</v>
      </c>
      <c r="CU18">
        <v>0</v>
      </c>
      <c r="CV18">
        <v>0</v>
      </c>
      <c r="CW18">
        <v>0</v>
      </c>
      <c r="CX18">
        <v>0</v>
      </c>
      <c r="CY18">
        <v>0</v>
      </c>
      <c r="CZ18">
        <f t="shared" si="23"/>
        <v>0</v>
      </c>
      <c r="DA18">
        <f t="shared" si="24"/>
        <v>0</v>
      </c>
      <c r="DB18">
        <f t="shared" si="25"/>
        <v>0</v>
      </c>
      <c r="DC18">
        <f t="shared" si="26"/>
        <v>0</v>
      </c>
      <c r="DD18">
        <f t="shared" si="27"/>
        <v>0</v>
      </c>
      <c r="DE18">
        <f t="shared" si="28"/>
        <v>0</v>
      </c>
      <c r="DF18">
        <f t="shared" si="29"/>
        <v>0</v>
      </c>
      <c r="DG18">
        <f t="shared" si="30"/>
        <v>0</v>
      </c>
      <c r="DH18">
        <f t="shared" si="31"/>
        <v>0</v>
      </c>
      <c r="DI18">
        <f t="shared" si="32"/>
        <v>0</v>
      </c>
      <c r="DJ18">
        <f t="shared" si="33"/>
        <v>0</v>
      </c>
      <c r="DK18">
        <f t="shared" si="34"/>
        <v>0</v>
      </c>
      <c r="DL18">
        <f t="shared" si="35"/>
        <v>0</v>
      </c>
      <c r="DM18">
        <f t="shared" si="36"/>
        <v>0</v>
      </c>
      <c r="DN18">
        <f t="shared" si="37"/>
        <v>0</v>
      </c>
      <c r="DO18">
        <f t="shared" si="38"/>
        <v>0</v>
      </c>
      <c r="DP18">
        <f t="shared" si="39"/>
        <v>0</v>
      </c>
      <c r="DQ18">
        <f t="shared" si="40"/>
        <v>0</v>
      </c>
      <c r="DR18">
        <f t="shared" si="41"/>
        <v>0</v>
      </c>
      <c r="DS18">
        <f t="shared" si="42"/>
        <v>0</v>
      </c>
      <c r="DT18">
        <f t="shared" si="43"/>
        <v>0</v>
      </c>
      <c r="DU18">
        <f t="shared" si="44"/>
        <v>0</v>
      </c>
      <c r="DV18">
        <f t="shared" si="45"/>
        <v>0</v>
      </c>
      <c r="DW18">
        <f t="shared" si="46"/>
        <v>0</v>
      </c>
      <c r="DX18">
        <f t="shared" si="47"/>
        <v>0</v>
      </c>
      <c r="DY18">
        <f t="shared" si="48"/>
        <v>0</v>
      </c>
      <c r="DZ18">
        <f t="shared" si="49"/>
        <v>0</v>
      </c>
      <c r="EA18">
        <f t="shared" si="50"/>
        <v>0</v>
      </c>
      <c r="EB18" s="44">
        <f t="shared" si="4"/>
        <v>590.37445590177811</v>
      </c>
      <c r="EC18" s="44">
        <f t="shared" si="5"/>
        <v>19.044337287154132</v>
      </c>
      <c r="ED18" s="44">
        <f t="shared" si="6"/>
        <v>2737166.4209335148</v>
      </c>
      <c r="EE18" s="44">
        <f t="shared" si="7"/>
        <v>2568.7292904290725</v>
      </c>
      <c r="EF18" s="44">
        <f t="shared" si="8"/>
        <v>82.862235175131374</v>
      </c>
      <c r="EG18" s="44">
        <f t="shared" si="9"/>
        <v>1046384.3057915589</v>
      </c>
      <c r="EH18" s="44">
        <f t="shared" si="10"/>
        <v>78469.080225472877</v>
      </c>
      <c r="EI18" s="44">
        <f t="shared" si="11"/>
        <v>2531.2606524346088</v>
      </c>
      <c r="EJ18" s="44">
        <f t="shared" si="12"/>
        <v>3566.7763738851309</v>
      </c>
      <c r="EK18" s="44">
        <f t="shared" si="13"/>
        <v>4110767.299553805</v>
      </c>
      <c r="EL18" s="44">
        <f t="shared" si="14"/>
        <v>5792444.8311894527</v>
      </c>
    </row>
    <row r="19" spans="1:142" x14ac:dyDescent="0.2">
      <c r="A19" s="66">
        <v>43252</v>
      </c>
      <c r="B19" s="4">
        <f t="shared" si="0"/>
        <v>2018</v>
      </c>
      <c r="C19" s="4">
        <f t="shared" si="1"/>
        <v>6</v>
      </c>
      <c r="D19" s="44">
        <v>94394407</v>
      </c>
      <c r="E19" s="44">
        <f>IFERROR(VLOOKUP($B19-1,CDM!$L$7:$T$18,2,FALSE)/12,0)+IFERROR(VLOOKUP($B19,CDM!$L$37:$O$47,2,FALSE)/24,0)+IFERROR(VLOOKUP($B19,CDM!$L$37:$O$47,2,FALSE)/2*$C19/78,0)</f>
        <v>2002279.8026625952</v>
      </c>
      <c r="F19" s="44">
        <f t="shared" si="15"/>
        <v>96396686.802662596</v>
      </c>
      <c r="G19" s="488">
        <v>143830</v>
      </c>
      <c r="H19" s="44">
        <v>33391034</v>
      </c>
      <c r="I19" s="44">
        <f>IFERROR(VLOOKUP($B19-1,CDM!$L$7:$T$18,3,FALSE)/12,0)+IFERROR(VLOOKUP($B19,CDM!$L$37:$O$47,3,FALSE)/24,0)+IFERROR(VLOOKUP($B19,CDM!$L$37:$O$47,3,FALSE)/2*$C19/78,0)</f>
        <v>590592.77893051587</v>
      </c>
      <c r="J19" s="44">
        <f t="shared" si="16"/>
        <v>33981626.778930515</v>
      </c>
      <c r="K19" s="44">
        <v>12632</v>
      </c>
      <c r="L19" s="44">
        <v>126359687</v>
      </c>
      <c r="M19" s="44">
        <f>IFERROR(VLOOKUP($B19-1,CDM!$L$7:$T$18,4,FALSE)/12,0)+IFERROR(VLOOKUP($B19,CDM!$L$37:$O$47,4,FALSE)/24,0)+IFERROR(VLOOKUP($B19,CDM!$L$37:$O$47,4,FALSE)/2*$C19/78,0)</f>
        <v>3800519.5547373099</v>
      </c>
      <c r="N19" s="44">
        <f t="shared" si="17"/>
        <v>130160206.55473731</v>
      </c>
      <c r="O19" s="44">
        <v>342086.64</v>
      </c>
      <c r="P19" s="488">
        <v>1622</v>
      </c>
      <c r="Q19" s="488">
        <v>6617754</v>
      </c>
      <c r="R19" s="488">
        <f>IFERROR(VLOOKUP($B19-1,CDM!$L$7:$T$18,5,FALSE)/12,0)+IFERROR(VLOOKUP($B19,CDM!$L$37:$T$47,5,FALSE)/24,0)+IFERROR(VLOOKUP($B19,CDM!$L$37:$T$47,5,FALSE)/2*$C19/78,0)</f>
        <v>93093.162862822646</v>
      </c>
      <c r="S19" s="488">
        <f t="shared" si="18"/>
        <v>6710847.1628628224</v>
      </c>
      <c r="T19" s="44">
        <v>9686.0099999999984</v>
      </c>
      <c r="U19" s="488">
        <v>5</v>
      </c>
      <c r="V19" s="488">
        <v>10557994</v>
      </c>
      <c r="W19" s="488">
        <f>IFERROR(VLOOKUP($B19-1,CDM!$L$7:$T$18,6,FALSE)/12,0)+IFERROR(VLOOKUP($B19,CDM!$L$37:$T$47,6,FALSE)/24,0)+IFERROR(VLOOKUP($B19,CDM!$L$37:$T$47,6,FALSE)/2*$C19/78,0)</f>
        <v>144587.46093034474</v>
      </c>
      <c r="X19" s="488">
        <f t="shared" si="19"/>
        <v>10702581.460930346</v>
      </c>
      <c r="Y19" s="488">
        <v>20664.09</v>
      </c>
      <c r="Z19" s="488">
        <v>1</v>
      </c>
      <c r="AA19" s="44">
        <v>1027887.88</v>
      </c>
      <c r="AB19" s="44">
        <v>3929.24</v>
      </c>
      <c r="AC19" s="488">
        <v>36949</v>
      </c>
      <c r="AD19" s="44">
        <v>451609.67000000004</v>
      </c>
      <c r="AE19" s="44">
        <v>1521</v>
      </c>
      <c r="AF19" s="44">
        <v>45645.419999999991</v>
      </c>
      <c r="AG19" s="44">
        <v>124.4</v>
      </c>
      <c r="AH19" s="44">
        <v>529</v>
      </c>
      <c r="AI19" s="44">
        <v>14400</v>
      </c>
      <c r="AJ19" s="68">
        <f>Economic!H33</f>
        <v>789828.1</v>
      </c>
      <c r="AK19" s="68">
        <f>Economic!I33</f>
        <v>95159.5</v>
      </c>
      <c r="AL19" s="68">
        <f>Economic!J33</f>
        <v>30609.7</v>
      </c>
      <c r="AM19" s="68">
        <f>Economic!K33</f>
        <v>72894</v>
      </c>
      <c r="AN19" s="68">
        <f>Economic!L33</f>
        <v>57384.800000000003</v>
      </c>
      <c r="AO19" s="68">
        <f>Economic!M33</f>
        <v>785185</v>
      </c>
      <c r="AP19" s="68">
        <f>Economic!N33</f>
        <v>94344</v>
      </c>
      <c r="AQ19" s="68">
        <f>Economic!O33</f>
        <v>13371</v>
      </c>
      <c r="AR19" s="68">
        <f>Economic!P33</f>
        <v>29967</v>
      </c>
      <c r="AS19" s="68">
        <f>Economic!Q33</f>
        <v>73078</v>
      </c>
      <c r="AT19" s="68">
        <f>Economic!D33</f>
        <v>7216.7</v>
      </c>
      <c r="AU19" s="68">
        <f>Economic!E33</f>
        <v>7258</v>
      </c>
      <c r="AV19" s="68">
        <f>Economic!F33</f>
        <v>257.60000000000002</v>
      </c>
      <c r="AW19" s="68">
        <f>Economic!G33</f>
        <v>260.5</v>
      </c>
      <c r="AX19" s="68">
        <f>Economic!W33</f>
        <v>20509</v>
      </c>
      <c r="AY19" s="68">
        <f>Economic!R33</f>
        <v>145.69999999999982</v>
      </c>
      <c r="AZ19" s="68">
        <f>Economic!W33</f>
        <v>20509</v>
      </c>
      <c r="BA19" s="68">
        <f>Economic!X33</f>
        <v>1803</v>
      </c>
      <c r="BB19" s="68">
        <f>Economic!Y33</f>
        <v>2112</v>
      </c>
      <c r="BC19" s="236">
        <f>Weather!C31</f>
        <v>19.014722222222222</v>
      </c>
      <c r="BD19" s="16">
        <f>Weather!D31</f>
        <v>55.550000000000011</v>
      </c>
      <c r="BE19" s="16">
        <f>Weather!E31</f>
        <v>25.991666666666664</v>
      </c>
      <c r="BF19" s="16">
        <f>Weather!F31</f>
        <v>21.091666666666665</v>
      </c>
      <c r="BG19" s="16">
        <f>Weather!G31</f>
        <v>51.533333333333331</v>
      </c>
      <c r="BH19" s="16">
        <f>Weather!H31</f>
        <v>8.9958333333333336</v>
      </c>
      <c r="BI19" s="16">
        <f>Weather!I31</f>
        <v>99.4375</v>
      </c>
      <c r="BJ19" s="16">
        <f>Weather!J31</f>
        <v>4.6208333333333336</v>
      </c>
      <c r="BK19" s="16">
        <f>Weather!K31</f>
        <v>155.0625</v>
      </c>
      <c r="BL19" s="16">
        <f>Weather!L31</f>
        <v>0.82500000000000107</v>
      </c>
      <c r="BM19" s="16">
        <f>Weather!M31</f>
        <v>211.26666666666671</v>
      </c>
      <c r="BN19" s="16">
        <f>Weather!N31</f>
        <v>0</v>
      </c>
      <c r="BO19" s="16">
        <f>Weather!O31</f>
        <v>270.44166666666672</v>
      </c>
      <c r="BP19" s="16">
        <f>Weather!P31</f>
        <v>0</v>
      </c>
      <c r="BQ19" s="16">
        <f>Weather!Q31</f>
        <v>330.44166666666672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f t="shared" si="52"/>
        <v>0</v>
      </c>
      <c r="CF19">
        <v>0</v>
      </c>
      <c r="CG19">
        <f t="shared" si="52"/>
        <v>0</v>
      </c>
      <c r="CH19">
        <v>0</v>
      </c>
      <c r="CI19">
        <f t="shared" si="51"/>
        <v>0</v>
      </c>
      <c r="CJ19">
        <f t="shared" si="21"/>
        <v>0</v>
      </c>
      <c r="CK19">
        <f t="shared" si="53"/>
        <v>1</v>
      </c>
      <c r="CL19">
        <f t="shared" si="53"/>
        <v>0</v>
      </c>
      <c r="CM19" s="1">
        <f t="shared" si="22"/>
        <v>18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>
        <v>30</v>
      </c>
      <c r="CT19">
        <v>21</v>
      </c>
      <c r="CU19">
        <v>0</v>
      </c>
      <c r="CV19">
        <v>0</v>
      </c>
      <c r="CW19">
        <v>0</v>
      </c>
      <c r="CX19">
        <v>0</v>
      </c>
      <c r="CY19">
        <v>0</v>
      </c>
      <c r="CZ19">
        <f t="shared" si="23"/>
        <v>0</v>
      </c>
      <c r="DA19">
        <f t="shared" si="24"/>
        <v>0</v>
      </c>
      <c r="DB19">
        <f t="shared" si="25"/>
        <v>0</v>
      </c>
      <c r="DC19">
        <f t="shared" si="26"/>
        <v>0</v>
      </c>
      <c r="DD19">
        <f t="shared" si="27"/>
        <v>0</v>
      </c>
      <c r="DE19">
        <f t="shared" si="28"/>
        <v>0</v>
      </c>
      <c r="DF19">
        <f t="shared" si="29"/>
        <v>0</v>
      </c>
      <c r="DG19">
        <f t="shared" si="30"/>
        <v>0</v>
      </c>
      <c r="DH19">
        <f t="shared" si="31"/>
        <v>0</v>
      </c>
      <c r="DI19">
        <f t="shared" si="32"/>
        <v>0</v>
      </c>
      <c r="DJ19">
        <f t="shared" si="33"/>
        <v>0</v>
      </c>
      <c r="DK19">
        <f t="shared" si="34"/>
        <v>0</v>
      </c>
      <c r="DL19">
        <f t="shared" si="35"/>
        <v>0</v>
      </c>
      <c r="DM19">
        <f t="shared" si="36"/>
        <v>0</v>
      </c>
      <c r="DN19">
        <f t="shared" si="37"/>
        <v>0</v>
      </c>
      <c r="DO19">
        <f t="shared" si="38"/>
        <v>0</v>
      </c>
      <c r="DP19">
        <f t="shared" si="39"/>
        <v>0</v>
      </c>
      <c r="DQ19">
        <f t="shared" si="40"/>
        <v>0</v>
      </c>
      <c r="DR19">
        <f t="shared" si="41"/>
        <v>0</v>
      </c>
      <c r="DS19">
        <f t="shared" si="42"/>
        <v>0</v>
      </c>
      <c r="DT19">
        <f t="shared" si="43"/>
        <v>0</v>
      </c>
      <c r="DU19">
        <f t="shared" si="44"/>
        <v>0</v>
      </c>
      <c r="DV19">
        <f t="shared" si="45"/>
        <v>0</v>
      </c>
      <c r="DW19">
        <f t="shared" si="46"/>
        <v>0</v>
      </c>
      <c r="DX19">
        <f t="shared" si="47"/>
        <v>0</v>
      </c>
      <c r="DY19">
        <f t="shared" si="48"/>
        <v>0</v>
      </c>
      <c r="DZ19">
        <f t="shared" si="49"/>
        <v>0</v>
      </c>
      <c r="EA19">
        <f t="shared" si="50"/>
        <v>0</v>
      </c>
      <c r="EB19" s="44">
        <f t="shared" si="4"/>
        <v>670.21265940806927</v>
      </c>
      <c r="EC19" s="44">
        <f t="shared" si="5"/>
        <v>22.340421980268975</v>
      </c>
      <c r="ED19" s="44">
        <f t="shared" si="6"/>
        <v>3213222.8934220867</v>
      </c>
      <c r="EE19" s="44">
        <f t="shared" si="7"/>
        <v>2690.1224492503575</v>
      </c>
      <c r="EF19" s="44">
        <f t="shared" si="8"/>
        <v>89.670748308345253</v>
      </c>
      <c r="EG19" s="44">
        <f t="shared" si="9"/>
        <v>1132720.8926310171</v>
      </c>
      <c r="EH19" s="44">
        <f t="shared" si="10"/>
        <v>80246.736470244956</v>
      </c>
      <c r="EI19" s="44">
        <f t="shared" si="11"/>
        <v>2674.891215674832</v>
      </c>
      <c r="EJ19" s="44">
        <f t="shared" si="12"/>
        <v>3821.2731652497596</v>
      </c>
      <c r="EK19" s="44">
        <f t="shared" si="13"/>
        <v>4338673.5518245772</v>
      </c>
      <c r="EL19" s="44">
        <f t="shared" si="14"/>
        <v>6198105.07403511</v>
      </c>
    </row>
    <row r="20" spans="1:142" x14ac:dyDescent="0.2">
      <c r="A20" s="66">
        <v>43282</v>
      </c>
      <c r="B20" s="4">
        <f t="shared" si="0"/>
        <v>2018</v>
      </c>
      <c r="C20" s="4">
        <f t="shared" si="1"/>
        <v>7</v>
      </c>
      <c r="D20" s="44">
        <v>118664613</v>
      </c>
      <c r="E20" s="44">
        <f>IFERROR(VLOOKUP($B20-1,CDM!$L$7:$T$18,2,FALSE)/12,0)+IFERROR(VLOOKUP($B20,CDM!$L$37:$O$47,2,FALSE)/24,0)+IFERROR(VLOOKUP($B20,CDM!$L$37:$O$47,2,FALSE)/2*$C20/78,0)</f>
        <v>2071700.5563862242</v>
      </c>
      <c r="F20" s="44">
        <f t="shared" si="15"/>
        <v>120736313.55638622</v>
      </c>
      <c r="G20" s="488">
        <v>143994</v>
      </c>
      <c r="H20" s="44">
        <v>36720528</v>
      </c>
      <c r="I20" s="44">
        <f>IFERROR(VLOOKUP($B20-1,CDM!$L$7:$T$18,3,FALSE)/12,0)+IFERROR(VLOOKUP($B20,CDM!$L$37:$O$47,3,FALSE)/24,0)+IFERROR(VLOOKUP($B20,CDM!$L$37:$O$47,3,FALSE)/2*$C20/78,0)</f>
        <v>619890.07832270663</v>
      </c>
      <c r="J20" s="44">
        <f t="shared" si="16"/>
        <v>37340418.078322709</v>
      </c>
      <c r="K20" s="44">
        <v>12632</v>
      </c>
      <c r="L20" s="44">
        <v>135603866</v>
      </c>
      <c r="M20" s="44">
        <f>IFERROR(VLOOKUP($B20-1,CDM!$L$7:$T$18,4,FALSE)/12,0)+IFERROR(VLOOKUP($B20,CDM!$L$37:$O$47,4,FALSE)/24,0)+IFERROR(VLOOKUP($B20,CDM!$L$37:$O$47,4,FALSE)/2*$C20/78,0)</f>
        <v>3971582.8233066737</v>
      </c>
      <c r="N20" s="44">
        <f t="shared" si="17"/>
        <v>139575448.82330668</v>
      </c>
      <c r="O20" s="44">
        <v>342558.78</v>
      </c>
      <c r="P20" s="488">
        <v>1622</v>
      </c>
      <c r="Q20" s="488">
        <v>7271650</v>
      </c>
      <c r="R20" s="488">
        <f>IFERROR(VLOOKUP($B20-1,CDM!$L$7:$T$18,5,FALSE)/12,0)+IFERROR(VLOOKUP($B20,CDM!$L$37:$T$47,5,FALSE)/24,0)+IFERROR(VLOOKUP($B20,CDM!$L$37:$T$47,5,FALSE)/2*$C20/78,0)</f>
        <v>96893.722718476842</v>
      </c>
      <c r="S20" s="488">
        <f t="shared" si="18"/>
        <v>7368543.7227184772</v>
      </c>
      <c r="T20" s="44">
        <v>10100.530000000001</v>
      </c>
      <c r="U20" s="488">
        <v>5</v>
      </c>
      <c r="V20" s="488">
        <v>12171754</v>
      </c>
      <c r="W20" s="488">
        <f>IFERROR(VLOOKUP($B20-1,CDM!$L$7:$T$18,6,FALSE)/12,0)+IFERROR(VLOOKUP($B20,CDM!$L$37:$T$47,6,FALSE)/24,0)+IFERROR(VLOOKUP($B20,CDM!$L$37:$T$47,6,FALSE)/2*$C20/78,0)</f>
        <v>155933.7445291839</v>
      </c>
      <c r="X20" s="488">
        <f t="shared" si="19"/>
        <v>12327687.744529184</v>
      </c>
      <c r="Y20" s="488">
        <v>22199.68</v>
      </c>
      <c r="Z20" s="488">
        <v>1</v>
      </c>
      <c r="AA20" s="44">
        <v>1091504.31</v>
      </c>
      <c r="AB20" s="44">
        <v>3929.67</v>
      </c>
      <c r="AC20" s="488">
        <v>36953</v>
      </c>
      <c r="AD20" s="44">
        <v>465769.39</v>
      </c>
      <c r="AE20" s="44">
        <v>1520</v>
      </c>
      <c r="AF20" s="44">
        <v>45271.420000000006</v>
      </c>
      <c r="AG20" s="44">
        <v>123.31</v>
      </c>
      <c r="AH20" s="44">
        <v>529</v>
      </c>
      <c r="AI20" s="44">
        <v>14400</v>
      </c>
      <c r="AJ20" s="68">
        <f>Economic!H34</f>
        <v>789828.1</v>
      </c>
      <c r="AK20" s="68">
        <f>Economic!I34</f>
        <v>95159.5</v>
      </c>
      <c r="AL20" s="68">
        <f>Economic!J34</f>
        <v>30609.7</v>
      </c>
      <c r="AM20" s="68">
        <f>Economic!K34</f>
        <v>72894</v>
      </c>
      <c r="AN20" s="68">
        <f>Economic!L34</f>
        <v>57384.800000000003</v>
      </c>
      <c r="AO20" s="68">
        <f>Economic!M34</f>
        <v>794512</v>
      </c>
      <c r="AP20" s="68">
        <f>Economic!N34</f>
        <v>96068</v>
      </c>
      <c r="AQ20" s="68">
        <f>Economic!O34</f>
        <v>13890</v>
      </c>
      <c r="AR20" s="68">
        <f>Economic!P34</f>
        <v>31260</v>
      </c>
      <c r="AS20" s="68">
        <f>Economic!Q34</f>
        <v>72324</v>
      </c>
      <c r="AT20" s="68">
        <f>Economic!D34</f>
        <v>7249.1</v>
      </c>
      <c r="AU20" s="68">
        <f>Economic!E34</f>
        <v>7338.7</v>
      </c>
      <c r="AV20" s="68">
        <f>Economic!F34</f>
        <v>258.89999999999998</v>
      </c>
      <c r="AW20" s="68">
        <f>Economic!G34</f>
        <v>264.60000000000002</v>
      </c>
      <c r="AX20" s="68">
        <f>Economic!W34</f>
        <v>29503</v>
      </c>
      <c r="AY20" s="68">
        <f>Economic!R34</f>
        <v>150</v>
      </c>
      <c r="AZ20" s="68">
        <f>Economic!W34</f>
        <v>29503</v>
      </c>
      <c r="BA20" s="68">
        <f>Economic!X34</f>
        <v>5510</v>
      </c>
      <c r="BB20" s="68">
        <f>Economic!Y34</f>
        <v>390</v>
      </c>
      <c r="BC20" s="236">
        <f>Weather!C32</f>
        <v>21.252083333333331</v>
      </c>
      <c r="BD20" s="16">
        <f>Weather!D32</f>
        <v>15.339583333333312</v>
      </c>
      <c r="BE20" s="16">
        <f>Weather!E32</f>
        <v>54.154166666666647</v>
      </c>
      <c r="BF20" s="16">
        <f>Weather!F32</f>
        <v>0.97083333333332433</v>
      </c>
      <c r="BG20" s="16">
        <f>Weather!G32</f>
        <v>101.78541666666666</v>
      </c>
      <c r="BH20" s="16">
        <f>Weather!H32</f>
        <v>0</v>
      </c>
      <c r="BI20" s="16">
        <f>Weather!I32</f>
        <v>162.81458333333336</v>
      </c>
      <c r="BJ20" s="16">
        <f>Weather!J32</f>
        <v>0</v>
      </c>
      <c r="BK20" s="16">
        <f>Weather!K32</f>
        <v>224.81458333333336</v>
      </c>
      <c r="BL20" s="16">
        <f>Weather!L32</f>
        <v>0</v>
      </c>
      <c r="BM20" s="16">
        <f>Weather!M32</f>
        <v>286.8145833333333</v>
      </c>
      <c r="BN20" s="16">
        <f>Weather!N32</f>
        <v>0</v>
      </c>
      <c r="BO20" s="16">
        <f>Weather!O32</f>
        <v>348.81458333333325</v>
      </c>
      <c r="BP20" s="16">
        <f>Weather!P32</f>
        <v>0</v>
      </c>
      <c r="BQ20" s="16">
        <f>Weather!Q32</f>
        <v>410.81458333333325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f t="shared" si="52"/>
        <v>0</v>
      </c>
      <c r="CF20">
        <v>0</v>
      </c>
      <c r="CG20">
        <f t="shared" si="52"/>
        <v>0</v>
      </c>
      <c r="CH20">
        <v>0</v>
      </c>
      <c r="CI20">
        <f t="shared" si="51"/>
        <v>0</v>
      </c>
      <c r="CJ20">
        <f t="shared" si="21"/>
        <v>0</v>
      </c>
      <c r="CK20">
        <f t="shared" si="53"/>
        <v>1</v>
      </c>
      <c r="CL20">
        <f t="shared" si="53"/>
        <v>1</v>
      </c>
      <c r="CM20" s="1">
        <f t="shared" si="22"/>
        <v>19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>
        <v>31</v>
      </c>
      <c r="CT20">
        <v>21</v>
      </c>
      <c r="CU20">
        <v>0</v>
      </c>
      <c r="CV20">
        <v>0</v>
      </c>
      <c r="CW20">
        <v>0</v>
      </c>
      <c r="CX20">
        <v>0</v>
      </c>
      <c r="CY20">
        <v>0</v>
      </c>
      <c r="CZ20">
        <f t="shared" si="23"/>
        <v>0</v>
      </c>
      <c r="DA20">
        <f t="shared" si="24"/>
        <v>0</v>
      </c>
      <c r="DB20">
        <f t="shared" si="25"/>
        <v>0</v>
      </c>
      <c r="DC20">
        <f t="shared" si="26"/>
        <v>0</v>
      </c>
      <c r="DD20">
        <f t="shared" si="27"/>
        <v>0</v>
      </c>
      <c r="DE20">
        <f t="shared" si="28"/>
        <v>0</v>
      </c>
      <c r="DF20">
        <f t="shared" si="29"/>
        <v>0</v>
      </c>
      <c r="DG20">
        <f t="shared" si="30"/>
        <v>0</v>
      </c>
      <c r="DH20">
        <f t="shared" si="31"/>
        <v>0</v>
      </c>
      <c r="DI20">
        <f t="shared" si="32"/>
        <v>0</v>
      </c>
      <c r="DJ20">
        <f t="shared" si="33"/>
        <v>0</v>
      </c>
      <c r="DK20">
        <f t="shared" si="34"/>
        <v>0</v>
      </c>
      <c r="DL20">
        <f t="shared" si="35"/>
        <v>0</v>
      </c>
      <c r="DM20">
        <f t="shared" si="36"/>
        <v>0</v>
      </c>
      <c r="DN20">
        <f t="shared" si="37"/>
        <v>0</v>
      </c>
      <c r="DO20">
        <f t="shared" si="38"/>
        <v>0</v>
      </c>
      <c r="DP20">
        <f t="shared" si="39"/>
        <v>0</v>
      </c>
      <c r="DQ20">
        <f t="shared" si="40"/>
        <v>0</v>
      </c>
      <c r="DR20">
        <f t="shared" si="41"/>
        <v>0</v>
      </c>
      <c r="DS20">
        <f t="shared" si="42"/>
        <v>0</v>
      </c>
      <c r="DT20">
        <f t="shared" si="43"/>
        <v>0</v>
      </c>
      <c r="DU20">
        <f t="shared" si="44"/>
        <v>0</v>
      </c>
      <c r="DV20">
        <f t="shared" si="45"/>
        <v>0</v>
      </c>
      <c r="DW20">
        <f t="shared" si="46"/>
        <v>0</v>
      </c>
      <c r="DX20">
        <f t="shared" si="47"/>
        <v>0</v>
      </c>
      <c r="DY20">
        <f t="shared" si="48"/>
        <v>0</v>
      </c>
      <c r="DZ20">
        <f t="shared" si="49"/>
        <v>0</v>
      </c>
      <c r="EA20">
        <f t="shared" si="50"/>
        <v>0</v>
      </c>
      <c r="EB20" s="44">
        <f t="shared" si="4"/>
        <v>838.48155865095919</v>
      </c>
      <c r="EC20" s="44">
        <f t="shared" si="5"/>
        <v>27.047792214547069</v>
      </c>
      <c r="ED20" s="44">
        <f t="shared" si="6"/>
        <v>3894719.7921414911</v>
      </c>
      <c r="EE20" s="44">
        <f t="shared" si="7"/>
        <v>2956.017897270639</v>
      </c>
      <c r="EF20" s="44">
        <f t="shared" si="8"/>
        <v>95.355416040988359</v>
      </c>
      <c r="EG20" s="44">
        <f t="shared" si="9"/>
        <v>1204529.6154297648</v>
      </c>
      <c r="EH20" s="44">
        <f t="shared" si="10"/>
        <v>86051.448103148388</v>
      </c>
      <c r="EI20" s="44">
        <f t="shared" si="11"/>
        <v>2775.8531646176898</v>
      </c>
      <c r="EJ20" s="44">
        <f t="shared" si="12"/>
        <v>4097.6880049118281</v>
      </c>
      <c r="EK20" s="44">
        <f t="shared" si="13"/>
        <v>4502433.8330098931</v>
      </c>
      <c r="EL20" s="44">
        <f t="shared" si="14"/>
        <v>6646449.9439669847</v>
      </c>
    </row>
    <row r="21" spans="1:142" x14ac:dyDescent="0.2">
      <c r="A21" s="66">
        <v>43313</v>
      </c>
      <c r="B21" s="4">
        <f t="shared" si="0"/>
        <v>2018</v>
      </c>
      <c r="C21" s="4">
        <f t="shared" si="1"/>
        <v>8</v>
      </c>
      <c r="D21" s="44">
        <v>117220318</v>
      </c>
      <c r="E21" s="44">
        <f>IFERROR(VLOOKUP($B21-1,CDM!$L$7:$T$18,2,FALSE)/12,0)+IFERROR(VLOOKUP($B21,CDM!$L$37:$O$47,2,FALSE)/24,0)+IFERROR(VLOOKUP($B21,CDM!$L$37:$O$47,2,FALSE)/2*$C21/78,0)</f>
        <v>2141121.3101098533</v>
      </c>
      <c r="F21" s="44">
        <f t="shared" si="15"/>
        <v>119361439.31010985</v>
      </c>
      <c r="G21" s="488">
        <v>144112</v>
      </c>
      <c r="H21" s="44">
        <v>36609012</v>
      </c>
      <c r="I21" s="44">
        <f>IFERROR(VLOOKUP($B21-1,CDM!$L$7:$T$18,3,FALSE)/12,0)+IFERROR(VLOOKUP($B21,CDM!$L$37:$O$47,3,FALSE)/24,0)+IFERROR(VLOOKUP($B21,CDM!$L$37:$O$47,3,FALSE)/2*$C21/78,0)</f>
        <v>649187.37771489727</v>
      </c>
      <c r="J21" s="44">
        <f t="shared" si="16"/>
        <v>37258199.377714895</v>
      </c>
      <c r="K21" s="44">
        <v>12641</v>
      </c>
      <c r="L21" s="44">
        <v>141373688</v>
      </c>
      <c r="M21" s="44">
        <f>IFERROR(VLOOKUP($B21-1,CDM!$L$7:$T$18,4,FALSE)/12,0)+IFERROR(VLOOKUP($B21,CDM!$L$37:$O$47,4,FALSE)/24,0)+IFERROR(VLOOKUP($B21,CDM!$L$37:$O$47,4,FALSE)/2*$C21/78,0)</f>
        <v>4142646.0918760374</v>
      </c>
      <c r="N21" s="44">
        <f t="shared" si="17"/>
        <v>145516334.09187603</v>
      </c>
      <c r="O21" s="44">
        <v>338502.55</v>
      </c>
      <c r="P21" s="488">
        <v>1624</v>
      </c>
      <c r="Q21" s="488">
        <v>6876246</v>
      </c>
      <c r="R21" s="488">
        <f>IFERROR(VLOOKUP($B21-1,CDM!$L$7:$T$18,5,FALSE)/12,0)+IFERROR(VLOOKUP($B21,CDM!$L$37:$T$47,5,FALSE)/24,0)+IFERROR(VLOOKUP($B21,CDM!$L$37:$T$47,5,FALSE)/2*$C21/78,0)</f>
        <v>100694.28257413104</v>
      </c>
      <c r="S21" s="488">
        <f t="shared" si="18"/>
        <v>6976940.2825741312</v>
      </c>
      <c r="T21" s="44">
        <v>12243.55</v>
      </c>
      <c r="U21" s="488">
        <v>5</v>
      </c>
      <c r="V21" s="488">
        <v>12667173</v>
      </c>
      <c r="W21" s="488">
        <f>IFERROR(VLOOKUP($B21-1,CDM!$L$7:$T$18,6,FALSE)/12,0)+IFERROR(VLOOKUP($B21,CDM!$L$37:$T$47,6,FALSE)/24,0)+IFERROR(VLOOKUP($B21,CDM!$L$37:$T$47,6,FALSE)/2*$C21/78,0)</f>
        <v>167280.02812802303</v>
      </c>
      <c r="X21" s="488">
        <f t="shared" si="19"/>
        <v>12834453.028128022</v>
      </c>
      <c r="Y21" s="488">
        <v>22603.23</v>
      </c>
      <c r="Z21" s="488">
        <v>1</v>
      </c>
      <c r="AA21" s="44">
        <v>1213323.98</v>
      </c>
      <c r="AB21" s="44">
        <v>3929.67</v>
      </c>
      <c r="AC21" s="488">
        <v>36953</v>
      </c>
      <c r="AD21" s="44">
        <v>466602.93000000005</v>
      </c>
      <c r="AE21" s="44">
        <v>1522</v>
      </c>
      <c r="AF21" s="44">
        <v>46548.850000000013</v>
      </c>
      <c r="AG21" s="44">
        <v>123.11</v>
      </c>
      <c r="AH21" s="44">
        <v>529</v>
      </c>
      <c r="AI21" s="44">
        <v>14400</v>
      </c>
      <c r="AJ21" s="68">
        <f>Economic!H35</f>
        <v>789828.1</v>
      </c>
      <c r="AK21" s="68">
        <f>Economic!I35</f>
        <v>95159.5</v>
      </c>
      <c r="AL21" s="68">
        <f>Economic!J35</f>
        <v>30609.7</v>
      </c>
      <c r="AM21" s="68">
        <f>Economic!K35</f>
        <v>72894</v>
      </c>
      <c r="AN21" s="68">
        <f>Economic!L35</f>
        <v>57384.800000000003</v>
      </c>
      <c r="AO21" s="68">
        <f>Economic!M35</f>
        <v>794512</v>
      </c>
      <c r="AP21" s="68">
        <f>Economic!N35</f>
        <v>96068</v>
      </c>
      <c r="AQ21" s="68">
        <f>Economic!O35</f>
        <v>13890</v>
      </c>
      <c r="AR21" s="68">
        <f>Economic!P35</f>
        <v>31260</v>
      </c>
      <c r="AS21" s="68">
        <f>Economic!Q35</f>
        <v>72324</v>
      </c>
      <c r="AT21" s="68">
        <f>Economic!D35</f>
        <v>7257.7</v>
      </c>
      <c r="AU21" s="68">
        <f>Economic!E35</f>
        <v>7350.2</v>
      </c>
      <c r="AV21" s="68">
        <f>Economic!F35</f>
        <v>260.10000000000002</v>
      </c>
      <c r="AW21" s="68">
        <f>Economic!G35</f>
        <v>266</v>
      </c>
      <c r="AX21" s="68">
        <f>Economic!W35</f>
        <v>29503</v>
      </c>
      <c r="AY21" s="68">
        <f>Economic!R35</f>
        <v>139.69999999999982</v>
      </c>
      <c r="AZ21" s="68">
        <f>Economic!W35</f>
        <v>29503</v>
      </c>
      <c r="BA21" s="68">
        <f>Economic!X35</f>
        <v>5510</v>
      </c>
      <c r="BB21" s="68">
        <f>Economic!Y35</f>
        <v>390</v>
      </c>
      <c r="BC21" s="236">
        <f>Weather!C33</f>
        <v>21.448655913978495</v>
      </c>
      <c r="BD21" s="16">
        <f>Weather!D33</f>
        <v>9.9416666666666771</v>
      </c>
      <c r="BE21" s="16">
        <f>Weather!E33</f>
        <v>54.84999999999998</v>
      </c>
      <c r="BF21" s="16">
        <f>Weather!F33</f>
        <v>1.7291666666666643</v>
      </c>
      <c r="BG21" s="16">
        <f>Weather!G33</f>
        <v>108.63749999999997</v>
      </c>
      <c r="BH21" s="16">
        <f>Weather!H33</f>
        <v>0</v>
      </c>
      <c r="BI21" s="16">
        <f>Weather!I33</f>
        <v>168.90833333333333</v>
      </c>
      <c r="BJ21" s="16">
        <f>Weather!J33</f>
        <v>0</v>
      </c>
      <c r="BK21" s="16">
        <f>Weather!K33</f>
        <v>230.90833333333327</v>
      </c>
      <c r="BL21" s="16">
        <f>Weather!L33</f>
        <v>0</v>
      </c>
      <c r="BM21" s="16">
        <f>Weather!M33</f>
        <v>292.90833333333325</v>
      </c>
      <c r="BN21" s="16">
        <f>Weather!N33</f>
        <v>0</v>
      </c>
      <c r="BO21" s="16">
        <f>Weather!O33</f>
        <v>354.90833333333336</v>
      </c>
      <c r="BP21" s="16">
        <f>Weather!P33</f>
        <v>0</v>
      </c>
      <c r="BQ21" s="16">
        <f>Weather!Q33</f>
        <v>416.90833333333336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</v>
      </c>
      <c r="BZ21">
        <v>0</v>
      </c>
      <c r="CA21">
        <v>0</v>
      </c>
      <c r="CB21">
        <v>0</v>
      </c>
      <c r="CC21">
        <v>0</v>
      </c>
      <c r="CD21">
        <v>0</v>
      </c>
      <c r="CE21">
        <f t="shared" si="52"/>
        <v>0</v>
      </c>
      <c r="CF21">
        <v>0</v>
      </c>
      <c r="CG21">
        <f t="shared" si="52"/>
        <v>0</v>
      </c>
      <c r="CH21">
        <v>0</v>
      </c>
      <c r="CI21">
        <f t="shared" si="51"/>
        <v>0</v>
      </c>
      <c r="CJ21">
        <f t="shared" si="21"/>
        <v>0</v>
      </c>
      <c r="CK21">
        <f t="shared" si="53"/>
        <v>1</v>
      </c>
      <c r="CL21">
        <f t="shared" si="53"/>
        <v>1</v>
      </c>
      <c r="CM21" s="1">
        <f t="shared" si="22"/>
        <v>20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>
        <v>31</v>
      </c>
      <c r="CT21">
        <v>22</v>
      </c>
      <c r="CU21">
        <v>0</v>
      </c>
      <c r="CV21">
        <v>0</v>
      </c>
      <c r="CW21">
        <v>0</v>
      </c>
      <c r="CX21">
        <v>0</v>
      </c>
      <c r="CY21">
        <v>0</v>
      </c>
      <c r="CZ21">
        <f t="shared" si="23"/>
        <v>0</v>
      </c>
      <c r="DA21">
        <f t="shared" si="24"/>
        <v>0</v>
      </c>
      <c r="DB21">
        <f t="shared" si="25"/>
        <v>0</v>
      </c>
      <c r="DC21">
        <f t="shared" si="26"/>
        <v>0</v>
      </c>
      <c r="DD21">
        <f t="shared" si="27"/>
        <v>0</v>
      </c>
      <c r="DE21">
        <f t="shared" si="28"/>
        <v>0</v>
      </c>
      <c r="DF21">
        <f t="shared" si="29"/>
        <v>0</v>
      </c>
      <c r="DG21">
        <f t="shared" si="30"/>
        <v>0</v>
      </c>
      <c r="DH21">
        <f t="shared" si="31"/>
        <v>0</v>
      </c>
      <c r="DI21">
        <f t="shared" si="32"/>
        <v>0</v>
      </c>
      <c r="DJ21">
        <f t="shared" si="33"/>
        <v>0</v>
      </c>
      <c r="DK21">
        <f t="shared" si="34"/>
        <v>0</v>
      </c>
      <c r="DL21">
        <f t="shared" si="35"/>
        <v>0</v>
      </c>
      <c r="DM21">
        <f t="shared" si="36"/>
        <v>0</v>
      </c>
      <c r="DN21">
        <f t="shared" si="37"/>
        <v>0</v>
      </c>
      <c r="DO21">
        <f t="shared" si="38"/>
        <v>0</v>
      </c>
      <c r="DP21">
        <f t="shared" si="39"/>
        <v>0</v>
      </c>
      <c r="DQ21">
        <f t="shared" si="40"/>
        <v>0</v>
      </c>
      <c r="DR21">
        <f t="shared" si="41"/>
        <v>0</v>
      </c>
      <c r="DS21">
        <f t="shared" si="42"/>
        <v>0</v>
      </c>
      <c r="DT21">
        <f t="shared" si="43"/>
        <v>0</v>
      </c>
      <c r="DU21">
        <f t="shared" si="44"/>
        <v>0</v>
      </c>
      <c r="DV21">
        <f t="shared" si="45"/>
        <v>0</v>
      </c>
      <c r="DW21">
        <f t="shared" si="46"/>
        <v>0</v>
      </c>
      <c r="DX21">
        <f t="shared" si="47"/>
        <v>0</v>
      </c>
      <c r="DY21">
        <f t="shared" si="48"/>
        <v>0</v>
      </c>
      <c r="DZ21">
        <f t="shared" si="49"/>
        <v>0</v>
      </c>
      <c r="EA21">
        <f t="shared" si="50"/>
        <v>0</v>
      </c>
      <c r="EB21" s="44">
        <f t="shared" si="4"/>
        <v>828.25468600886711</v>
      </c>
      <c r="EC21" s="44">
        <f t="shared" si="5"/>
        <v>26.71789309706023</v>
      </c>
      <c r="ED21" s="44">
        <f t="shared" si="6"/>
        <v>3850369.0100035435</v>
      </c>
      <c r="EE21" s="44">
        <f t="shared" si="7"/>
        <v>2947.4091747262792</v>
      </c>
      <c r="EF21" s="44">
        <f t="shared" si="8"/>
        <v>95.077715313750943</v>
      </c>
      <c r="EG21" s="44">
        <f t="shared" si="9"/>
        <v>1201877.3992811257</v>
      </c>
      <c r="EH21" s="44">
        <f t="shared" si="10"/>
        <v>89603.653997460613</v>
      </c>
      <c r="EI21" s="44">
        <f t="shared" si="11"/>
        <v>2890.4404515309875</v>
      </c>
      <c r="EJ21" s="44">
        <f t="shared" si="12"/>
        <v>4072.8933635209369</v>
      </c>
      <c r="EK21" s="44">
        <f t="shared" si="13"/>
        <v>4694075.2932863235</v>
      </c>
      <c r="EL21" s="44">
        <f t="shared" si="14"/>
        <v>6614378.822358001</v>
      </c>
    </row>
    <row r="22" spans="1:142" x14ac:dyDescent="0.2">
      <c r="A22" s="66">
        <v>43344</v>
      </c>
      <c r="B22" s="4">
        <f t="shared" si="0"/>
        <v>2018</v>
      </c>
      <c r="C22" s="4">
        <f t="shared" si="1"/>
        <v>9</v>
      </c>
      <c r="D22" s="44">
        <v>96184618</v>
      </c>
      <c r="E22" s="44">
        <f>IFERROR(VLOOKUP($B22-1,CDM!$L$7:$T$18,2,FALSE)/12,0)+IFERROR(VLOOKUP($B22,CDM!$L$37:$O$47,2,FALSE)/24,0)+IFERROR(VLOOKUP($B22,CDM!$L$37:$O$47,2,FALSE)/2*$C22/78,0)</f>
        <v>2210542.0638334821</v>
      </c>
      <c r="F22" s="44">
        <f t="shared" si="15"/>
        <v>98395160.063833475</v>
      </c>
      <c r="G22" s="488">
        <v>144236</v>
      </c>
      <c r="H22" s="44">
        <v>31779471</v>
      </c>
      <c r="I22" s="44">
        <f>IFERROR(VLOOKUP($B22-1,CDM!$L$7:$T$18,3,FALSE)/12,0)+IFERROR(VLOOKUP($B22,CDM!$L$37:$O$47,3,FALSE)/24,0)+IFERROR(VLOOKUP($B22,CDM!$L$37:$O$47,3,FALSE)/2*$C22/78,0)</f>
        <v>678484.67710708803</v>
      </c>
      <c r="J22" s="44">
        <f t="shared" si="16"/>
        <v>32457955.677107088</v>
      </c>
      <c r="K22" s="44">
        <v>12635</v>
      </c>
      <c r="L22" s="44">
        <v>126159099</v>
      </c>
      <c r="M22" s="44">
        <f>IFERROR(VLOOKUP($B22-1,CDM!$L$7:$T$18,4,FALSE)/12,0)+IFERROR(VLOOKUP($B22,CDM!$L$37:$O$47,4,FALSE)/24,0)+IFERROR(VLOOKUP($B22,CDM!$L$37:$O$47,4,FALSE)/2*$C22/78,0)</f>
        <v>4313709.3604454016</v>
      </c>
      <c r="N22" s="44">
        <f t="shared" si="17"/>
        <v>130472808.3604454</v>
      </c>
      <c r="O22" s="44">
        <v>344953.53</v>
      </c>
      <c r="P22" s="488">
        <v>1624</v>
      </c>
      <c r="Q22" s="488">
        <v>5227258</v>
      </c>
      <c r="R22" s="488">
        <f>IFERROR(VLOOKUP($B22-1,CDM!$L$7:$T$18,5,FALSE)/12,0)+IFERROR(VLOOKUP($B22,CDM!$L$37:$T$47,5,FALSE)/24,0)+IFERROR(VLOOKUP($B22,CDM!$L$37:$T$47,5,FALSE)/2*$C22/78,0)</f>
        <v>104494.84242978522</v>
      </c>
      <c r="S22" s="488">
        <f t="shared" si="18"/>
        <v>5331752.8424297851</v>
      </c>
      <c r="T22" s="44">
        <v>15172.650000000001</v>
      </c>
      <c r="U22" s="488">
        <v>5</v>
      </c>
      <c r="V22" s="488">
        <v>11377114</v>
      </c>
      <c r="W22" s="488">
        <f>IFERROR(VLOOKUP($B22-1,CDM!$L$7:$T$18,6,FALSE)/12,0)+IFERROR(VLOOKUP($B22,CDM!$L$37:$T$47,6,FALSE)/24,0)+IFERROR(VLOOKUP($B22,CDM!$L$37:$T$47,6,FALSE)/2*$C22/78,0)</f>
        <v>178626.31172686219</v>
      </c>
      <c r="X22" s="488">
        <f t="shared" si="19"/>
        <v>11555740.311726863</v>
      </c>
      <c r="Y22" s="488">
        <v>23222.74</v>
      </c>
      <c r="Z22" s="488">
        <v>1</v>
      </c>
      <c r="AA22" s="44">
        <v>1352933.53</v>
      </c>
      <c r="AB22" s="44">
        <v>3942.11</v>
      </c>
      <c r="AC22" s="488">
        <v>37041</v>
      </c>
      <c r="AD22" s="44">
        <v>452371.42000000004</v>
      </c>
      <c r="AE22" s="44">
        <v>1525</v>
      </c>
      <c r="AF22" s="44">
        <v>44704.859999999993</v>
      </c>
      <c r="AG22" s="44">
        <v>123.17</v>
      </c>
      <c r="AH22" s="44">
        <v>529</v>
      </c>
      <c r="AI22" s="44">
        <v>14400</v>
      </c>
      <c r="AJ22" s="68">
        <f>Economic!H36</f>
        <v>789828.1</v>
      </c>
      <c r="AK22" s="68">
        <f>Economic!I36</f>
        <v>95159.5</v>
      </c>
      <c r="AL22" s="68">
        <f>Economic!J36</f>
        <v>30609.7</v>
      </c>
      <c r="AM22" s="68">
        <f>Economic!K36</f>
        <v>72894</v>
      </c>
      <c r="AN22" s="68">
        <f>Economic!L36</f>
        <v>57384.800000000003</v>
      </c>
      <c r="AO22" s="68">
        <f>Economic!M36</f>
        <v>794512</v>
      </c>
      <c r="AP22" s="68">
        <f>Economic!N36</f>
        <v>96068</v>
      </c>
      <c r="AQ22" s="68">
        <f>Economic!O36</f>
        <v>13890</v>
      </c>
      <c r="AR22" s="68">
        <f>Economic!P36</f>
        <v>31260</v>
      </c>
      <c r="AS22" s="68">
        <f>Economic!Q36</f>
        <v>72324</v>
      </c>
      <c r="AT22" s="68">
        <f>Economic!D36</f>
        <v>7273.8</v>
      </c>
      <c r="AU22" s="68">
        <f>Economic!E36</f>
        <v>7316.6</v>
      </c>
      <c r="AV22" s="68">
        <f>Economic!F36</f>
        <v>262.2</v>
      </c>
      <c r="AW22" s="68">
        <f>Economic!G36</f>
        <v>264.8</v>
      </c>
      <c r="AX22" s="68">
        <f>Economic!W36</f>
        <v>29503</v>
      </c>
      <c r="AY22" s="68">
        <f>Economic!R36</f>
        <v>130.5</v>
      </c>
      <c r="AZ22" s="68">
        <f>Economic!W36</f>
        <v>29503</v>
      </c>
      <c r="BA22" s="68">
        <f>Economic!X36</f>
        <v>5510</v>
      </c>
      <c r="BB22" s="68">
        <f>Economic!Y36</f>
        <v>390</v>
      </c>
      <c r="BC22" s="236">
        <f>Weather!C34</f>
        <v>17.676111111111116</v>
      </c>
      <c r="BD22" s="16">
        <f>Weather!D34</f>
        <v>101.08749999999999</v>
      </c>
      <c r="BE22" s="16">
        <f>Weather!E34</f>
        <v>31.370833333333323</v>
      </c>
      <c r="BF22" s="16">
        <f>Weather!F34</f>
        <v>67.079166666666666</v>
      </c>
      <c r="BG22" s="16">
        <f>Weather!G34</f>
        <v>57.362499999999997</v>
      </c>
      <c r="BH22" s="16">
        <f>Weather!H34</f>
        <v>39.587500000000006</v>
      </c>
      <c r="BI22" s="16">
        <f>Weather!I34</f>
        <v>89.870833333333323</v>
      </c>
      <c r="BJ22" s="16">
        <f>Weather!J34</f>
        <v>20.0625</v>
      </c>
      <c r="BK22" s="16">
        <f>Weather!K34</f>
        <v>130.34583333333333</v>
      </c>
      <c r="BL22" s="16">
        <f>Weather!L34</f>
        <v>5.2124999999999968</v>
      </c>
      <c r="BM22" s="16">
        <f>Weather!M34</f>
        <v>175.49583333333331</v>
      </c>
      <c r="BN22" s="16">
        <f>Weather!N34</f>
        <v>1.2500000000001066E-2</v>
      </c>
      <c r="BO22" s="16">
        <f>Weather!O34</f>
        <v>230.29583333333332</v>
      </c>
      <c r="BP22" s="16">
        <f>Weather!P34</f>
        <v>0</v>
      </c>
      <c r="BQ22" s="16">
        <f>Weather!Q34</f>
        <v>290.28333333333336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0</v>
      </c>
      <c r="CB22">
        <v>0</v>
      </c>
      <c r="CC22">
        <v>0</v>
      </c>
      <c r="CD22">
        <v>0</v>
      </c>
      <c r="CE22">
        <f t="shared" si="52"/>
        <v>0</v>
      </c>
      <c r="CF22">
        <v>1</v>
      </c>
      <c r="CG22">
        <f t="shared" si="52"/>
        <v>1</v>
      </c>
      <c r="CH22">
        <v>1</v>
      </c>
      <c r="CI22">
        <f t="shared" si="51"/>
        <v>1</v>
      </c>
      <c r="CJ22">
        <f t="shared" si="21"/>
        <v>1</v>
      </c>
      <c r="CK22">
        <f t="shared" si="53"/>
        <v>0</v>
      </c>
      <c r="CL22">
        <f t="shared" si="53"/>
        <v>0</v>
      </c>
      <c r="CM22" s="1">
        <f t="shared" si="22"/>
        <v>21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>
        <v>30</v>
      </c>
      <c r="CT22">
        <v>19</v>
      </c>
      <c r="CU22">
        <v>0</v>
      </c>
      <c r="CV22">
        <v>0</v>
      </c>
      <c r="CW22">
        <v>0</v>
      </c>
      <c r="CX22">
        <v>0</v>
      </c>
      <c r="CY22">
        <v>0</v>
      </c>
      <c r="CZ22">
        <f t="shared" si="23"/>
        <v>0</v>
      </c>
      <c r="DA22">
        <f t="shared" si="24"/>
        <v>0</v>
      </c>
      <c r="DB22">
        <f t="shared" si="25"/>
        <v>0</v>
      </c>
      <c r="DC22">
        <f t="shared" si="26"/>
        <v>0</v>
      </c>
      <c r="DD22">
        <f t="shared" si="27"/>
        <v>0</v>
      </c>
      <c r="DE22">
        <f t="shared" si="28"/>
        <v>0</v>
      </c>
      <c r="DF22">
        <f t="shared" si="29"/>
        <v>0</v>
      </c>
      <c r="DG22">
        <f t="shared" si="30"/>
        <v>0</v>
      </c>
      <c r="DH22">
        <f t="shared" si="31"/>
        <v>0</v>
      </c>
      <c r="DI22">
        <f t="shared" si="32"/>
        <v>0</v>
      </c>
      <c r="DJ22">
        <f t="shared" si="33"/>
        <v>0</v>
      </c>
      <c r="DK22">
        <f t="shared" si="34"/>
        <v>0</v>
      </c>
      <c r="DL22">
        <f t="shared" si="35"/>
        <v>0</v>
      </c>
      <c r="DM22">
        <f t="shared" si="36"/>
        <v>0</v>
      </c>
      <c r="DN22">
        <f t="shared" si="37"/>
        <v>0</v>
      </c>
      <c r="DO22">
        <f t="shared" si="38"/>
        <v>0</v>
      </c>
      <c r="DP22">
        <f t="shared" si="39"/>
        <v>0</v>
      </c>
      <c r="DQ22">
        <f t="shared" si="40"/>
        <v>0</v>
      </c>
      <c r="DR22">
        <f t="shared" si="41"/>
        <v>0</v>
      </c>
      <c r="DS22">
        <f t="shared" si="42"/>
        <v>0</v>
      </c>
      <c r="DT22">
        <f t="shared" si="43"/>
        <v>0</v>
      </c>
      <c r="DU22">
        <f t="shared" si="44"/>
        <v>0</v>
      </c>
      <c r="DV22">
        <f t="shared" si="45"/>
        <v>0</v>
      </c>
      <c r="DW22">
        <f t="shared" si="46"/>
        <v>0</v>
      </c>
      <c r="DX22">
        <f t="shared" si="47"/>
        <v>0</v>
      </c>
      <c r="DY22">
        <f t="shared" si="48"/>
        <v>0</v>
      </c>
      <c r="DZ22">
        <f t="shared" si="49"/>
        <v>0</v>
      </c>
      <c r="EA22">
        <f t="shared" si="50"/>
        <v>0</v>
      </c>
      <c r="EB22" s="44">
        <f t="shared" si="4"/>
        <v>682.18170265282924</v>
      </c>
      <c r="EC22" s="44">
        <f t="shared" si="5"/>
        <v>22.739390088427641</v>
      </c>
      <c r="ED22" s="44">
        <f t="shared" si="6"/>
        <v>3279838.668794449</v>
      </c>
      <c r="EE22" s="44">
        <f t="shared" si="7"/>
        <v>2568.8924160749575</v>
      </c>
      <c r="EF22" s="44">
        <f t="shared" si="8"/>
        <v>85.629747202498578</v>
      </c>
      <c r="EG22" s="44">
        <f t="shared" si="9"/>
        <v>1081931.8559035696</v>
      </c>
      <c r="EH22" s="44">
        <f t="shared" si="10"/>
        <v>80340.399236727462</v>
      </c>
      <c r="EI22" s="44">
        <f t="shared" si="11"/>
        <v>2678.0133078909153</v>
      </c>
      <c r="EJ22" s="44">
        <f t="shared" si="12"/>
        <v>4228.4420650909187</v>
      </c>
      <c r="EK22" s="44">
        <f t="shared" si="13"/>
        <v>4349093.6120148469</v>
      </c>
      <c r="EL22" s="44">
        <f t="shared" si="14"/>
        <v>6866989.9137076521</v>
      </c>
    </row>
    <row r="23" spans="1:142" x14ac:dyDescent="0.2">
      <c r="A23" s="66">
        <v>43374</v>
      </c>
      <c r="B23" s="4">
        <f t="shared" si="0"/>
        <v>2018</v>
      </c>
      <c r="C23" s="4">
        <f t="shared" si="1"/>
        <v>10</v>
      </c>
      <c r="D23" s="44">
        <v>80857467</v>
      </c>
      <c r="E23" s="44">
        <f>IFERROR(VLOOKUP($B23-1,CDM!$L$7:$T$18,2,FALSE)/12,0)+IFERROR(VLOOKUP($B23,CDM!$L$37:$O$47,2,FALSE)/24,0)+IFERROR(VLOOKUP($B23,CDM!$L$37:$O$47,2,FALSE)/2*$C23/78,0)</f>
        <v>2279962.8175571109</v>
      </c>
      <c r="F23" s="44">
        <f t="shared" si="15"/>
        <v>83137429.817557111</v>
      </c>
      <c r="G23" s="488">
        <v>144490</v>
      </c>
      <c r="H23" s="44">
        <v>30178509</v>
      </c>
      <c r="I23" s="44">
        <f>IFERROR(VLOOKUP($B23-1,CDM!$L$7:$T$18,3,FALSE)/12,0)+IFERROR(VLOOKUP($B23,CDM!$L$37:$O$47,3,FALSE)/24,0)+IFERROR(VLOOKUP($B23,CDM!$L$37:$O$47,3,FALSE)/2*$C23/78,0)</f>
        <v>707781.9764992788</v>
      </c>
      <c r="J23" s="44">
        <f t="shared" si="16"/>
        <v>30886290.976499278</v>
      </c>
      <c r="K23" s="44">
        <v>12648</v>
      </c>
      <c r="L23" s="44">
        <v>119787178</v>
      </c>
      <c r="M23" s="44">
        <f>IFERROR(VLOOKUP($B23-1,CDM!$L$7:$T$18,4,FALSE)/12,0)+IFERROR(VLOOKUP($B23,CDM!$L$37:$O$47,4,FALSE)/24,0)+IFERROR(VLOOKUP($B23,CDM!$L$37:$O$47,4,FALSE)/2*$C23/78,0)</f>
        <v>4484772.6290147649</v>
      </c>
      <c r="N23" s="44">
        <f t="shared" si="17"/>
        <v>124271950.62901476</v>
      </c>
      <c r="O23" s="44">
        <v>315895.36</v>
      </c>
      <c r="P23" s="488">
        <v>1625</v>
      </c>
      <c r="Q23" s="488">
        <v>2831759</v>
      </c>
      <c r="R23" s="488">
        <f>IFERROR(VLOOKUP($B23-1,CDM!$L$7:$T$18,5,FALSE)/12,0)+IFERROR(VLOOKUP($B23,CDM!$L$37:$T$47,5,FALSE)/24,0)+IFERROR(VLOOKUP($B23,CDM!$L$37:$T$47,5,FALSE)/2*$C23/78,0)</f>
        <v>108295.4022854394</v>
      </c>
      <c r="S23" s="488">
        <f t="shared" si="18"/>
        <v>2940054.4022854394</v>
      </c>
      <c r="T23" s="44">
        <v>12617.920000000002</v>
      </c>
      <c r="U23" s="488">
        <v>5</v>
      </c>
      <c r="V23" s="488">
        <v>9473584</v>
      </c>
      <c r="W23" s="488">
        <f>IFERROR(VLOOKUP($B23-1,CDM!$L$7:$T$18,6,FALSE)/12,0)+IFERROR(VLOOKUP($B23,CDM!$L$37:$T$47,6,FALSE)/24,0)+IFERROR(VLOOKUP($B23,CDM!$L$37:$T$47,6,FALSE)/2*$C23/78,0)</f>
        <v>189972.59532570135</v>
      </c>
      <c r="X23" s="488">
        <f t="shared" si="19"/>
        <v>9663556.5953257009</v>
      </c>
      <c r="Y23" s="488">
        <v>21375.74</v>
      </c>
      <c r="Z23" s="488">
        <v>1</v>
      </c>
      <c r="AA23" s="44">
        <v>1542308.46</v>
      </c>
      <c r="AB23" s="44">
        <v>3847.79</v>
      </c>
      <c r="AC23" s="488">
        <v>36729</v>
      </c>
      <c r="AD23" s="44">
        <v>467136.83999999997</v>
      </c>
      <c r="AE23" s="44">
        <v>1526</v>
      </c>
      <c r="AF23" s="44">
        <v>46358.3</v>
      </c>
      <c r="AG23" s="44">
        <v>123.11</v>
      </c>
      <c r="AH23" s="44">
        <v>529</v>
      </c>
      <c r="AI23" s="44">
        <v>14400</v>
      </c>
      <c r="AJ23" s="68">
        <f>Economic!H37</f>
        <v>789828.1</v>
      </c>
      <c r="AK23" s="68">
        <f>Economic!I37</f>
        <v>95159.5</v>
      </c>
      <c r="AL23" s="68">
        <f>Economic!J37</f>
        <v>30609.7</v>
      </c>
      <c r="AM23" s="68">
        <f>Economic!K37</f>
        <v>72894</v>
      </c>
      <c r="AN23" s="68">
        <f>Economic!L37</f>
        <v>57384.800000000003</v>
      </c>
      <c r="AO23" s="68">
        <f>Economic!M37</f>
        <v>799922</v>
      </c>
      <c r="AP23" s="68">
        <f>Economic!N37</f>
        <v>96123</v>
      </c>
      <c r="AQ23" s="68">
        <f>Economic!O37</f>
        <v>13379</v>
      </c>
      <c r="AR23" s="68">
        <f>Economic!P37</f>
        <v>32344</v>
      </c>
      <c r="AS23" s="68">
        <f>Economic!Q37</f>
        <v>72211</v>
      </c>
      <c r="AT23" s="68">
        <f>Economic!D37</f>
        <v>7269.1</v>
      </c>
      <c r="AU23" s="68">
        <f>Economic!E37</f>
        <v>7285.3</v>
      </c>
      <c r="AV23" s="68">
        <f>Economic!F37</f>
        <v>263</v>
      </c>
      <c r="AW23" s="68">
        <f>Economic!G37</f>
        <v>263.3</v>
      </c>
      <c r="AX23" s="68">
        <f>Economic!W37</f>
        <v>28416</v>
      </c>
      <c r="AY23" s="68">
        <f>Economic!R37</f>
        <v>110.80000000000018</v>
      </c>
      <c r="AZ23" s="68">
        <f>Economic!W37</f>
        <v>28416</v>
      </c>
      <c r="BA23" s="68">
        <f>Economic!X37</f>
        <v>4446</v>
      </c>
      <c r="BB23" s="68">
        <f>Economic!Y37</f>
        <v>-1929</v>
      </c>
      <c r="BC23" s="236">
        <f>Weather!C35</f>
        <v>8.8767473118279572</v>
      </c>
      <c r="BD23" s="16">
        <f>Weather!D35</f>
        <v>348</v>
      </c>
      <c r="BE23" s="16">
        <f>Weather!E35</f>
        <v>3.1791666666666707</v>
      </c>
      <c r="BF23" s="16">
        <f>Weather!F35</f>
        <v>290</v>
      </c>
      <c r="BG23" s="16">
        <f>Weather!G35</f>
        <v>7.1791666666666707</v>
      </c>
      <c r="BH23" s="16">
        <f>Weather!H35</f>
        <v>233.96249999999998</v>
      </c>
      <c r="BI23" s="16">
        <f>Weather!I35</f>
        <v>13.141666666666676</v>
      </c>
      <c r="BJ23" s="16">
        <f>Weather!J35</f>
        <v>181.64999999999998</v>
      </c>
      <c r="BK23" s="16">
        <f>Weather!K35</f>
        <v>22.829166666666666</v>
      </c>
      <c r="BL23" s="16">
        <f>Weather!L35</f>
        <v>137.12499999999994</v>
      </c>
      <c r="BM23" s="16">
        <f>Weather!M35</f>
        <v>40.30416666666666</v>
      </c>
      <c r="BN23" s="16">
        <f>Weather!N35</f>
        <v>93.125</v>
      </c>
      <c r="BO23" s="16">
        <f>Weather!O35</f>
        <v>58.304166666666667</v>
      </c>
      <c r="BP23" s="16">
        <f>Weather!P35</f>
        <v>52.849999999999994</v>
      </c>
      <c r="BQ23" s="16">
        <f>Weather!Q35</f>
        <v>80.029166666666683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1</v>
      </c>
      <c r="CB23">
        <v>0</v>
      </c>
      <c r="CC23">
        <v>0</v>
      </c>
      <c r="CD23">
        <v>0</v>
      </c>
      <c r="CE23">
        <f t="shared" si="52"/>
        <v>0</v>
      </c>
      <c r="CF23">
        <v>1</v>
      </c>
      <c r="CG23">
        <f t="shared" si="52"/>
        <v>1</v>
      </c>
      <c r="CH23">
        <v>1</v>
      </c>
      <c r="CI23">
        <f t="shared" si="51"/>
        <v>1</v>
      </c>
      <c r="CJ23">
        <f t="shared" si="21"/>
        <v>1</v>
      </c>
      <c r="CK23">
        <f t="shared" si="53"/>
        <v>0</v>
      </c>
      <c r="CL23">
        <f t="shared" si="53"/>
        <v>0</v>
      </c>
      <c r="CM23" s="1">
        <f t="shared" si="22"/>
        <v>22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>
        <v>31</v>
      </c>
      <c r="CT23">
        <v>22</v>
      </c>
      <c r="CU23">
        <v>0</v>
      </c>
      <c r="CV23">
        <v>0</v>
      </c>
      <c r="CW23">
        <v>0</v>
      </c>
      <c r="CX23">
        <v>0</v>
      </c>
      <c r="CY23">
        <v>0</v>
      </c>
      <c r="CZ23">
        <f t="shared" si="23"/>
        <v>0</v>
      </c>
      <c r="DA23">
        <f t="shared" si="24"/>
        <v>0</v>
      </c>
      <c r="DB23">
        <f t="shared" si="25"/>
        <v>0</v>
      </c>
      <c r="DC23">
        <f t="shared" si="26"/>
        <v>0</v>
      </c>
      <c r="DD23">
        <f t="shared" si="27"/>
        <v>0</v>
      </c>
      <c r="DE23">
        <f t="shared" si="28"/>
        <v>0</v>
      </c>
      <c r="DF23">
        <f t="shared" si="29"/>
        <v>0</v>
      </c>
      <c r="DG23">
        <f t="shared" si="30"/>
        <v>0</v>
      </c>
      <c r="DH23">
        <f t="shared" si="31"/>
        <v>0</v>
      </c>
      <c r="DI23">
        <f t="shared" si="32"/>
        <v>0</v>
      </c>
      <c r="DJ23">
        <f t="shared" si="33"/>
        <v>0</v>
      </c>
      <c r="DK23">
        <f t="shared" si="34"/>
        <v>0</v>
      </c>
      <c r="DL23">
        <f t="shared" si="35"/>
        <v>0</v>
      </c>
      <c r="DM23">
        <f t="shared" si="36"/>
        <v>0</v>
      </c>
      <c r="DN23">
        <f t="shared" si="37"/>
        <v>0</v>
      </c>
      <c r="DO23">
        <f t="shared" si="38"/>
        <v>0</v>
      </c>
      <c r="DP23">
        <f t="shared" si="39"/>
        <v>0</v>
      </c>
      <c r="DQ23">
        <f t="shared" si="40"/>
        <v>0</v>
      </c>
      <c r="DR23">
        <f t="shared" si="41"/>
        <v>0</v>
      </c>
      <c r="DS23">
        <f t="shared" si="42"/>
        <v>0</v>
      </c>
      <c r="DT23">
        <f t="shared" si="43"/>
        <v>0</v>
      </c>
      <c r="DU23">
        <f t="shared" si="44"/>
        <v>0</v>
      </c>
      <c r="DV23">
        <f t="shared" si="45"/>
        <v>0</v>
      </c>
      <c r="DW23">
        <f t="shared" si="46"/>
        <v>0</v>
      </c>
      <c r="DX23">
        <f t="shared" si="47"/>
        <v>0</v>
      </c>
      <c r="DY23">
        <f t="shared" si="48"/>
        <v>0</v>
      </c>
      <c r="DZ23">
        <f t="shared" si="49"/>
        <v>0</v>
      </c>
      <c r="EA23">
        <f t="shared" si="50"/>
        <v>0</v>
      </c>
      <c r="EB23" s="44">
        <f t="shared" si="4"/>
        <v>575.38535412524823</v>
      </c>
      <c r="EC23" s="44">
        <f t="shared" si="5"/>
        <v>18.560817875008006</v>
      </c>
      <c r="ED23" s="44">
        <f t="shared" si="6"/>
        <v>2681852.5747599066</v>
      </c>
      <c r="EE23" s="44">
        <f t="shared" si="7"/>
        <v>2441.9901151564895</v>
      </c>
      <c r="EF23" s="44">
        <f t="shared" si="8"/>
        <v>78.773874682467408</v>
      </c>
      <c r="EG23" s="44">
        <f t="shared" si="9"/>
        <v>996331.96698384767</v>
      </c>
      <c r="EH23" s="44">
        <f t="shared" si="10"/>
        <v>76475.046540932162</v>
      </c>
      <c r="EI23" s="44">
        <f t="shared" si="11"/>
        <v>2466.9369851913602</v>
      </c>
      <c r="EJ23" s="44">
        <f t="shared" si="12"/>
        <v>3476.1384791332803</v>
      </c>
      <c r="EK23" s="44">
        <f t="shared" si="13"/>
        <v>4008772.6009359602</v>
      </c>
      <c r="EL23" s="44">
        <f t="shared" si="14"/>
        <v>5648725.0285915798</v>
      </c>
    </row>
    <row r="24" spans="1:142" x14ac:dyDescent="0.2">
      <c r="A24" s="66">
        <v>43405</v>
      </c>
      <c r="B24" s="4">
        <f t="shared" si="0"/>
        <v>2018</v>
      </c>
      <c r="C24" s="4">
        <f t="shared" si="1"/>
        <v>11</v>
      </c>
      <c r="D24" s="44">
        <v>87977332</v>
      </c>
      <c r="E24" s="44">
        <f>IFERROR(VLOOKUP($B24-1,CDM!$L$7:$T$18,2,FALSE)/12,0)+IFERROR(VLOOKUP($B24,CDM!$L$37:$O$47,2,FALSE)/24,0)+IFERROR(VLOOKUP($B24,CDM!$L$37:$O$47,2,FALSE)/2*$C24/78,0)</f>
        <v>2349383.5712807402</v>
      </c>
      <c r="F24" s="44">
        <f t="shared" si="15"/>
        <v>90326715.571280748</v>
      </c>
      <c r="G24" s="488">
        <v>144599</v>
      </c>
      <c r="H24" s="44">
        <v>32327635</v>
      </c>
      <c r="I24" s="44">
        <f>IFERROR(VLOOKUP($B24-1,CDM!$L$7:$T$18,3,FALSE)/12,0)+IFERROR(VLOOKUP($B24,CDM!$L$37:$O$47,3,FALSE)/24,0)+IFERROR(VLOOKUP($B24,CDM!$L$37:$O$47,3,FALSE)/2*$C24/78,0)</f>
        <v>737079.27589146956</v>
      </c>
      <c r="J24" s="44">
        <f t="shared" si="16"/>
        <v>33064714.275891468</v>
      </c>
      <c r="K24" s="44">
        <v>12660</v>
      </c>
      <c r="L24" s="44">
        <v>117869371</v>
      </c>
      <c r="M24" s="44">
        <f>IFERROR(VLOOKUP($B24-1,CDM!$L$7:$T$18,4,FALSE)/12,0)+IFERROR(VLOOKUP($B24,CDM!$L$37:$O$47,4,FALSE)/24,0)+IFERROR(VLOOKUP($B24,CDM!$L$37:$O$47,4,FALSE)/2*$C24/78,0)</f>
        <v>4655835.8975841291</v>
      </c>
      <c r="N24" s="44">
        <f t="shared" si="17"/>
        <v>122525206.89758413</v>
      </c>
      <c r="O24" s="44">
        <v>288065.86</v>
      </c>
      <c r="P24" s="488">
        <v>1627</v>
      </c>
      <c r="Q24" s="488">
        <v>1719942</v>
      </c>
      <c r="R24" s="488">
        <f>IFERROR(VLOOKUP($B24-1,CDM!$L$7:$T$18,5,FALSE)/12,0)+IFERROR(VLOOKUP($B24,CDM!$L$37:$T$47,5,FALSE)/24,0)+IFERROR(VLOOKUP($B24,CDM!$L$37:$T$47,5,FALSE)/2*$C24/78,0)</f>
        <v>112095.96214109359</v>
      </c>
      <c r="S24" s="488">
        <f t="shared" si="18"/>
        <v>1832037.9621410936</v>
      </c>
      <c r="T24" s="44">
        <v>4381.0499999999993</v>
      </c>
      <c r="U24" s="488">
        <v>5</v>
      </c>
      <c r="V24" s="488">
        <v>8675672</v>
      </c>
      <c r="W24" s="488">
        <f>IFERROR(VLOOKUP($B24-1,CDM!$L$7:$T$18,6,FALSE)/12,0)+IFERROR(VLOOKUP($B24,CDM!$L$37:$T$47,6,FALSE)/24,0)+IFERROR(VLOOKUP($B24,CDM!$L$37:$T$47,6,FALSE)/2*$C24/78,0)</f>
        <v>201318.87892454048</v>
      </c>
      <c r="X24" s="488">
        <f t="shared" si="19"/>
        <v>8876990.8789245412</v>
      </c>
      <c r="Y24" s="488">
        <v>14574.71</v>
      </c>
      <c r="Z24" s="488">
        <v>1</v>
      </c>
      <c r="AA24" s="44">
        <v>1634136.36</v>
      </c>
      <c r="AB24" s="44">
        <v>3846.84</v>
      </c>
      <c r="AC24" s="488">
        <v>36754</v>
      </c>
      <c r="AD24" s="44">
        <v>453053.09</v>
      </c>
      <c r="AE24" s="44">
        <v>1522</v>
      </c>
      <c r="AF24" s="44">
        <v>45252.26</v>
      </c>
      <c r="AG24" s="44">
        <v>123.11</v>
      </c>
      <c r="AH24" s="44">
        <v>529</v>
      </c>
      <c r="AI24" s="44">
        <v>14400</v>
      </c>
      <c r="AJ24" s="68">
        <f>Economic!H38</f>
        <v>789828.1</v>
      </c>
      <c r="AK24" s="68">
        <f>Economic!I38</f>
        <v>95159.5</v>
      </c>
      <c r="AL24" s="68">
        <f>Economic!J38</f>
        <v>30609.7</v>
      </c>
      <c r="AM24" s="68">
        <f>Economic!K38</f>
        <v>72894</v>
      </c>
      <c r="AN24" s="68">
        <f>Economic!L38</f>
        <v>57384.800000000003</v>
      </c>
      <c r="AO24" s="68">
        <f>Economic!M38</f>
        <v>799922</v>
      </c>
      <c r="AP24" s="68">
        <f>Economic!N38</f>
        <v>96123</v>
      </c>
      <c r="AQ24" s="68">
        <f>Economic!O38</f>
        <v>13379</v>
      </c>
      <c r="AR24" s="68">
        <f>Economic!P38</f>
        <v>32344</v>
      </c>
      <c r="AS24" s="68">
        <f>Economic!Q38</f>
        <v>72211</v>
      </c>
      <c r="AT24" s="68">
        <f>Economic!D38</f>
        <v>7289.9</v>
      </c>
      <c r="AU24" s="68">
        <f>Economic!E38</f>
        <v>7286.3</v>
      </c>
      <c r="AV24" s="68">
        <f>Economic!F38</f>
        <v>261.2</v>
      </c>
      <c r="AW24" s="68">
        <f>Economic!G38</f>
        <v>258.39999999999998</v>
      </c>
      <c r="AX24" s="68">
        <f>Economic!W38</f>
        <v>28416</v>
      </c>
      <c r="AY24" s="68">
        <f>Economic!R38</f>
        <v>107.69999999999982</v>
      </c>
      <c r="AZ24" s="68">
        <f>Economic!W38</f>
        <v>28416</v>
      </c>
      <c r="BA24" s="68">
        <f>Economic!X38</f>
        <v>4446</v>
      </c>
      <c r="BB24" s="68">
        <f>Economic!Y38</f>
        <v>-1929</v>
      </c>
      <c r="BC24" s="236">
        <f>Weather!C36</f>
        <v>0.71916666666666595</v>
      </c>
      <c r="BD24" s="16">
        <f>Weather!D36</f>
        <v>578.42499999999995</v>
      </c>
      <c r="BE24" s="16">
        <f>Weather!E36</f>
        <v>0</v>
      </c>
      <c r="BF24" s="16">
        <f>Weather!F36</f>
        <v>518.42500000000007</v>
      </c>
      <c r="BG24" s="16">
        <f>Weather!G36</f>
        <v>0</v>
      </c>
      <c r="BH24" s="16">
        <f>Weather!H36</f>
        <v>458.42500000000001</v>
      </c>
      <c r="BI24" s="16">
        <f>Weather!I36</f>
        <v>0</v>
      </c>
      <c r="BJ24" s="16">
        <f>Weather!J36</f>
        <v>398.42499999999995</v>
      </c>
      <c r="BK24" s="16">
        <f>Weather!K36</f>
        <v>0</v>
      </c>
      <c r="BL24" s="16">
        <f>Weather!L36</f>
        <v>338.42500000000007</v>
      </c>
      <c r="BM24" s="16">
        <f>Weather!M36</f>
        <v>0</v>
      </c>
      <c r="BN24" s="16">
        <f>Weather!N36</f>
        <v>278.42500000000001</v>
      </c>
      <c r="BO24" s="16">
        <f>Weather!O36</f>
        <v>0</v>
      </c>
      <c r="BP24" s="16">
        <f>Weather!P36</f>
        <v>220.35416666666669</v>
      </c>
      <c r="BQ24" s="16">
        <f>Weather!Q36</f>
        <v>1.9291666666666654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1</v>
      </c>
      <c r="CC24">
        <v>0</v>
      </c>
      <c r="CD24">
        <v>0</v>
      </c>
      <c r="CE24">
        <f t="shared" si="52"/>
        <v>0</v>
      </c>
      <c r="CF24">
        <v>1</v>
      </c>
      <c r="CG24">
        <f t="shared" si="52"/>
        <v>0</v>
      </c>
      <c r="CH24">
        <v>1</v>
      </c>
      <c r="CI24">
        <f t="shared" si="51"/>
        <v>0</v>
      </c>
      <c r="CJ24">
        <f t="shared" si="21"/>
        <v>1</v>
      </c>
      <c r="CK24">
        <f t="shared" si="53"/>
        <v>0</v>
      </c>
      <c r="CL24">
        <f t="shared" si="53"/>
        <v>0</v>
      </c>
      <c r="CM24" s="1">
        <f t="shared" si="22"/>
        <v>23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>
        <v>30</v>
      </c>
      <c r="CT24">
        <v>22</v>
      </c>
      <c r="CU24">
        <v>0</v>
      </c>
      <c r="CV24">
        <v>0</v>
      </c>
      <c r="CW24">
        <v>0</v>
      </c>
      <c r="CX24">
        <v>0</v>
      </c>
      <c r="CY24">
        <v>0</v>
      </c>
      <c r="CZ24">
        <f t="shared" si="23"/>
        <v>0</v>
      </c>
      <c r="DA24">
        <f t="shared" si="24"/>
        <v>0</v>
      </c>
      <c r="DB24">
        <f t="shared" si="25"/>
        <v>0</v>
      </c>
      <c r="DC24">
        <f t="shared" si="26"/>
        <v>0</v>
      </c>
      <c r="DD24">
        <f t="shared" si="27"/>
        <v>0</v>
      </c>
      <c r="DE24">
        <f t="shared" si="28"/>
        <v>0</v>
      </c>
      <c r="DF24">
        <f t="shared" si="29"/>
        <v>0</v>
      </c>
      <c r="DG24">
        <f t="shared" si="30"/>
        <v>0</v>
      </c>
      <c r="DH24">
        <f t="shared" si="31"/>
        <v>0</v>
      </c>
      <c r="DI24">
        <f t="shared" si="32"/>
        <v>0</v>
      </c>
      <c r="DJ24">
        <f t="shared" si="33"/>
        <v>0</v>
      </c>
      <c r="DK24">
        <f t="shared" si="34"/>
        <v>0</v>
      </c>
      <c r="DL24">
        <f t="shared" si="35"/>
        <v>0</v>
      </c>
      <c r="DM24">
        <f t="shared" si="36"/>
        <v>0</v>
      </c>
      <c r="DN24">
        <f t="shared" si="37"/>
        <v>0</v>
      </c>
      <c r="DO24">
        <f t="shared" si="38"/>
        <v>0</v>
      </c>
      <c r="DP24">
        <f t="shared" si="39"/>
        <v>0</v>
      </c>
      <c r="DQ24">
        <f t="shared" si="40"/>
        <v>0</v>
      </c>
      <c r="DR24">
        <f t="shared" si="41"/>
        <v>0</v>
      </c>
      <c r="DS24">
        <f t="shared" si="42"/>
        <v>0</v>
      </c>
      <c r="DT24">
        <f t="shared" si="43"/>
        <v>0</v>
      </c>
      <c r="DU24">
        <f t="shared" si="44"/>
        <v>0</v>
      </c>
      <c r="DV24">
        <f t="shared" si="45"/>
        <v>0</v>
      </c>
      <c r="DW24">
        <f t="shared" si="46"/>
        <v>0</v>
      </c>
      <c r="DX24">
        <f t="shared" si="47"/>
        <v>0</v>
      </c>
      <c r="DY24">
        <f t="shared" si="48"/>
        <v>0</v>
      </c>
      <c r="DZ24">
        <f t="shared" si="49"/>
        <v>0</v>
      </c>
      <c r="EA24">
        <f t="shared" si="50"/>
        <v>0</v>
      </c>
      <c r="EB24" s="44">
        <f t="shared" si="4"/>
        <v>624.67040277789442</v>
      </c>
      <c r="EC24" s="44">
        <f t="shared" si="5"/>
        <v>20.822346759263148</v>
      </c>
      <c r="ED24" s="44">
        <f t="shared" si="6"/>
        <v>3010890.5190426917</v>
      </c>
      <c r="EE24" s="44">
        <f t="shared" si="7"/>
        <v>2611.7467832457714</v>
      </c>
      <c r="EF24" s="44">
        <f t="shared" si="8"/>
        <v>87.058226108192386</v>
      </c>
      <c r="EG24" s="44">
        <f t="shared" si="9"/>
        <v>1102157.1425297156</v>
      </c>
      <c r="EH24" s="44">
        <f t="shared" si="10"/>
        <v>75307.441240063999</v>
      </c>
      <c r="EI24" s="44">
        <f t="shared" si="11"/>
        <v>2510.2480413354665</v>
      </c>
      <c r="EJ24" s="44">
        <f t="shared" si="12"/>
        <v>3423.0655109119998</v>
      </c>
      <c r="EK24" s="44">
        <f t="shared" si="13"/>
        <v>4084173.5632528043</v>
      </c>
      <c r="EL24" s="44">
        <f t="shared" si="14"/>
        <v>5569327.5862538237</v>
      </c>
    </row>
    <row r="25" spans="1:142" x14ac:dyDescent="0.2">
      <c r="A25" s="66">
        <v>43435</v>
      </c>
      <c r="B25" s="4">
        <f t="shared" si="0"/>
        <v>2018</v>
      </c>
      <c r="C25" s="4">
        <f t="shared" si="1"/>
        <v>12</v>
      </c>
      <c r="D25" s="44">
        <v>99924057</v>
      </c>
      <c r="E25" s="44">
        <f>IFERROR(VLOOKUP($B25-1,CDM!$L$7:$T$18,2,FALSE)/12,0)+IFERROR(VLOOKUP($B25,CDM!$L$37:$O$47,2,FALSE)/24,0)+IFERROR(VLOOKUP($B25,CDM!$L$37:$O$47,2,FALSE)/2*$C25/78,0)</f>
        <v>2418804.325004369</v>
      </c>
      <c r="F25" s="44">
        <f t="shared" si="15"/>
        <v>102342861.32500437</v>
      </c>
      <c r="G25" s="488">
        <v>144731</v>
      </c>
      <c r="H25" s="44">
        <v>32931046</v>
      </c>
      <c r="I25" s="44">
        <f>IFERROR(VLOOKUP($B25-1,CDM!$L$7:$T$18,3,FALSE)/12,0)+IFERROR(VLOOKUP($B25,CDM!$L$37:$O$47,3,FALSE)/24,0)+IFERROR(VLOOKUP($B25,CDM!$L$37:$O$47,3,FALSE)/2*$C25/78,0)</f>
        <v>766376.57528366032</v>
      </c>
      <c r="J25" s="44">
        <f t="shared" si="16"/>
        <v>33697422.575283661</v>
      </c>
      <c r="K25" s="44">
        <v>12676</v>
      </c>
      <c r="L25" s="44">
        <v>115953346</v>
      </c>
      <c r="M25" s="44">
        <f>IFERROR(VLOOKUP($B25-1,CDM!$L$7:$T$18,4,FALSE)/12,0)+IFERROR(VLOOKUP($B25,CDM!$L$37:$O$47,4,FALSE)/24,0)+IFERROR(VLOOKUP($B25,CDM!$L$37:$O$47,4,FALSE)/2*$C25/78,0)</f>
        <v>4826899.1661534924</v>
      </c>
      <c r="N25" s="44">
        <f t="shared" si="17"/>
        <v>120780245.16615349</v>
      </c>
      <c r="O25" s="44">
        <v>285396.58</v>
      </c>
      <c r="P25" s="488">
        <v>1626</v>
      </c>
      <c r="Q25" s="488">
        <v>951207</v>
      </c>
      <c r="R25" s="488">
        <f>IFERROR(VLOOKUP($B25-1,CDM!$L$7:$T$18,5,FALSE)/12,0)+IFERROR(VLOOKUP($B25,CDM!$L$37:$T$47,5,FALSE)/24,0)+IFERROR(VLOOKUP($B25,CDM!$L$37:$T$47,5,FALSE)/2*$C25/78,0)</f>
        <v>115896.52199674778</v>
      </c>
      <c r="S25" s="488">
        <f t="shared" si="18"/>
        <v>1067103.5219967477</v>
      </c>
      <c r="T25" s="44">
        <v>1232.1500000000001</v>
      </c>
      <c r="U25" s="488">
        <v>5</v>
      </c>
      <c r="V25" s="488">
        <v>8354739</v>
      </c>
      <c r="W25" s="488">
        <f>IFERROR(VLOOKUP($B25-1,CDM!$L$7:$T$18,6,FALSE)/12,0)+IFERROR(VLOOKUP($B25,CDM!$L$37:$T$47,6,FALSE)/24,0)+IFERROR(VLOOKUP($B25,CDM!$L$37:$T$47,6,FALSE)/2*$C25/78,0)</f>
        <v>212665.16252337961</v>
      </c>
      <c r="X25" s="488">
        <f t="shared" si="19"/>
        <v>8567404.1625233795</v>
      </c>
      <c r="Y25" s="488">
        <v>14356.82</v>
      </c>
      <c r="Z25" s="488">
        <v>1</v>
      </c>
      <c r="AA25" s="44">
        <v>1778845.7</v>
      </c>
      <c r="AB25" s="44">
        <v>3848.57</v>
      </c>
      <c r="AC25" s="488">
        <v>36780</v>
      </c>
      <c r="AD25" s="44">
        <v>467487.49000000005</v>
      </c>
      <c r="AE25" s="44">
        <v>1524</v>
      </c>
      <c r="AF25" s="44">
        <v>46277.909999999996</v>
      </c>
      <c r="AG25" s="44">
        <v>123.17</v>
      </c>
      <c r="AH25" s="44">
        <v>529</v>
      </c>
      <c r="AI25" s="44">
        <v>14400</v>
      </c>
      <c r="AJ25" s="68">
        <f>Economic!H39</f>
        <v>789828.1</v>
      </c>
      <c r="AK25" s="68">
        <f>Economic!I39</f>
        <v>95159.5</v>
      </c>
      <c r="AL25" s="68">
        <f>Economic!J39</f>
        <v>30609.7</v>
      </c>
      <c r="AM25" s="68">
        <f>Economic!K39</f>
        <v>72894</v>
      </c>
      <c r="AN25" s="68">
        <f>Economic!L39</f>
        <v>57384.800000000003</v>
      </c>
      <c r="AO25" s="68">
        <f>Economic!M39</f>
        <v>799922</v>
      </c>
      <c r="AP25" s="68">
        <f>Economic!N39</f>
        <v>96123</v>
      </c>
      <c r="AQ25" s="68">
        <f>Economic!O39</f>
        <v>13379</v>
      </c>
      <c r="AR25" s="68">
        <f>Economic!P39</f>
        <v>32344</v>
      </c>
      <c r="AS25" s="68">
        <f>Economic!Q39</f>
        <v>72211</v>
      </c>
      <c r="AT25" s="68">
        <f>Economic!D39</f>
        <v>7296.4</v>
      </c>
      <c r="AU25" s="68">
        <f>Economic!E39</f>
        <v>7306.9</v>
      </c>
      <c r="AV25" s="68">
        <f>Economic!F39</f>
        <v>260.39999999999998</v>
      </c>
      <c r="AW25" s="68">
        <f>Economic!G39</f>
        <v>257.10000000000002</v>
      </c>
      <c r="AX25" s="68">
        <f>Economic!W39</f>
        <v>28416</v>
      </c>
      <c r="AY25" s="68">
        <f>Economic!R39</f>
        <v>99.599999999999454</v>
      </c>
      <c r="AZ25" s="68">
        <f>Economic!W39</f>
        <v>28416</v>
      </c>
      <c r="BA25" s="68">
        <f>Economic!X39</f>
        <v>4446</v>
      </c>
      <c r="BB25" s="68">
        <f>Economic!Y39</f>
        <v>-1929</v>
      </c>
      <c r="BC25" s="236">
        <f>Weather!C37</f>
        <v>-0.49905913978494637</v>
      </c>
      <c r="BD25" s="16">
        <f>Weather!D37</f>
        <v>635.4708333333333</v>
      </c>
      <c r="BE25" s="16">
        <f>Weather!E37</f>
        <v>0</v>
      </c>
      <c r="BF25" s="16">
        <f>Weather!F37</f>
        <v>573.47083333333342</v>
      </c>
      <c r="BG25" s="16">
        <f>Weather!G37</f>
        <v>0</v>
      </c>
      <c r="BH25" s="16">
        <f>Weather!H37</f>
        <v>511.4708333333333</v>
      </c>
      <c r="BI25" s="16">
        <f>Weather!I37</f>
        <v>0</v>
      </c>
      <c r="BJ25" s="16">
        <f>Weather!J37</f>
        <v>449.47083333333325</v>
      </c>
      <c r="BK25" s="16">
        <f>Weather!K37</f>
        <v>0</v>
      </c>
      <c r="BL25" s="16">
        <f>Weather!L37</f>
        <v>387.4708333333333</v>
      </c>
      <c r="BM25" s="16">
        <f>Weather!M37</f>
        <v>0</v>
      </c>
      <c r="BN25" s="16">
        <f>Weather!N37</f>
        <v>325.4708333333333</v>
      </c>
      <c r="BO25" s="16">
        <f>Weather!O37</f>
        <v>0</v>
      </c>
      <c r="BP25" s="16">
        <f>Weather!P37</f>
        <v>263.4708333333333</v>
      </c>
      <c r="BQ25" s="16">
        <f>Weather!Q37</f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1</v>
      </c>
      <c r="CD25">
        <v>0</v>
      </c>
      <c r="CE25">
        <f t="shared" si="52"/>
        <v>0</v>
      </c>
      <c r="CF25">
        <v>0</v>
      </c>
      <c r="CG25">
        <f t="shared" si="52"/>
        <v>0</v>
      </c>
      <c r="CH25">
        <v>0</v>
      </c>
      <c r="CI25">
        <f t="shared" si="51"/>
        <v>0</v>
      </c>
      <c r="CJ25">
        <f t="shared" si="21"/>
        <v>0</v>
      </c>
      <c r="CK25">
        <f t="shared" si="53"/>
        <v>0</v>
      </c>
      <c r="CL25">
        <f t="shared" si="53"/>
        <v>0</v>
      </c>
      <c r="CM25" s="1">
        <f t="shared" si="22"/>
        <v>24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>
        <v>31</v>
      </c>
      <c r="CT25">
        <v>19</v>
      </c>
      <c r="CU25">
        <v>0</v>
      </c>
      <c r="CV25">
        <v>0</v>
      </c>
      <c r="CW25">
        <v>0</v>
      </c>
      <c r="CX25">
        <v>0</v>
      </c>
      <c r="CY25">
        <v>0</v>
      </c>
      <c r="CZ25">
        <f t="shared" si="23"/>
        <v>0</v>
      </c>
      <c r="DA25">
        <f t="shared" si="24"/>
        <v>0</v>
      </c>
      <c r="DB25">
        <f t="shared" si="25"/>
        <v>0</v>
      </c>
      <c r="DC25">
        <f t="shared" si="26"/>
        <v>0</v>
      </c>
      <c r="DD25">
        <f t="shared" si="27"/>
        <v>0</v>
      </c>
      <c r="DE25">
        <f t="shared" si="28"/>
        <v>0</v>
      </c>
      <c r="DF25">
        <f t="shared" si="29"/>
        <v>0</v>
      </c>
      <c r="DG25">
        <f t="shared" si="30"/>
        <v>0</v>
      </c>
      <c r="DH25">
        <f t="shared" si="31"/>
        <v>0</v>
      </c>
      <c r="DI25">
        <f t="shared" si="32"/>
        <v>0</v>
      </c>
      <c r="DJ25">
        <f t="shared" si="33"/>
        <v>0</v>
      </c>
      <c r="DK25">
        <f t="shared" si="34"/>
        <v>0</v>
      </c>
      <c r="DL25">
        <f t="shared" si="35"/>
        <v>0</v>
      </c>
      <c r="DM25">
        <f t="shared" si="36"/>
        <v>0</v>
      </c>
      <c r="DN25">
        <f t="shared" si="37"/>
        <v>0</v>
      </c>
      <c r="DO25">
        <f t="shared" si="38"/>
        <v>0</v>
      </c>
      <c r="DP25">
        <f t="shared" si="39"/>
        <v>0</v>
      </c>
      <c r="DQ25">
        <f t="shared" si="40"/>
        <v>0</v>
      </c>
      <c r="DR25">
        <f t="shared" si="41"/>
        <v>0</v>
      </c>
      <c r="DS25">
        <f t="shared" si="42"/>
        <v>0</v>
      </c>
      <c r="DT25">
        <f t="shared" si="43"/>
        <v>0</v>
      </c>
      <c r="DU25">
        <f t="shared" si="44"/>
        <v>0</v>
      </c>
      <c r="DV25">
        <f t="shared" si="45"/>
        <v>0</v>
      </c>
      <c r="DW25">
        <f t="shared" si="46"/>
        <v>0</v>
      </c>
      <c r="DX25">
        <f t="shared" si="47"/>
        <v>0</v>
      </c>
      <c r="DY25">
        <f t="shared" si="48"/>
        <v>0</v>
      </c>
      <c r="DZ25">
        <f t="shared" si="49"/>
        <v>0</v>
      </c>
      <c r="EA25">
        <f t="shared" si="50"/>
        <v>0</v>
      </c>
      <c r="EB25" s="44">
        <f t="shared" si="4"/>
        <v>707.12467491418124</v>
      </c>
      <c r="EC25" s="44">
        <f t="shared" si="5"/>
        <v>22.810473384328429</v>
      </c>
      <c r="ED25" s="44">
        <f t="shared" si="6"/>
        <v>3301382.6233872375</v>
      </c>
      <c r="EE25" s="44">
        <f t="shared" si="7"/>
        <v>2658.364040334779</v>
      </c>
      <c r="EF25" s="44">
        <f t="shared" si="8"/>
        <v>85.753678720476742</v>
      </c>
      <c r="EG25" s="44">
        <f t="shared" si="9"/>
        <v>1087013.6314607633</v>
      </c>
      <c r="EH25" s="44">
        <f t="shared" si="10"/>
        <v>74280.593583120222</v>
      </c>
      <c r="EI25" s="44">
        <f t="shared" si="11"/>
        <v>2396.1481801006526</v>
      </c>
      <c r="EJ25" s="44">
        <f t="shared" si="12"/>
        <v>3909.5049254273799</v>
      </c>
      <c r="EK25" s="44">
        <f t="shared" si="13"/>
        <v>3896136.9408436609</v>
      </c>
      <c r="EL25" s="44">
        <f t="shared" si="14"/>
        <v>6356855.0087449206</v>
      </c>
    </row>
    <row r="26" spans="1:142" x14ac:dyDescent="0.2">
      <c r="A26" s="66">
        <v>43466</v>
      </c>
      <c r="B26" s="4">
        <f t="shared" si="0"/>
        <v>2019</v>
      </c>
      <c r="C26" s="4">
        <f t="shared" si="1"/>
        <v>1</v>
      </c>
      <c r="D26" s="44">
        <v>103309718.73474699</v>
      </c>
      <c r="E26" s="44">
        <f>IFERROR(VLOOKUP($B26-1,CDM!$L$7:$T$18,2,FALSE)/12,0)+IFERROR(VLOOKUP($B26,CDM!$L$37:$O$47,2,FALSE)/24,0)+IFERROR(VLOOKUP($B26,CDM!$L$37:$O$47,2,FALSE)/2*$C26/78,0)</f>
        <v>2106960.285188532</v>
      </c>
      <c r="F26" s="44">
        <f t="shared" si="15"/>
        <v>105416679.01993552</v>
      </c>
      <c r="G26" s="488">
        <v>144863</v>
      </c>
      <c r="H26" s="44">
        <v>36106848.232688896</v>
      </c>
      <c r="I26" s="44">
        <f>IFERROR(VLOOKUP($B26-1,CDM!$L$7:$T$18,3,FALSE)/12,0)+IFERROR(VLOOKUP($B26,CDM!$L$37:$O$47,3,FALSE)/24,0)+IFERROR(VLOOKUP($B26,CDM!$L$37:$O$47,3,FALSE)/2*$C26/78,0)</f>
        <v>722632.52017904876</v>
      </c>
      <c r="J26" s="44">
        <f t="shared" si="16"/>
        <v>36829480.752867945</v>
      </c>
      <c r="K26" s="44">
        <v>12729</v>
      </c>
      <c r="L26" s="44">
        <v>118145186.819622</v>
      </c>
      <c r="M26" s="44">
        <f>IFERROR(VLOOKUP($B26-1,CDM!$L$7:$T$18,4,FALSE)/12,0)+IFERROR(VLOOKUP($B26,CDM!$L$37:$O$47,4,FALSE)/24,0)+IFERROR(VLOOKUP($B26,CDM!$L$37:$O$47,4,FALSE)/2*$C26/78,0)</f>
        <v>4412305.1959179407</v>
      </c>
      <c r="N26" s="44">
        <f t="shared" si="17"/>
        <v>122557492.01553993</v>
      </c>
      <c r="O26" s="44">
        <v>295543.46000000002</v>
      </c>
      <c r="P26" s="488">
        <v>1578</v>
      </c>
      <c r="Q26" s="488">
        <v>879471.38848867198</v>
      </c>
      <c r="R26" s="488">
        <f>IFERROR(VLOOKUP($B26-1,CDM!$L$7:$T$18,5,FALSE)/12,0)+IFERROR(VLOOKUP($B26,CDM!$L$37:$T$47,5,FALSE)/24,0)+IFERROR(VLOOKUP($B26,CDM!$L$37:$T$47,5,FALSE)/2*$C26/78,0)</f>
        <v>94928.297369385633</v>
      </c>
      <c r="S26" s="488">
        <f t="shared" si="18"/>
        <v>974399.68585805758</v>
      </c>
      <c r="T26" s="44">
        <v>1240.2100000000003</v>
      </c>
      <c r="U26" s="488">
        <v>5</v>
      </c>
      <c r="V26" s="488">
        <v>8746139.5564112607</v>
      </c>
      <c r="W26" s="488">
        <f>IFERROR(VLOOKUP($B26-1,CDM!$L$7:$T$18,6,FALSE)/12,0)+IFERROR(VLOOKUP($B26,CDM!$L$37:$T$47,6,FALSE)/24,0)+IFERROR(VLOOKUP($B26,CDM!$L$37:$T$47,6,FALSE)/2*$C26/78,0)</f>
        <v>243138.71827765342</v>
      </c>
      <c r="X26" s="488">
        <f t="shared" si="19"/>
        <v>8989278.2746889144</v>
      </c>
      <c r="Y26" s="488">
        <v>14596.81</v>
      </c>
      <c r="Z26" s="488">
        <v>1</v>
      </c>
      <c r="AA26" s="44">
        <v>1723231.18</v>
      </c>
      <c r="AB26" s="44">
        <v>3857.61</v>
      </c>
      <c r="AC26" s="488">
        <v>36848</v>
      </c>
      <c r="AD26" s="44">
        <v>467802.56999999995</v>
      </c>
      <c r="AE26" s="44">
        <v>1530</v>
      </c>
      <c r="AF26" s="44">
        <v>46018.549999999981</v>
      </c>
      <c r="AG26" s="44">
        <v>123.16</v>
      </c>
      <c r="AH26" s="44">
        <v>529</v>
      </c>
      <c r="AI26" s="44">
        <v>14400</v>
      </c>
      <c r="AJ26" s="68">
        <f>Economic!H40</f>
        <v>807583.1</v>
      </c>
      <c r="AK26" s="68">
        <f>Economic!I40</f>
        <v>94617.3</v>
      </c>
      <c r="AL26" s="68">
        <f>Economic!J40</f>
        <v>33264.1</v>
      </c>
      <c r="AM26" s="68">
        <f>Economic!K40</f>
        <v>75322.899999999994</v>
      </c>
      <c r="AN26" s="68">
        <f>Economic!L40</f>
        <v>59802.7</v>
      </c>
      <c r="AO26" s="68">
        <f>Economic!M40</f>
        <v>800743</v>
      </c>
      <c r="AP26" s="68">
        <f>Economic!N40</f>
        <v>95928</v>
      </c>
      <c r="AQ26" s="68">
        <f>Economic!O40</f>
        <v>13861</v>
      </c>
      <c r="AR26" s="68">
        <f>Economic!P40</f>
        <v>32453</v>
      </c>
      <c r="AS26" s="68">
        <f>Economic!Q40</f>
        <v>73144</v>
      </c>
      <c r="AT26" s="68">
        <f>Economic!D40</f>
        <v>7306.5</v>
      </c>
      <c r="AU26" s="68">
        <f>Economic!E40</f>
        <v>7280.1</v>
      </c>
      <c r="AV26" s="68">
        <f>Economic!F40</f>
        <v>259.60000000000002</v>
      </c>
      <c r="AW26" s="68">
        <f>Economic!G40</f>
        <v>255.8</v>
      </c>
      <c r="AX26" s="68">
        <f>Economic!W40</f>
        <v>21049</v>
      </c>
      <c r="AY26" s="68">
        <f>Economic!R40</f>
        <v>111.5</v>
      </c>
      <c r="AZ26" s="68">
        <f>Economic!W40</f>
        <v>21049</v>
      </c>
      <c r="BA26" s="68">
        <f>Economic!X40</f>
        <v>1825</v>
      </c>
      <c r="BB26" s="68">
        <f>Economic!Y40</f>
        <v>-819</v>
      </c>
      <c r="BC26" s="236">
        <f>Weather!C38</f>
        <v>-7.1076612903225795</v>
      </c>
      <c r="BD26" s="16">
        <f>Weather!D38</f>
        <v>840.33749999999986</v>
      </c>
      <c r="BE26" s="16">
        <f>Weather!E38</f>
        <v>0</v>
      </c>
      <c r="BF26" s="16">
        <f>Weather!F38</f>
        <v>778.33750000000009</v>
      </c>
      <c r="BG26" s="16">
        <f>Weather!G38</f>
        <v>0</v>
      </c>
      <c r="BH26" s="16">
        <f>Weather!H38</f>
        <v>716.33749999999986</v>
      </c>
      <c r="BI26" s="16">
        <f>Weather!I38</f>
        <v>0</v>
      </c>
      <c r="BJ26" s="16">
        <f>Weather!J38</f>
        <v>654.33749999999986</v>
      </c>
      <c r="BK26" s="16">
        <f>Weather!K38</f>
        <v>0</v>
      </c>
      <c r="BL26" s="16">
        <f>Weather!L38</f>
        <v>592.33749999999986</v>
      </c>
      <c r="BM26" s="16">
        <f>Weather!M38</f>
        <v>0</v>
      </c>
      <c r="BN26" s="16">
        <f>Weather!N38</f>
        <v>530.33749999999986</v>
      </c>
      <c r="BO26" s="16">
        <f>Weather!O38</f>
        <v>0</v>
      </c>
      <c r="BP26" s="16">
        <f>Weather!P38</f>
        <v>468.33749999999998</v>
      </c>
      <c r="BQ26" s="16">
        <f>Weather!Q38</f>
        <v>0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f t="shared" si="52"/>
        <v>0</v>
      </c>
      <c r="CF26">
        <v>0</v>
      </c>
      <c r="CG26">
        <f t="shared" si="52"/>
        <v>0</v>
      </c>
      <c r="CH26">
        <v>0</v>
      </c>
      <c r="CI26">
        <f t="shared" si="51"/>
        <v>0</v>
      </c>
      <c r="CJ26">
        <f t="shared" si="21"/>
        <v>0</v>
      </c>
      <c r="CK26">
        <f t="shared" si="53"/>
        <v>0</v>
      </c>
      <c r="CL26">
        <f t="shared" si="53"/>
        <v>0</v>
      </c>
      <c r="CM26" s="1">
        <f t="shared" si="22"/>
        <v>25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>
        <v>31</v>
      </c>
      <c r="CT26">
        <v>22</v>
      </c>
      <c r="CU26">
        <v>0</v>
      </c>
      <c r="CV26">
        <v>0</v>
      </c>
      <c r="CW26">
        <v>0</v>
      </c>
      <c r="CX26">
        <v>0</v>
      </c>
      <c r="CY26">
        <v>0</v>
      </c>
      <c r="CZ26">
        <f t="shared" si="23"/>
        <v>0</v>
      </c>
      <c r="DA26">
        <f t="shared" si="24"/>
        <v>0</v>
      </c>
      <c r="DB26">
        <f t="shared" si="25"/>
        <v>0</v>
      </c>
      <c r="DC26">
        <f t="shared" si="26"/>
        <v>0</v>
      </c>
      <c r="DD26">
        <f t="shared" si="27"/>
        <v>0</v>
      </c>
      <c r="DE26">
        <f t="shared" si="28"/>
        <v>0</v>
      </c>
      <c r="DF26">
        <f t="shared" si="29"/>
        <v>0</v>
      </c>
      <c r="DG26">
        <f t="shared" si="30"/>
        <v>0</v>
      </c>
      <c r="DH26">
        <f t="shared" si="31"/>
        <v>0</v>
      </c>
      <c r="DI26">
        <f t="shared" si="32"/>
        <v>0</v>
      </c>
      <c r="DJ26">
        <f t="shared" si="33"/>
        <v>0</v>
      </c>
      <c r="DK26">
        <f t="shared" si="34"/>
        <v>0</v>
      </c>
      <c r="DL26">
        <f t="shared" si="35"/>
        <v>0</v>
      </c>
      <c r="DM26">
        <f t="shared" si="36"/>
        <v>0</v>
      </c>
      <c r="DN26">
        <f t="shared" si="37"/>
        <v>0</v>
      </c>
      <c r="DO26">
        <f t="shared" si="38"/>
        <v>0</v>
      </c>
      <c r="DP26">
        <f t="shared" si="39"/>
        <v>0</v>
      </c>
      <c r="DQ26">
        <f t="shared" si="40"/>
        <v>0</v>
      </c>
      <c r="DR26">
        <f t="shared" si="41"/>
        <v>0</v>
      </c>
      <c r="DS26">
        <f t="shared" si="42"/>
        <v>0</v>
      </c>
      <c r="DT26">
        <f t="shared" si="43"/>
        <v>0</v>
      </c>
      <c r="DU26">
        <f t="shared" si="44"/>
        <v>0</v>
      </c>
      <c r="DV26">
        <f t="shared" si="45"/>
        <v>0</v>
      </c>
      <c r="DW26">
        <f t="shared" si="46"/>
        <v>0</v>
      </c>
      <c r="DX26">
        <f t="shared" si="47"/>
        <v>0</v>
      </c>
      <c r="DY26">
        <f t="shared" si="48"/>
        <v>0</v>
      </c>
      <c r="DZ26">
        <f t="shared" si="49"/>
        <v>0</v>
      </c>
      <c r="EA26">
        <f t="shared" si="50"/>
        <v>0</v>
      </c>
      <c r="EB26" s="44">
        <f t="shared" si="4"/>
        <v>727.69912965999265</v>
      </c>
      <c r="EC26" s="44">
        <f t="shared" si="5"/>
        <v>23.474165472902989</v>
      </c>
      <c r="ED26" s="44">
        <f t="shared" si="6"/>
        <v>3400538.032901146</v>
      </c>
      <c r="EE26" s="44">
        <f t="shared" si="7"/>
        <v>2893.352247063237</v>
      </c>
      <c r="EF26" s="44">
        <f t="shared" si="8"/>
        <v>93.333943453652807</v>
      </c>
      <c r="EG26" s="44">
        <f t="shared" si="9"/>
        <v>1188047.7662215466</v>
      </c>
      <c r="EH26" s="44">
        <f t="shared" si="10"/>
        <v>77666.34475002531</v>
      </c>
      <c r="EI26" s="44">
        <f t="shared" si="11"/>
        <v>2505.3659596782359</v>
      </c>
      <c r="EJ26" s="44">
        <f>EH26/CT26</f>
        <v>3530.2883977284232</v>
      </c>
      <c r="EK26" s="44">
        <f t="shared" ref="EK26:EK57" si="54">N26/CS26</f>
        <v>3953467.4843722559</v>
      </c>
      <c r="EL26" s="44">
        <f>N26/CT26</f>
        <v>5570795.0916154515</v>
      </c>
    </row>
    <row r="27" spans="1:142" x14ac:dyDescent="0.2">
      <c r="A27" s="66">
        <v>43497</v>
      </c>
      <c r="B27" s="4">
        <f t="shared" si="0"/>
        <v>2019</v>
      </c>
      <c r="C27" s="4">
        <f t="shared" si="1"/>
        <v>2</v>
      </c>
      <c r="D27" s="44">
        <v>90504685.710689902</v>
      </c>
      <c r="E27" s="44">
        <f>IFERROR(VLOOKUP($B27-1,CDM!$L$7:$T$18,2,FALSE)/12,0)+IFERROR(VLOOKUP($B27,CDM!$L$37:$O$47,2,FALSE)/24,0)+IFERROR(VLOOKUP($B27,CDM!$L$37:$O$47,2,FALSE)/2*$C27/78,0)</f>
        <v>2116289.6326104146</v>
      </c>
      <c r="F27" s="44">
        <f t="shared" si="15"/>
        <v>92620975.343300313</v>
      </c>
      <c r="G27" s="488">
        <v>145010</v>
      </c>
      <c r="H27" s="44">
        <v>32628615.827427901</v>
      </c>
      <c r="I27" s="44">
        <f>IFERROR(VLOOKUP($B27-1,CDM!$L$7:$T$18,3,FALSE)/12,0)+IFERROR(VLOOKUP($B27,CDM!$L$37:$O$47,3,FALSE)/24,0)+IFERROR(VLOOKUP($B27,CDM!$L$37:$O$47,3,FALSE)/2*$C27/78,0)</f>
        <v>738284.66571937385</v>
      </c>
      <c r="J27" s="44">
        <f t="shared" si="16"/>
        <v>33366900.493147276</v>
      </c>
      <c r="K27" s="44">
        <v>12739</v>
      </c>
      <c r="L27" s="44">
        <v>108311099.820206</v>
      </c>
      <c r="M27" s="44">
        <f>IFERROR(VLOOKUP($B27-1,CDM!$L$7:$T$18,4,FALSE)/12,0)+IFERROR(VLOOKUP($B27,CDM!$L$37:$O$47,4,FALSE)/24,0)+IFERROR(VLOOKUP($B27,CDM!$L$37:$O$47,4,FALSE)/2*$C27/78,0)</f>
        <v>4482472.3968374012</v>
      </c>
      <c r="N27" s="44">
        <f t="shared" si="17"/>
        <v>112793572.2170434</v>
      </c>
      <c r="O27" s="44">
        <v>292576.77</v>
      </c>
      <c r="P27" s="488">
        <v>1577</v>
      </c>
      <c r="Q27" s="488">
        <v>926229.03527936805</v>
      </c>
      <c r="R27" s="488">
        <f>IFERROR(VLOOKUP($B27-1,CDM!$L$7:$T$18,5,FALSE)/12,0)+IFERROR(VLOOKUP($B27,CDM!$L$37:$T$47,5,FALSE)/24,0)+IFERROR(VLOOKUP($B27,CDM!$L$37:$T$47,5,FALSE)/2*$C27/78,0)</f>
        <v>94919.611313217072</v>
      </c>
      <c r="S27" s="488">
        <f t="shared" si="18"/>
        <v>1021148.6465925851</v>
      </c>
      <c r="T27" s="44">
        <v>833.04</v>
      </c>
      <c r="U27" s="488">
        <v>5</v>
      </c>
      <c r="V27" s="488">
        <v>7842022.8844860001</v>
      </c>
      <c r="W27" s="488">
        <f>IFERROR(VLOOKUP($B27-1,CDM!$L$7:$T$18,6,FALSE)/12,0)+IFERROR(VLOOKUP($B27,CDM!$L$37:$T$47,6,FALSE)/24,0)+IFERROR(VLOOKUP($B27,CDM!$L$37:$T$47,6,FALSE)/2*$C27/78,0)</f>
        <v>255522.46701737196</v>
      </c>
      <c r="X27" s="488">
        <f t="shared" si="19"/>
        <v>8097545.3515033722</v>
      </c>
      <c r="Y27" s="488">
        <v>14595.4</v>
      </c>
      <c r="Z27" s="488">
        <v>1</v>
      </c>
      <c r="AA27" s="44">
        <v>1449972.91</v>
      </c>
      <c r="AB27" s="44">
        <v>3858.77</v>
      </c>
      <c r="AC27" s="488">
        <v>36858</v>
      </c>
      <c r="AD27" s="44">
        <v>422962.01</v>
      </c>
      <c r="AE27" s="44">
        <v>1534</v>
      </c>
      <c r="AF27" s="44">
        <v>42292.359999999979</v>
      </c>
      <c r="AG27" s="44">
        <v>122.88</v>
      </c>
      <c r="AH27" s="44">
        <v>528</v>
      </c>
      <c r="AI27" s="44">
        <v>14400</v>
      </c>
      <c r="AJ27" s="68">
        <f>Economic!H41</f>
        <v>807583.1</v>
      </c>
      <c r="AK27" s="68">
        <f>Economic!I41</f>
        <v>94617.3</v>
      </c>
      <c r="AL27" s="68">
        <f>Economic!J41</f>
        <v>33264.1</v>
      </c>
      <c r="AM27" s="68">
        <f>Economic!K41</f>
        <v>75322.899999999994</v>
      </c>
      <c r="AN27" s="68">
        <f>Economic!L41</f>
        <v>59802.7</v>
      </c>
      <c r="AO27" s="68">
        <f>Economic!M41</f>
        <v>800743</v>
      </c>
      <c r="AP27" s="68">
        <f>Economic!N41</f>
        <v>95928</v>
      </c>
      <c r="AQ27" s="68">
        <f>Economic!O41</f>
        <v>13861</v>
      </c>
      <c r="AR27" s="68">
        <f>Economic!P41</f>
        <v>32453</v>
      </c>
      <c r="AS27" s="68">
        <f>Economic!Q41</f>
        <v>73144</v>
      </c>
      <c r="AT27" s="68">
        <f>Economic!D41</f>
        <v>7329.7</v>
      </c>
      <c r="AU27" s="68">
        <f>Economic!E41</f>
        <v>7264.2</v>
      </c>
      <c r="AV27" s="68">
        <f>Economic!F41</f>
        <v>258.3</v>
      </c>
      <c r="AW27" s="68">
        <f>Economic!G41</f>
        <v>255.3</v>
      </c>
      <c r="AX27" s="68">
        <f>Economic!W41</f>
        <v>21049</v>
      </c>
      <c r="AY27" s="68">
        <f>Economic!R41</f>
        <v>145.80000000000018</v>
      </c>
      <c r="AZ27" s="68">
        <f>Economic!W41</f>
        <v>21049</v>
      </c>
      <c r="BA27" s="68">
        <f>Economic!X41</f>
        <v>1825</v>
      </c>
      <c r="BB27" s="68">
        <f>Economic!Y41</f>
        <v>-819</v>
      </c>
      <c r="BC27" s="236">
        <f>Weather!C39</f>
        <v>-4.4968750000000002</v>
      </c>
      <c r="BD27" s="16">
        <f>Weather!D39</f>
        <v>685.91250000000002</v>
      </c>
      <c r="BE27" s="16">
        <f>Weather!E39</f>
        <v>0</v>
      </c>
      <c r="BF27" s="16">
        <f>Weather!F39</f>
        <v>629.91250000000002</v>
      </c>
      <c r="BG27" s="16">
        <f>Weather!G39</f>
        <v>0</v>
      </c>
      <c r="BH27" s="16">
        <f>Weather!H39</f>
        <v>573.91250000000002</v>
      </c>
      <c r="BI27" s="16">
        <f>Weather!I39</f>
        <v>0</v>
      </c>
      <c r="BJ27" s="16">
        <f>Weather!J39</f>
        <v>517.91250000000002</v>
      </c>
      <c r="BK27" s="16">
        <f>Weather!K39</f>
        <v>0</v>
      </c>
      <c r="BL27" s="16">
        <f>Weather!L39</f>
        <v>461.91249999999997</v>
      </c>
      <c r="BM27" s="16">
        <f>Weather!M39</f>
        <v>0</v>
      </c>
      <c r="BN27" s="16">
        <f>Weather!N39</f>
        <v>405.91249999999997</v>
      </c>
      <c r="BO27" s="16">
        <f>Weather!O39</f>
        <v>0</v>
      </c>
      <c r="BP27" s="16">
        <f>Weather!P39</f>
        <v>349.91249999999997</v>
      </c>
      <c r="BQ27" s="16">
        <f>Weather!Q39</f>
        <v>0</v>
      </c>
      <c r="BR27">
        <v>0</v>
      </c>
      <c r="BS27">
        <v>1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f t="shared" si="52"/>
        <v>0</v>
      </c>
      <c r="CF27">
        <v>0</v>
      </c>
      <c r="CG27">
        <f t="shared" si="52"/>
        <v>0</v>
      </c>
      <c r="CH27">
        <v>0</v>
      </c>
      <c r="CI27">
        <f t="shared" si="51"/>
        <v>0</v>
      </c>
      <c r="CJ27">
        <f t="shared" si="21"/>
        <v>0</v>
      </c>
      <c r="CK27">
        <f t="shared" si="53"/>
        <v>0</v>
      </c>
      <c r="CL27">
        <f t="shared" si="53"/>
        <v>0</v>
      </c>
      <c r="CM27" s="1">
        <f t="shared" si="22"/>
        <v>26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>
        <v>28</v>
      </c>
      <c r="CT27">
        <v>19</v>
      </c>
      <c r="CU27">
        <v>0</v>
      </c>
      <c r="CV27">
        <v>0</v>
      </c>
      <c r="CW27">
        <v>0</v>
      </c>
      <c r="CX27">
        <v>0</v>
      </c>
      <c r="CY27">
        <v>0</v>
      </c>
      <c r="CZ27">
        <f t="shared" si="23"/>
        <v>0</v>
      </c>
      <c r="DA27">
        <f t="shared" si="24"/>
        <v>0</v>
      </c>
      <c r="DB27">
        <f t="shared" si="25"/>
        <v>0</v>
      </c>
      <c r="DC27">
        <f t="shared" si="26"/>
        <v>0</v>
      </c>
      <c r="DD27">
        <f t="shared" si="27"/>
        <v>0</v>
      </c>
      <c r="DE27">
        <f t="shared" si="28"/>
        <v>0</v>
      </c>
      <c r="DF27">
        <f t="shared" si="29"/>
        <v>0</v>
      </c>
      <c r="DG27">
        <f t="shared" si="30"/>
        <v>0</v>
      </c>
      <c r="DH27">
        <f t="shared" si="31"/>
        <v>0</v>
      </c>
      <c r="DI27">
        <f t="shared" si="32"/>
        <v>0</v>
      </c>
      <c r="DJ27">
        <f t="shared" si="33"/>
        <v>0</v>
      </c>
      <c r="DK27">
        <f t="shared" si="34"/>
        <v>0</v>
      </c>
      <c r="DL27">
        <f t="shared" si="35"/>
        <v>0</v>
      </c>
      <c r="DM27">
        <f t="shared" si="36"/>
        <v>0</v>
      </c>
      <c r="DN27">
        <f t="shared" si="37"/>
        <v>0</v>
      </c>
      <c r="DO27">
        <f t="shared" si="38"/>
        <v>0</v>
      </c>
      <c r="DP27">
        <f t="shared" si="39"/>
        <v>0</v>
      </c>
      <c r="DQ27">
        <f t="shared" si="40"/>
        <v>0</v>
      </c>
      <c r="DR27">
        <f t="shared" si="41"/>
        <v>0</v>
      </c>
      <c r="DS27">
        <f t="shared" si="42"/>
        <v>0</v>
      </c>
      <c r="DT27">
        <f t="shared" si="43"/>
        <v>0</v>
      </c>
      <c r="DU27">
        <f t="shared" si="44"/>
        <v>0</v>
      </c>
      <c r="DV27">
        <f t="shared" si="45"/>
        <v>0</v>
      </c>
      <c r="DW27">
        <f t="shared" si="46"/>
        <v>0</v>
      </c>
      <c r="DX27">
        <f t="shared" si="47"/>
        <v>0</v>
      </c>
      <c r="DY27">
        <f t="shared" si="48"/>
        <v>0</v>
      </c>
      <c r="DZ27">
        <f t="shared" si="49"/>
        <v>0</v>
      </c>
      <c r="EA27">
        <f t="shared" si="50"/>
        <v>0</v>
      </c>
      <c r="EB27" s="44">
        <f t="shared" si="4"/>
        <v>638.7212974505228</v>
      </c>
      <c r="EC27" s="44">
        <f t="shared" si="5"/>
        <v>22.811474908947243</v>
      </c>
      <c r="ED27" s="44">
        <f t="shared" si="6"/>
        <v>3307891.9765464398</v>
      </c>
      <c r="EE27" s="44">
        <f t="shared" si="7"/>
        <v>2619.2715670890398</v>
      </c>
      <c r="EF27" s="44">
        <f t="shared" si="8"/>
        <v>93.545413110322855</v>
      </c>
      <c r="EG27" s="44">
        <f t="shared" si="9"/>
        <v>1191675.0176124028</v>
      </c>
      <c r="EH27" s="44">
        <f t="shared" si="10"/>
        <v>71524.14217948218</v>
      </c>
      <c r="EI27" s="44">
        <f t="shared" si="11"/>
        <v>2554.4336492672205</v>
      </c>
      <c r="EJ27" s="44">
        <f t="shared" ref="EJ27:EJ58" si="55">EH27/CT3</f>
        <v>3764.4285357622198</v>
      </c>
      <c r="EK27" s="44">
        <f t="shared" si="54"/>
        <v>4028341.8648944073</v>
      </c>
      <c r="EL27" s="44">
        <f t="shared" ref="EL27:EL58" si="56">N27/CT3</f>
        <v>5936503.8008970208</v>
      </c>
    </row>
    <row r="28" spans="1:142" x14ac:dyDescent="0.2">
      <c r="A28" s="66">
        <v>43525</v>
      </c>
      <c r="B28" s="4">
        <f t="shared" si="0"/>
        <v>2019</v>
      </c>
      <c r="C28" s="4">
        <f t="shared" si="1"/>
        <v>3</v>
      </c>
      <c r="D28" s="44">
        <v>92115558.623049006</v>
      </c>
      <c r="E28" s="44">
        <f>IFERROR(VLOOKUP($B28-1,CDM!$L$7:$T$18,2,FALSE)/12,0)+IFERROR(VLOOKUP($B28,CDM!$L$37:$O$47,2,FALSE)/24,0)+IFERROR(VLOOKUP($B28,CDM!$L$37:$O$47,2,FALSE)/2*$C28/78,0)</f>
        <v>2125618.9800322978</v>
      </c>
      <c r="F28" s="44">
        <f t="shared" si="15"/>
        <v>94241177.603081301</v>
      </c>
      <c r="G28" s="488">
        <v>145052</v>
      </c>
      <c r="H28" s="44">
        <v>34118399.676929802</v>
      </c>
      <c r="I28" s="44">
        <f>IFERROR(VLOOKUP($B28-1,CDM!$L$7:$T$18,3,FALSE)/12,0)+IFERROR(VLOOKUP($B28,CDM!$L$37:$O$47,3,FALSE)/24,0)+IFERROR(VLOOKUP($B28,CDM!$L$37:$O$47,3,FALSE)/2*$C28/78,0)</f>
        <v>753936.81125969882</v>
      </c>
      <c r="J28" s="44">
        <f t="shared" si="16"/>
        <v>34872336.488189504</v>
      </c>
      <c r="K28" s="44">
        <v>12754</v>
      </c>
      <c r="L28" s="44">
        <v>116726930.06488501</v>
      </c>
      <c r="M28" s="44">
        <f>IFERROR(VLOOKUP($B28-1,CDM!$L$7:$T$18,4,FALSE)/12,0)+IFERROR(VLOOKUP($B28,CDM!$L$37:$O$47,4,FALSE)/24,0)+IFERROR(VLOOKUP($B28,CDM!$L$37:$O$47,4,FALSE)/2*$C28/78,0)</f>
        <v>4552639.5977568608</v>
      </c>
      <c r="N28" s="44">
        <f t="shared" si="17"/>
        <v>121279569.66264187</v>
      </c>
      <c r="O28" s="44">
        <v>286085.81</v>
      </c>
      <c r="P28" s="488">
        <v>1582</v>
      </c>
      <c r="Q28" s="488">
        <v>1490196.63561514</v>
      </c>
      <c r="R28" s="488">
        <f>IFERROR(VLOOKUP($B28-1,CDM!$L$7:$T$18,5,FALSE)/12,0)+IFERROR(VLOOKUP($B28,CDM!$L$37:$T$47,5,FALSE)/24,0)+IFERROR(VLOOKUP($B28,CDM!$L$37:$T$47,5,FALSE)/2*$C28/78,0)</f>
        <v>94910.925257048526</v>
      </c>
      <c r="S28" s="488">
        <f t="shared" si="18"/>
        <v>1585107.5608721885</v>
      </c>
      <c r="T28" s="44">
        <v>1738.5300000000007</v>
      </c>
      <c r="U28" s="488">
        <v>5</v>
      </c>
      <c r="V28" s="488">
        <v>8717486.4316080101</v>
      </c>
      <c r="W28" s="488">
        <f>IFERROR(VLOOKUP($B28-1,CDM!$L$7:$T$18,6,FALSE)/12,0)+IFERROR(VLOOKUP($B28,CDM!$L$37:$T$47,6,FALSE)/24,0)+IFERROR(VLOOKUP($B28,CDM!$L$37:$T$47,6,FALSE)/2*$C28/78,0)</f>
        <v>267906.21575709048</v>
      </c>
      <c r="X28" s="488">
        <f t="shared" si="19"/>
        <v>8985392.6473651007</v>
      </c>
      <c r="Y28" s="488">
        <v>14515.7</v>
      </c>
      <c r="Z28" s="488">
        <v>1</v>
      </c>
      <c r="AA28" s="44">
        <v>1429682.03</v>
      </c>
      <c r="AB28" s="44">
        <v>3862.54</v>
      </c>
      <c r="AC28" s="488">
        <v>36887</v>
      </c>
      <c r="AD28" s="44">
        <v>467438.48</v>
      </c>
      <c r="AE28" s="44">
        <v>1537</v>
      </c>
      <c r="AF28" s="44">
        <v>45566.54</v>
      </c>
      <c r="AG28" s="44">
        <v>122.87</v>
      </c>
      <c r="AH28" s="44">
        <v>528</v>
      </c>
      <c r="AI28" s="44">
        <v>14400</v>
      </c>
      <c r="AJ28" s="68">
        <f>Economic!H42</f>
        <v>807583.1</v>
      </c>
      <c r="AK28" s="68">
        <f>Economic!I42</f>
        <v>94617.3</v>
      </c>
      <c r="AL28" s="68">
        <f>Economic!J42</f>
        <v>33264.1</v>
      </c>
      <c r="AM28" s="68">
        <f>Economic!K42</f>
        <v>75322.899999999994</v>
      </c>
      <c r="AN28" s="68">
        <f>Economic!L42</f>
        <v>59802.7</v>
      </c>
      <c r="AO28" s="68">
        <f>Economic!M42</f>
        <v>800743</v>
      </c>
      <c r="AP28" s="68">
        <f>Economic!N42</f>
        <v>95928</v>
      </c>
      <c r="AQ28" s="68">
        <f>Economic!O42</f>
        <v>13861</v>
      </c>
      <c r="AR28" s="68">
        <f>Economic!P42</f>
        <v>32453</v>
      </c>
      <c r="AS28" s="68">
        <f>Economic!Q42</f>
        <v>73144</v>
      </c>
      <c r="AT28" s="68">
        <f>Economic!D42</f>
        <v>7341.9</v>
      </c>
      <c r="AU28" s="68">
        <f>Economic!E42</f>
        <v>7239.5</v>
      </c>
      <c r="AV28" s="68">
        <f>Economic!F42</f>
        <v>255.6</v>
      </c>
      <c r="AW28" s="68">
        <f>Economic!G42</f>
        <v>252.3</v>
      </c>
      <c r="AX28" s="68">
        <f>Economic!W42</f>
        <v>21049</v>
      </c>
      <c r="AY28" s="68">
        <f>Economic!R42</f>
        <v>158.19999999999982</v>
      </c>
      <c r="AZ28" s="68">
        <f>Economic!W42</f>
        <v>21049</v>
      </c>
      <c r="BA28" s="68">
        <f>Economic!X42</f>
        <v>1825</v>
      </c>
      <c r="BB28" s="68">
        <f>Economic!Y42</f>
        <v>-819</v>
      </c>
      <c r="BC28" s="236">
        <f>Weather!C40</f>
        <v>-1.7538978494623663</v>
      </c>
      <c r="BD28" s="16">
        <f>Weather!D40</f>
        <v>674.37083333333317</v>
      </c>
      <c r="BE28" s="16">
        <f>Weather!E40</f>
        <v>0</v>
      </c>
      <c r="BF28" s="16">
        <f>Weather!F40</f>
        <v>612.37083333333328</v>
      </c>
      <c r="BG28" s="16">
        <f>Weather!G40</f>
        <v>0</v>
      </c>
      <c r="BH28" s="16">
        <f>Weather!H40</f>
        <v>550.37083333333328</v>
      </c>
      <c r="BI28" s="16">
        <f>Weather!I40</f>
        <v>0</v>
      </c>
      <c r="BJ28" s="16">
        <f>Weather!J40</f>
        <v>488.37083333333339</v>
      </c>
      <c r="BK28" s="16">
        <f>Weather!K40</f>
        <v>0</v>
      </c>
      <c r="BL28" s="16">
        <f>Weather!L40</f>
        <v>426.37083333333345</v>
      </c>
      <c r="BM28" s="16">
        <f>Weather!M40</f>
        <v>0</v>
      </c>
      <c r="BN28" s="16">
        <f>Weather!N40</f>
        <v>364.37083333333345</v>
      </c>
      <c r="BO28" s="16">
        <f>Weather!O40</f>
        <v>0</v>
      </c>
      <c r="BP28" s="16">
        <f>Weather!P40</f>
        <v>302.37083333333339</v>
      </c>
      <c r="BQ28" s="16">
        <f>Weather!Q40</f>
        <v>0</v>
      </c>
      <c r="BR28">
        <v>0</v>
      </c>
      <c r="BS28">
        <v>0</v>
      </c>
      <c r="BT28">
        <v>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1</v>
      </c>
      <c r="CE28">
        <f t="shared" si="52"/>
        <v>1</v>
      </c>
      <c r="CF28">
        <v>0</v>
      </c>
      <c r="CG28">
        <f t="shared" si="52"/>
        <v>0</v>
      </c>
      <c r="CH28">
        <v>1</v>
      </c>
      <c r="CI28">
        <f t="shared" si="51"/>
        <v>1</v>
      </c>
      <c r="CJ28">
        <f t="shared" si="21"/>
        <v>1</v>
      </c>
      <c r="CK28">
        <f t="shared" si="53"/>
        <v>0</v>
      </c>
      <c r="CL28">
        <f t="shared" si="53"/>
        <v>0</v>
      </c>
      <c r="CM28" s="1">
        <f t="shared" si="22"/>
        <v>27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>
        <v>31</v>
      </c>
      <c r="CT28">
        <v>22</v>
      </c>
      <c r="CU28">
        <v>0</v>
      </c>
      <c r="CV28">
        <v>0</v>
      </c>
      <c r="CW28">
        <v>0</v>
      </c>
      <c r="CX28">
        <v>0</v>
      </c>
      <c r="CY28">
        <v>0</v>
      </c>
      <c r="CZ28">
        <f t="shared" si="23"/>
        <v>0</v>
      </c>
      <c r="DA28">
        <f t="shared" si="24"/>
        <v>0</v>
      </c>
      <c r="DB28">
        <f t="shared" si="25"/>
        <v>0</v>
      </c>
      <c r="DC28">
        <f t="shared" si="26"/>
        <v>0</v>
      </c>
      <c r="DD28">
        <f t="shared" si="27"/>
        <v>0</v>
      </c>
      <c r="DE28">
        <f t="shared" si="28"/>
        <v>0</v>
      </c>
      <c r="DF28">
        <f t="shared" si="29"/>
        <v>0</v>
      </c>
      <c r="DG28">
        <f t="shared" si="30"/>
        <v>0</v>
      </c>
      <c r="DH28">
        <f t="shared" si="31"/>
        <v>0</v>
      </c>
      <c r="DI28">
        <f t="shared" si="32"/>
        <v>0</v>
      </c>
      <c r="DJ28">
        <f t="shared" si="33"/>
        <v>0</v>
      </c>
      <c r="DK28">
        <f t="shared" si="34"/>
        <v>0</v>
      </c>
      <c r="DL28">
        <f t="shared" si="35"/>
        <v>0</v>
      </c>
      <c r="DM28">
        <f t="shared" si="36"/>
        <v>0</v>
      </c>
      <c r="DN28">
        <f t="shared" si="37"/>
        <v>0</v>
      </c>
      <c r="DO28">
        <f t="shared" si="38"/>
        <v>0</v>
      </c>
      <c r="DP28">
        <f t="shared" si="39"/>
        <v>0</v>
      </c>
      <c r="DQ28">
        <f t="shared" si="40"/>
        <v>0</v>
      </c>
      <c r="DR28">
        <f t="shared" si="41"/>
        <v>0</v>
      </c>
      <c r="DS28">
        <f t="shared" si="42"/>
        <v>0</v>
      </c>
      <c r="DT28">
        <f t="shared" si="43"/>
        <v>0</v>
      </c>
      <c r="DU28">
        <f t="shared" si="44"/>
        <v>0</v>
      </c>
      <c r="DV28">
        <f t="shared" si="45"/>
        <v>0</v>
      </c>
      <c r="DW28">
        <f t="shared" si="46"/>
        <v>0</v>
      </c>
      <c r="DX28">
        <f t="shared" si="47"/>
        <v>0</v>
      </c>
      <c r="DY28">
        <f t="shared" si="48"/>
        <v>0</v>
      </c>
      <c r="DZ28">
        <f t="shared" si="49"/>
        <v>0</v>
      </c>
      <c r="EA28">
        <f t="shared" si="50"/>
        <v>0</v>
      </c>
      <c r="EB28" s="44">
        <f t="shared" si="4"/>
        <v>649.70615781293122</v>
      </c>
      <c r="EC28" s="44">
        <f t="shared" si="5"/>
        <v>20.958263155255846</v>
      </c>
      <c r="ED28" s="44">
        <f t="shared" si="6"/>
        <v>3040037.9871961712</v>
      </c>
      <c r="EE28" s="44">
        <f t="shared" si="7"/>
        <v>2734.2274179229657</v>
      </c>
      <c r="EF28" s="44">
        <f t="shared" si="8"/>
        <v>88.200884449127926</v>
      </c>
      <c r="EG28" s="44">
        <f t="shared" si="9"/>
        <v>1124914.0802641776</v>
      </c>
      <c r="EH28" s="44">
        <f t="shared" si="10"/>
        <v>76662.180570570083</v>
      </c>
      <c r="EI28" s="44">
        <f t="shared" si="11"/>
        <v>2472.9735667925834</v>
      </c>
      <c r="EJ28" s="44">
        <f t="shared" si="55"/>
        <v>3333.1382856769601</v>
      </c>
      <c r="EK28" s="44">
        <f t="shared" si="54"/>
        <v>3912244.1826658668</v>
      </c>
      <c r="EL28" s="44">
        <f t="shared" si="56"/>
        <v>5273024.7679409506</v>
      </c>
    </row>
    <row r="29" spans="1:142" x14ac:dyDescent="0.2">
      <c r="A29" s="66">
        <v>43556</v>
      </c>
      <c r="B29" s="4">
        <f t="shared" si="0"/>
        <v>2019</v>
      </c>
      <c r="C29" s="4">
        <f t="shared" si="1"/>
        <v>4</v>
      </c>
      <c r="D29" s="44">
        <v>77342100.102124304</v>
      </c>
      <c r="E29" s="44">
        <f>IFERROR(VLOOKUP($B29-1,CDM!$L$7:$T$18,2,FALSE)/12,0)+IFERROR(VLOOKUP($B29,CDM!$L$37:$O$47,2,FALSE)/24,0)+IFERROR(VLOOKUP($B29,CDM!$L$37:$O$47,2,FALSE)/2*$C29/78,0)</f>
        <v>2134948.3274541805</v>
      </c>
      <c r="F29" s="44">
        <f t="shared" si="15"/>
        <v>79477048.429578483</v>
      </c>
      <c r="G29" s="488">
        <v>145220</v>
      </c>
      <c r="H29" s="44">
        <v>29794359.885354199</v>
      </c>
      <c r="I29" s="44">
        <f>IFERROR(VLOOKUP($B29-1,CDM!$L$7:$T$18,3,FALSE)/12,0)+IFERROR(VLOOKUP($B29,CDM!$L$37:$O$47,3,FALSE)/24,0)+IFERROR(VLOOKUP($B29,CDM!$L$37:$O$47,3,FALSE)/2*$C29/78,0)</f>
        <v>769588.95680002379</v>
      </c>
      <c r="J29" s="44">
        <f t="shared" si="16"/>
        <v>30563948.842154223</v>
      </c>
      <c r="K29" s="44">
        <v>12749</v>
      </c>
      <c r="L29" s="44">
        <v>108133033.7457</v>
      </c>
      <c r="M29" s="44">
        <f>IFERROR(VLOOKUP($B29-1,CDM!$L$7:$T$18,4,FALSE)/12,0)+IFERROR(VLOOKUP($B29,CDM!$L$37:$O$47,4,FALSE)/24,0)+IFERROR(VLOOKUP($B29,CDM!$L$37:$O$47,4,FALSE)/2*$C29/78,0)</f>
        <v>4622806.7986763213</v>
      </c>
      <c r="N29" s="44">
        <f t="shared" si="17"/>
        <v>112755840.54437633</v>
      </c>
      <c r="O29" s="44">
        <v>286249.65000000002</v>
      </c>
      <c r="P29" s="488">
        <v>1584</v>
      </c>
      <c r="Q29" s="488">
        <v>1264628.4047358399</v>
      </c>
      <c r="R29" s="488">
        <f>IFERROR(VLOOKUP($B29-1,CDM!$L$7:$T$18,5,FALSE)/12,0)+IFERROR(VLOOKUP($B29,CDM!$L$37:$T$47,5,FALSE)/24,0)+IFERROR(VLOOKUP($B29,CDM!$L$37:$T$47,5,FALSE)/2*$C29/78,0)</f>
        <v>94902.23920087998</v>
      </c>
      <c r="S29" s="488">
        <f t="shared" si="18"/>
        <v>1359530.64393672</v>
      </c>
      <c r="T29" s="44">
        <v>1561.7100000000007</v>
      </c>
      <c r="U29" s="488">
        <v>5</v>
      </c>
      <c r="V29" s="488">
        <v>8224291.6253482802</v>
      </c>
      <c r="W29" s="488">
        <f>IFERROR(VLOOKUP($B29-1,CDM!$L$7:$T$18,6,FALSE)/12,0)+IFERROR(VLOOKUP($B29,CDM!$L$37:$T$47,6,FALSE)/24,0)+IFERROR(VLOOKUP($B29,CDM!$L$37:$T$47,6,FALSE)/2*$C29/78,0)</f>
        <v>280289.96449680906</v>
      </c>
      <c r="X29" s="488">
        <f t="shared" si="19"/>
        <v>8504581.5898450892</v>
      </c>
      <c r="Y29" s="488">
        <v>16994.05</v>
      </c>
      <c r="Z29" s="488">
        <v>1</v>
      </c>
      <c r="AA29" s="44">
        <v>1239876.6200000001</v>
      </c>
      <c r="AB29" s="44">
        <v>3862.54</v>
      </c>
      <c r="AC29" s="488">
        <v>36887</v>
      </c>
      <c r="AD29" s="44">
        <v>452662.27</v>
      </c>
      <c r="AE29" s="44">
        <v>1541</v>
      </c>
      <c r="AF29" s="44">
        <v>45066.679999999993</v>
      </c>
      <c r="AG29" s="44">
        <v>122.81</v>
      </c>
      <c r="AH29" s="44">
        <v>528</v>
      </c>
      <c r="AI29" s="44">
        <v>14400</v>
      </c>
      <c r="AJ29" s="68">
        <f>Economic!H43</f>
        <v>807583.1</v>
      </c>
      <c r="AK29" s="68">
        <f>Economic!I43</f>
        <v>94617.3</v>
      </c>
      <c r="AL29" s="68">
        <f>Economic!J43</f>
        <v>33264.1</v>
      </c>
      <c r="AM29" s="68">
        <f>Economic!K43</f>
        <v>75322.899999999994</v>
      </c>
      <c r="AN29" s="68">
        <f>Economic!L43</f>
        <v>59802.7</v>
      </c>
      <c r="AO29" s="68">
        <f>Economic!M43</f>
        <v>806729</v>
      </c>
      <c r="AP29" s="68">
        <f>Economic!N43</f>
        <v>95147</v>
      </c>
      <c r="AQ29" s="68">
        <f>Economic!O43</f>
        <v>14072</v>
      </c>
      <c r="AR29" s="68">
        <f>Economic!P43</f>
        <v>32981</v>
      </c>
      <c r="AS29" s="68">
        <f>Economic!Q43</f>
        <v>74644</v>
      </c>
      <c r="AT29" s="68">
        <f>Economic!D43</f>
        <v>7361.6</v>
      </c>
      <c r="AU29" s="68">
        <f>Economic!E43</f>
        <v>7275.7</v>
      </c>
      <c r="AV29" s="68">
        <f>Economic!F43</f>
        <v>253</v>
      </c>
      <c r="AW29" s="68">
        <f>Economic!G43</f>
        <v>250</v>
      </c>
      <c r="AX29" s="68">
        <f>Economic!W43</f>
        <v>21544</v>
      </c>
      <c r="AY29" s="68">
        <f>Economic!R43</f>
        <v>165.60000000000036</v>
      </c>
      <c r="AZ29" s="68">
        <f>Economic!W43</f>
        <v>21544</v>
      </c>
      <c r="BA29" s="68">
        <f>Economic!X43</f>
        <v>803</v>
      </c>
      <c r="BB29" s="68">
        <f>Economic!Y43</f>
        <v>1566</v>
      </c>
      <c r="BC29" s="236">
        <f>Weather!C41</f>
        <v>6.1650694444444456</v>
      </c>
      <c r="BD29" s="16">
        <f>Weather!D41</f>
        <v>415.04791666666677</v>
      </c>
      <c r="BE29" s="16">
        <f>Weather!E41</f>
        <v>0</v>
      </c>
      <c r="BF29" s="16">
        <f>Weather!F41</f>
        <v>355.04791666666671</v>
      </c>
      <c r="BG29" s="16">
        <f>Weather!G41</f>
        <v>0</v>
      </c>
      <c r="BH29" s="16">
        <f>Weather!H41</f>
        <v>295.04791666666671</v>
      </c>
      <c r="BI29" s="16">
        <f>Weather!I41</f>
        <v>0</v>
      </c>
      <c r="BJ29" s="16">
        <f>Weather!J41</f>
        <v>235.04791666666668</v>
      </c>
      <c r="BK29" s="16">
        <f>Weather!K41</f>
        <v>0</v>
      </c>
      <c r="BL29" s="16">
        <f>Weather!L41</f>
        <v>177.16041666666663</v>
      </c>
      <c r="BM29" s="16">
        <f>Weather!M41</f>
        <v>2.112500000000006</v>
      </c>
      <c r="BN29" s="16">
        <f>Weather!N41</f>
        <v>122.43541666666665</v>
      </c>
      <c r="BO29" s="16">
        <f>Weather!O41</f>
        <v>7.3875000000000064</v>
      </c>
      <c r="BP29" s="16">
        <f>Weather!P41</f>
        <v>78.685416666666683</v>
      </c>
      <c r="BQ29" s="16">
        <f>Weather!Q41</f>
        <v>23.637500000000003</v>
      </c>
      <c r="BR29">
        <v>0</v>
      </c>
      <c r="BS29">
        <v>0</v>
      </c>
      <c r="BT29">
        <v>0</v>
      </c>
      <c r="BU29">
        <v>1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1</v>
      </c>
      <c r="CE29">
        <f t="shared" si="52"/>
        <v>1</v>
      </c>
      <c r="CF29">
        <v>0</v>
      </c>
      <c r="CG29">
        <f t="shared" si="52"/>
        <v>0</v>
      </c>
      <c r="CH29">
        <v>1</v>
      </c>
      <c r="CI29">
        <f t="shared" si="51"/>
        <v>1</v>
      </c>
      <c r="CJ29">
        <f t="shared" si="21"/>
        <v>1</v>
      </c>
      <c r="CK29">
        <f t="shared" si="53"/>
        <v>0</v>
      </c>
      <c r="CL29">
        <f t="shared" si="53"/>
        <v>0</v>
      </c>
      <c r="CM29" s="1">
        <f t="shared" si="22"/>
        <v>28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>
        <v>30</v>
      </c>
      <c r="CT29">
        <v>21</v>
      </c>
      <c r="CU29">
        <v>0</v>
      </c>
      <c r="CV29">
        <v>0</v>
      </c>
      <c r="CW29">
        <v>0</v>
      </c>
      <c r="CX29">
        <v>0</v>
      </c>
      <c r="CY29">
        <v>0</v>
      </c>
      <c r="CZ29">
        <f t="shared" si="23"/>
        <v>0</v>
      </c>
      <c r="DA29">
        <f t="shared" si="24"/>
        <v>0</v>
      </c>
      <c r="DB29">
        <f t="shared" si="25"/>
        <v>0</v>
      </c>
      <c r="DC29">
        <f t="shared" si="26"/>
        <v>0</v>
      </c>
      <c r="DD29">
        <f t="shared" si="27"/>
        <v>0</v>
      </c>
      <c r="DE29">
        <f t="shared" si="28"/>
        <v>0</v>
      </c>
      <c r="DF29">
        <f t="shared" si="29"/>
        <v>0</v>
      </c>
      <c r="DG29">
        <f t="shared" si="30"/>
        <v>0</v>
      </c>
      <c r="DH29">
        <f t="shared" si="31"/>
        <v>0</v>
      </c>
      <c r="DI29">
        <f t="shared" si="32"/>
        <v>0</v>
      </c>
      <c r="DJ29">
        <f t="shared" si="33"/>
        <v>0</v>
      </c>
      <c r="DK29">
        <f t="shared" si="34"/>
        <v>0</v>
      </c>
      <c r="DL29">
        <f t="shared" si="35"/>
        <v>0</v>
      </c>
      <c r="DM29">
        <f t="shared" si="36"/>
        <v>0</v>
      </c>
      <c r="DN29">
        <f t="shared" si="37"/>
        <v>0</v>
      </c>
      <c r="DO29">
        <f t="shared" si="38"/>
        <v>0</v>
      </c>
      <c r="DP29">
        <f t="shared" si="39"/>
        <v>0</v>
      </c>
      <c r="DQ29">
        <f t="shared" si="40"/>
        <v>0</v>
      </c>
      <c r="DR29">
        <f t="shared" si="41"/>
        <v>0</v>
      </c>
      <c r="DS29">
        <f t="shared" si="42"/>
        <v>0</v>
      </c>
      <c r="DT29">
        <f t="shared" si="43"/>
        <v>0</v>
      </c>
      <c r="DU29">
        <f t="shared" si="44"/>
        <v>0</v>
      </c>
      <c r="DV29">
        <f t="shared" si="45"/>
        <v>0</v>
      </c>
      <c r="DW29">
        <f t="shared" si="46"/>
        <v>0</v>
      </c>
      <c r="DX29">
        <f t="shared" si="47"/>
        <v>0</v>
      </c>
      <c r="DY29">
        <f t="shared" si="48"/>
        <v>0</v>
      </c>
      <c r="DZ29">
        <f t="shared" si="49"/>
        <v>0</v>
      </c>
      <c r="EA29">
        <f t="shared" si="50"/>
        <v>0</v>
      </c>
      <c r="EB29" s="44">
        <f t="shared" si="4"/>
        <v>547.28720857718281</v>
      </c>
      <c r="EC29" s="44">
        <f t="shared" si="5"/>
        <v>18.24290695257276</v>
      </c>
      <c r="ED29" s="44">
        <f t="shared" si="6"/>
        <v>2649234.9476526161</v>
      </c>
      <c r="EE29" s="44">
        <f t="shared" si="7"/>
        <v>2397.3604864816239</v>
      </c>
      <c r="EF29" s="44">
        <f t="shared" si="8"/>
        <v>79.912016216054127</v>
      </c>
      <c r="EG29" s="44">
        <f t="shared" si="9"/>
        <v>1018798.2947384741</v>
      </c>
      <c r="EH29" s="44">
        <f t="shared" si="10"/>
        <v>71184.242767914344</v>
      </c>
      <c r="EI29" s="44">
        <f t="shared" si="11"/>
        <v>2372.8080922638114</v>
      </c>
      <c r="EJ29" s="44">
        <f t="shared" si="55"/>
        <v>3746.5390930481235</v>
      </c>
      <c r="EK29" s="44">
        <f t="shared" si="54"/>
        <v>3758528.0181458774</v>
      </c>
      <c r="EL29" s="44">
        <f t="shared" si="56"/>
        <v>5934517.9233882278</v>
      </c>
    </row>
    <row r="30" spans="1:142" x14ac:dyDescent="0.2">
      <c r="A30" s="66">
        <v>43586</v>
      </c>
      <c r="B30" s="4">
        <f t="shared" si="0"/>
        <v>2019</v>
      </c>
      <c r="C30" s="4">
        <f t="shared" si="1"/>
        <v>5</v>
      </c>
      <c r="D30" s="44">
        <v>73825585.939180002</v>
      </c>
      <c r="E30" s="44">
        <f>IFERROR(VLOOKUP($B30-1,CDM!$L$7:$T$18,2,FALSE)/12,0)+IFERROR(VLOOKUP($B30,CDM!$L$37:$O$47,2,FALSE)/24,0)+IFERROR(VLOOKUP($B30,CDM!$L$37:$O$47,2,FALSE)/2*$C30/78,0)</f>
        <v>2144277.6748760636</v>
      </c>
      <c r="F30" s="44">
        <f t="shared" si="15"/>
        <v>75969863.614056066</v>
      </c>
      <c r="G30" s="488">
        <v>145361</v>
      </c>
      <c r="H30" s="44">
        <v>29654740.403682798</v>
      </c>
      <c r="I30" s="44">
        <f>IFERROR(VLOOKUP($B30-1,CDM!$L$7:$T$18,3,FALSE)/12,0)+IFERROR(VLOOKUP($B30,CDM!$L$37:$O$47,3,FALSE)/24,0)+IFERROR(VLOOKUP($B30,CDM!$L$37:$O$47,3,FALSE)/2*$C30/78,0)</f>
        <v>785241.10234034876</v>
      </c>
      <c r="J30" s="44">
        <f t="shared" si="16"/>
        <v>30439981.506023146</v>
      </c>
      <c r="K30" s="44">
        <v>12771</v>
      </c>
      <c r="L30" s="44">
        <v>112070009.332104</v>
      </c>
      <c r="M30" s="44">
        <f>IFERROR(VLOOKUP($B30-1,CDM!$L$7:$T$18,4,FALSE)/12,0)+IFERROR(VLOOKUP($B30,CDM!$L$37:$O$47,4,FALSE)/24,0)+IFERROR(VLOOKUP($B30,CDM!$L$37:$O$47,4,FALSE)/2*$C30/78,0)</f>
        <v>4692973.9995957809</v>
      </c>
      <c r="N30" s="44">
        <f t="shared" si="17"/>
        <v>116762983.33169977</v>
      </c>
      <c r="O30" s="44">
        <v>297771.84999999998</v>
      </c>
      <c r="P30" s="488">
        <v>1574</v>
      </c>
      <c r="Q30" s="488">
        <v>2990855.8217309499</v>
      </c>
      <c r="R30" s="488">
        <f>IFERROR(VLOOKUP($B30-1,CDM!$L$7:$T$18,5,FALSE)/12,0)+IFERROR(VLOOKUP($B30,CDM!$L$37:$T$47,5,FALSE)/24,0)+IFERROR(VLOOKUP($B30,CDM!$L$37:$T$47,5,FALSE)/2*$C30/78,0)</f>
        <v>94893.553144711419</v>
      </c>
      <c r="S30" s="488">
        <f t="shared" si="18"/>
        <v>3085749.3748756615</v>
      </c>
      <c r="T30" s="44">
        <v>7223.2699999999986</v>
      </c>
      <c r="U30" s="488">
        <v>5</v>
      </c>
      <c r="V30" s="488">
        <v>8794977.6252087001</v>
      </c>
      <c r="W30" s="488">
        <f>IFERROR(VLOOKUP($B30-1,CDM!$L$7:$T$18,6,FALSE)/12,0)+IFERROR(VLOOKUP($B30,CDM!$L$37:$T$47,6,FALSE)/24,0)+IFERROR(VLOOKUP($B30,CDM!$L$37:$T$47,6,FALSE)/2*$C30/78,0)</f>
        <v>292673.71323652758</v>
      </c>
      <c r="X30" s="488">
        <f t="shared" si="19"/>
        <v>9087651.3384452276</v>
      </c>
      <c r="Y30" s="488">
        <v>18156.61</v>
      </c>
      <c r="Z30" s="488">
        <v>1</v>
      </c>
      <c r="AA30" s="44">
        <v>1105435.6299999999</v>
      </c>
      <c r="AB30" s="44">
        <v>3871.79</v>
      </c>
      <c r="AC30" s="488">
        <v>36949</v>
      </c>
      <c r="AD30" s="44">
        <v>468760.11</v>
      </c>
      <c r="AE30" s="44">
        <v>1542</v>
      </c>
      <c r="AF30" s="44">
        <v>46257.670000000006</v>
      </c>
      <c r="AG30" s="44">
        <v>122.51</v>
      </c>
      <c r="AH30" s="44">
        <v>526</v>
      </c>
      <c r="AI30" s="44">
        <v>14400</v>
      </c>
      <c r="AJ30" s="68">
        <f>Economic!H44</f>
        <v>807583.1</v>
      </c>
      <c r="AK30" s="68">
        <f>Economic!I44</f>
        <v>94617.3</v>
      </c>
      <c r="AL30" s="68">
        <f>Economic!J44</f>
        <v>33264.1</v>
      </c>
      <c r="AM30" s="68">
        <f>Economic!K44</f>
        <v>75322.899999999994</v>
      </c>
      <c r="AN30" s="68">
        <f>Economic!L44</f>
        <v>59802.7</v>
      </c>
      <c r="AO30" s="68">
        <f>Economic!M44</f>
        <v>806729</v>
      </c>
      <c r="AP30" s="68">
        <f>Economic!N44</f>
        <v>95147</v>
      </c>
      <c r="AQ30" s="68">
        <f>Economic!O44</f>
        <v>14072</v>
      </c>
      <c r="AR30" s="68">
        <f>Economic!P44</f>
        <v>32981</v>
      </c>
      <c r="AS30" s="68">
        <f>Economic!Q44</f>
        <v>74644</v>
      </c>
      <c r="AT30" s="68">
        <f>Economic!D44</f>
        <v>7376.4</v>
      </c>
      <c r="AU30" s="68">
        <f>Economic!E44</f>
        <v>7345.7</v>
      </c>
      <c r="AV30" s="68">
        <f>Economic!F44</f>
        <v>248.9</v>
      </c>
      <c r="AW30" s="68">
        <f>Economic!G44</f>
        <v>247.5</v>
      </c>
      <c r="AX30" s="68">
        <f>Economic!W44</f>
        <v>21544</v>
      </c>
      <c r="AY30" s="68">
        <f>Economic!R44</f>
        <v>171.39999999999964</v>
      </c>
      <c r="AZ30" s="68">
        <f>Economic!W44</f>
        <v>21544</v>
      </c>
      <c r="BA30" s="68">
        <f>Economic!X44</f>
        <v>803</v>
      </c>
      <c r="BB30" s="68">
        <f>Economic!Y44</f>
        <v>1566</v>
      </c>
      <c r="BC30" s="236">
        <f>Weather!C42</f>
        <v>12.244354838709679</v>
      </c>
      <c r="BD30" s="16">
        <f>Weather!D42</f>
        <v>240.42499999999998</v>
      </c>
      <c r="BE30" s="16">
        <f>Weather!E42</f>
        <v>0</v>
      </c>
      <c r="BF30" s="16">
        <f>Weather!F42</f>
        <v>178.66250000000002</v>
      </c>
      <c r="BG30" s="16">
        <f>Weather!G42</f>
        <v>0.23750000000000071</v>
      </c>
      <c r="BH30" s="16">
        <f>Weather!H42</f>
        <v>123.21250000000001</v>
      </c>
      <c r="BI30" s="16">
        <f>Weather!I42</f>
        <v>6.7874999999999979</v>
      </c>
      <c r="BJ30" s="16">
        <f>Weather!J42</f>
        <v>74.912499999999994</v>
      </c>
      <c r="BK30" s="16">
        <f>Weather!K42</f>
        <v>20.48749999999999</v>
      </c>
      <c r="BL30" s="16">
        <f>Weather!L42</f>
        <v>36.966666666666669</v>
      </c>
      <c r="BM30" s="16">
        <f>Weather!M42</f>
        <v>44.54166666666665</v>
      </c>
      <c r="BN30" s="16">
        <f>Weather!N42</f>
        <v>14.195833333333336</v>
      </c>
      <c r="BO30" s="16">
        <f>Weather!O42</f>
        <v>83.770833333333343</v>
      </c>
      <c r="BP30" s="16">
        <f>Weather!P42</f>
        <v>4.0791666666666666</v>
      </c>
      <c r="BQ30" s="16">
        <f>Weather!Q42</f>
        <v>135.65416666666664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1</v>
      </c>
      <c r="CE30">
        <f t="shared" si="52"/>
        <v>0</v>
      </c>
      <c r="CF30">
        <v>0</v>
      </c>
      <c r="CG30">
        <f t="shared" si="52"/>
        <v>0</v>
      </c>
      <c r="CH30">
        <v>1</v>
      </c>
      <c r="CI30">
        <f t="shared" si="51"/>
        <v>0</v>
      </c>
      <c r="CJ30">
        <f t="shared" si="21"/>
        <v>0</v>
      </c>
      <c r="CK30">
        <f t="shared" si="53"/>
        <v>1</v>
      </c>
      <c r="CL30">
        <f t="shared" si="53"/>
        <v>0</v>
      </c>
      <c r="CM30" s="1">
        <f t="shared" si="22"/>
        <v>29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>
        <v>31</v>
      </c>
      <c r="CT30">
        <v>20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f t="shared" si="23"/>
        <v>0</v>
      </c>
      <c r="DA30">
        <f t="shared" si="24"/>
        <v>0</v>
      </c>
      <c r="DB30">
        <f t="shared" si="25"/>
        <v>0</v>
      </c>
      <c r="DC30">
        <f t="shared" si="26"/>
        <v>0</v>
      </c>
      <c r="DD30">
        <f t="shared" si="27"/>
        <v>0</v>
      </c>
      <c r="DE30">
        <f t="shared" si="28"/>
        <v>0</v>
      </c>
      <c r="DF30">
        <f t="shared" si="29"/>
        <v>0</v>
      </c>
      <c r="DG30">
        <f t="shared" si="30"/>
        <v>0</v>
      </c>
      <c r="DH30">
        <f t="shared" si="31"/>
        <v>0</v>
      </c>
      <c r="DI30">
        <f t="shared" si="32"/>
        <v>0</v>
      </c>
      <c r="DJ30">
        <f t="shared" si="33"/>
        <v>0</v>
      </c>
      <c r="DK30">
        <f t="shared" si="34"/>
        <v>0</v>
      </c>
      <c r="DL30">
        <f t="shared" si="35"/>
        <v>0</v>
      </c>
      <c r="DM30">
        <f t="shared" si="36"/>
        <v>0</v>
      </c>
      <c r="DN30">
        <f t="shared" si="37"/>
        <v>0</v>
      </c>
      <c r="DO30">
        <f t="shared" si="38"/>
        <v>0</v>
      </c>
      <c r="DP30">
        <f t="shared" si="39"/>
        <v>0</v>
      </c>
      <c r="DQ30">
        <f t="shared" si="40"/>
        <v>0</v>
      </c>
      <c r="DR30">
        <f t="shared" si="41"/>
        <v>0</v>
      </c>
      <c r="DS30">
        <f t="shared" si="42"/>
        <v>0</v>
      </c>
      <c r="DT30">
        <f t="shared" si="43"/>
        <v>0</v>
      </c>
      <c r="DU30">
        <f t="shared" si="44"/>
        <v>0</v>
      </c>
      <c r="DV30">
        <f t="shared" si="45"/>
        <v>0</v>
      </c>
      <c r="DW30">
        <f t="shared" si="46"/>
        <v>0</v>
      </c>
      <c r="DX30">
        <f t="shared" si="47"/>
        <v>0</v>
      </c>
      <c r="DY30">
        <f t="shared" si="48"/>
        <v>0</v>
      </c>
      <c r="DZ30">
        <f t="shared" si="49"/>
        <v>0</v>
      </c>
      <c r="EA30">
        <f t="shared" si="50"/>
        <v>0</v>
      </c>
      <c r="EB30" s="44">
        <f t="shared" si="4"/>
        <v>522.62892807600429</v>
      </c>
      <c r="EC30" s="44">
        <f t="shared" si="5"/>
        <v>16.858997679871106</v>
      </c>
      <c r="ED30" s="44">
        <f t="shared" si="6"/>
        <v>2450640.7617437439</v>
      </c>
      <c r="EE30" s="44">
        <f t="shared" si="7"/>
        <v>2383.5237261000038</v>
      </c>
      <c r="EF30" s="44">
        <f t="shared" si="8"/>
        <v>76.887862132258192</v>
      </c>
      <c r="EG30" s="44">
        <f t="shared" si="9"/>
        <v>981934.88729106926</v>
      </c>
      <c r="EH30" s="44">
        <f t="shared" si="10"/>
        <v>74182.327402604686</v>
      </c>
      <c r="EI30" s="44">
        <f t="shared" si="11"/>
        <v>2392.9783033098288</v>
      </c>
      <c r="EJ30" s="44">
        <f t="shared" si="55"/>
        <v>3371.9239728456673</v>
      </c>
      <c r="EK30" s="44">
        <f t="shared" si="54"/>
        <v>3766547.8494096701</v>
      </c>
      <c r="EL30" s="44">
        <f t="shared" si="56"/>
        <v>5307408.3332590805</v>
      </c>
    </row>
    <row r="31" spans="1:142" x14ac:dyDescent="0.2">
      <c r="A31" s="66">
        <v>43617</v>
      </c>
      <c r="B31" s="4">
        <f t="shared" si="0"/>
        <v>2019</v>
      </c>
      <c r="C31" s="4">
        <f t="shared" si="1"/>
        <v>6</v>
      </c>
      <c r="D31" s="44">
        <v>85841029.948542893</v>
      </c>
      <c r="E31" s="44">
        <f>IFERROR(VLOOKUP($B31-1,CDM!$L$7:$T$18,2,FALSE)/12,0)+IFERROR(VLOOKUP($B31,CDM!$L$37:$O$47,2,FALSE)/24,0)+IFERROR(VLOOKUP($B31,CDM!$L$37:$O$47,2,FALSE)/2*$C31/78,0)</f>
        <v>2153607.0222979463</v>
      </c>
      <c r="F31" s="44">
        <f t="shared" si="15"/>
        <v>87994636.970840842</v>
      </c>
      <c r="G31" s="488">
        <v>145409</v>
      </c>
      <c r="H31" s="44">
        <v>31157567.3114218</v>
      </c>
      <c r="I31" s="44">
        <f>IFERROR(VLOOKUP($B31-1,CDM!$L$7:$T$18,3,FALSE)/12,0)+IFERROR(VLOOKUP($B31,CDM!$L$37:$O$47,3,FALSE)/24,0)+IFERROR(VLOOKUP($B31,CDM!$L$37:$O$47,3,FALSE)/2*$C31/78,0)</f>
        <v>800893.24788067385</v>
      </c>
      <c r="J31" s="44">
        <f t="shared" si="16"/>
        <v>31958460.559302475</v>
      </c>
      <c r="K31" s="44">
        <v>12784</v>
      </c>
      <c r="L31" s="44">
        <v>116149672.536322</v>
      </c>
      <c r="M31" s="44">
        <f>IFERROR(VLOOKUP($B31-1,CDM!$L$7:$T$18,4,FALSE)/12,0)+IFERROR(VLOOKUP($B31,CDM!$L$37:$O$47,4,FALSE)/24,0)+IFERROR(VLOOKUP($B31,CDM!$L$37:$O$47,4,FALSE)/2*$C31/78,0)</f>
        <v>4763141.2005152404</v>
      </c>
      <c r="N31" s="44">
        <f t="shared" si="17"/>
        <v>120912813.73683724</v>
      </c>
      <c r="O31" s="44">
        <v>318519.56</v>
      </c>
      <c r="P31" s="488">
        <v>1573</v>
      </c>
      <c r="Q31" s="488">
        <v>5688850.68605051</v>
      </c>
      <c r="R31" s="488">
        <f>IFERROR(VLOOKUP($B31-1,CDM!$L$7:$T$18,5,FALSE)/12,0)+IFERROR(VLOOKUP($B31,CDM!$L$37:$T$47,5,FALSE)/24,0)+IFERROR(VLOOKUP($B31,CDM!$L$37:$T$47,5,FALSE)/2*$C31/78,0)</f>
        <v>94884.867088542873</v>
      </c>
      <c r="S31" s="488">
        <f t="shared" si="18"/>
        <v>5783735.5531390533</v>
      </c>
      <c r="T31" s="44">
        <v>9935.9700000000012</v>
      </c>
      <c r="U31" s="488">
        <v>5</v>
      </c>
      <c r="V31" s="488">
        <v>9845052.4628039896</v>
      </c>
      <c r="W31" s="488">
        <f>IFERROR(VLOOKUP($B31-1,CDM!$L$7:$T$18,6,FALSE)/12,0)+IFERROR(VLOOKUP($B31,CDM!$L$37:$T$47,6,FALSE)/24,0)+IFERROR(VLOOKUP($B31,CDM!$L$37:$T$47,6,FALSE)/2*$C31/78,0)</f>
        <v>305057.46197624615</v>
      </c>
      <c r="X31" s="488">
        <f t="shared" si="19"/>
        <v>10150109.924780237</v>
      </c>
      <c r="Y31" s="488">
        <v>20161.900000000001</v>
      </c>
      <c r="Z31" s="488">
        <v>1</v>
      </c>
      <c r="AA31" s="44">
        <v>1016779.29</v>
      </c>
      <c r="AB31" s="44">
        <v>3886.77</v>
      </c>
      <c r="AC31" s="488">
        <v>37088</v>
      </c>
      <c r="AD31" s="44">
        <v>453734.34</v>
      </c>
      <c r="AE31" s="44">
        <v>1542</v>
      </c>
      <c r="AF31" s="44">
        <v>45090.06</v>
      </c>
      <c r="AG31" s="44">
        <v>122.25</v>
      </c>
      <c r="AH31" s="44">
        <v>526</v>
      </c>
      <c r="AI31" s="44">
        <v>14400</v>
      </c>
      <c r="AJ31" s="68">
        <f>Economic!H45</f>
        <v>807583.1</v>
      </c>
      <c r="AK31" s="68">
        <f>Economic!I45</f>
        <v>94617.3</v>
      </c>
      <c r="AL31" s="68">
        <f>Economic!J45</f>
        <v>33264.1</v>
      </c>
      <c r="AM31" s="68">
        <f>Economic!K45</f>
        <v>75322.899999999994</v>
      </c>
      <c r="AN31" s="68">
        <f>Economic!L45</f>
        <v>59802.7</v>
      </c>
      <c r="AO31" s="68">
        <f>Economic!M45</f>
        <v>806729</v>
      </c>
      <c r="AP31" s="68">
        <f>Economic!N45</f>
        <v>95147</v>
      </c>
      <c r="AQ31" s="68">
        <f>Economic!O45</f>
        <v>14072</v>
      </c>
      <c r="AR31" s="68">
        <f>Economic!P45</f>
        <v>32981</v>
      </c>
      <c r="AS31" s="68">
        <f>Economic!Q45</f>
        <v>74644</v>
      </c>
      <c r="AT31" s="68">
        <f>Economic!D45</f>
        <v>7396.1</v>
      </c>
      <c r="AU31" s="68">
        <f>Economic!E45</f>
        <v>7436.8</v>
      </c>
      <c r="AV31" s="68">
        <f>Economic!F45</f>
        <v>248.6</v>
      </c>
      <c r="AW31" s="68">
        <f>Economic!G45</f>
        <v>250.7</v>
      </c>
      <c r="AX31" s="68">
        <f>Economic!W45</f>
        <v>21544</v>
      </c>
      <c r="AY31" s="68">
        <f>Economic!R45</f>
        <v>179.40000000000055</v>
      </c>
      <c r="AZ31" s="68">
        <f>Economic!W45</f>
        <v>21544</v>
      </c>
      <c r="BA31" s="68">
        <f>Economic!X45</f>
        <v>803</v>
      </c>
      <c r="BB31" s="68">
        <f>Economic!Y45</f>
        <v>1566</v>
      </c>
      <c r="BC31" s="236">
        <f>Weather!C43</f>
        <v>18.090486111111105</v>
      </c>
      <c r="BD31" s="16">
        <f>Weather!D43</f>
        <v>69.822916666666686</v>
      </c>
      <c r="BE31" s="16">
        <f>Weather!E43</f>
        <v>12.537500000000005</v>
      </c>
      <c r="BF31" s="16">
        <f>Weather!F43</f>
        <v>31.910416666666663</v>
      </c>
      <c r="BG31" s="16">
        <f>Weather!G43</f>
        <v>34.625000000000007</v>
      </c>
      <c r="BH31" s="16">
        <f>Weather!H43</f>
        <v>11.320833333333331</v>
      </c>
      <c r="BI31" s="16">
        <f>Weather!I43</f>
        <v>74.035416666666663</v>
      </c>
      <c r="BJ31" s="16">
        <f>Weather!J43</f>
        <v>4.4958333333333336</v>
      </c>
      <c r="BK31" s="16">
        <f>Weather!K43</f>
        <v>127.21041666666667</v>
      </c>
      <c r="BL31" s="16">
        <f>Weather!L43</f>
        <v>2.0958333333333332</v>
      </c>
      <c r="BM31" s="16">
        <f>Weather!M43</f>
        <v>184.8104166666667</v>
      </c>
      <c r="BN31" s="16">
        <f>Weather!N43</f>
        <v>9.5833333333333215E-2</v>
      </c>
      <c r="BO31" s="16">
        <f>Weather!O43</f>
        <v>242.81041666666664</v>
      </c>
      <c r="BP31" s="16">
        <f>Weather!P43</f>
        <v>0</v>
      </c>
      <c r="BQ31" s="16">
        <f>Weather!Q43</f>
        <v>302.71458333333339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f t="shared" si="52"/>
        <v>0</v>
      </c>
      <c r="CF31">
        <v>0</v>
      </c>
      <c r="CG31">
        <f t="shared" si="52"/>
        <v>0</v>
      </c>
      <c r="CH31">
        <v>0</v>
      </c>
      <c r="CI31">
        <f t="shared" si="51"/>
        <v>0</v>
      </c>
      <c r="CJ31">
        <f t="shared" si="21"/>
        <v>0</v>
      </c>
      <c r="CK31">
        <f t="shared" si="53"/>
        <v>1</v>
      </c>
      <c r="CL31">
        <f t="shared" si="53"/>
        <v>0</v>
      </c>
      <c r="CM31" s="1">
        <f t="shared" si="22"/>
        <v>30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>
        <v>30</v>
      </c>
      <c r="CT31">
        <v>22</v>
      </c>
      <c r="CU31">
        <v>0</v>
      </c>
      <c r="CV31">
        <v>0</v>
      </c>
      <c r="CW31">
        <v>0</v>
      </c>
      <c r="CX31">
        <v>0</v>
      </c>
      <c r="CY31">
        <v>0</v>
      </c>
      <c r="CZ31">
        <f t="shared" si="23"/>
        <v>0</v>
      </c>
      <c r="DA31">
        <f t="shared" si="24"/>
        <v>0</v>
      </c>
      <c r="DB31">
        <f t="shared" si="25"/>
        <v>0</v>
      </c>
      <c r="DC31">
        <f t="shared" ref="DC31:DC39" si="57">$CV31*BG31</f>
        <v>0</v>
      </c>
      <c r="DD31">
        <f t="shared" ref="DD31:DD39" si="58">$CV31*BH31</f>
        <v>0</v>
      </c>
      <c r="DE31">
        <f t="shared" ref="DE31:DE39" si="59">$CV31*BI31</f>
        <v>0</v>
      </c>
      <c r="DF31">
        <f t="shared" ref="DF31:DF39" si="60">$CV31*BJ31</f>
        <v>0</v>
      </c>
      <c r="DG31">
        <f t="shared" ref="DG31:DG39" si="61">$CV31*BK31</f>
        <v>0</v>
      </c>
      <c r="DH31">
        <f t="shared" ref="DH31:DH39" si="62">$CV31*BL31</f>
        <v>0</v>
      </c>
      <c r="DI31">
        <f t="shared" ref="DI31:DI39" si="63">$CV31*BM31</f>
        <v>0</v>
      </c>
      <c r="DJ31">
        <f t="shared" ref="DJ31:DJ39" si="64">$CV31*BN31</f>
        <v>0</v>
      </c>
      <c r="DK31">
        <f t="shared" ref="DK31:DK39" si="65">$CV31*BO31</f>
        <v>0</v>
      </c>
      <c r="DL31">
        <f t="shared" ref="DL31:DL39" si="66">$CV31*BP31</f>
        <v>0</v>
      </c>
      <c r="DM31">
        <f t="shared" ref="DM31:DM39" si="67">$CV31*BQ31</f>
        <v>0</v>
      </c>
      <c r="DN31">
        <f t="shared" si="37"/>
        <v>0</v>
      </c>
      <c r="DO31">
        <f t="shared" si="38"/>
        <v>0</v>
      </c>
      <c r="DP31">
        <f t="shared" si="39"/>
        <v>0</v>
      </c>
      <c r="DQ31">
        <f t="shared" ref="DQ31:DQ39" si="68">$CX31*BG31</f>
        <v>0</v>
      </c>
      <c r="DR31">
        <f t="shared" ref="DR31:DR39" si="69">$CX31*BH31</f>
        <v>0</v>
      </c>
      <c r="DS31">
        <f t="shared" ref="DS31:DS39" si="70">$CX31*BI31</f>
        <v>0</v>
      </c>
      <c r="DT31">
        <f t="shared" ref="DT31:DT39" si="71">$CX31*BJ31</f>
        <v>0</v>
      </c>
      <c r="DU31">
        <f t="shared" ref="DU31:DU39" si="72">$CX31*BK31</f>
        <v>0</v>
      </c>
      <c r="DV31">
        <f t="shared" ref="DV31:DV39" si="73">$CX31*BL31</f>
        <v>0</v>
      </c>
      <c r="DW31">
        <f t="shared" ref="DW31:DW39" si="74">$CX31*BM31</f>
        <v>0</v>
      </c>
      <c r="DX31">
        <f t="shared" ref="DX31:DX39" si="75">$CX31*BN31</f>
        <v>0</v>
      </c>
      <c r="DY31">
        <f t="shared" ref="DY31:DY39" si="76">$CX31*BO31</f>
        <v>0</v>
      </c>
      <c r="DZ31">
        <f t="shared" ref="DZ31:DZ39" si="77">$CX31*BP31</f>
        <v>0</v>
      </c>
      <c r="EA31">
        <f t="shared" ref="EA31:EA39" si="78">$CX31*BQ31</f>
        <v>0</v>
      </c>
      <c r="EB31" s="44">
        <f t="shared" si="4"/>
        <v>605.15261758791303</v>
      </c>
      <c r="EC31" s="44">
        <f t="shared" si="5"/>
        <v>20.171753919597101</v>
      </c>
      <c r="ED31" s="44">
        <f t="shared" si="6"/>
        <v>2933154.5656946949</v>
      </c>
      <c r="EE31" s="44">
        <f t="shared" si="7"/>
        <v>2499.8795806713451</v>
      </c>
      <c r="EF31" s="44">
        <f t="shared" si="8"/>
        <v>83.329319355711505</v>
      </c>
      <c r="EG31" s="44">
        <f t="shared" si="9"/>
        <v>1065282.0186434158</v>
      </c>
      <c r="EH31" s="44">
        <f t="shared" si="10"/>
        <v>76867.650182350437</v>
      </c>
      <c r="EI31" s="44">
        <f t="shared" si="11"/>
        <v>2562.2550060783478</v>
      </c>
      <c r="EJ31" s="44">
        <f t="shared" si="55"/>
        <v>3493.9840991977471</v>
      </c>
      <c r="EK31" s="44">
        <f t="shared" si="54"/>
        <v>4030427.1245612414</v>
      </c>
      <c r="EL31" s="44">
        <f t="shared" si="56"/>
        <v>5496036.9880380565</v>
      </c>
    </row>
    <row r="32" spans="1:142" x14ac:dyDescent="0.2">
      <c r="A32" s="66">
        <v>43647</v>
      </c>
      <c r="B32" s="4">
        <f t="shared" si="0"/>
        <v>2019</v>
      </c>
      <c r="C32" s="4">
        <f t="shared" si="1"/>
        <v>7</v>
      </c>
      <c r="D32" s="44">
        <v>125231571.798389</v>
      </c>
      <c r="E32" s="44">
        <f>IFERROR(VLOOKUP($B32-1,CDM!$L$7:$T$18,2,FALSE)/12,0)+IFERROR(VLOOKUP($B32,CDM!$L$37:$O$47,2,FALSE)/24,0)+IFERROR(VLOOKUP($B32,CDM!$L$37:$O$47,2,FALSE)/2*$C32/78,0)</f>
        <v>2162936.3697198294</v>
      </c>
      <c r="F32" s="44">
        <f t="shared" ref="F32:F95" si="79">D32+E32</f>
        <v>127394508.16810884</v>
      </c>
      <c r="G32" s="488">
        <v>145575</v>
      </c>
      <c r="H32" s="44">
        <v>38184245.498341396</v>
      </c>
      <c r="I32" s="44">
        <f>IFERROR(VLOOKUP($B32-1,CDM!$L$7:$T$18,3,FALSE)/12,0)+IFERROR(VLOOKUP($B32,CDM!$L$37:$O$47,3,FALSE)/24,0)+IFERROR(VLOOKUP($B32,CDM!$L$37:$O$47,3,FALSE)/2*$C32/78,0)</f>
        <v>816545.39342099882</v>
      </c>
      <c r="J32" s="44">
        <f t="shared" ref="J32:J95" si="80">H32+I32</f>
        <v>39000790.891762398</v>
      </c>
      <c r="K32" s="44">
        <v>12790</v>
      </c>
      <c r="L32" s="44">
        <v>135434004.27976799</v>
      </c>
      <c r="M32" s="44">
        <f>IFERROR(VLOOKUP($B32-1,CDM!$L$7:$T$18,4,FALSE)/12,0)+IFERROR(VLOOKUP($B32,CDM!$L$37:$O$47,4,FALSE)/24,0)+IFERROR(VLOOKUP($B32,CDM!$L$37:$O$47,4,FALSE)/2*$C32/78,0)</f>
        <v>4833308.4014347009</v>
      </c>
      <c r="N32" s="44">
        <f t="shared" ref="N32:N95" si="81">L32+M32</f>
        <v>140267312.68120268</v>
      </c>
      <c r="O32" s="44">
        <v>336464.61</v>
      </c>
      <c r="P32" s="488">
        <v>1575</v>
      </c>
      <c r="Q32" s="488">
        <v>6684997.2650770498</v>
      </c>
      <c r="R32" s="488">
        <f>IFERROR(VLOOKUP($B32-1,CDM!$L$7:$T$18,5,FALSE)/12,0)+IFERROR(VLOOKUP($B32,CDM!$L$37:$T$47,5,FALSE)/24,0)+IFERROR(VLOOKUP($B32,CDM!$L$37:$T$47,5,FALSE)/2*$C32/78,0)</f>
        <v>94876.181032374312</v>
      </c>
      <c r="S32" s="488">
        <f t="shared" si="18"/>
        <v>6779873.4461094243</v>
      </c>
      <c r="T32" s="44">
        <v>11696.66</v>
      </c>
      <c r="U32" s="488">
        <v>5</v>
      </c>
      <c r="V32" s="488">
        <v>11967975.5681407</v>
      </c>
      <c r="W32" s="488">
        <f>IFERROR(VLOOKUP($B32-1,CDM!$L$7:$T$18,6,FALSE)/12,0)+IFERROR(VLOOKUP($B32,CDM!$L$37:$T$47,6,FALSE)/24,0)+IFERROR(VLOOKUP($B32,CDM!$L$37:$T$47,6,FALSE)/2*$C32/78,0)</f>
        <v>317441.21071596467</v>
      </c>
      <c r="X32" s="488">
        <f t="shared" si="19"/>
        <v>12285416.778856665</v>
      </c>
      <c r="Y32" s="488">
        <v>22137.01</v>
      </c>
      <c r="Z32" s="488">
        <v>1</v>
      </c>
      <c r="AA32" s="44">
        <v>1081326.8999999999</v>
      </c>
      <c r="AB32" s="44">
        <v>3893.03</v>
      </c>
      <c r="AC32" s="488">
        <v>37164</v>
      </c>
      <c r="AD32" s="44">
        <v>468620.97000000003</v>
      </c>
      <c r="AE32" s="44">
        <v>1544</v>
      </c>
      <c r="AF32" s="44">
        <v>45233.899999999994</v>
      </c>
      <c r="AG32" s="44">
        <v>122.25</v>
      </c>
      <c r="AH32" s="44">
        <v>524</v>
      </c>
      <c r="AI32" s="44">
        <v>14400</v>
      </c>
      <c r="AJ32" s="68">
        <f>Economic!H46</f>
        <v>807583.1</v>
      </c>
      <c r="AK32" s="68">
        <f>Economic!I46</f>
        <v>94617.3</v>
      </c>
      <c r="AL32" s="68">
        <f>Economic!J46</f>
        <v>33264.1</v>
      </c>
      <c r="AM32" s="68">
        <f>Economic!K46</f>
        <v>75322.899999999994</v>
      </c>
      <c r="AN32" s="68">
        <f>Economic!L46</f>
        <v>59802.7</v>
      </c>
      <c r="AO32" s="68">
        <f>Economic!M46</f>
        <v>810697</v>
      </c>
      <c r="AP32" s="68">
        <f>Economic!N46</f>
        <v>94481</v>
      </c>
      <c r="AQ32" s="68">
        <f>Economic!O46</f>
        <v>14434</v>
      </c>
      <c r="AR32" s="68">
        <f>Economic!P46</f>
        <v>33438</v>
      </c>
      <c r="AS32" s="68">
        <f>Economic!Q46</f>
        <v>75909</v>
      </c>
      <c r="AT32" s="68">
        <f>Economic!D46</f>
        <v>7399.6</v>
      </c>
      <c r="AU32" s="68">
        <f>Economic!E46</f>
        <v>7484.5</v>
      </c>
      <c r="AV32" s="68">
        <f>Economic!F46</f>
        <v>246.4</v>
      </c>
      <c r="AW32" s="68">
        <f>Economic!G46</f>
        <v>250.8</v>
      </c>
      <c r="AX32" s="68">
        <f>Economic!W46</f>
        <v>16185</v>
      </c>
      <c r="AY32" s="68">
        <f>Economic!R46</f>
        <v>150.5</v>
      </c>
      <c r="AZ32" s="68">
        <f>Economic!W46</f>
        <v>16185</v>
      </c>
      <c r="BA32" s="68">
        <f>Economic!X46</f>
        <v>-1587</v>
      </c>
      <c r="BB32" s="68">
        <f>Economic!Y46</f>
        <v>3585</v>
      </c>
      <c r="BC32" s="236">
        <f>Weather!C44</f>
        <v>22.131451612903223</v>
      </c>
      <c r="BD32" s="16">
        <f>Weather!D44</f>
        <v>5.9499999999999886</v>
      </c>
      <c r="BE32" s="16">
        <f>Weather!E44</f>
        <v>72.024999999999991</v>
      </c>
      <c r="BF32" s="16">
        <f>Weather!F44</f>
        <v>0</v>
      </c>
      <c r="BG32" s="16">
        <f>Weather!G44</f>
        <v>128.07499999999999</v>
      </c>
      <c r="BH32" s="16">
        <f>Weather!H44</f>
        <v>0</v>
      </c>
      <c r="BI32" s="16">
        <f>Weather!I44</f>
        <v>190.07500000000005</v>
      </c>
      <c r="BJ32" s="16">
        <f>Weather!J44</f>
        <v>0</v>
      </c>
      <c r="BK32" s="16">
        <f>Weather!K44</f>
        <v>252.07500000000005</v>
      </c>
      <c r="BL32" s="16">
        <f>Weather!L44</f>
        <v>0</v>
      </c>
      <c r="BM32" s="16">
        <f>Weather!M44</f>
        <v>314.07499999999999</v>
      </c>
      <c r="BN32" s="16">
        <f>Weather!N44</f>
        <v>0</v>
      </c>
      <c r="BO32" s="16">
        <f>Weather!O44</f>
        <v>376.07500000000005</v>
      </c>
      <c r="BP32" s="16">
        <f>Weather!P44</f>
        <v>0</v>
      </c>
      <c r="BQ32" s="16">
        <f>Weather!Q44</f>
        <v>438.07500000000005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1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f t="shared" si="52"/>
        <v>0</v>
      </c>
      <c r="CF32">
        <v>0</v>
      </c>
      <c r="CG32">
        <f t="shared" si="52"/>
        <v>0</v>
      </c>
      <c r="CH32">
        <v>0</v>
      </c>
      <c r="CI32">
        <f t="shared" si="51"/>
        <v>0</v>
      </c>
      <c r="CJ32">
        <f t="shared" si="21"/>
        <v>0</v>
      </c>
      <c r="CK32">
        <f t="shared" si="53"/>
        <v>1</v>
      </c>
      <c r="CL32">
        <f t="shared" si="53"/>
        <v>1</v>
      </c>
      <c r="CM32" s="1">
        <f t="shared" si="22"/>
        <v>31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>
        <v>31</v>
      </c>
      <c r="CT32">
        <v>22</v>
      </c>
      <c r="CU32">
        <v>0</v>
      </c>
      <c r="CV32">
        <v>0</v>
      </c>
      <c r="CW32">
        <v>0</v>
      </c>
      <c r="CX32">
        <v>0</v>
      </c>
      <c r="CY32">
        <v>0</v>
      </c>
      <c r="CZ32">
        <f t="shared" si="23"/>
        <v>0</v>
      </c>
      <c r="DA32">
        <f t="shared" si="24"/>
        <v>0</v>
      </c>
      <c r="DB32">
        <f t="shared" si="25"/>
        <v>0</v>
      </c>
      <c r="DC32">
        <f t="shared" si="57"/>
        <v>0</v>
      </c>
      <c r="DD32">
        <f t="shared" si="58"/>
        <v>0</v>
      </c>
      <c r="DE32">
        <f t="shared" si="59"/>
        <v>0</v>
      </c>
      <c r="DF32">
        <f t="shared" si="60"/>
        <v>0</v>
      </c>
      <c r="DG32">
        <f t="shared" si="61"/>
        <v>0</v>
      </c>
      <c r="DH32">
        <f t="shared" si="62"/>
        <v>0</v>
      </c>
      <c r="DI32">
        <f t="shared" si="63"/>
        <v>0</v>
      </c>
      <c r="DJ32">
        <f t="shared" si="64"/>
        <v>0</v>
      </c>
      <c r="DK32">
        <f t="shared" si="65"/>
        <v>0</v>
      </c>
      <c r="DL32">
        <f t="shared" si="66"/>
        <v>0</v>
      </c>
      <c r="DM32">
        <f t="shared" si="67"/>
        <v>0</v>
      </c>
      <c r="DN32">
        <f t="shared" si="37"/>
        <v>0</v>
      </c>
      <c r="DO32">
        <f t="shared" si="38"/>
        <v>0</v>
      </c>
      <c r="DP32">
        <f t="shared" si="39"/>
        <v>0</v>
      </c>
      <c r="DQ32">
        <f t="shared" si="68"/>
        <v>0</v>
      </c>
      <c r="DR32">
        <f t="shared" si="69"/>
        <v>0</v>
      </c>
      <c r="DS32">
        <f t="shared" si="70"/>
        <v>0</v>
      </c>
      <c r="DT32">
        <f t="shared" si="71"/>
        <v>0</v>
      </c>
      <c r="DU32">
        <f t="shared" si="72"/>
        <v>0</v>
      </c>
      <c r="DV32">
        <f t="shared" si="73"/>
        <v>0</v>
      </c>
      <c r="DW32">
        <f t="shared" si="74"/>
        <v>0</v>
      </c>
      <c r="DX32">
        <f t="shared" si="75"/>
        <v>0</v>
      </c>
      <c r="DY32">
        <f t="shared" si="76"/>
        <v>0</v>
      </c>
      <c r="DZ32">
        <f t="shared" si="77"/>
        <v>0</v>
      </c>
      <c r="EA32">
        <f t="shared" si="78"/>
        <v>0</v>
      </c>
      <c r="EB32" s="44">
        <f t="shared" si="4"/>
        <v>875.11254108266417</v>
      </c>
      <c r="EC32" s="44">
        <f t="shared" si="5"/>
        <v>28.229436809118198</v>
      </c>
      <c r="ED32" s="44">
        <f t="shared" si="6"/>
        <v>4109500.2634873819</v>
      </c>
      <c r="EE32" s="44">
        <f t="shared" si="7"/>
        <v>3049.3190689415478</v>
      </c>
      <c r="EF32" s="44">
        <f t="shared" si="8"/>
        <v>98.365131256178955</v>
      </c>
      <c r="EG32" s="44">
        <f t="shared" si="9"/>
        <v>1258090.0287665289</v>
      </c>
      <c r="EH32" s="44">
        <f t="shared" si="10"/>
        <v>89058.611226160428</v>
      </c>
      <c r="EI32" s="44">
        <f t="shared" si="11"/>
        <v>2872.8584266503362</v>
      </c>
      <c r="EJ32" s="44">
        <f t="shared" si="55"/>
        <v>4452.9305613080214</v>
      </c>
      <c r="EK32" s="44">
        <f t="shared" si="54"/>
        <v>4524752.0219742795</v>
      </c>
      <c r="EL32" s="44">
        <f t="shared" si="56"/>
        <v>7013365.6340601342</v>
      </c>
    </row>
    <row r="33" spans="1:142" x14ac:dyDescent="0.2">
      <c r="A33" s="66">
        <v>43678</v>
      </c>
      <c r="B33" s="4">
        <f t="shared" si="0"/>
        <v>2019</v>
      </c>
      <c r="C33" s="4">
        <f t="shared" si="1"/>
        <v>8</v>
      </c>
      <c r="D33" s="44">
        <v>107739454.676697</v>
      </c>
      <c r="E33" s="44">
        <f>IFERROR(VLOOKUP($B33-1,CDM!$L$7:$T$18,2,FALSE)/12,0)+IFERROR(VLOOKUP($B33,CDM!$L$37:$O$47,2,FALSE)/24,0)+IFERROR(VLOOKUP($B33,CDM!$L$37:$O$47,2,FALSE)/2*$C33/78,0)</f>
        <v>2172265.7171417121</v>
      </c>
      <c r="F33" s="44">
        <f t="shared" si="79"/>
        <v>109911720.39383872</v>
      </c>
      <c r="G33" s="488">
        <v>145632</v>
      </c>
      <c r="H33" s="44">
        <v>35487980.993330397</v>
      </c>
      <c r="I33" s="44">
        <f>IFERROR(VLOOKUP($B33-1,CDM!$L$7:$T$18,3,FALSE)/12,0)+IFERROR(VLOOKUP($B33,CDM!$L$37:$O$47,3,FALSE)/24,0)+IFERROR(VLOOKUP($B33,CDM!$L$37:$O$47,3,FALSE)/2*$C33/78,0)</f>
        <v>832197.53896132391</v>
      </c>
      <c r="J33" s="44">
        <f t="shared" si="80"/>
        <v>36320178.532291718</v>
      </c>
      <c r="K33" s="44">
        <v>12787</v>
      </c>
      <c r="L33" s="44">
        <v>129421739.663829</v>
      </c>
      <c r="M33" s="44">
        <f>IFERROR(VLOOKUP($B33-1,CDM!$L$7:$T$18,4,FALSE)/12,0)+IFERROR(VLOOKUP($B33,CDM!$L$37:$O$47,4,FALSE)/24,0)+IFERROR(VLOOKUP($B33,CDM!$L$37:$O$47,4,FALSE)/2*$C33/78,0)</f>
        <v>4903475.6023541605</v>
      </c>
      <c r="N33" s="44">
        <f t="shared" si="81"/>
        <v>134325215.26618317</v>
      </c>
      <c r="O33" s="44">
        <v>323210.27</v>
      </c>
      <c r="P33" s="488">
        <v>1572</v>
      </c>
      <c r="Q33" s="488">
        <v>4173999.1896071602</v>
      </c>
      <c r="R33" s="488">
        <f>IFERROR(VLOOKUP($B33-1,CDM!$L$7:$T$18,5,FALSE)/12,0)+IFERROR(VLOOKUP($B33,CDM!$L$37:$T$47,5,FALSE)/24,0)+IFERROR(VLOOKUP($B33,CDM!$L$37:$T$47,5,FALSE)/2*$C33/78,0)</f>
        <v>94867.494976205766</v>
      </c>
      <c r="S33" s="488">
        <f t="shared" si="18"/>
        <v>4268866.6845833659</v>
      </c>
      <c r="T33" s="44">
        <v>5153.67</v>
      </c>
      <c r="U33" s="488">
        <v>5</v>
      </c>
      <c r="V33" s="488">
        <v>11148334.319833999</v>
      </c>
      <c r="W33" s="488">
        <f>IFERROR(VLOOKUP($B33-1,CDM!$L$7:$T$18,6,FALSE)/12,0)+IFERROR(VLOOKUP($B33,CDM!$L$37:$T$47,6,FALSE)/24,0)+IFERROR(VLOOKUP($B33,CDM!$L$37:$T$47,6,FALSE)/2*$C33/78,0)</f>
        <v>329824.95945568325</v>
      </c>
      <c r="X33" s="488">
        <f t="shared" si="19"/>
        <v>11478159.279289683</v>
      </c>
      <c r="Y33" s="488">
        <v>21225.82</v>
      </c>
      <c r="Z33" s="488">
        <v>1</v>
      </c>
      <c r="AA33" s="44">
        <v>1202166.33</v>
      </c>
      <c r="AB33" s="44">
        <v>3893.53</v>
      </c>
      <c r="AC33" s="488">
        <v>37170</v>
      </c>
      <c r="AD33" s="44">
        <v>469896.92999999993</v>
      </c>
      <c r="AE33" s="44">
        <v>1550</v>
      </c>
      <c r="AF33" s="44">
        <v>46842.62</v>
      </c>
      <c r="AG33" s="44">
        <v>122.11</v>
      </c>
      <c r="AH33" s="44">
        <v>526</v>
      </c>
      <c r="AI33" s="44">
        <v>14400</v>
      </c>
      <c r="AJ33" s="68">
        <f>Economic!H47</f>
        <v>807583.1</v>
      </c>
      <c r="AK33" s="68">
        <f>Economic!I47</f>
        <v>94617.3</v>
      </c>
      <c r="AL33" s="68">
        <f>Economic!J47</f>
        <v>33264.1</v>
      </c>
      <c r="AM33" s="68">
        <f>Economic!K47</f>
        <v>75322.899999999994</v>
      </c>
      <c r="AN33" s="68">
        <f>Economic!L47</f>
        <v>59802.7</v>
      </c>
      <c r="AO33" s="68">
        <f>Economic!M47</f>
        <v>810697</v>
      </c>
      <c r="AP33" s="68">
        <f>Economic!N47</f>
        <v>94481</v>
      </c>
      <c r="AQ33" s="68">
        <f>Economic!O47</f>
        <v>14434</v>
      </c>
      <c r="AR33" s="68">
        <f>Economic!P47</f>
        <v>33438</v>
      </c>
      <c r="AS33" s="68">
        <f>Economic!Q47</f>
        <v>75909</v>
      </c>
      <c r="AT33" s="68">
        <f>Economic!D47</f>
        <v>7414</v>
      </c>
      <c r="AU33" s="68">
        <f>Economic!E47</f>
        <v>7501.5</v>
      </c>
      <c r="AV33" s="68">
        <f>Economic!F47</f>
        <v>251.4</v>
      </c>
      <c r="AW33" s="68">
        <f>Economic!G47</f>
        <v>256.39999999999998</v>
      </c>
      <c r="AX33" s="68">
        <f>Economic!W47</f>
        <v>16185</v>
      </c>
      <c r="AY33" s="68">
        <f>Economic!R47</f>
        <v>156.30000000000018</v>
      </c>
      <c r="AZ33" s="68">
        <f>Economic!W47</f>
        <v>16185</v>
      </c>
      <c r="BA33" s="68">
        <f>Economic!X47</f>
        <v>-1587</v>
      </c>
      <c r="BB33" s="68">
        <f>Economic!Y47</f>
        <v>3585</v>
      </c>
      <c r="BC33" s="236">
        <f>Weather!C45</f>
        <v>19.894086021505377</v>
      </c>
      <c r="BD33" s="16">
        <f>Weather!D45</f>
        <v>28.045833333333334</v>
      </c>
      <c r="BE33" s="16">
        <f>Weather!E45</f>
        <v>24.762499999999974</v>
      </c>
      <c r="BF33" s="16">
        <f>Weather!F45</f>
        <v>8.2541666666666735</v>
      </c>
      <c r="BG33" s="16">
        <f>Weather!G45</f>
        <v>66.970833333333317</v>
      </c>
      <c r="BH33" s="16">
        <f>Weather!H45</f>
        <v>1.0958333333333385</v>
      </c>
      <c r="BI33" s="16">
        <f>Weather!I45</f>
        <v>121.81249999999997</v>
      </c>
      <c r="BJ33" s="16">
        <f>Weather!J45</f>
        <v>0</v>
      </c>
      <c r="BK33" s="16">
        <f>Weather!K45</f>
        <v>182.71666666666661</v>
      </c>
      <c r="BL33" s="16">
        <f>Weather!L45</f>
        <v>0</v>
      </c>
      <c r="BM33" s="16">
        <f>Weather!M45</f>
        <v>244.71666666666661</v>
      </c>
      <c r="BN33" s="16">
        <f>Weather!N45</f>
        <v>0</v>
      </c>
      <c r="BO33" s="16">
        <f>Weather!O45</f>
        <v>306.71666666666664</v>
      </c>
      <c r="BP33" s="16">
        <f>Weather!P45</f>
        <v>0</v>
      </c>
      <c r="BQ33" s="16">
        <f>Weather!Q45</f>
        <v>368.71666666666664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f t="shared" si="52"/>
        <v>0</v>
      </c>
      <c r="CF33">
        <v>0</v>
      </c>
      <c r="CG33">
        <f t="shared" si="52"/>
        <v>0</v>
      </c>
      <c r="CH33">
        <v>0</v>
      </c>
      <c r="CI33">
        <f t="shared" si="51"/>
        <v>0</v>
      </c>
      <c r="CJ33">
        <f t="shared" si="21"/>
        <v>0</v>
      </c>
      <c r="CK33">
        <f t="shared" si="53"/>
        <v>1</v>
      </c>
      <c r="CL33">
        <f t="shared" si="53"/>
        <v>1</v>
      </c>
      <c r="CM33" s="1">
        <f t="shared" si="22"/>
        <v>32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>
        <v>31</v>
      </c>
      <c r="CT33">
        <v>20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f t="shared" si="23"/>
        <v>0</v>
      </c>
      <c r="DA33">
        <f t="shared" si="24"/>
        <v>0</v>
      </c>
      <c r="DB33">
        <f t="shared" si="25"/>
        <v>0</v>
      </c>
      <c r="DC33">
        <f t="shared" si="57"/>
        <v>0</v>
      </c>
      <c r="DD33">
        <f t="shared" si="58"/>
        <v>0</v>
      </c>
      <c r="DE33">
        <f t="shared" si="59"/>
        <v>0</v>
      </c>
      <c r="DF33">
        <f t="shared" si="60"/>
        <v>0</v>
      </c>
      <c r="DG33">
        <f t="shared" si="61"/>
        <v>0</v>
      </c>
      <c r="DH33">
        <f t="shared" si="62"/>
        <v>0</v>
      </c>
      <c r="DI33">
        <f t="shared" si="63"/>
        <v>0</v>
      </c>
      <c r="DJ33">
        <f t="shared" si="64"/>
        <v>0</v>
      </c>
      <c r="DK33">
        <f t="shared" si="65"/>
        <v>0</v>
      </c>
      <c r="DL33">
        <f t="shared" si="66"/>
        <v>0</v>
      </c>
      <c r="DM33">
        <f t="shared" si="67"/>
        <v>0</v>
      </c>
      <c r="DN33">
        <f t="shared" si="37"/>
        <v>0</v>
      </c>
      <c r="DO33">
        <f t="shared" si="38"/>
        <v>0</v>
      </c>
      <c r="DP33">
        <f t="shared" si="39"/>
        <v>0</v>
      </c>
      <c r="DQ33">
        <f t="shared" si="68"/>
        <v>0</v>
      </c>
      <c r="DR33">
        <f t="shared" si="69"/>
        <v>0</v>
      </c>
      <c r="DS33">
        <f t="shared" si="70"/>
        <v>0</v>
      </c>
      <c r="DT33">
        <f t="shared" si="71"/>
        <v>0</v>
      </c>
      <c r="DU33">
        <f t="shared" si="72"/>
        <v>0</v>
      </c>
      <c r="DV33">
        <f t="shared" si="73"/>
        <v>0</v>
      </c>
      <c r="DW33">
        <f t="shared" si="74"/>
        <v>0</v>
      </c>
      <c r="DX33">
        <f t="shared" si="75"/>
        <v>0</v>
      </c>
      <c r="DY33">
        <f t="shared" si="76"/>
        <v>0</v>
      </c>
      <c r="DZ33">
        <f t="shared" si="77"/>
        <v>0</v>
      </c>
      <c r="EA33">
        <f t="shared" si="78"/>
        <v>0</v>
      </c>
      <c r="EB33" s="44">
        <f t="shared" si="4"/>
        <v>754.72231648153377</v>
      </c>
      <c r="EC33" s="44">
        <f t="shared" si="5"/>
        <v>24.345881176823671</v>
      </c>
      <c r="ED33" s="44">
        <f t="shared" si="6"/>
        <v>3545539.3675431847</v>
      </c>
      <c r="EE33" s="44">
        <f t="shared" si="7"/>
        <v>2840.3987277932056</v>
      </c>
      <c r="EF33" s="44">
        <f t="shared" si="8"/>
        <v>91.625765412684046</v>
      </c>
      <c r="EG33" s="44">
        <f t="shared" si="9"/>
        <v>1171618.6623319909</v>
      </c>
      <c r="EH33" s="44">
        <f t="shared" si="10"/>
        <v>85448.610220218296</v>
      </c>
      <c r="EI33" s="44">
        <f t="shared" si="11"/>
        <v>2756.4067812973644</v>
      </c>
      <c r="EJ33" s="44">
        <f t="shared" si="55"/>
        <v>3884.0277372826499</v>
      </c>
      <c r="EK33" s="44">
        <f t="shared" si="54"/>
        <v>4333071.4601994567</v>
      </c>
      <c r="EL33" s="44">
        <f t="shared" si="56"/>
        <v>6105691.6030083261</v>
      </c>
    </row>
    <row r="34" spans="1:142" x14ac:dyDescent="0.2">
      <c r="A34" s="66">
        <v>43709</v>
      </c>
      <c r="B34" s="4">
        <f t="shared" si="0"/>
        <v>2019</v>
      </c>
      <c r="C34" s="4">
        <f t="shared" si="1"/>
        <v>9</v>
      </c>
      <c r="D34" s="44">
        <v>84803153.483539</v>
      </c>
      <c r="E34" s="44">
        <f>IFERROR(VLOOKUP($B34-1,CDM!$L$7:$T$18,2,FALSE)/12,0)+IFERROR(VLOOKUP($B34,CDM!$L$37:$O$47,2,FALSE)/24,0)+IFERROR(VLOOKUP($B34,CDM!$L$37:$O$47,2,FALSE)/2*$C34/78,0)</f>
        <v>2181595.0645635952</v>
      </c>
      <c r="F34" s="44">
        <f t="shared" si="79"/>
        <v>86984748.548102602</v>
      </c>
      <c r="G34" s="488">
        <v>145827</v>
      </c>
      <c r="H34" s="44">
        <v>31114486.924164899</v>
      </c>
      <c r="I34" s="44">
        <f>IFERROR(VLOOKUP($B34-1,CDM!$L$7:$T$18,3,FALSE)/12,0)+IFERROR(VLOOKUP($B34,CDM!$L$37:$O$47,3,FALSE)/24,0)+IFERROR(VLOOKUP($B34,CDM!$L$37:$O$47,3,FALSE)/2*$C34/78,0)</f>
        <v>847849.68450164888</v>
      </c>
      <c r="J34" s="44">
        <f t="shared" si="80"/>
        <v>31962336.608666547</v>
      </c>
      <c r="K34" s="44">
        <v>12801</v>
      </c>
      <c r="L34" s="44">
        <v>119918707.878602</v>
      </c>
      <c r="M34" s="44">
        <f>IFERROR(VLOOKUP($B34-1,CDM!$L$7:$T$18,4,FALSE)/12,0)+IFERROR(VLOOKUP($B34,CDM!$L$37:$O$47,4,FALSE)/24,0)+IFERROR(VLOOKUP($B34,CDM!$L$37:$O$47,4,FALSE)/2*$C34/78,0)</f>
        <v>4973642.8032736201</v>
      </c>
      <c r="N34" s="44">
        <f t="shared" si="81"/>
        <v>124892350.68187562</v>
      </c>
      <c r="O34" s="44">
        <v>326008.05</v>
      </c>
      <c r="P34" s="488">
        <v>1580</v>
      </c>
      <c r="Q34" s="488">
        <v>5569688.5873346999</v>
      </c>
      <c r="R34" s="488">
        <f>IFERROR(VLOOKUP($B34-1,CDM!$L$7:$T$18,5,FALSE)/12,0)+IFERROR(VLOOKUP($B34,CDM!$L$37:$T$47,5,FALSE)/24,0)+IFERROR(VLOOKUP($B34,CDM!$L$37:$T$47,5,FALSE)/2*$C34/78,0)</f>
        <v>94858.80892003722</v>
      </c>
      <c r="S34" s="488">
        <f t="shared" si="18"/>
        <v>5664547.3962547369</v>
      </c>
      <c r="T34" s="44">
        <v>5894.1200000000008</v>
      </c>
      <c r="U34" s="488">
        <v>5</v>
      </c>
      <c r="V34" s="488">
        <v>10380347.2904239</v>
      </c>
      <c r="W34" s="488">
        <f>IFERROR(VLOOKUP($B34-1,CDM!$L$7:$T$18,6,FALSE)/12,0)+IFERROR(VLOOKUP($B34,CDM!$L$37:$T$47,6,FALSE)/24,0)+IFERROR(VLOOKUP($B34,CDM!$L$37:$T$47,6,FALSE)/2*$C34/78,0)</f>
        <v>342208.70819540176</v>
      </c>
      <c r="X34" s="488">
        <f t="shared" si="19"/>
        <v>10722555.998619301</v>
      </c>
      <c r="Y34" s="488">
        <v>22399.41</v>
      </c>
      <c r="Z34" s="488">
        <v>1</v>
      </c>
      <c r="AA34" s="44">
        <v>1336954.82</v>
      </c>
      <c r="AB34" s="44">
        <v>3895.56</v>
      </c>
      <c r="AC34" s="488">
        <v>37210</v>
      </c>
      <c r="AD34" s="44">
        <v>455204.05</v>
      </c>
      <c r="AE34" s="44">
        <v>1551</v>
      </c>
      <c r="AF34" s="44">
        <v>43494.03</v>
      </c>
      <c r="AG34" s="44">
        <v>122.18</v>
      </c>
      <c r="AH34" s="44">
        <v>526</v>
      </c>
      <c r="AI34" s="44">
        <v>14400</v>
      </c>
      <c r="AJ34" s="68">
        <f>Economic!H48</f>
        <v>807583.1</v>
      </c>
      <c r="AK34" s="68">
        <f>Economic!I48</f>
        <v>94617.3</v>
      </c>
      <c r="AL34" s="68">
        <f>Economic!J48</f>
        <v>33264.1</v>
      </c>
      <c r="AM34" s="68">
        <f>Economic!K48</f>
        <v>75322.899999999994</v>
      </c>
      <c r="AN34" s="68">
        <f>Economic!L48</f>
        <v>59802.7</v>
      </c>
      <c r="AO34" s="68">
        <f>Economic!M48</f>
        <v>810697</v>
      </c>
      <c r="AP34" s="68">
        <f>Economic!N48</f>
        <v>94481</v>
      </c>
      <c r="AQ34" s="68">
        <f>Economic!O48</f>
        <v>14434</v>
      </c>
      <c r="AR34" s="68">
        <f>Economic!P48</f>
        <v>33438</v>
      </c>
      <c r="AS34" s="68">
        <f>Economic!Q48</f>
        <v>75909</v>
      </c>
      <c r="AT34" s="68">
        <f>Economic!D48</f>
        <v>7432.4</v>
      </c>
      <c r="AU34" s="68">
        <f>Economic!E48</f>
        <v>7489.3</v>
      </c>
      <c r="AV34" s="68">
        <f>Economic!F48</f>
        <v>255.2</v>
      </c>
      <c r="AW34" s="68">
        <f>Economic!G48</f>
        <v>257.60000000000002</v>
      </c>
      <c r="AX34" s="68">
        <f>Economic!W48</f>
        <v>16185</v>
      </c>
      <c r="AY34" s="68">
        <f>Economic!R48</f>
        <v>158.59999999999945</v>
      </c>
      <c r="AZ34" s="68">
        <f>Economic!W48</f>
        <v>16185</v>
      </c>
      <c r="BA34" s="68">
        <f>Economic!X48</f>
        <v>-1587</v>
      </c>
      <c r="BB34" s="68">
        <f>Economic!Y48</f>
        <v>3585</v>
      </c>
      <c r="BC34" s="236">
        <f>Weather!C46</f>
        <v>17.383263888888887</v>
      </c>
      <c r="BD34" s="16">
        <f>Weather!D46</f>
        <v>86.468749999999986</v>
      </c>
      <c r="BE34" s="16">
        <f>Weather!E46</f>
        <v>7.9666666666666579</v>
      </c>
      <c r="BF34" s="16">
        <f>Weather!F46</f>
        <v>40.506249999999994</v>
      </c>
      <c r="BG34" s="16">
        <f>Weather!G46</f>
        <v>22.004166666666656</v>
      </c>
      <c r="BH34" s="16">
        <f>Weather!H46</f>
        <v>11.541666666666663</v>
      </c>
      <c r="BI34" s="16">
        <f>Weather!I46</f>
        <v>53.039583333333326</v>
      </c>
      <c r="BJ34" s="16">
        <f>Weather!J46</f>
        <v>1.8833333333333364</v>
      </c>
      <c r="BK34" s="16">
        <f>Weather!K46</f>
        <v>103.38124999999999</v>
      </c>
      <c r="BL34" s="16">
        <f>Weather!L46</f>
        <v>0</v>
      </c>
      <c r="BM34" s="16">
        <f>Weather!M46</f>
        <v>161.49791666666664</v>
      </c>
      <c r="BN34" s="16">
        <f>Weather!N46</f>
        <v>0</v>
      </c>
      <c r="BO34" s="16">
        <f>Weather!O46</f>
        <v>221.49791666666664</v>
      </c>
      <c r="BP34" s="16">
        <f>Weather!P46</f>
        <v>0</v>
      </c>
      <c r="BQ34" s="16">
        <f>Weather!Q46</f>
        <v>281.49791666666664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</v>
      </c>
      <c r="CA34">
        <v>0</v>
      </c>
      <c r="CB34">
        <v>0</v>
      </c>
      <c r="CC34">
        <v>0</v>
      </c>
      <c r="CD34">
        <v>0</v>
      </c>
      <c r="CE34">
        <f t="shared" si="52"/>
        <v>0</v>
      </c>
      <c r="CF34">
        <v>1</v>
      </c>
      <c r="CG34">
        <f t="shared" si="52"/>
        <v>1</v>
      </c>
      <c r="CH34">
        <v>1</v>
      </c>
      <c r="CI34">
        <f t="shared" si="51"/>
        <v>1</v>
      </c>
      <c r="CJ34">
        <f t="shared" si="21"/>
        <v>1</v>
      </c>
      <c r="CK34">
        <f t="shared" si="53"/>
        <v>0</v>
      </c>
      <c r="CL34">
        <f t="shared" si="53"/>
        <v>0</v>
      </c>
      <c r="CM34" s="1">
        <f t="shared" si="22"/>
        <v>33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>
        <v>30</v>
      </c>
      <c r="CT34">
        <v>21</v>
      </c>
      <c r="CU34">
        <v>0</v>
      </c>
      <c r="CV34">
        <v>0</v>
      </c>
      <c r="CW34">
        <v>0</v>
      </c>
      <c r="CX34">
        <v>0</v>
      </c>
      <c r="CY34">
        <v>0</v>
      </c>
      <c r="CZ34">
        <f t="shared" si="23"/>
        <v>0</v>
      </c>
      <c r="DA34">
        <f t="shared" si="24"/>
        <v>0</v>
      </c>
      <c r="DB34">
        <f t="shared" si="25"/>
        <v>0</v>
      </c>
      <c r="DC34">
        <f t="shared" si="57"/>
        <v>0</v>
      </c>
      <c r="DD34">
        <f t="shared" si="58"/>
        <v>0</v>
      </c>
      <c r="DE34">
        <f t="shared" si="59"/>
        <v>0</v>
      </c>
      <c r="DF34">
        <f t="shared" si="60"/>
        <v>0</v>
      </c>
      <c r="DG34">
        <f t="shared" si="61"/>
        <v>0</v>
      </c>
      <c r="DH34">
        <f t="shared" si="62"/>
        <v>0</v>
      </c>
      <c r="DI34">
        <f t="shared" si="63"/>
        <v>0</v>
      </c>
      <c r="DJ34">
        <f t="shared" si="64"/>
        <v>0</v>
      </c>
      <c r="DK34">
        <f t="shared" si="65"/>
        <v>0</v>
      </c>
      <c r="DL34">
        <f t="shared" si="66"/>
        <v>0</v>
      </c>
      <c r="DM34">
        <f t="shared" si="67"/>
        <v>0</v>
      </c>
      <c r="DN34">
        <f t="shared" si="37"/>
        <v>0</v>
      </c>
      <c r="DO34">
        <f t="shared" si="38"/>
        <v>0</v>
      </c>
      <c r="DP34">
        <f t="shared" si="39"/>
        <v>0</v>
      </c>
      <c r="DQ34">
        <f t="shared" si="68"/>
        <v>0</v>
      </c>
      <c r="DR34">
        <f t="shared" si="69"/>
        <v>0</v>
      </c>
      <c r="DS34">
        <f t="shared" si="70"/>
        <v>0</v>
      </c>
      <c r="DT34">
        <f t="shared" si="71"/>
        <v>0</v>
      </c>
      <c r="DU34">
        <f t="shared" si="72"/>
        <v>0</v>
      </c>
      <c r="DV34">
        <f t="shared" si="73"/>
        <v>0</v>
      </c>
      <c r="DW34">
        <f t="shared" si="74"/>
        <v>0</v>
      </c>
      <c r="DX34">
        <f t="shared" si="75"/>
        <v>0</v>
      </c>
      <c r="DY34">
        <f t="shared" si="76"/>
        <v>0</v>
      </c>
      <c r="DZ34">
        <f t="shared" si="77"/>
        <v>0</v>
      </c>
      <c r="EA34">
        <f t="shared" si="78"/>
        <v>0</v>
      </c>
      <c r="EB34" s="44">
        <f t="shared" ref="EB34:EB65" si="82">F34/G34</f>
        <v>596.4927520150768</v>
      </c>
      <c r="EC34" s="44">
        <f t="shared" si="5"/>
        <v>19.883091733835894</v>
      </c>
      <c r="ED34" s="44">
        <f t="shared" ref="ED34:ED65" si="83">F34/CS34</f>
        <v>2899491.6182700866</v>
      </c>
      <c r="EE34" s="44">
        <f t="shared" ref="EE34:EE65" si="84">J34/K34</f>
        <v>2496.8624801708106</v>
      </c>
      <c r="EF34" s="44">
        <f t="shared" si="8"/>
        <v>83.228749339027019</v>
      </c>
      <c r="EG34" s="44">
        <f t="shared" ref="EG34:EG65" si="85">J34/CS34</f>
        <v>1065411.2202888848</v>
      </c>
      <c r="EH34" s="44">
        <f t="shared" ref="EH34:EH65" si="86">N34/P34</f>
        <v>79045.791570807356</v>
      </c>
      <c r="EI34" s="44">
        <f t="shared" si="11"/>
        <v>2634.859719026912</v>
      </c>
      <c r="EJ34" s="44">
        <f t="shared" si="55"/>
        <v>3952.289578540368</v>
      </c>
      <c r="EK34" s="44">
        <f t="shared" si="54"/>
        <v>4163078.3560625208</v>
      </c>
      <c r="EL34" s="44">
        <f t="shared" si="56"/>
        <v>6244617.5340937804</v>
      </c>
    </row>
    <row r="35" spans="1:142" x14ac:dyDescent="0.2">
      <c r="A35" s="66">
        <v>43739</v>
      </c>
      <c r="B35" s="4">
        <f t="shared" si="0"/>
        <v>2019</v>
      </c>
      <c r="C35" s="4">
        <f t="shared" si="1"/>
        <v>10</v>
      </c>
      <c r="D35" s="44">
        <v>76883102.4093979</v>
      </c>
      <c r="E35" s="44">
        <f>IFERROR(VLOOKUP($B35-1,CDM!$L$7:$T$18,2,FALSE)/12,0)+IFERROR(VLOOKUP($B35,CDM!$L$37:$O$47,2,FALSE)/24,0)+IFERROR(VLOOKUP($B35,CDM!$L$37:$O$47,2,FALSE)/2*$C35/78,0)</f>
        <v>2190924.4119854784</v>
      </c>
      <c r="F35" s="44">
        <f t="shared" si="79"/>
        <v>79074026.821383372</v>
      </c>
      <c r="G35" s="488">
        <v>145934</v>
      </c>
      <c r="H35" s="44">
        <v>29895779.421005599</v>
      </c>
      <c r="I35" s="44">
        <f>IFERROR(VLOOKUP($B35-1,CDM!$L$7:$T$18,3,FALSE)/12,0)+IFERROR(VLOOKUP($B35,CDM!$L$37:$O$47,3,FALSE)/24,0)+IFERROR(VLOOKUP($B35,CDM!$L$37:$O$47,3,FALSE)/2*$C35/78,0)</f>
        <v>863501.83004197385</v>
      </c>
      <c r="J35" s="44">
        <f t="shared" si="80"/>
        <v>30759281.251047574</v>
      </c>
      <c r="K35" s="44">
        <v>12773</v>
      </c>
      <c r="L35" s="44">
        <v>115283189.506731</v>
      </c>
      <c r="M35" s="44">
        <f>IFERROR(VLOOKUP($B35-1,CDM!$L$7:$T$18,4,FALSE)/12,0)+IFERROR(VLOOKUP($B35,CDM!$L$37:$O$47,4,FALSE)/24,0)+IFERROR(VLOOKUP($B35,CDM!$L$37:$O$47,4,FALSE)/2*$C35/78,0)</f>
        <v>5043810.0041930806</v>
      </c>
      <c r="N35" s="44">
        <f t="shared" si="81"/>
        <v>120326999.51092409</v>
      </c>
      <c r="O35" s="44">
        <v>306778.13</v>
      </c>
      <c r="P35" s="488">
        <v>1581</v>
      </c>
      <c r="Q35" s="488">
        <v>2995711.6721726102</v>
      </c>
      <c r="R35" s="488">
        <f>IFERROR(VLOOKUP($B35-1,CDM!$L$7:$T$18,5,FALSE)/12,0)+IFERROR(VLOOKUP($B35,CDM!$L$37:$T$47,5,FALSE)/24,0)+IFERROR(VLOOKUP($B35,CDM!$L$37:$T$47,5,FALSE)/2*$C35/78,0)</f>
        <v>94850.122863868659</v>
      </c>
      <c r="S35" s="488">
        <f t="shared" si="18"/>
        <v>3090561.7950364789</v>
      </c>
      <c r="T35" s="44">
        <v>5389.2999999999993</v>
      </c>
      <c r="U35" s="488">
        <v>5</v>
      </c>
      <c r="V35" s="488">
        <v>8841248.8591254298</v>
      </c>
      <c r="W35" s="488">
        <f>IFERROR(VLOOKUP($B35-1,CDM!$L$7:$T$18,6,FALSE)/12,0)+IFERROR(VLOOKUP($B35,CDM!$L$37:$T$47,6,FALSE)/24,0)+IFERROR(VLOOKUP($B35,CDM!$L$37:$T$47,6,FALSE)/2*$C35/78,0)</f>
        <v>354592.45693512034</v>
      </c>
      <c r="X35" s="488">
        <f t="shared" si="19"/>
        <v>9195841.3160605505</v>
      </c>
      <c r="Y35" s="488">
        <v>22933.77</v>
      </c>
      <c r="Z35" s="488">
        <v>1</v>
      </c>
      <c r="AA35" s="44">
        <v>1566672.92</v>
      </c>
      <c r="AB35" s="44">
        <v>3908.57</v>
      </c>
      <c r="AC35" s="488">
        <v>37391</v>
      </c>
      <c r="AD35" s="44">
        <v>463672.02</v>
      </c>
      <c r="AE35" s="44">
        <v>1550</v>
      </c>
      <c r="AF35" s="44">
        <v>46127.879999999976</v>
      </c>
      <c r="AG35" s="44">
        <v>122.01</v>
      </c>
      <c r="AH35" s="44">
        <v>526</v>
      </c>
      <c r="AI35" s="44">
        <v>14400</v>
      </c>
      <c r="AJ35" s="68">
        <f>Economic!H49</f>
        <v>807583.1</v>
      </c>
      <c r="AK35" s="68">
        <f>Economic!I49</f>
        <v>94617.3</v>
      </c>
      <c r="AL35" s="68">
        <f>Economic!J49</f>
        <v>33264.1</v>
      </c>
      <c r="AM35" s="68">
        <f>Economic!K49</f>
        <v>75322.899999999994</v>
      </c>
      <c r="AN35" s="68">
        <f>Economic!L49</f>
        <v>59802.7</v>
      </c>
      <c r="AO35" s="68">
        <f>Economic!M49</f>
        <v>812164</v>
      </c>
      <c r="AP35" s="68">
        <f>Economic!N49</f>
        <v>92913</v>
      </c>
      <c r="AQ35" s="68">
        <f>Economic!O49</f>
        <v>14573</v>
      </c>
      <c r="AR35" s="68">
        <f>Economic!P49</f>
        <v>34184</v>
      </c>
      <c r="AS35" s="68">
        <f>Economic!Q49</f>
        <v>77595</v>
      </c>
      <c r="AT35" s="68">
        <f>Economic!D49</f>
        <v>7450</v>
      </c>
      <c r="AU35" s="68">
        <f>Economic!E49</f>
        <v>7491.1</v>
      </c>
      <c r="AV35" s="68">
        <f>Economic!F49</f>
        <v>260.39999999999998</v>
      </c>
      <c r="AW35" s="68">
        <f>Economic!G49</f>
        <v>261.89999999999998</v>
      </c>
      <c r="AX35" s="68">
        <f>Economic!W49</f>
        <v>12242</v>
      </c>
      <c r="AY35" s="68">
        <f>Economic!R49</f>
        <v>180.89999999999964</v>
      </c>
      <c r="AZ35" s="68">
        <f>Economic!W49</f>
        <v>12242</v>
      </c>
      <c r="BA35" s="68">
        <f>Economic!X49</f>
        <v>-3210</v>
      </c>
      <c r="BB35" s="68">
        <f>Economic!Y49</f>
        <v>5384</v>
      </c>
      <c r="BC35" s="236">
        <f>Weather!C47</f>
        <v>10.254973118279571</v>
      </c>
      <c r="BD35" s="16">
        <f>Weather!D47</f>
        <v>302.80416666666667</v>
      </c>
      <c r="BE35" s="16">
        <f>Weather!E47</f>
        <v>0.70833333333333215</v>
      </c>
      <c r="BF35" s="16">
        <f>Weather!F47</f>
        <v>242.8041666666667</v>
      </c>
      <c r="BG35" s="16">
        <f>Weather!G47</f>
        <v>2.7083333333333321</v>
      </c>
      <c r="BH35" s="16">
        <f>Weather!H47</f>
        <v>182.8041666666667</v>
      </c>
      <c r="BI35" s="16">
        <f>Weather!I47</f>
        <v>4.7083333333333321</v>
      </c>
      <c r="BJ35" s="16">
        <f>Weather!J47</f>
        <v>126.96250000000001</v>
      </c>
      <c r="BK35" s="16">
        <f>Weather!K47</f>
        <v>10.866666666666669</v>
      </c>
      <c r="BL35" s="16">
        <f>Weather!L47</f>
        <v>75.183333333333351</v>
      </c>
      <c r="BM35" s="16">
        <f>Weather!M47</f>
        <v>21.087500000000006</v>
      </c>
      <c r="BN35" s="16">
        <f>Weather!N47</f>
        <v>35.958333333333329</v>
      </c>
      <c r="BO35" s="16">
        <f>Weather!O47</f>
        <v>43.862500000000004</v>
      </c>
      <c r="BP35" s="16">
        <f>Weather!P47</f>
        <v>10.741666666666664</v>
      </c>
      <c r="BQ35" s="16">
        <f>Weather!Q47</f>
        <v>80.645833333333343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1</v>
      </c>
      <c r="CB35">
        <v>0</v>
      </c>
      <c r="CC35">
        <v>0</v>
      </c>
      <c r="CD35">
        <v>0</v>
      </c>
      <c r="CE35">
        <f t="shared" si="52"/>
        <v>0</v>
      </c>
      <c r="CF35">
        <v>1</v>
      </c>
      <c r="CG35">
        <f t="shared" si="52"/>
        <v>1</v>
      </c>
      <c r="CH35">
        <v>1</v>
      </c>
      <c r="CI35">
        <f t="shared" si="51"/>
        <v>1</v>
      </c>
      <c r="CJ35">
        <f t="shared" si="21"/>
        <v>1</v>
      </c>
      <c r="CK35">
        <f t="shared" si="53"/>
        <v>0</v>
      </c>
      <c r="CL35">
        <f t="shared" si="53"/>
        <v>0</v>
      </c>
      <c r="CM35" s="1">
        <f t="shared" si="22"/>
        <v>34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>
        <v>31</v>
      </c>
      <c r="CT35">
        <v>21</v>
      </c>
      <c r="CU35">
        <v>0</v>
      </c>
      <c r="CV35">
        <v>0</v>
      </c>
      <c r="CW35">
        <v>0</v>
      </c>
      <c r="CX35">
        <v>0</v>
      </c>
      <c r="CY35">
        <v>0</v>
      </c>
      <c r="CZ35">
        <f t="shared" si="23"/>
        <v>0</v>
      </c>
      <c r="DA35">
        <f t="shared" si="24"/>
        <v>0</v>
      </c>
      <c r="DB35">
        <f t="shared" si="25"/>
        <v>0</v>
      </c>
      <c r="DC35">
        <f t="shared" si="57"/>
        <v>0</v>
      </c>
      <c r="DD35">
        <f t="shared" si="58"/>
        <v>0</v>
      </c>
      <c r="DE35">
        <f t="shared" si="59"/>
        <v>0</v>
      </c>
      <c r="DF35">
        <f t="shared" si="60"/>
        <v>0</v>
      </c>
      <c r="DG35">
        <f t="shared" si="61"/>
        <v>0</v>
      </c>
      <c r="DH35">
        <f t="shared" si="62"/>
        <v>0</v>
      </c>
      <c r="DI35">
        <f t="shared" si="63"/>
        <v>0</v>
      </c>
      <c r="DJ35">
        <f t="shared" si="64"/>
        <v>0</v>
      </c>
      <c r="DK35">
        <f t="shared" si="65"/>
        <v>0</v>
      </c>
      <c r="DL35">
        <f t="shared" si="66"/>
        <v>0</v>
      </c>
      <c r="DM35">
        <f t="shared" si="67"/>
        <v>0</v>
      </c>
      <c r="DN35">
        <f t="shared" si="37"/>
        <v>0</v>
      </c>
      <c r="DO35">
        <f t="shared" si="38"/>
        <v>0</v>
      </c>
      <c r="DP35">
        <f t="shared" si="39"/>
        <v>0</v>
      </c>
      <c r="DQ35">
        <f t="shared" si="68"/>
        <v>0</v>
      </c>
      <c r="DR35">
        <f t="shared" si="69"/>
        <v>0</v>
      </c>
      <c r="DS35">
        <f t="shared" si="70"/>
        <v>0</v>
      </c>
      <c r="DT35">
        <f t="shared" si="71"/>
        <v>0</v>
      </c>
      <c r="DU35">
        <f t="shared" si="72"/>
        <v>0</v>
      </c>
      <c r="DV35">
        <f t="shared" si="73"/>
        <v>0</v>
      </c>
      <c r="DW35">
        <f t="shared" si="74"/>
        <v>0</v>
      </c>
      <c r="DX35">
        <f t="shared" si="75"/>
        <v>0</v>
      </c>
      <c r="DY35">
        <f t="shared" si="76"/>
        <v>0</v>
      </c>
      <c r="DZ35">
        <f t="shared" si="77"/>
        <v>0</v>
      </c>
      <c r="EA35">
        <f t="shared" si="78"/>
        <v>0</v>
      </c>
      <c r="EB35" s="44">
        <f t="shared" si="82"/>
        <v>541.84786836092599</v>
      </c>
      <c r="EC35" s="44">
        <f t="shared" si="5"/>
        <v>17.478963495513742</v>
      </c>
      <c r="ED35" s="44">
        <f t="shared" si="83"/>
        <v>2550775.0587543021</v>
      </c>
      <c r="EE35" s="44">
        <f t="shared" si="84"/>
        <v>2408.1485360563356</v>
      </c>
      <c r="EF35" s="44">
        <f t="shared" si="8"/>
        <v>77.682210840526949</v>
      </c>
      <c r="EG35" s="44">
        <f t="shared" si="85"/>
        <v>992234.87906605075</v>
      </c>
      <c r="EH35" s="44">
        <f t="shared" si="86"/>
        <v>76108.159083443446</v>
      </c>
      <c r="EI35" s="44">
        <f t="shared" si="11"/>
        <v>2455.1019059175305</v>
      </c>
      <c r="EJ35" s="44">
        <f t="shared" si="55"/>
        <v>3624.1980515925452</v>
      </c>
      <c r="EK35" s="44">
        <f t="shared" si="54"/>
        <v>3881516.1132556158</v>
      </c>
      <c r="EL35" s="44">
        <f t="shared" si="56"/>
        <v>5729857.1195678134</v>
      </c>
    </row>
    <row r="36" spans="1:142" x14ac:dyDescent="0.2">
      <c r="A36" s="66">
        <v>43770</v>
      </c>
      <c r="B36" s="4">
        <f t="shared" si="0"/>
        <v>2019</v>
      </c>
      <c r="C36" s="4">
        <f t="shared" si="1"/>
        <v>11</v>
      </c>
      <c r="D36" s="44">
        <v>86690182.448734194</v>
      </c>
      <c r="E36" s="44">
        <f>IFERROR(VLOOKUP($B36-1,CDM!$L$7:$T$18,2,FALSE)/12,0)+IFERROR(VLOOKUP($B36,CDM!$L$37:$O$47,2,FALSE)/24,0)+IFERROR(VLOOKUP($B36,CDM!$L$37:$O$47,2,FALSE)/2*$C36/78,0)</f>
        <v>2200253.759407361</v>
      </c>
      <c r="F36" s="44">
        <f t="shared" si="79"/>
        <v>88890436.20814155</v>
      </c>
      <c r="G36" s="488">
        <v>146082</v>
      </c>
      <c r="H36" s="44">
        <v>32262302.654004</v>
      </c>
      <c r="I36" s="44">
        <f>IFERROR(VLOOKUP($B36-1,CDM!$L$7:$T$18,3,FALSE)/12,0)+IFERROR(VLOOKUP($B36,CDM!$L$37:$O$47,3,FALSE)/24,0)+IFERROR(VLOOKUP($B36,CDM!$L$37:$O$47,3,FALSE)/2*$C36/78,0)</f>
        <v>879153.97558229882</v>
      </c>
      <c r="J36" s="44">
        <f t="shared" si="80"/>
        <v>33141456.629586298</v>
      </c>
      <c r="K36" s="44">
        <v>12785</v>
      </c>
      <c r="L36" s="44">
        <v>114697268.28636</v>
      </c>
      <c r="M36" s="44">
        <f>IFERROR(VLOOKUP($B36-1,CDM!$L$7:$T$18,4,FALSE)/12,0)+IFERROR(VLOOKUP($B36,CDM!$L$37:$O$47,4,FALSE)/24,0)+IFERROR(VLOOKUP($B36,CDM!$L$37:$O$47,4,FALSE)/2*$C36/78,0)</f>
        <v>5113977.2051125402</v>
      </c>
      <c r="N36" s="44">
        <f t="shared" si="81"/>
        <v>119811245.49147254</v>
      </c>
      <c r="O36" s="44">
        <v>285332.03000000003</v>
      </c>
      <c r="P36" s="488">
        <v>1585</v>
      </c>
      <c r="Q36" s="488">
        <v>1387636.30614731</v>
      </c>
      <c r="R36" s="488">
        <f>IFERROR(VLOOKUP($B36-1,CDM!$L$7:$T$18,5,FALSE)/12,0)+IFERROR(VLOOKUP($B36,CDM!$L$37:$T$47,5,FALSE)/24,0)+IFERROR(VLOOKUP($B36,CDM!$L$37:$T$47,5,FALSE)/2*$C36/78,0)</f>
        <v>94841.436807700113</v>
      </c>
      <c r="S36" s="488">
        <f t="shared" si="18"/>
        <v>1482477.7429550102</v>
      </c>
      <c r="T36" s="44">
        <v>4169.95</v>
      </c>
      <c r="U36" s="488">
        <v>5</v>
      </c>
      <c r="V36" s="488">
        <v>8158371.4770965204</v>
      </c>
      <c r="W36" s="488">
        <f>IFERROR(VLOOKUP($B36-1,CDM!$L$7:$T$18,6,FALSE)/12,0)+IFERROR(VLOOKUP($B36,CDM!$L$37:$T$47,6,FALSE)/24,0)+IFERROR(VLOOKUP($B36,CDM!$L$37:$T$47,6,FALSE)/2*$C36/78,0)</f>
        <v>366976.20567483886</v>
      </c>
      <c r="X36" s="488">
        <f t="shared" si="19"/>
        <v>8525347.6827713586</v>
      </c>
      <c r="Y36" s="488">
        <v>14421.37</v>
      </c>
      <c r="Z36" s="488">
        <v>1</v>
      </c>
      <c r="AA36" s="44">
        <v>1661911.49</v>
      </c>
      <c r="AB36" s="44">
        <v>3912.22</v>
      </c>
      <c r="AC36" s="488">
        <v>37417</v>
      </c>
      <c r="AD36" s="44">
        <v>448955.72</v>
      </c>
      <c r="AE36" s="44">
        <v>1550</v>
      </c>
      <c r="AF36" s="44">
        <v>44261.74</v>
      </c>
      <c r="AG36" s="44">
        <v>121.69</v>
      </c>
      <c r="AH36" s="44">
        <v>517</v>
      </c>
      <c r="AI36" s="44">
        <v>14400</v>
      </c>
      <c r="AJ36" s="68">
        <f>Economic!H50</f>
        <v>807583.1</v>
      </c>
      <c r="AK36" s="68">
        <f>Economic!I50</f>
        <v>94617.3</v>
      </c>
      <c r="AL36" s="68">
        <f>Economic!J50</f>
        <v>33264.1</v>
      </c>
      <c r="AM36" s="68">
        <f>Economic!K50</f>
        <v>75322.899999999994</v>
      </c>
      <c r="AN36" s="68">
        <f>Economic!L50</f>
        <v>59802.7</v>
      </c>
      <c r="AO36" s="68">
        <f>Economic!M50</f>
        <v>812164</v>
      </c>
      <c r="AP36" s="68">
        <f>Economic!N50</f>
        <v>92913</v>
      </c>
      <c r="AQ36" s="68">
        <f>Economic!O50</f>
        <v>14573</v>
      </c>
      <c r="AR36" s="68">
        <f>Economic!P50</f>
        <v>34184</v>
      </c>
      <c r="AS36" s="68">
        <f>Economic!Q50</f>
        <v>77595</v>
      </c>
      <c r="AT36" s="68">
        <f>Economic!D50</f>
        <v>7458.2</v>
      </c>
      <c r="AU36" s="68">
        <f>Economic!E50</f>
        <v>7479.5</v>
      </c>
      <c r="AV36" s="68">
        <f>Economic!F50</f>
        <v>265.60000000000002</v>
      </c>
      <c r="AW36" s="68">
        <f>Economic!G50</f>
        <v>265.8</v>
      </c>
      <c r="AX36" s="68">
        <f>Economic!W50</f>
        <v>12242</v>
      </c>
      <c r="AY36" s="68">
        <f>Economic!R50</f>
        <v>168.30000000000018</v>
      </c>
      <c r="AZ36" s="68">
        <f>Economic!W50</f>
        <v>12242</v>
      </c>
      <c r="BA36" s="68">
        <f>Economic!X50</f>
        <v>-3210</v>
      </c>
      <c r="BB36" s="68">
        <f>Economic!Y50</f>
        <v>5384</v>
      </c>
      <c r="BC36" s="236">
        <f>Weather!C48</f>
        <v>0.55111111111111133</v>
      </c>
      <c r="BD36" s="16">
        <f>Weather!D48</f>
        <v>583.46666666666658</v>
      </c>
      <c r="BE36" s="16">
        <f>Weather!E48</f>
        <v>0</v>
      </c>
      <c r="BF36" s="16">
        <f>Weather!F48</f>
        <v>523.4666666666667</v>
      </c>
      <c r="BG36" s="16">
        <f>Weather!G48</f>
        <v>0</v>
      </c>
      <c r="BH36" s="16">
        <f>Weather!H48</f>
        <v>463.4666666666667</v>
      </c>
      <c r="BI36" s="16">
        <f>Weather!I48</f>
        <v>0</v>
      </c>
      <c r="BJ36" s="16">
        <f>Weather!J48</f>
        <v>403.4666666666667</v>
      </c>
      <c r="BK36" s="16">
        <f>Weather!K48</f>
        <v>0</v>
      </c>
      <c r="BL36" s="16">
        <f>Weather!L48</f>
        <v>343.46666666666664</v>
      </c>
      <c r="BM36" s="16">
        <f>Weather!M48</f>
        <v>0</v>
      </c>
      <c r="BN36" s="16">
        <f>Weather!N48</f>
        <v>283.46666666666664</v>
      </c>
      <c r="BO36" s="16">
        <f>Weather!O48</f>
        <v>0</v>
      </c>
      <c r="BP36" s="16">
        <f>Weather!P48</f>
        <v>223.46666666666667</v>
      </c>
      <c r="BQ36" s="16">
        <f>Weather!Q48</f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</v>
      </c>
      <c r="CC36">
        <v>0</v>
      </c>
      <c r="CD36">
        <v>0</v>
      </c>
      <c r="CE36">
        <f t="shared" si="52"/>
        <v>0</v>
      </c>
      <c r="CF36">
        <v>1</v>
      </c>
      <c r="CG36">
        <f t="shared" si="52"/>
        <v>0</v>
      </c>
      <c r="CH36">
        <v>1</v>
      </c>
      <c r="CI36">
        <f t="shared" si="51"/>
        <v>0</v>
      </c>
      <c r="CJ36">
        <f t="shared" si="21"/>
        <v>1</v>
      </c>
      <c r="CK36">
        <f t="shared" si="53"/>
        <v>0</v>
      </c>
      <c r="CL36">
        <f t="shared" si="53"/>
        <v>0</v>
      </c>
      <c r="CM36" s="1">
        <f t="shared" si="22"/>
        <v>35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>
        <v>30</v>
      </c>
      <c r="CT36">
        <v>21</v>
      </c>
      <c r="CU36">
        <v>0</v>
      </c>
      <c r="CV36">
        <v>0</v>
      </c>
      <c r="CW36">
        <v>0</v>
      </c>
      <c r="CX36">
        <v>0</v>
      </c>
      <c r="CY36">
        <v>0</v>
      </c>
      <c r="CZ36">
        <f t="shared" si="23"/>
        <v>0</v>
      </c>
      <c r="DA36">
        <f t="shared" si="24"/>
        <v>0</v>
      </c>
      <c r="DB36">
        <f t="shared" si="25"/>
        <v>0</v>
      </c>
      <c r="DC36">
        <f t="shared" si="57"/>
        <v>0</v>
      </c>
      <c r="DD36">
        <f t="shared" si="58"/>
        <v>0</v>
      </c>
      <c r="DE36">
        <f t="shared" si="59"/>
        <v>0</v>
      </c>
      <c r="DF36">
        <f t="shared" si="60"/>
        <v>0</v>
      </c>
      <c r="DG36">
        <f t="shared" si="61"/>
        <v>0</v>
      </c>
      <c r="DH36">
        <f t="shared" si="62"/>
        <v>0</v>
      </c>
      <c r="DI36">
        <f t="shared" si="63"/>
        <v>0</v>
      </c>
      <c r="DJ36">
        <f t="shared" si="64"/>
        <v>0</v>
      </c>
      <c r="DK36">
        <f t="shared" si="65"/>
        <v>0</v>
      </c>
      <c r="DL36">
        <f t="shared" si="66"/>
        <v>0</v>
      </c>
      <c r="DM36">
        <f t="shared" si="67"/>
        <v>0</v>
      </c>
      <c r="DN36">
        <f t="shared" si="37"/>
        <v>0</v>
      </c>
      <c r="DO36">
        <f t="shared" si="38"/>
        <v>0</v>
      </c>
      <c r="DP36">
        <f t="shared" si="39"/>
        <v>0</v>
      </c>
      <c r="DQ36">
        <f t="shared" si="68"/>
        <v>0</v>
      </c>
      <c r="DR36">
        <f t="shared" si="69"/>
        <v>0</v>
      </c>
      <c r="DS36">
        <f t="shared" si="70"/>
        <v>0</v>
      </c>
      <c r="DT36">
        <f t="shared" si="71"/>
        <v>0</v>
      </c>
      <c r="DU36">
        <f t="shared" si="72"/>
        <v>0</v>
      </c>
      <c r="DV36">
        <f t="shared" si="73"/>
        <v>0</v>
      </c>
      <c r="DW36">
        <f t="shared" si="74"/>
        <v>0</v>
      </c>
      <c r="DX36">
        <f t="shared" si="75"/>
        <v>0</v>
      </c>
      <c r="DY36">
        <f t="shared" si="76"/>
        <v>0</v>
      </c>
      <c r="DZ36">
        <f t="shared" si="77"/>
        <v>0</v>
      </c>
      <c r="EA36">
        <f t="shared" si="78"/>
        <v>0</v>
      </c>
      <c r="EB36" s="44">
        <f t="shared" si="82"/>
        <v>608.49684566299436</v>
      </c>
      <c r="EC36" s="44">
        <f t="shared" si="5"/>
        <v>20.283228188766479</v>
      </c>
      <c r="ED36" s="44">
        <f t="shared" si="83"/>
        <v>2963014.5402713851</v>
      </c>
      <c r="EE36" s="44">
        <f t="shared" si="84"/>
        <v>2592.214050026304</v>
      </c>
      <c r="EF36" s="44">
        <f t="shared" si="8"/>
        <v>86.407135000876806</v>
      </c>
      <c r="EG36" s="44">
        <f t="shared" si="85"/>
        <v>1104715.22098621</v>
      </c>
      <c r="EH36" s="44">
        <f t="shared" si="86"/>
        <v>75590.691161812327</v>
      </c>
      <c r="EI36" s="44">
        <f t="shared" si="11"/>
        <v>2519.6897053937441</v>
      </c>
      <c r="EJ36" s="44">
        <f t="shared" si="55"/>
        <v>3435.9405073551056</v>
      </c>
      <c r="EK36" s="44">
        <f t="shared" si="54"/>
        <v>3993708.1830490846</v>
      </c>
      <c r="EL36" s="44">
        <f t="shared" si="56"/>
        <v>5445965.7041578433</v>
      </c>
    </row>
    <row r="37" spans="1:142" x14ac:dyDescent="0.2">
      <c r="A37" s="66">
        <v>43800</v>
      </c>
      <c r="B37" s="4">
        <f t="shared" si="0"/>
        <v>2019</v>
      </c>
      <c r="C37" s="4">
        <f t="shared" si="1"/>
        <v>12</v>
      </c>
      <c r="D37" s="44">
        <v>97147744.6032563</v>
      </c>
      <c r="E37" s="44">
        <f>IFERROR(VLOOKUP($B37-1,CDM!$L$7:$T$18,2,FALSE)/12,0)+IFERROR(VLOOKUP($B37,CDM!$L$37:$O$47,2,FALSE)/24,0)+IFERROR(VLOOKUP($B37,CDM!$L$37:$O$47,2,FALSE)/2*$C37/78,0)</f>
        <v>2209583.1068292442</v>
      </c>
      <c r="F37" s="44">
        <f t="shared" si="79"/>
        <v>99357327.710085541</v>
      </c>
      <c r="G37" s="488">
        <v>146208</v>
      </c>
      <c r="H37" s="44">
        <v>33832375.910964802</v>
      </c>
      <c r="I37" s="44">
        <f>IFERROR(VLOOKUP($B37-1,CDM!$L$7:$T$18,3,FALSE)/12,0)+IFERROR(VLOOKUP($B37,CDM!$L$37:$O$47,3,FALSE)/24,0)+IFERROR(VLOOKUP($B37,CDM!$L$37:$O$47,3,FALSE)/2*$C37/78,0)</f>
        <v>894806.12112262391</v>
      </c>
      <c r="J37" s="44">
        <f t="shared" si="80"/>
        <v>34727182.032087423</v>
      </c>
      <c r="K37" s="44">
        <v>12800</v>
      </c>
      <c r="L37" s="44">
        <v>114050331.36391699</v>
      </c>
      <c r="M37" s="44">
        <f>IFERROR(VLOOKUP($B37-1,CDM!$L$7:$T$18,4,FALSE)/12,0)+IFERROR(VLOOKUP($B37,CDM!$L$37:$O$47,4,FALSE)/24,0)+IFERROR(VLOOKUP($B37,CDM!$L$37:$O$47,4,FALSE)/2*$C37/78,0)</f>
        <v>5184144.4060320007</v>
      </c>
      <c r="N37" s="44">
        <f t="shared" si="81"/>
        <v>119234475.76994899</v>
      </c>
      <c r="O37" s="44">
        <v>282184.24</v>
      </c>
      <c r="P37" s="488">
        <v>1584</v>
      </c>
      <c r="Q37" s="488">
        <v>914602.91049419495</v>
      </c>
      <c r="R37" s="488">
        <f>IFERROR(VLOOKUP($B37-1,CDM!$L$7:$T$18,5,FALSE)/12,0)+IFERROR(VLOOKUP($B37,CDM!$L$37:$T$47,5,FALSE)/24,0)+IFERROR(VLOOKUP($B37,CDM!$L$37:$T$47,5,FALSE)/2*$C37/78,0)</f>
        <v>94832.750751531566</v>
      </c>
      <c r="S37" s="488">
        <f t="shared" si="18"/>
        <v>1009435.6612457265</v>
      </c>
      <c r="T37" s="44">
        <v>954.44999999999948</v>
      </c>
      <c r="U37" s="488">
        <v>5</v>
      </c>
      <c r="V37" s="488">
        <v>7923519.7425973201</v>
      </c>
      <c r="W37" s="488">
        <f>IFERROR(VLOOKUP($B37-1,CDM!$L$7:$T$18,6,FALSE)/12,0)+IFERROR(VLOOKUP($B37,CDM!$L$37:$T$47,6,FALSE)/24,0)+IFERROR(VLOOKUP($B37,CDM!$L$37:$T$47,6,FALSE)/2*$C37/78,0)</f>
        <v>379359.95441455743</v>
      </c>
      <c r="X37" s="488">
        <f t="shared" si="19"/>
        <v>8302879.6970118778</v>
      </c>
      <c r="Y37" s="488">
        <v>14050.79</v>
      </c>
      <c r="Z37" s="488">
        <v>1</v>
      </c>
      <c r="AA37" s="44">
        <v>1809902.04</v>
      </c>
      <c r="AB37" s="44">
        <v>3915.76</v>
      </c>
      <c r="AC37" s="488">
        <v>37461</v>
      </c>
      <c r="AD37" s="44">
        <v>463386.74</v>
      </c>
      <c r="AE37" s="44">
        <v>1551</v>
      </c>
      <c r="AF37" s="44">
        <v>44819.91</v>
      </c>
      <c r="AG37" s="44">
        <v>120.68</v>
      </c>
      <c r="AH37" s="44">
        <v>516</v>
      </c>
      <c r="AI37" s="44">
        <v>14400</v>
      </c>
      <c r="AJ37" s="68">
        <f>Economic!H51</f>
        <v>807583.1</v>
      </c>
      <c r="AK37" s="68">
        <f>Economic!I51</f>
        <v>94617.3</v>
      </c>
      <c r="AL37" s="68">
        <f>Economic!J51</f>
        <v>33264.1</v>
      </c>
      <c r="AM37" s="68">
        <f>Economic!K51</f>
        <v>75322.899999999994</v>
      </c>
      <c r="AN37" s="68">
        <f>Economic!L51</f>
        <v>59802.7</v>
      </c>
      <c r="AO37" s="68">
        <f>Economic!M51</f>
        <v>812164</v>
      </c>
      <c r="AP37" s="68">
        <f>Economic!N51</f>
        <v>92913</v>
      </c>
      <c r="AQ37" s="68">
        <f>Economic!O51</f>
        <v>14573</v>
      </c>
      <c r="AR37" s="68">
        <f>Economic!P51</f>
        <v>34184</v>
      </c>
      <c r="AS37" s="68">
        <f>Economic!Q51</f>
        <v>77595</v>
      </c>
      <c r="AT37" s="68">
        <f>Economic!D51</f>
        <v>7474</v>
      </c>
      <c r="AU37" s="68">
        <f>Economic!E51</f>
        <v>7485.8</v>
      </c>
      <c r="AV37" s="68">
        <f>Economic!F51</f>
        <v>266</v>
      </c>
      <c r="AW37" s="68">
        <f>Economic!G51</f>
        <v>265.10000000000002</v>
      </c>
      <c r="AX37" s="68">
        <f>Economic!W51</f>
        <v>12242</v>
      </c>
      <c r="AY37" s="68">
        <f>Economic!R51</f>
        <v>177.60000000000036</v>
      </c>
      <c r="AZ37" s="68">
        <f>Economic!W51</f>
        <v>12242</v>
      </c>
      <c r="BA37" s="68">
        <f>Economic!X51</f>
        <v>-3210</v>
      </c>
      <c r="BB37" s="68">
        <f>Economic!Y51</f>
        <v>5384</v>
      </c>
      <c r="BC37" s="236">
        <f>Weather!C49</f>
        <v>-0.71391129032258105</v>
      </c>
      <c r="BD37" s="16">
        <f>Weather!D49</f>
        <v>642.13125000000002</v>
      </c>
      <c r="BE37" s="16">
        <f>Weather!E49</f>
        <v>0</v>
      </c>
      <c r="BF37" s="16">
        <f>Weather!F49</f>
        <v>580.13125000000002</v>
      </c>
      <c r="BG37" s="16">
        <f>Weather!G49</f>
        <v>0</v>
      </c>
      <c r="BH37" s="16">
        <f>Weather!H49</f>
        <v>518.13125000000002</v>
      </c>
      <c r="BI37" s="16">
        <f>Weather!I49</f>
        <v>0</v>
      </c>
      <c r="BJ37" s="16">
        <f>Weather!J49</f>
        <v>456.13125000000002</v>
      </c>
      <c r="BK37" s="16">
        <f>Weather!K49</f>
        <v>0</v>
      </c>
      <c r="BL37" s="16">
        <f>Weather!L49</f>
        <v>394.13125000000002</v>
      </c>
      <c r="BM37" s="16">
        <f>Weather!M49</f>
        <v>0</v>
      </c>
      <c r="BN37" s="16">
        <f>Weather!N49</f>
        <v>332.13125000000002</v>
      </c>
      <c r="BO37" s="16">
        <f>Weather!O49</f>
        <v>0</v>
      </c>
      <c r="BP37" s="16">
        <f>Weather!P49</f>
        <v>270.13124999999991</v>
      </c>
      <c r="BQ37" s="16">
        <f>Weather!Q49</f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1</v>
      </c>
      <c r="CD37">
        <v>0</v>
      </c>
      <c r="CE37">
        <f t="shared" si="52"/>
        <v>0</v>
      </c>
      <c r="CF37">
        <v>0</v>
      </c>
      <c r="CG37">
        <f t="shared" si="52"/>
        <v>0</v>
      </c>
      <c r="CH37">
        <v>0</v>
      </c>
      <c r="CI37">
        <f t="shared" si="51"/>
        <v>0</v>
      </c>
      <c r="CJ37">
        <f t="shared" si="21"/>
        <v>0</v>
      </c>
      <c r="CK37">
        <f t="shared" si="53"/>
        <v>0</v>
      </c>
      <c r="CL37">
        <f t="shared" si="53"/>
        <v>0</v>
      </c>
      <c r="CM37" s="1">
        <f t="shared" si="22"/>
        <v>36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>
        <v>31</v>
      </c>
      <c r="CT37">
        <v>21</v>
      </c>
      <c r="CU37">
        <v>0</v>
      </c>
      <c r="CV37">
        <v>0</v>
      </c>
      <c r="CW37">
        <v>0</v>
      </c>
      <c r="CX37">
        <v>0</v>
      </c>
      <c r="CY37">
        <v>0</v>
      </c>
      <c r="CZ37">
        <f t="shared" si="23"/>
        <v>0</v>
      </c>
      <c r="DA37">
        <f t="shared" si="24"/>
        <v>0</v>
      </c>
      <c r="DB37">
        <f t="shared" si="25"/>
        <v>0</v>
      </c>
      <c r="DC37">
        <f t="shared" si="57"/>
        <v>0</v>
      </c>
      <c r="DD37">
        <f t="shared" si="58"/>
        <v>0</v>
      </c>
      <c r="DE37">
        <f t="shared" si="59"/>
        <v>0</v>
      </c>
      <c r="DF37">
        <f t="shared" si="60"/>
        <v>0</v>
      </c>
      <c r="DG37">
        <f t="shared" si="61"/>
        <v>0</v>
      </c>
      <c r="DH37">
        <f t="shared" si="62"/>
        <v>0</v>
      </c>
      <c r="DI37">
        <f t="shared" si="63"/>
        <v>0</v>
      </c>
      <c r="DJ37">
        <f t="shared" si="64"/>
        <v>0</v>
      </c>
      <c r="DK37">
        <f t="shared" si="65"/>
        <v>0</v>
      </c>
      <c r="DL37">
        <f t="shared" si="66"/>
        <v>0</v>
      </c>
      <c r="DM37">
        <f t="shared" si="67"/>
        <v>0</v>
      </c>
      <c r="DN37">
        <f t="shared" si="37"/>
        <v>0</v>
      </c>
      <c r="DO37">
        <f t="shared" si="38"/>
        <v>0</v>
      </c>
      <c r="DP37">
        <f t="shared" si="39"/>
        <v>0</v>
      </c>
      <c r="DQ37">
        <f t="shared" si="68"/>
        <v>0</v>
      </c>
      <c r="DR37">
        <f t="shared" si="69"/>
        <v>0</v>
      </c>
      <c r="DS37">
        <f t="shared" si="70"/>
        <v>0</v>
      </c>
      <c r="DT37">
        <f t="shared" si="71"/>
        <v>0</v>
      </c>
      <c r="DU37">
        <f t="shared" si="72"/>
        <v>0</v>
      </c>
      <c r="DV37">
        <f t="shared" si="73"/>
        <v>0</v>
      </c>
      <c r="DW37">
        <f t="shared" si="74"/>
        <v>0</v>
      </c>
      <c r="DX37">
        <f t="shared" si="75"/>
        <v>0</v>
      </c>
      <c r="DY37">
        <f t="shared" si="76"/>
        <v>0</v>
      </c>
      <c r="DZ37">
        <f t="shared" si="77"/>
        <v>0</v>
      </c>
      <c r="EA37">
        <f t="shared" si="78"/>
        <v>0</v>
      </c>
      <c r="EB37" s="44">
        <f t="shared" si="82"/>
        <v>679.56149943974026</v>
      </c>
      <c r="EC37" s="44">
        <f t="shared" si="5"/>
        <v>21.921338691604525</v>
      </c>
      <c r="ED37" s="44">
        <f t="shared" si="83"/>
        <v>3205075.0874221143</v>
      </c>
      <c r="EE37" s="44">
        <f t="shared" si="84"/>
        <v>2713.0610962568298</v>
      </c>
      <c r="EF37" s="44">
        <f t="shared" si="8"/>
        <v>87.518099879252574</v>
      </c>
      <c r="EG37" s="44">
        <f t="shared" si="85"/>
        <v>1120231.6784544331</v>
      </c>
      <c r="EH37" s="44">
        <f t="shared" si="86"/>
        <v>75274.290258806184</v>
      </c>
      <c r="EI37" s="44">
        <f t="shared" si="11"/>
        <v>2428.2029115743931</v>
      </c>
      <c r="EJ37" s="44">
        <f t="shared" si="55"/>
        <v>3961.8047504634833</v>
      </c>
      <c r="EK37" s="44">
        <f t="shared" si="54"/>
        <v>3846273.4119338384</v>
      </c>
      <c r="EL37" s="44">
        <f t="shared" si="56"/>
        <v>6275498.7247341573</v>
      </c>
    </row>
    <row r="38" spans="1:142" x14ac:dyDescent="0.2">
      <c r="A38" s="66">
        <v>43831</v>
      </c>
      <c r="B38" s="4">
        <f t="shared" si="0"/>
        <v>2020</v>
      </c>
      <c r="C38" s="4">
        <f t="shared" si="1"/>
        <v>1</v>
      </c>
      <c r="D38" s="44">
        <v>95387680.071330294</v>
      </c>
      <c r="E38" s="44">
        <f>IFERROR(VLOOKUP($B38-1,CDM!$L$7:$T$18,2,FALSE)/12,0)+IFERROR(VLOOKUP($B38,CDM!$L$37:$O$47,2,FALSE)/24,0)+IFERROR(VLOOKUP($B38,CDM!$L$37:$O$47,2,FALSE)/2*$C38/78,0)</f>
        <v>2158271.6960088876</v>
      </c>
      <c r="F38" s="44">
        <f t="shared" si="79"/>
        <v>97545951.767339185</v>
      </c>
      <c r="G38" s="488">
        <v>146344</v>
      </c>
      <c r="H38" s="44">
        <v>34759836.289215498</v>
      </c>
      <c r="I38" s="44">
        <f>IFERROR(VLOOKUP($B38-1,CDM!$L$7:$T$18,3,FALSE)/12,0)+IFERROR(VLOOKUP($B38,CDM!$L$37:$O$47,3,FALSE)/24,0)+IFERROR(VLOOKUP($B38,CDM!$L$37:$O$47,3,FALSE)/2*$C38/78,0)</f>
        <v>827698.49101132806</v>
      </c>
      <c r="J38" s="44">
        <f t="shared" si="80"/>
        <v>35587534.780226827</v>
      </c>
      <c r="K38" s="44">
        <v>12846</v>
      </c>
      <c r="L38" s="44">
        <v>120270687.247504</v>
      </c>
      <c r="M38" s="44">
        <f>IFERROR(VLOOKUP($B38-1,CDM!$L$7:$T$18,4,FALSE)/12,0)+IFERROR(VLOOKUP($B38,CDM!$L$37:$O$47,4,FALSE)/24,0)+IFERROR(VLOOKUP($B38,CDM!$L$37:$O$47,4,FALSE)/2*$C38/78,0)</f>
        <v>5159779.9411139945</v>
      </c>
      <c r="N38" s="44">
        <f t="shared" si="81"/>
        <v>125430467.18861799</v>
      </c>
      <c r="O38" s="44">
        <v>281822.03999999998</v>
      </c>
      <c r="P38" s="488">
        <v>1537</v>
      </c>
      <c r="Q38" s="488">
        <v>903651.87003436696</v>
      </c>
      <c r="R38" s="488">
        <f>IFERROR(VLOOKUP($B38-1,CDM!$L$7:$T$18,5,FALSE)/12,0)+IFERROR(VLOOKUP($B38,CDM!$L$37:$T$47,5,FALSE)/24,0)+IFERROR(VLOOKUP($B38,CDM!$L$37:$T$47,5,FALSE)/2*$C38/78,0)</f>
        <v>94880.524060458585</v>
      </c>
      <c r="S38" s="488">
        <f t="shared" si="18"/>
        <v>998532.39409482549</v>
      </c>
      <c r="T38" s="44">
        <v>4293.8200000000006</v>
      </c>
      <c r="U38" s="488">
        <v>5</v>
      </c>
      <c r="V38" s="488">
        <v>8280450.1570445001</v>
      </c>
      <c r="W38" s="488">
        <f>IFERROR(VLOOKUP($B38-1,CDM!$L$7:$T$18,6,FALSE)/12,0)+IFERROR(VLOOKUP($B38,CDM!$L$37:$T$47,6,FALSE)/24,0)+IFERROR(VLOOKUP($B38,CDM!$L$37:$T$47,6,FALSE)/2*$C38/78,0)</f>
        <v>319811.86300735787</v>
      </c>
      <c r="X38" s="488">
        <f t="shared" si="19"/>
        <v>8600262.0200518575</v>
      </c>
      <c r="Y38" s="488">
        <v>14044.44</v>
      </c>
      <c r="Z38" s="488">
        <v>1</v>
      </c>
      <c r="AA38" s="44">
        <v>1754152.88</v>
      </c>
      <c r="AB38" s="44">
        <v>3926.83</v>
      </c>
      <c r="AC38" s="488">
        <v>37568</v>
      </c>
      <c r="AD38" s="44">
        <v>463898.29000000004</v>
      </c>
      <c r="AE38" s="44">
        <v>1552</v>
      </c>
      <c r="AF38" s="44">
        <v>45431.609999999993</v>
      </c>
      <c r="AG38" s="44">
        <v>120.68</v>
      </c>
      <c r="AH38" s="44">
        <v>516</v>
      </c>
      <c r="AI38" s="44">
        <v>14400</v>
      </c>
      <c r="AJ38" s="68">
        <f>Economic!H52</f>
        <v>770641</v>
      </c>
      <c r="AK38" s="68">
        <f>Economic!I52</f>
        <v>85970.9</v>
      </c>
      <c r="AL38" s="68">
        <f>Economic!J52</f>
        <v>32860.6</v>
      </c>
      <c r="AM38" s="68">
        <f>Economic!K52</f>
        <v>78307.100000000006</v>
      </c>
      <c r="AN38" s="68">
        <f>Economic!L52</f>
        <v>58237.8</v>
      </c>
      <c r="AO38" s="68">
        <f>Economic!M52</f>
        <v>801246</v>
      </c>
      <c r="AP38" s="68">
        <f>Economic!N52</f>
        <v>90581</v>
      </c>
      <c r="AQ38" s="68">
        <f>Economic!O52</f>
        <v>14679</v>
      </c>
      <c r="AR38" s="68">
        <f>Economic!P52</f>
        <v>33915</v>
      </c>
      <c r="AS38" s="68">
        <f>Economic!Q52</f>
        <v>77965</v>
      </c>
      <c r="AT38" s="68">
        <f>Economic!D52</f>
        <v>7498.1</v>
      </c>
      <c r="AU38" s="68">
        <f>Economic!E52</f>
        <v>7464.7</v>
      </c>
      <c r="AV38" s="68">
        <f>Economic!F52</f>
        <v>269.3</v>
      </c>
      <c r="AW38" s="68">
        <f>Economic!G52</f>
        <v>266.8</v>
      </c>
      <c r="AX38" s="68">
        <f>Economic!W52</f>
        <v>503</v>
      </c>
      <c r="AY38" s="68">
        <f>Economic!R52</f>
        <v>191.60000000000036</v>
      </c>
      <c r="AZ38" s="68">
        <f>Economic!W52</f>
        <v>503</v>
      </c>
      <c r="BA38" s="68">
        <f>Economic!X52</f>
        <v>-5347</v>
      </c>
      <c r="BB38" s="68">
        <f>Economic!Y52</f>
        <v>4821</v>
      </c>
      <c r="BC38" s="236">
        <f>Weather!C50</f>
        <v>-1.4294354838709677</v>
      </c>
      <c r="BD38" s="16">
        <f>Weather!D50</f>
        <v>664.31249999999989</v>
      </c>
      <c r="BE38" s="16">
        <f>Weather!E50</f>
        <v>0</v>
      </c>
      <c r="BF38" s="16">
        <f>Weather!F50</f>
        <v>602.31249999999977</v>
      </c>
      <c r="BG38" s="16">
        <f>Weather!G50</f>
        <v>0</v>
      </c>
      <c r="BH38" s="16">
        <f>Weather!H50</f>
        <v>540.3125</v>
      </c>
      <c r="BI38" s="16">
        <f>Weather!I50</f>
        <v>0</v>
      </c>
      <c r="BJ38" s="16">
        <f>Weather!J50</f>
        <v>478.31249999999994</v>
      </c>
      <c r="BK38" s="16">
        <f>Weather!K50</f>
        <v>0</v>
      </c>
      <c r="BL38" s="16">
        <f>Weather!L50</f>
        <v>416.31249999999994</v>
      </c>
      <c r="BM38" s="16">
        <f>Weather!M50</f>
        <v>0</v>
      </c>
      <c r="BN38" s="16">
        <f>Weather!N50</f>
        <v>354.31249999999989</v>
      </c>
      <c r="BO38" s="16">
        <f>Weather!O50</f>
        <v>0</v>
      </c>
      <c r="BP38" s="16">
        <f>Weather!P50</f>
        <v>292.3125</v>
      </c>
      <c r="BQ38" s="16">
        <f>Weather!Q50</f>
        <v>0</v>
      </c>
      <c r="BR38">
        <v>1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f t="shared" si="52"/>
        <v>0</v>
      </c>
      <c r="CF38">
        <v>0</v>
      </c>
      <c r="CG38">
        <f t="shared" si="52"/>
        <v>0</v>
      </c>
      <c r="CH38">
        <v>0</v>
      </c>
      <c r="CI38">
        <f t="shared" si="51"/>
        <v>0</v>
      </c>
      <c r="CJ38">
        <f t="shared" si="21"/>
        <v>0</v>
      </c>
      <c r="CK38">
        <f t="shared" si="53"/>
        <v>0</v>
      </c>
      <c r="CL38">
        <f t="shared" si="53"/>
        <v>0</v>
      </c>
      <c r="CM38" s="1">
        <f t="shared" si="22"/>
        <v>37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>
        <v>31</v>
      </c>
      <c r="CT38" s="1">
        <v>22</v>
      </c>
      <c r="CU38">
        <v>0</v>
      </c>
      <c r="CV38">
        <v>0</v>
      </c>
      <c r="CW38">
        <v>0</v>
      </c>
      <c r="CX38">
        <v>0</v>
      </c>
      <c r="CY38">
        <v>0</v>
      </c>
      <c r="CZ38">
        <f t="shared" si="23"/>
        <v>0</v>
      </c>
      <c r="DA38">
        <f t="shared" si="24"/>
        <v>0</v>
      </c>
      <c r="DB38">
        <f t="shared" si="25"/>
        <v>0</v>
      </c>
      <c r="DC38">
        <f t="shared" si="57"/>
        <v>0</v>
      </c>
      <c r="DD38">
        <f t="shared" si="58"/>
        <v>0</v>
      </c>
      <c r="DE38">
        <f t="shared" si="59"/>
        <v>0</v>
      </c>
      <c r="DF38">
        <f t="shared" si="60"/>
        <v>0</v>
      </c>
      <c r="DG38">
        <f t="shared" si="61"/>
        <v>0</v>
      </c>
      <c r="DH38">
        <f t="shared" si="62"/>
        <v>0</v>
      </c>
      <c r="DI38">
        <f t="shared" si="63"/>
        <v>0</v>
      </c>
      <c r="DJ38">
        <f t="shared" si="64"/>
        <v>0</v>
      </c>
      <c r="DK38">
        <f t="shared" si="65"/>
        <v>0</v>
      </c>
      <c r="DL38">
        <f t="shared" si="66"/>
        <v>0</v>
      </c>
      <c r="DM38">
        <f t="shared" si="67"/>
        <v>0</v>
      </c>
      <c r="DN38">
        <f t="shared" si="37"/>
        <v>0</v>
      </c>
      <c r="DO38">
        <f t="shared" si="38"/>
        <v>0</v>
      </c>
      <c r="DP38">
        <f t="shared" si="39"/>
        <v>0</v>
      </c>
      <c r="DQ38">
        <f t="shared" si="68"/>
        <v>0</v>
      </c>
      <c r="DR38">
        <f t="shared" si="69"/>
        <v>0</v>
      </c>
      <c r="DS38">
        <f t="shared" si="70"/>
        <v>0</v>
      </c>
      <c r="DT38">
        <f t="shared" si="71"/>
        <v>0</v>
      </c>
      <c r="DU38">
        <f t="shared" si="72"/>
        <v>0</v>
      </c>
      <c r="DV38">
        <f t="shared" si="73"/>
        <v>0</v>
      </c>
      <c r="DW38">
        <f t="shared" si="74"/>
        <v>0</v>
      </c>
      <c r="DX38">
        <f t="shared" si="75"/>
        <v>0</v>
      </c>
      <c r="DY38">
        <f t="shared" si="76"/>
        <v>0</v>
      </c>
      <c r="DZ38">
        <f t="shared" si="77"/>
        <v>0</v>
      </c>
      <c r="EA38">
        <f t="shared" si="78"/>
        <v>0</v>
      </c>
      <c r="EB38" s="44">
        <f t="shared" si="82"/>
        <v>666.55245016768151</v>
      </c>
      <c r="EC38" s="44">
        <f t="shared" si="5"/>
        <v>21.50169194089295</v>
      </c>
      <c r="ED38" s="44">
        <f t="shared" si="83"/>
        <v>3146643.6053980384</v>
      </c>
      <c r="EE38" s="44">
        <f t="shared" si="84"/>
        <v>2770.3203160693465</v>
      </c>
      <c r="EF38" s="44">
        <f t="shared" si="8"/>
        <v>89.365171486107954</v>
      </c>
      <c r="EG38" s="44">
        <f t="shared" si="85"/>
        <v>1147984.9929105428</v>
      </c>
      <c r="EH38" s="44">
        <f t="shared" si="86"/>
        <v>81607.330636706567</v>
      </c>
      <c r="EI38" s="44">
        <f t="shared" si="11"/>
        <v>2632.494536667954</v>
      </c>
      <c r="EJ38" s="44">
        <f t="shared" si="55"/>
        <v>3709.4241198502987</v>
      </c>
      <c r="EK38" s="44">
        <f t="shared" si="54"/>
        <v>4046144.1028586449</v>
      </c>
      <c r="EL38" s="44">
        <f t="shared" si="56"/>
        <v>5701384.8722099084</v>
      </c>
    </row>
    <row r="39" spans="1:142" x14ac:dyDescent="0.2">
      <c r="A39" s="66">
        <v>43862</v>
      </c>
      <c r="B39" s="4">
        <f t="shared" si="0"/>
        <v>2020</v>
      </c>
      <c r="C39" s="4">
        <f t="shared" si="1"/>
        <v>2</v>
      </c>
      <c r="D39" s="44">
        <v>89335307.298504993</v>
      </c>
      <c r="E39" s="44">
        <f>IFERROR(VLOOKUP($B39-1,CDM!$L$7:$T$18,2,FALSE)/12,0)+IFERROR(VLOOKUP($B39,CDM!$L$37:$O$47,2,FALSE)/24,0)+IFERROR(VLOOKUP($B39,CDM!$L$37:$O$47,2,FALSE)/2*$C39/78,0)</f>
        <v>2158271.6960088876</v>
      </c>
      <c r="F39" s="44">
        <f t="shared" si="79"/>
        <v>91493578.994513884</v>
      </c>
      <c r="G39" s="488">
        <v>146387</v>
      </c>
      <c r="H39" s="44">
        <v>32925727.890164901</v>
      </c>
      <c r="I39" s="44">
        <f>IFERROR(VLOOKUP($B39-1,CDM!$L$7:$T$18,3,FALSE)/12,0)+IFERROR(VLOOKUP($B39,CDM!$L$37:$O$47,3,FALSE)/24,0)+IFERROR(VLOOKUP($B39,CDM!$L$37:$O$47,3,FALSE)/2*$C39/78,0)</f>
        <v>830229.0470593936</v>
      </c>
      <c r="J39" s="44">
        <f t="shared" si="80"/>
        <v>33755956.937224291</v>
      </c>
      <c r="K39" s="44">
        <v>12866</v>
      </c>
      <c r="L39" s="44">
        <v>113363430.86136401</v>
      </c>
      <c r="M39" s="44">
        <f>IFERROR(VLOOKUP($B39-1,CDM!$L$7:$T$18,4,FALSE)/12,0)+IFERROR(VLOOKUP($B39,CDM!$L$37:$O$47,4,FALSE)/24,0)+IFERROR(VLOOKUP($B39,CDM!$L$37:$O$47,4,FALSE)/2*$C39/78,0)</f>
        <v>5207987.2931325315</v>
      </c>
      <c r="N39" s="44">
        <f t="shared" si="81"/>
        <v>118571418.15449654</v>
      </c>
      <c r="O39" s="44">
        <v>279069.84999999998</v>
      </c>
      <c r="P39" s="488">
        <v>1532</v>
      </c>
      <c r="Q39" s="488">
        <v>1158059.4495665999</v>
      </c>
      <c r="R39" s="488">
        <f>IFERROR(VLOOKUP($B39-1,CDM!$L$7:$T$18,5,FALSE)/12,0)+IFERROR(VLOOKUP($B39,CDM!$L$37:$T$47,5,FALSE)/24,0)+IFERROR(VLOOKUP($B39,CDM!$L$37:$T$47,5,FALSE)/2*$C39/78,0)</f>
        <v>94880.524060458585</v>
      </c>
      <c r="S39" s="488">
        <f t="shared" si="18"/>
        <v>1252939.9736270586</v>
      </c>
      <c r="T39" s="44">
        <v>1159.1399999999999</v>
      </c>
      <c r="U39" s="488">
        <v>5</v>
      </c>
      <c r="V39" s="488">
        <v>7859516.7135783397</v>
      </c>
      <c r="W39" s="488">
        <f>IFERROR(VLOOKUP($B39-1,CDM!$L$7:$T$18,6,FALSE)/12,0)+IFERROR(VLOOKUP($B39,CDM!$L$37:$T$47,6,FALSE)/24,0)+IFERROR(VLOOKUP($B39,CDM!$L$37:$T$47,6,FALSE)/2*$C39/78,0)</f>
        <v>320953.5332288582</v>
      </c>
      <c r="X39" s="488">
        <f t="shared" si="19"/>
        <v>8180470.246807198</v>
      </c>
      <c r="Y39" s="488">
        <v>14096.95</v>
      </c>
      <c r="Z39" s="488">
        <v>1</v>
      </c>
      <c r="AA39" s="44">
        <v>1528045.22</v>
      </c>
      <c r="AB39" s="44">
        <v>3926.32</v>
      </c>
      <c r="AC39" s="488">
        <v>37620</v>
      </c>
      <c r="AD39" s="44">
        <v>419334.28</v>
      </c>
      <c r="AE39" s="44">
        <v>1528</v>
      </c>
      <c r="AF39" s="44">
        <v>41654.179999999986</v>
      </c>
      <c r="AG39" s="44">
        <v>120.61</v>
      </c>
      <c r="AH39" s="44">
        <v>516</v>
      </c>
      <c r="AI39" s="44">
        <v>14400</v>
      </c>
      <c r="AJ39" s="68">
        <f>Economic!H53</f>
        <v>770641</v>
      </c>
      <c r="AK39" s="68">
        <f>Economic!I53</f>
        <v>85970.9</v>
      </c>
      <c r="AL39" s="68">
        <f>Economic!J53</f>
        <v>32860.6</v>
      </c>
      <c r="AM39" s="68">
        <f>Economic!K53</f>
        <v>78307.100000000006</v>
      </c>
      <c r="AN39" s="68">
        <f>Economic!L53</f>
        <v>58237.8</v>
      </c>
      <c r="AO39" s="68">
        <f>Economic!M53</f>
        <v>801246</v>
      </c>
      <c r="AP39" s="68">
        <f>Economic!N53</f>
        <v>90581</v>
      </c>
      <c r="AQ39" s="68">
        <f>Economic!O53</f>
        <v>14679</v>
      </c>
      <c r="AR39" s="68">
        <f>Economic!P53</f>
        <v>33915</v>
      </c>
      <c r="AS39" s="68">
        <f>Economic!Q53</f>
        <v>77965</v>
      </c>
      <c r="AT39" s="68">
        <f>Economic!D53</f>
        <v>7508</v>
      </c>
      <c r="AU39" s="68">
        <f>Economic!E53</f>
        <v>7439</v>
      </c>
      <c r="AV39" s="68">
        <f>Economic!F53</f>
        <v>270.2</v>
      </c>
      <c r="AW39" s="68">
        <f>Economic!G53</f>
        <v>266.7</v>
      </c>
      <c r="AX39" s="68">
        <f>Economic!W53</f>
        <v>503</v>
      </c>
      <c r="AY39" s="68">
        <f>Economic!R53</f>
        <v>178.30000000000018</v>
      </c>
      <c r="AZ39" s="68">
        <f>Economic!W53</f>
        <v>503</v>
      </c>
      <c r="BA39" s="68">
        <f>Economic!X53</f>
        <v>-5347</v>
      </c>
      <c r="BB39" s="68">
        <f>Economic!Y53</f>
        <v>4821</v>
      </c>
      <c r="BC39" s="236">
        <f>Weather!C51</f>
        <v>-3.1040229885057466</v>
      </c>
      <c r="BD39" s="16">
        <f>Weather!D51</f>
        <v>670.01666666666654</v>
      </c>
      <c r="BE39" s="16">
        <f>Weather!E51</f>
        <v>0</v>
      </c>
      <c r="BF39" s="16">
        <f>Weather!F51</f>
        <v>612.01666666666665</v>
      </c>
      <c r="BG39" s="16">
        <f>Weather!G51</f>
        <v>0</v>
      </c>
      <c r="BH39" s="16">
        <f>Weather!H51</f>
        <v>554.01666666666665</v>
      </c>
      <c r="BI39" s="16">
        <f>Weather!I51</f>
        <v>0</v>
      </c>
      <c r="BJ39" s="16">
        <f>Weather!J51</f>
        <v>496.01666666666659</v>
      </c>
      <c r="BK39" s="16">
        <f>Weather!K51</f>
        <v>0</v>
      </c>
      <c r="BL39" s="16">
        <f>Weather!L51</f>
        <v>438.01666666666665</v>
      </c>
      <c r="BM39" s="16">
        <f>Weather!M51</f>
        <v>0</v>
      </c>
      <c r="BN39" s="16">
        <f>Weather!N51</f>
        <v>380.01666666666665</v>
      </c>
      <c r="BO39" s="16">
        <f>Weather!O51</f>
        <v>0</v>
      </c>
      <c r="BP39" s="16">
        <f>Weather!P51</f>
        <v>322.01666666666665</v>
      </c>
      <c r="BQ39" s="16">
        <f>Weather!Q51</f>
        <v>0</v>
      </c>
      <c r="BR39">
        <v>0</v>
      </c>
      <c r="BS39">
        <v>1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f t="shared" si="52"/>
        <v>0</v>
      </c>
      <c r="CF39">
        <v>0</v>
      </c>
      <c r="CG39">
        <f t="shared" si="52"/>
        <v>0</v>
      </c>
      <c r="CH39">
        <v>0</v>
      </c>
      <c r="CI39">
        <f t="shared" si="51"/>
        <v>0</v>
      </c>
      <c r="CJ39">
        <f t="shared" si="21"/>
        <v>0</v>
      </c>
      <c r="CK39">
        <f t="shared" si="53"/>
        <v>0</v>
      </c>
      <c r="CL39">
        <f t="shared" si="53"/>
        <v>0</v>
      </c>
      <c r="CM39" s="1">
        <f t="shared" si="22"/>
        <v>38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>
        <v>29</v>
      </c>
      <c r="CT39" s="1">
        <v>19</v>
      </c>
      <c r="CU39">
        <v>0</v>
      </c>
      <c r="CV39">
        <v>0</v>
      </c>
      <c r="CW39">
        <v>0</v>
      </c>
      <c r="CX39">
        <v>0</v>
      </c>
      <c r="CY39">
        <v>0</v>
      </c>
      <c r="CZ39" s="10">
        <f t="shared" si="23"/>
        <v>0</v>
      </c>
      <c r="DA39" s="10">
        <f t="shared" si="24"/>
        <v>0</v>
      </c>
      <c r="DB39" s="10">
        <f t="shared" si="25"/>
        <v>0</v>
      </c>
      <c r="DC39" s="10">
        <f t="shared" si="57"/>
        <v>0</v>
      </c>
      <c r="DD39" s="10">
        <f t="shared" si="58"/>
        <v>0</v>
      </c>
      <c r="DE39" s="10">
        <f t="shared" si="59"/>
        <v>0</v>
      </c>
      <c r="DF39" s="10">
        <f t="shared" si="60"/>
        <v>0</v>
      </c>
      <c r="DG39" s="10">
        <f t="shared" si="61"/>
        <v>0</v>
      </c>
      <c r="DH39" s="10">
        <f t="shared" si="62"/>
        <v>0</v>
      </c>
      <c r="DI39" s="10">
        <f t="shared" si="63"/>
        <v>0</v>
      </c>
      <c r="DJ39" s="10">
        <f t="shared" si="64"/>
        <v>0</v>
      </c>
      <c r="DK39" s="10">
        <f t="shared" si="65"/>
        <v>0</v>
      </c>
      <c r="DL39" s="10">
        <f t="shared" si="66"/>
        <v>0</v>
      </c>
      <c r="DM39" s="10">
        <f t="shared" si="67"/>
        <v>0</v>
      </c>
      <c r="DN39" s="10">
        <f t="shared" si="37"/>
        <v>0</v>
      </c>
      <c r="DO39" s="10">
        <f t="shared" si="38"/>
        <v>0</v>
      </c>
      <c r="DP39" s="10">
        <f t="shared" si="39"/>
        <v>0</v>
      </c>
      <c r="DQ39" s="10">
        <f t="shared" si="68"/>
        <v>0</v>
      </c>
      <c r="DR39" s="10">
        <f t="shared" si="69"/>
        <v>0</v>
      </c>
      <c r="DS39" s="10">
        <f t="shared" si="70"/>
        <v>0</v>
      </c>
      <c r="DT39" s="10">
        <f t="shared" si="71"/>
        <v>0</v>
      </c>
      <c r="DU39" s="10">
        <f t="shared" si="72"/>
        <v>0</v>
      </c>
      <c r="DV39" s="10">
        <f t="shared" si="73"/>
        <v>0</v>
      </c>
      <c r="DW39" s="10">
        <f t="shared" si="74"/>
        <v>0</v>
      </c>
      <c r="DX39" s="10">
        <f t="shared" si="75"/>
        <v>0</v>
      </c>
      <c r="DY39" s="10">
        <f t="shared" si="76"/>
        <v>0</v>
      </c>
      <c r="DZ39" s="10">
        <f t="shared" si="77"/>
        <v>0</v>
      </c>
      <c r="EA39" s="10">
        <f t="shared" si="78"/>
        <v>0</v>
      </c>
      <c r="EB39" s="44">
        <f t="shared" si="82"/>
        <v>625.01164034042563</v>
      </c>
      <c r="EC39" s="44">
        <f t="shared" si="5"/>
        <v>21.552125528980195</v>
      </c>
      <c r="ED39" s="44">
        <f t="shared" si="83"/>
        <v>3154950.9998108237</v>
      </c>
      <c r="EE39" s="44">
        <f t="shared" si="84"/>
        <v>2623.6559099350452</v>
      </c>
      <c r="EF39" s="44">
        <f t="shared" si="8"/>
        <v>90.470893446036044</v>
      </c>
      <c r="EG39" s="44">
        <f t="shared" si="85"/>
        <v>1163998.5150766997</v>
      </c>
      <c r="EH39" s="44">
        <f t="shared" si="86"/>
        <v>77396.487046016016</v>
      </c>
      <c r="EI39" s="44">
        <f t="shared" si="11"/>
        <v>2668.8443808971042</v>
      </c>
      <c r="EJ39" s="44">
        <f t="shared" si="55"/>
        <v>4073.4993182113694</v>
      </c>
      <c r="EK39" s="44">
        <f t="shared" si="54"/>
        <v>4088669.5915343631</v>
      </c>
      <c r="EL39" s="44">
        <f t="shared" si="56"/>
        <v>6240600.9554998176</v>
      </c>
    </row>
    <row r="40" spans="1:142" x14ac:dyDescent="0.2">
      <c r="A40" s="66">
        <v>43891</v>
      </c>
      <c r="B40" s="4">
        <f t="shared" si="0"/>
        <v>2020</v>
      </c>
      <c r="C40" s="4">
        <f t="shared" si="1"/>
        <v>3</v>
      </c>
      <c r="D40" s="44">
        <v>89413245.958982602</v>
      </c>
      <c r="E40" s="44">
        <f>IFERROR(VLOOKUP($B40-1,CDM!$L$7:$T$18,2,FALSE)/12,0)+IFERROR(VLOOKUP($B40,CDM!$L$37:$O$47,2,FALSE)/24,0)+IFERROR(VLOOKUP($B40,CDM!$L$37:$O$47,2,FALSE)/2*$C40/78,0)</f>
        <v>2158271.6960088876</v>
      </c>
      <c r="F40" s="44">
        <f t="shared" si="79"/>
        <v>91571517.654991493</v>
      </c>
      <c r="G40" s="488">
        <v>146528</v>
      </c>
      <c r="H40" s="44">
        <v>31128647.471265901</v>
      </c>
      <c r="I40" s="44">
        <f>IFERROR(VLOOKUP($B40-1,CDM!$L$7:$T$18,3,FALSE)/12,0)+IFERROR(VLOOKUP($B40,CDM!$L$37:$O$47,3,FALSE)/24,0)+IFERROR(VLOOKUP($B40,CDM!$L$37:$O$47,3,FALSE)/2*$C40/78,0)</f>
        <v>832759.60310745926</v>
      </c>
      <c r="J40" s="44">
        <f t="shared" si="80"/>
        <v>31961407.074373361</v>
      </c>
      <c r="K40" s="44">
        <v>12877</v>
      </c>
      <c r="L40" s="44">
        <v>112039510.233202</v>
      </c>
      <c r="M40" s="44">
        <f>IFERROR(VLOOKUP($B40-1,CDM!$L$7:$T$18,4,FALSE)/12,0)+IFERROR(VLOOKUP($B40,CDM!$L$37:$O$47,4,FALSE)/24,0)+IFERROR(VLOOKUP($B40,CDM!$L$37:$O$47,4,FALSE)/2*$C40/78,0)</f>
        <v>5256194.6451510675</v>
      </c>
      <c r="N40" s="44">
        <f t="shared" si="81"/>
        <v>117295704.87835306</v>
      </c>
      <c r="O40" s="44">
        <v>274122.92</v>
      </c>
      <c r="P40" s="488">
        <v>1538</v>
      </c>
      <c r="Q40" s="488">
        <v>1069557.15718008</v>
      </c>
      <c r="R40" s="488">
        <f>IFERROR(VLOOKUP($B40-1,CDM!$L$7:$T$18,5,FALSE)/12,0)+IFERROR(VLOOKUP($B40,CDM!$L$37:$T$47,5,FALSE)/24,0)+IFERROR(VLOOKUP($B40,CDM!$L$37:$T$47,5,FALSE)/2*$C40/78,0)</f>
        <v>94880.524060458585</v>
      </c>
      <c r="S40" s="488">
        <f t="shared" si="18"/>
        <v>1164437.6812405386</v>
      </c>
      <c r="T40" s="44">
        <v>4195.09</v>
      </c>
      <c r="U40" s="488">
        <v>5</v>
      </c>
      <c r="V40" s="488">
        <v>7824076.3908937396</v>
      </c>
      <c r="W40" s="488">
        <f>IFERROR(VLOOKUP($B40-1,CDM!$L$7:$T$18,6,FALSE)/12,0)+IFERROR(VLOOKUP($B40,CDM!$L$37:$T$47,6,FALSE)/24,0)+IFERROR(VLOOKUP($B40,CDM!$L$37:$T$47,6,FALSE)/2*$C40/78,0)</f>
        <v>322095.20345035853</v>
      </c>
      <c r="X40" s="488">
        <f t="shared" si="19"/>
        <v>8146171.5943440981</v>
      </c>
      <c r="Y40" s="488">
        <v>14074.6</v>
      </c>
      <c r="Z40" s="488">
        <v>1</v>
      </c>
      <c r="AA40" s="44">
        <v>1454302.28</v>
      </c>
      <c r="AB40" s="44">
        <v>3929.06</v>
      </c>
      <c r="AC40" s="488">
        <v>37685</v>
      </c>
      <c r="AD40" s="44">
        <v>458109.18</v>
      </c>
      <c r="AE40" s="44">
        <v>1530</v>
      </c>
      <c r="AF40" s="44">
        <v>44415.310000000005</v>
      </c>
      <c r="AG40" s="44">
        <v>120.68</v>
      </c>
      <c r="AH40" s="44">
        <v>516</v>
      </c>
      <c r="AI40" s="44">
        <v>15400</v>
      </c>
      <c r="AJ40" s="68">
        <f>Economic!H54</f>
        <v>770641</v>
      </c>
      <c r="AK40" s="68">
        <f>Economic!I54</f>
        <v>85970.9</v>
      </c>
      <c r="AL40" s="68">
        <f>Economic!J54</f>
        <v>32860.6</v>
      </c>
      <c r="AM40" s="68">
        <f>Economic!K54</f>
        <v>78307.100000000006</v>
      </c>
      <c r="AN40" s="68">
        <f>Economic!L54</f>
        <v>58237.8</v>
      </c>
      <c r="AO40" s="68">
        <f>Economic!M54</f>
        <v>801246</v>
      </c>
      <c r="AP40" s="68">
        <f>Economic!N54</f>
        <v>90581</v>
      </c>
      <c r="AQ40" s="68">
        <f>Economic!O54</f>
        <v>14679</v>
      </c>
      <c r="AR40" s="68">
        <f>Economic!P54</f>
        <v>33915</v>
      </c>
      <c r="AS40" s="68">
        <f>Economic!Q54</f>
        <v>77965</v>
      </c>
      <c r="AT40" s="68">
        <f>Economic!D54</f>
        <v>7351.6</v>
      </c>
      <c r="AU40" s="68">
        <f>Economic!E54</f>
        <v>7258.8</v>
      </c>
      <c r="AV40" s="68">
        <f>Economic!F54</f>
        <v>268.3</v>
      </c>
      <c r="AW40" s="68">
        <f>Economic!G54</f>
        <v>264.89999999999998</v>
      </c>
      <c r="AX40" s="68">
        <f>Economic!W54</f>
        <v>503</v>
      </c>
      <c r="AY40" s="68">
        <f>Economic!R54</f>
        <v>9.7000000000007276</v>
      </c>
      <c r="AZ40" s="68">
        <f>Economic!W54</f>
        <v>503</v>
      </c>
      <c r="BA40" s="68">
        <f>Economic!X54</f>
        <v>-5347</v>
      </c>
      <c r="BB40" s="68">
        <f>Economic!Y54</f>
        <v>4821</v>
      </c>
      <c r="BC40" s="236">
        <f>Weather!C52</f>
        <v>2.8154569892473114</v>
      </c>
      <c r="BD40" s="16">
        <f>Weather!D52</f>
        <v>532.72083333333342</v>
      </c>
      <c r="BE40" s="16">
        <f>Weather!E52</f>
        <v>0</v>
      </c>
      <c r="BF40" s="16">
        <f>Weather!F52</f>
        <v>470.72083333333336</v>
      </c>
      <c r="BG40" s="16">
        <f>Weather!G52</f>
        <v>0</v>
      </c>
      <c r="BH40" s="16">
        <f>Weather!H52</f>
        <v>408.72083333333325</v>
      </c>
      <c r="BI40" s="16">
        <f>Weather!I52</f>
        <v>0</v>
      </c>
      <c r="BJ40" s="16">
        <f>Weather!J52</f>
        <v>346.7208333333333</v>
      </c>
      <c r="BK40" s="16">
        <f>Weather!K52</f>
        <v>0</v>
      </c>
      <c r="BL40" s="16">
        <f>Weather!L52</f>
        <v>284.72083333333325</v>
      </c>
      <c r="BM40" s="16">
        <f>Weather!M52</f>
        <v>0</v>
      </c>
      <c r="BN40" s="16">
        <f>Weather!N52</f>
        <v>223.76666666666662</v>
      </c>
      <c r="BO40" s="16">
        <f>Weather!O52</f>
        <v>1.0458333333333343</v>
      </c>
      <c r="BP40" s="16">
        <f>Weather!P52</f>
        <v>165.75416666666669</v>
      </c>
      <c r="BQ40" s="16">
        <f>Weather!Q52</f>
        <v>5.0333333333333332</v>
      </c>
      <c r="BR40">
        <v>0</v>
      </c>
      <c r="BS40">
        <v>0</v>
      </c>
      <c r="BT40">
        <v>1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1</v>
      </c>
      <c r="CE40">
        <f t="shared" si="52"/>
        <v>1</v>
      </c>
      <c r="CF40">
        <v>0</v>
      </c>
      <c r="CG40">
        <f t="shared" si="52"/>
        <v>0</v>
      </c>
      <c r="CH40">
        <v>1</v>
      </c>
      <c r="CI40">
        <f t="shared" si="51"/>
        <v>1</v>
      </c>
      <c r="CJ40">
        <f t="shared" si="21"/>
        <v>1</v>
      </c>
      <c r="CK40">
        <f t="shared" si="53"/>
        <v>0</v>
      </c>
      <c r="CL40">
        <f t="shared" si="53"/>
        <v>0</v>
      </c>
      <c r="CM40" s="1">
        <f t="shared" si="22"/>
        <v>39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>
        <v>31</v>
      </c>
      <c r="CT40" s="1">
        <v>22</v>
      </c>
      <c r="CU40" s="1">
        <v>1</v>
      </c>
      <c r="CV40" s="1">
        <v>0.5</v>
      </c>
      <c r="CW40" s="1">
        <v>0.5</v>
      </c>
      <c r="CX40" s="1">
        <v>0.5</v>
      </c>
      <c r="CY40" s="1">
        <v>0.5</v>
      </c>
      <c r="CZ40" s="10">
        <f t="shared" ref="CZ40:CZ97" si="87">$CV40*BD40</f>
        <v>266.36041666666671</v>
      </c>
      <c r="DA40" s="10">
        <f t="shared" ref="DA40:DA97" si="88">$CV40*BE40</f>
        <v>0</v>
      </c>
      <c r="DB40" s="10">
        <f t="shared" ref="DB40:DB97" si="89">$CV40*BF40</f>
        <v>235.36041666666668</v>
      </c>
      <c r="DC40" s="10">
        <f t="shared" ref="DC40:DC97" si="90">$CV40*BG40</f>
        <v>0</v>
      </c>
      <c r="DD40" s="10">
        <f t="shared" ref="DD40:DD97" si="91">$CV40*BH40</f>
        <v>204.36041666666662</v>
      </c>
      <c r="DE40" s="10">
        <f t="shared" ref="DE40:DE97" si="92">$CV40*BI40</f>
        <v>0</v>
      </c>
      <c r="DF40" s="10">
        <f t="shared" ref="DF40:DF97" si="93">$CV40*BJ40</f>
        <v>173.36041666666665</v>
      </c>
      <c r="DG40" s="10">
        <f t="shared" ref="DG40:DG97" si="94">$CV40*BK40</f>
        <v>0</v>
      </c>
      <c r="DH40" s="10">
        <f t="shared" ref="DH40:DH97" si="95">$CV40*BL40</f>
        <v>142.36041666666662</v>
      </c>
      <c r="DI40" s="10">
        <f t="shared" ref="DI40:DI97" si="96">$CV40*BM40</f>
        <v>0</v>
      </c>
      <c r="DJ40" s="10">
        <f t="shared" ref="DJ40:DJ97" si="97">$CV40*BN40</f>
        <v>111.88333333333331</v>
      </c>
      <c r="DK40" s="10">
        <f t="shared" ref="DK40:DK97" si="98">$CV40*BO40</f>
        <v>0.52291666666666714</v>
      </c>
      <c r="DL40" s="10">
        <f t="shared" ref="DL40:DL97" si="99">$CV40*BP40</f>
        <v>82.877083333333346</v>
      </c>
      <c r="DM40" s="10">
        <f t="shared" ref="DM40:DM97" si="100">$CV40*BQ40</f>
        <v>2.5166666666666666</v>
      </c>
      <c r="DN40" s="10">
        <f t="shared" ref="DN40:DN97" si="101">$CX40*BD40</f>
        <v>266.36041666666671</v>
      </c>
      <c r="DO40" s="10">
        <f t="shared" ref="DO40:DO97" si="102">$CX40*BE40</f>
        <v>0</v>
      </c>
      <c r="DP40" s="10">
        <f t="shared" ref="DP40:DP97" si="103">$CX40*BF40</f>
        <v>235.36041666666668</v>
      </c>
      <c r="DQ40" s="10">
        <f t="shared" ref="DQ40:DQ97" si="104">$CX40*BG40</f>
        <v>0</v>
      </c>
      <c r="DR40" s="10">
        <f t="shared" ref="DR40:DR97" si="105">$CX40*BH40</f>
        <v>204.36041666666662</v>
      </c>
      <c r="DS40" s="10">
        <f t="shared" ref="DS40:DS97" si="106">$CX40*BI40</f>
        <v>0</v>
      </c>
      <c r="DT40" s="10">
        <f t="shared" ref="DT40:DT97" si="107">$CX40*BJ40</f>
        <v>173.36041666666665</v>
      </c>
      <c r="DU40" s="10">
        <f t="shared" ref="DU40:DU97" si="108">$CX40*BK40</f>
        <v>0</v>
      </c>
      <c r="DV40" s="10">
        <f t="shared" ref="DV40:DV97" si="109">$CX40*BL40</f>
        <v>142.36041666666662</v>
      </c>
      <c r="DW40" s="10">
        <f t="shared" ref="DW40:DW97" si="110">$CX40*BM40</f>
        <v>0</v>
      </c>
      <c r="DX40" s="10">
        <f t="shared" ref="DX40:DX97" si="111">$CX40*BN40</f>
        <v>111.88333333333331</v>
      </c>
      <c r="DY40" s="10">
        <f t="shared" ref="DY40:DY97" si="112">$CX40*BO40</f>
        <v>0.52291666666666714</v>
      </c>
      <c r="DZ40" s="10">
        <f t="shared" ref="DZ40:DZ97" si="113">$CX40*BP40</f>
        <v>82.877083333333346</v>
      </c>
      <c r="EA40" s="10">
        <f t="shared" ref="EA40:EA97" si="114">$CX40*BQ40</f>
        <v>2.5166666666666666</v>
      </c>
      <c r="EB40" s="44">
        <f t="shared" si="82"/>
        <v>624.94211109816206</v>
      </c>
      <c r="EC40" s="44">
        <f t="shared" si="5"/>
        <v>20.15942293865039</v>
      </c>
      <c r="ED40" s="44">
        <f t="shared" si="83"/>
        <v>2953919.9243545644</v>
      </c>
      <c r="EE40" s="44">
        <f t="shared" si="84"/>
        <v>2482.053822658489</v>
      </c>
      <c r="EF40" s="44">
        <f t="shared" si="8"/>
        <v>80.066252343822228</v>
      </c>
      <c r="EG40" s="44">
        <f t="shared" si="85"/>
        <v>1031013.1314313987</v>
      </c>
      <c r="EH40" s="44">
        <f t="shared" si="86"/>
        <v>76265.087697238661</v>
      </c>
      <c r="EI40" s="44">
        <f t="shared" si="11"/>
        <v>2460.1641192657635</v>
      </c>
      <c r="EJ40" s="44">
        <f t="shared" si="55"/>
        <v>3631.6708427256503</v>
      </c>
      <c r="EK40" s="44">
        <f t="shared" si="54"/>
        <v>3783732.4154307437</v>
      </c>
      <c r="EL40" s="44">
        <f t="shared" si="56"/>
        <v>5585509.7561120503</v>
      </c>
    </row>
    <row r="41" spans="1:142" x14ac:dyDescent="0.2">
      <c r="A41" s="66">
        <v>43922</v>
      </c>
      <c r="B41" s="4">
        <f t="shared" si="0"/>
        <v>2020</v>
      </c>
      <c r="C41" s="4">
        <f t="shared" si="1"/>
        <v>4</v>
      </c>
      <c r="D41" s="44">
        <v>83600041.497741297</v>
      </c>
      <c r="E41" s="44">
        <f>IFERROR(VLOOKUP($B41-1,CDM!$L$7:$T$18,2,FALSE)/12,0)+IFERROR(VLOOKUP($B41,CDM!$L$37:$O$47,2,FALSE)/24,0)+IFERROR(VLOOKUP($B41,CDM!$L$37:$O$47,2,FALSE)/2*$C41/78,0)</f>
        <v>2158271.6960088876</v>
      </c>
      <c r="F41" s="44">
        <f t="shared" si="79"/>
        <v>85758313.193750188</v>
      </c>
      <c r="G41" s="488">
        <v>146621</v>
      </c>
      <c r="H41" s="44">
        <v>25600571.739779301</v>
      </c>
      <c r="I41" s="44">
        <f>IFERROR(VLOOKUP($B41-1,CDM!$L$7:$T$18,3,FALSE)/12,0)+IFERROR(VLOOKUP($B41,CDM!$L$37:$O$47,3,FALSE)/24,0)+IFERROR(VLOOKUP($B41,CDM!$L$37:$O$47,3,FALSE)/2*$C41/78,0)</f>
        <v>835290.1591555248</v>
      </c>
      <c r="J41" s="44">
        <f t="shared" si="80"/>
        <v>26435861.898934826</v>
      </c>
      <c r="K41" s="44">
        <v>12883</v>
      </c>
      <c r="L41" s="44">
        <v>93299120.656527802</v>
      </c>
      <c r="M41" s="44">
        <f>IFERROR(VLOOKUP($B41-1,CDM!$L$7:$T$18,4,FALSE)/12,0)+IFERROR(VLOOKUP($B41,CDM!$L$37:$O$47,4,FALSE)/24,0)+IFERROR(VLOOKUP($B41,CDM!$L$37:$O$47,4,FALSE)/2*$C41/78,0)</f>
        <v>5304401.9971696045</v>
      </c>
      <c r="N41" s="44">
        <f t="shared" si="81"/>
        <v>98603522.653697401</v>
      </c>
      <c r="O41" s="44">
        <v>238927.76</v>
      </c>
      <c r="P41" s="488">
        <v>1539</v>
      </c>
      <c r="Q41" s="488">
        <v>1026175.03563793</v>
      </c>
      <c r="R41" s="488">
        <f>IFERROR(VLOOKUP($B41-1,CDM!$L$7:$T$18,5,FALSE)/12,0)+IFERROR(VLOOKUP($B41,CDM!$L$37:$T$47,5,FALSE)/24,0)+IFERROR(VLOOKUP($B41,CDM!$L$37:$T$47,5,FALSE)/2*$C41/78,0)</f>
        <v>94880.524060458585</v>
      </c>
      <c r="S41" s="488">
        <f t="shared" si="18"/>
        <v>1121055.5596983887</v>
      </c>
      <c r="T41" s="44">
        <v>3225.4300000000003</v>
      </c>
      <c r="U41" s="488">
        <v>5</v>
      </c>
      <c r="V41" s="488">
        <v>6787437.3551682299</v>
      </c>
      <c r="W41" s="488">
        <f>IFERROR(VLOOKUP($B41-1,CDM!$L$7:$T$18,6,FALSE)/12,0)+IFERROR(VLOOKUP($B41,CDM!$L$37:$T$47,6,FALSE)/24,0)+IFERROR(VLOOKUP($B41,CDM!$L$37:$T$47,6,FALSE)/2*$C41/78,0)</f>
        <v>323236.87367185886</v>
      </c>
      <c r="X41" s="488">
        <f t="shared" si="19"/>
        <v>7110674.2288400885</v>
      </c>
      <c r="Y41" s="488">
        <v>11216.15</v>
      </c>
      <c r="Z41" s="488">
        <v>1</v>
      </c>
      <c r="AA41" s="44">
        <v>1263569.31</v>
      </c>
      <c r="AB41" s="44">
        <v>3936.35</v>
      </c>
      <c r="AC41" s="488">
        <v>37797</v>
      </c>
      <c r="AD41" s="44">
        <v>443782.35000000003</v>
      </c>
      <c r="AE41" s="44">
        <v>1528</v>
      </c>
      <c r="AF41" s="44">
        <v>44324.959999999999</v>
      </c>
      <c r="AG41" s="44">
        <v>120.62</v>
      </c>
      <c r="AH41" s="44">
        <v>516</v>
      </c>
      <c r="AI41" s="44">
        <v>15400</v>
      </c>
      <c r="AJ41" s="68">
        <f>Economic!H55</f>
        <v>770641</v>
      </c>
      <c r="AK41" s="68">
        <f>Economic!I55</f>
        <v>85970.9</v>
      </c>
      <c r="AL41" s="68">
        <f>Economic!J55</f>
        <v>32860.6</v>
      </c>
      <c r="AM41" s="68">
        <f>Economic!K55</f>
        <v>78307.100000000006</v>
      </c>
      <c r="AN41" s="68">
        <f>Economic!L55</f>
        <v>58237.8</v>
      </c>
      <c r="AO41" s="68">
        <f>Economic!M55</f>
        <v>705711</v>
      </c>
      <c r="AP41" s="68">
        <f>Economic!N55</f>
        <v>72955</v>
      </c>
      <c r="AQ41" s="68">
        <f>Economic!O55</f>
        <v>13082</v>
      </c>
      <c r="AR41" s="68">
        <f>Economic!P55</f>
        <v>31272</v>
      </c>
      <c r="AS41" s="68">
        <f>Economic!Q55</f>
        <v>77054</v>
      </c>
      <c r="AT41" s="68">
        <f>Economic!D55</f>
        <v>6961.6</v>
      </c>
      <c r="AU41" s="68">
        <f>Economic!E55</f>
        <v>6893.7</v>
      </c>
      <c r="AV41" s="68">
        <f>Economic!F55</f>
        <v>252.1</v>
      </c>
      <c r="AW41" s="68">
        <f>Economic!G55</f>
        <v>249.2</v>
      </c>
      <c r="AX41" s="68">
        <f>Economic!W55</f>
        <v>-101018</v>
      </c>
      <c r="AY41" s="68">
        <f>Economic!R55</f>
        <v>-400</v>
      </c>
      <c r="AZ41" s="68">
        <f>Economic!W55</f>
        <v>-101018</v>
      </c>
      <c r="BA41" s="68">
        <f>Economic!X55</f>
        <v>-22192</v>
      </c>
      <c r="BB41" s="68">
        <f>Economic!Y55</f>
        <v>2410</v>
      </c>
      <c r="BC41" s="236">
        <f>Weather!C53</f>
        <v>5.1643055555555559</v>
      </c>
      <c r="BD41" s="16">
        <f>Weather!D53</f>
        <v>445.07083333333321</v>
      </c>
      <c r="BE41" s="16">
        <f>Weather!E53</f>
        <v>0</v>
      </c>
      <c r="BF41" s="16">
        <f>Weather!F53</f>
        <v>385.07083333333333</v>
      </c>
      <c r="BG41" s="16">
        <f>Weather!G53</f>
        <v>0</v>
      </c>
      <c r="BH41" s="16">
        <f>Weather!H53</f>
        <v>325.07083333333333</v>
      </c>
      <c r="BI41" s="16">
        <f>Weather!I53</f>
        <v>0</v>
      </c>
      <c r="BJ41" s="16">
        <f>Weather!J53</f>
        <v>265.07083333333338</v>
      </c>
      <c r="BK41" s="16">
        <f>Weather!K53</f>
        <v>0</v>
      </c>
      <c r="BL41" s="16">
        <f>Weather!L53</f>
        <v>205.07083333333335</v>
      </c>
      <c r="BM41" s="16">
        <f>Weather!M53</f>
        <v>0</v>
      </c>
      <c r="BN41" s="16">
        <f>Weather!N53</f>
        <v>149.02500000000001</v>
      </c>
      <c r="BO41" s="16">
        <f>Weather!O53</f>
        <v>3.9541666666666657</v>
      </c>
      <c r="BP41" s="16">
        <f>Weather!P53</f>
        <v>97.537499999999966</v>
      </c>
      <c r="BQ41" s="16">
        <f>Weather!Q53</f>
        <v>12.466666666666667</v>
      </c>
      <c r="BR41">
        <v>0</v>
      </c>
      <c r="BS41">
        <v>0</v>
      </c>
      <c r="BT41">
        <v>0</v>
      </c>
      <c r="BU41">
        <v>1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1</v>
      </c>
      <c r="CE41">
        <f t="shared" si="52"/>
        <v>1</v>
      </c>
      <c r="CF41">
        <v>0</v>
      </c>
      <c r="CG41">
        <f t="shared" si="52"/>
        <v>0</v>
      </c>
      <c r="CH41">
        <v>1</v>
      </c>
      <c r="CI41">
        <f t="shared" si="51"/>
        <v>1</v>
      </c>
      <c r="CJ41">
        <f t="shared" si="21"/>
        <v>1</v>
      </c>
      <c r="CK41">
        <f t="shared" si="53"/>
        <v>0</v>
      </c>
      <c r="CL41">
        <f t="shared" si="53"/>
        <v>0</v>
      </c>
      <c r="CM41" s="1">
        <f t="shared" si="22"/>
        <v>40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>
        <v>30</v>
      </c>
      <c r="CT41" s="1">
        <v>21</v>
      </c>
      <c r="CU41" s="1">
        <v>1</v>
      </c>
      <c r="CV41" s="1">
        <v>1</v>
      </c>
      <c r="CW41" s="1">
        <v>1</v>
      </c>
      <c r="CX41" s="1">
        <v>1</v>
      </c>
      <c r="CY41" s="1">
        <v>1</v>
      </c>
      <c r="CZ41" s="10">
        <f t="shared" si="87"/>
        <v>445.07083333333321</v>
      </c>
      <c r="DA41" s="10">
        <f t="shared" si="88"/>
        <v>0</v>
      </c>
      <c r="DB41" s="10">
        <f t="shared" si="89"/>
        <v>385.07083333333333</v>
      </c>
      <c r="DC41" s="10">
        <f t="shared" si="90"/>
        <v>0</v>
      </c>
      <c r="DD41" s="10">
        <f t="shared" si="91"/>
        <v>325.07083333333333</v>
      </c>
      <c r="DE41" s="10">
        <f t="shared" si="92"/>
        <v>0</v>
      </c>
      <c r="DF41" s="10">
        <f t="shared" si="93"/>
        <v>265.07083333333338</v>
      </c>
      <c r="DG41" s="10">
        <f t="shared" si="94"/>
        <v>0</v>
      </c>
      <c r="DH41" s="10">
        <f t="shared" si="95"/>
        <v>205.07083333333335</v>
      </c>
      <c r="DI41" s="10">
        <f t="shared" si="96"/>
        <v>0</v>
      </c>
      <c r="DJ41" s="10">
        <f t="shared" si="97"/>
        <v>149.02500000000001</v>
      </c>
      <c r="DK41" s="10">
        <f t="shared" si="98"/>
        <v>3.9541666666666657</v>
      </c>
      <c r="DL41" s="10">
        <f t="shared" si="99"/>
        <v>97.537499999999966</v>
      </c>
      <c r="DM41" s="10">
        <f t="shared" si="100"/>
        <v>12.466666666666667</v>
      </c>
      <c r="DN41" s="10">
        <f t="shared" si="101"/>
        <v>445.07083333333321</v>
      </c>
      <c r="DO41" s="10">
        <f t="shared" si="102"/>
        <v>0</v>
      </c>
      <c r="DP41" s="10">
        <f t="shared" si="103"/>
        <v>385.07083333333333</v>
      </c>
      <c r="DQ41" s="10">
        <f t="shared" si="104"/>
        <v>0</v>
      </c>
      <c r="DR41" s="10">
        <f t="shared" si="105"/>
        <v>325.07083333333333</v>
      </c>
      <c r="DS41" s="10">
        <f t="shared" si="106"/>
        <v>0</v>
      </c>
      <c r="DT41" s="10">
        <f t="shared" si="107"/>
        <v>265.07083333333338</v>
      </c>
      <c r="DU41" s="10">
        <f t="shared" si="108"/>
        <v>0</v>
      </c>
      <c r="DV41" s="10">
        <f t="shared" si="109"/>
        <v>205.07083333333335</v>
      </c>
      <c r="DW41" s="10">
        <f t="shared" si="110"/>
        <v>0</v>
      </c>
      <c r="DX41" s="10">
        <f t="shared" si="111"/>
        <v>149.02500000000001</v>
      </c>
      <c r="DY41" s="10">
        <f t="shared" si="112"/>
        <v>3.9541666666666657</v>
      </c>
      <c r="DZ41" s="10">
        <f t="shared" si="113"/>
        <v>97.537499999999966</v>
      </c>
      <c r="EA41" s="10">
        <f t="shared" si="114"/>
        <v>12.466666666666667</v>
      </c>
      <c r="EB41" s="44">
        <f t="shared" si="82"/>
        <v>584.89788770878783</v>
      </c>
      <c r="EC41" s="44">
        <f t="shared" si="5"/>
        <v>19.496596256959595</v>
      </c>
      <c r="ED41" s="44">
        <f t="shared" si="83"/>
        <v>2858610.4397916729</v>
      </c>
      <c r="EE41" s="44">
        <f t="shared" si="84"/>
        <v>2051.9958005848657</v>
      </c>
      <c r="EF41" s="44">
        <f t="shared" si="8"/>
        <v>68.39986001949552</v>
      </c>
      <c r="EG41" s="44">
        <f t="shared" si="85"/>
        <v>881195.39663116087</v>
      </c>
      <c r="EH41" s="44">
        <f t="shared" si="86"/>
        <v>64069.865272058094</v>
      </c>
      <c r="EI41" s="44">
        <f t="shared" si="11"/>
        <v>2135.66217573527</v>
      </c>
      <c r="EJ41" s="44">
        <f t="shared" si="55"/>
        <v>3050.9459653360996</v>
      </c>
      <c r="EK41" s="44">
        <f t="shared" si="54"/>
        <v>3286784.0884565799</v>
      </c>
      <c r="EL41" s="44">
        <f t="shared" si="56"/>
        <v>4695405.8406522572</v>
      </c>
    </row>
    <row r="42" spans="1:142" x14ac:dyDescent="0.2">
      <c r="A42" s="66">
        <v>43952</v>
      </c>
      <c r="B42" s="4">
        <f t="shared" si="0"/>
        <v>2020</v>
      </c>
      <c r="C42" s="4">
        <f t="shared" si="1"/>
        <v>5</v>
      </c>
      <c r="D42" s="44">
        <v>89969852.765517607</v>
      </c>
      <c r="E42" s="44">
        <f>IFERROR(VLOOKUP($B42-1,CDM!$L$7:$T$18,2,FALSE)/12,0)+IFERROR(VLOOKUP($B42,CDM!$L$37:$O$47,2,FALSE)/24,0)+IFERROR(VLOOKUP($B42,CDM!$L$37:$O$47,2,FALSE)/2*$C42/78,0)</f>
        <v>2158271.6960088876</v>
      </c>
      <c r="F42" s="44">
        <f t="shared" si="79"/>
        <v>92128124.461526498</v>
      </c>
      <c r="G42" s="488">
        <v>146786</v>
      </c>
      <c r="H42" s="44">
        <v>26750639.764157899</v>
      </c>
      <c r="I42" s="44">
        <f>IFERROR(VLOOKUP($B42-1,CDM!$L$7:$T$18,3,FALSE)/12,0)+IFERROR(VLOOKUP($B42,CDM!$L$37:$O$47,3,FALSE)/24,0)+IFERROR(VLOOKUP($B42,CDM!$L$37:$O$47,3,FALSE)/2*$C42/78,0)</f>
        <v>837820.71520359034</v>
      </c>
      <c r="J42" s="44">
        <f t="shared" si="80"/>
        <v>27588460.479361489</v>
      </c>
      <c r="K42" s="44">
        <v>12885</v>
      </c>
      <c r="L42" s="44">
        <v>99953158.126047298</v>
      </c>
      <c r="M42" s="44">
        <f>IFERROR(VLOOKUP($B42-1,CDM!$L$7:$T$18,4,FALSE)/12,0)+IFERROR(VLOOKUP($B42,CDM!$L$37:$O$47,4,FALSE)/24,0)+IFERROR(VLOOKUP($B42,CDM!$L$37:$O$47,4,FALSE)/2*$C42/78,0)</f>
        <v>5352609.3491881406</v>
      </c>
      <c r="N42" s="44">
        <f t="shared" si="81"/>
        <v>105305767.47523543</v>
      </c>
      <c r="O42" s="44">
        <v>279041.45</v>
      </c>
      <c r="P42" s="488">
        <v>1541</v>
      </c>
      <c r="Q42" s="488">
        <v>2329305.4540882902</v>
      </c>
      <c r="R42" s="488">
        <f>IFERROR(VLOOKUP($B42-1,CDM!$L$7:$T$18,5,FALSE)/12,0)+IFERROR(VLOOKUP($B42,CDM!$L$37:$T$47,5,FALSE)/24,0)+IFERROR(VLOOKUP($B42,CDM!$L$37:$T$47,5,FALSE)/2*$C42/78,0)</f>
        <v>94880.524060458585</v>
      </c>
      <c r="S42" s="488">
        <f t="shared" si="18"/>
        <v>2424185.9781487486</v>
      </c>
      <c r="T42" s="44">
        <v>6560.7699999999995</v>
      </c>
      <c r="U42" s="488">
        <v>5</v>
      </c>
      <c r="V42" s="488">
        <v>7775432.38463357</v>
      </c>
      <c r="W42" s="488">
        <f>IFERROR(VLOOKUP($B42-1,CDM!$L$7:$T$18,6,FALSE)/12,0)+IFERROR(VLOOKUP($B42,CDM!$L$37:$T$47,6,FALSE)/24,0)+IFERROR(VLOOKUP($B42,CDM!$L$37:$T$47,6,FALSE)/2*$C42/78,0)</f>
        <v>324378.54389335919</v>
      </c>
      <c r="X42" s="488">
        <f t="shared" si="19"/>
        <v>8099810.9285269296</v>
      </c>
      <c r="Y42" s="488">
        <v>18232.400000000001</v>
      </c>
      <c r="Z42" s="488">
        <v>1</v>
      </c>
      <c r="AA42" s="44">
        <v>1122663.58</v>
      </c>
      <c r="AB42" s="44">
        <v>3932.13</v>
      </c>
      <c r="AC42" s="488">
        <v>37731</v>
      </c>
      <c r="AD42" s="44">
        <v>458267.45</v>
      </c>
      <c r="AE42" s="44">
        <v>1528</v>
      </c>
      <c r="AF42" s="44">
        <v>45270.409999999989</v>
      </c>
      <c r="AG42" s="44">
        <v>120.6</v>
      </c>
      <c r="AH42" s="44">
        <v>516</v>
      </c>
      <c r="AI42" s="44">
        <v>15400</v>
      </c>
      <c r="AJ42" s="68">
        <f>Economic!H56</f>
        <v>770641</v>
      </c>
      <c r="AK42" s="68">
        <f>Economic!I56</f>
        <v>85970.9</v>
      </c>
      <c r="AL42" s="68">
        <f>Economic!J56</f>
        <v>32860.6</v>
      </c>
      <c r="AM42" s="68">
        <f>Economic!K56</f>
        <v>78307.100000000006</v>
      </c>
      <c r="AN42" s="68">
        <f>Economic!L56</f>
        <v>58237.8</v>
      </c>
      <c r="AO42" s="68">
        <f>Economic!M56</f>
        <v>705711</v>
      </c>
      <c r="AP42" s="68">
        <f>Economic!N56</f>
        <v>72955</v>
      </c>
      <c r="AQ42" s="68">
        <f>Economic!O56</f>
        <v>13082</v>
      </c>
      <c r="AR42" s="68">
        <f>Economic!P56</f>
        <v>31272</v>
      </c>
      <c r="AS42" s="68">
        <f>Economic!Q56</f>
        <v>77054</v>
      </c>
      <c r="AT42" s="68">
        <f>Economic!D56</f>
        <v>6572.6</v>
      </c>
      <c r="AU42" s="68">
        <f>Economic!E56</f>
        <v>6550.9</v>
      </c>
      <c r="AV42" s="68">
        <f>Economic!F56</f>
        <v>240.8</v>
      </c>
      <c r="AW42" s="68">
        <f>Economic!G56</f>
        <v>239.1</v>
      </c>
      <c r="AX42" s="68">
        <f>Economic!W56</f>
        <v>-101018</v>
      </c>
      <c r="AY42" s="68">
        <f>Economic!R56</f>
        <v>-803.79999999999927</v>
      </c>
      <c r="AZ42" s="68">
        <f>Economic!W56</f>
        <v>-101018</v>
      </c>
      <c r="BA42" s="68">
        <f>Economic!X56</f>
        <v>-22192</v>
      </c>
      <c r="BB42" s="68">
        <f>Economic!Y56</f>
        <v>2410</v>
      </c>
      <c r="BC42" s="236">
        <f>Weather!C54</f>
        <v>12.008736559139784</v>
      </c>
      <c r="BD42" s="16">
        <f>Weather!D54</f>
        <v>259.70833333333331</v>
      </c>
      <c r="BE42" s="16">
        <f>Weather!E54</f>
        <v>11.979166666666657</v>
      </c>
      <c r="BF42" s="16">
        <f>Weather!F54</f>
        <v>207.87083333333328</v>
      </c>
      <c r="BG42" s="16">
        <f>Weather!G54</f>
        <v>22.141666666666659</v>
      </c>
      <c r="BH42" s="16">
        <f>Weather!H54</f>
        <v>160.06249999999997</v>
      </c>
      <c r="BI42" s="16">
        <f>Weather!I54</f>
        <v>36.333333333333314</v>
      </c>
      <c r="BJ42" s="16">
        <f>Weather!J54</f>
        <v>117.34583333333333</v>
      </c>
      <c r="BK42" s="16">
        <f>Weather!K54</f>
        <v>55.616666666666646</v>
      </c>
      <c r="BL42" s="16">
        <f>Weather!L54</f>
        <v>82.520833333333329</v>
      </c>
      <c r="BM42" s="16">
        <f>Weather!M54</f>
        <v>82.791666666666657</v>
      </c>
      <c r="BN42" s="16">
        <f>Weather!N54</f>
        <v>55.441666666666677</v>
      </c>
      <c r="BO42" s="16">
        <f>Weather!O54</f>
        <v>117.71249999999999</v>
      </c>
      <c r="BP42" s="16">
        <f>Weather!P54</f>
        <v>32.854166666666664</v>
      </c>
      <c r="BQ42" s="16">
        <f>Weather!Q54</f>
        <v>157.12499999999997</v>
      </c>
      <c r="BR42">
        <v>0</v>
      </c>
      <c r="BS42">
        <v>0</v>
      </c>
      <c r="BT42">
        <v>0</v>
      </c>
      <c r="BU42">
        <v>0</v>
      </c>
      <c r="BV42">
        <v>1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1</v>
      </c>
      <c r="CE42">
        <f t="shared" si="52"/>
        <v>0</v>
      </c>
      <c r="CF42">
        <v>0</v>
      </c>
      <c r="CG42">
        <f t="shared" si="52"/>
        <v>0</v>
      </c>
      <c r="CH42">
        <v>1</v>
      </c>
      <c r="CI42">
        <f t="shared" si="51"/>
        <v>0</v>
      </c>
      <c r="CJ42">
        <f t="shared" si="21"/>
        <v>0</v>
      </c>
      <c r="CK42">
        <f t="shared" si="53"/>
        <v>1</v>
      </c>
      <c r="CL42">
        <f t="shared" si="53"/>
        <v>0</v>
      </c>
      <c r="CM42" s="1">
        <f t="shared" si="22"/>
        <v>41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>
        <v>31</v>
      </c>
      <c r="CT42" s="1">
        <v>20</v>
      </c>
      <c r="CU42" s="1">
        <v>1</v>
      </c>
      <c r="CV42" s="1">
        <v>1</v>
      </c>
      <c r="CW42" s="1">
        <v>1</v>
      </c>
      <c r="CX42" s="1">
        <v>1</v>
      </c>
      <c r="CY42" s="1">
        <v>1</v>
      </c>
      <c r="CZ42" s="10">
        <f t="shared" si="87"/>
        <v>259.70833333333331</v>
      </c>
      <c r="DA42" s="10">
        <f t="shared" si="88"/>
        <v>11.979166666666657</v>
      </c>
      <c r="DB42" s="10">
        <f t="shared" si="89"/>
        <v>207.87083333333328</v>
      </c>
      <c r="DC42" s="10">
        <f t="shared" si="90"/>
        <v>22.141666666666659</v>
      </c>
      <c r="DD42" s="10">
        <f t="shared" si="91"/>
        <v>160.06249999999997</v>
      </c>
      <c r="DE42" s="10">
        <f t="shared" si="92"/>
        <v>36.333333333333314</v>
      </c>
      <c r="DF42" s="10">
        <f t="shared" si="93"/>
        <v>117.34583333333333</v>
      </c>
      <c r="DG42" s="10">
        <f t="shared" si="94"/>
        <v>55.616666666666646</v>
      </c>
      <c r="DH42" s="10">
        <f t="shared" si="95"/>
        <v>82.520833333333329</v>
      </c>
      <c r="DI42" s="10">
        <f t="shared" si="96"/>
        <v>82.791666666666657</v>
      </c>
      <c r="DJ42" s="10">
        <f t="shared" si="97"/>
        <v>55.441666666666677</v>
      </c>
      <c r="DK42" s="10">
        <f t="shared" si="98"/>
        <v>117.71249999999999</v>
      </c>
      <c r="DL42" s="10">
        <f t="shared" si="99"/>
        <v>32.854166666666664</v>
      </c>
      <c r="DM42" s="10">
        <f t="shared" si="100"/>
        <v>157.12499999999997</v>
      </c>
      <c r="DN42" s="10">
        <f t="shared" si="101"/>
        <v>259.70833333333331</v>
      </c>
      <c r="DO42" s="10">
        <f t="shared" si="102"/>
        <v>11.979166666666657</v>
      </c>
      <c r="DP42" s="10">
        <f t="shared" si="103"/>
        <v>207.87083333333328</v>
      </c>
      <c r="DQ42" s="10">
        <f t="shared" si="104"/>
        <v>22.141666666666659</v>
      </c>
      <c r="DR42" s="10">
        <f t="shared" si="105"/>
        <v>160.06249999999997</v>
      </c>
      <c r="DS42" s="10">
        <f t="shared" si="106"/>
        <v>36.333333333333314</v>
      </c>
      <c r="DT42" s="10">
        <f t="shared" si="107"/>
        <v>117.34583333333333</v>
      </c>
      <c r="DU42" s="10">
        <f t="shared" si="108"/>
        <v>55.616666666666646</v>
      </c>
      <c r="DV42" s="10">
        <f t="shared" si="109"/>
        <v>82.520833333333329</v>
      </c>
      <c r="DW42" s="10">
        <f t="shared" si="110"/>
        <v>82.791666666666657</v>
      </c>
      <c r="DX42" s="10">
        <f t="shared" si="111"/>
        <v>55.441666666666677</v>
      </c>
      <c r="DY42" s="10">
        <f t="shared" si="112"/>
        <v>117.71249999999999</v>
      </c>
      <c r="DZ42" s="10">
        <f t="shared" si="113"/>
        <v>32.854166666666664</v>
      </c>
      <c r="EA42" s="10">
        <f t="shared" si="114"/>
        <v>157.12499999999997</v>
      </c>
      <c r="EB42" s="44">
        <f t="shared" si="82"/>
        <v>627.63563597023222</v>
      </c>
      <c r="EC42" s="44">
        <f t="shared" si="5"/>
        <v>20.246310837749427</v>
      </c>
      <c r="ED42" s="44">
        <f t="shared" si="83"/>
        <v>2971874.9826298868</v>
      </c>
      <c r="EE42" s="44">
        <f t="shared" si="84"/>
        <v>2141.1300333225836</v>
      </c>
      <c r="EF42" s="44">
        <f t="shared" si="8"/>
        <v>69.068710752341403</v>
      </c>
      <c r="EG42" s="44">
        <f t="shared" si="85"/>
        <v>889950.33804391907</v>
      </c>
      <c r="EH42" s="44">
        <f t="shared" si="86"/>
        <v>68335.994468030782</v>
      </c>
      <c r="EI42" s="44">
        <f t="shared" si="11"/>
        <v>2204.3869183235738</v>
      </c>
      <c r="EJ42" s="44">
        <f t="shared" si="55"/>
        <v>3106.1815667286719</v>
      </c>
      <c r="EK42" s="44">
        <f t="shared" si="54"/>
        <v>3396960.2411366268</v>
      </c>
      <c r="EL42" s="44">
        <f t="shared" si="56"/>
        <v>4786625.7943288833</v>
      </c>
    </row>
    <row r="43" spans="1:142" x14ac:dyDescent="0.2">
      <c r="A43" s="66">
        <v>43983</v>
      </c>
      <c r="B43" s="4">
        <f t="shared" si="0"/>
        <v>2020</v>
      </c>
      <c r="C43" s="4">
        <f t="shared" si="1"/>
        <v>6</v>
      </c>
      <c r="D43" s="44">
        <v>110577079.091159</v>
      </c>
      <c r="E43" s="44">
        <f>IFERROR(VLOOKUP($B43-1,CDM!$L$7:$T$18,2,FALSE)/12,0)+IFERROR(VLOOKUP($B43,CDM!$L$37:$O$47,2,FALSE)/24,0)+IFERROR(VLOOKUP($B43,CDM!$L$37:$O$47,2,FALSE)/2*$C43/78,0)</f>
        <v>2158271.6960088876</v>
      </c>
      <c r="F43" s="44">
        <f t="shared" si="79"/>
        <v>112735350.78716789</v>
      </c>
      <c r="G43" s="488">
        <v>146944</v>
      </c>
      <c r="H43" s="44">
        <v>31171707.406227499</v>
      </c>
      <c r="I43" s="44">
        <f>IFERROR(VLOOKUP($B43-1,CDM!$L$7:$T$18,3,FALSE)/12,0)+IFERROR(VLOOKUP($B43,CDM!$L$37:$O$47,3,FALSE)/24,0)+IFERROR(VLOOKUP($B43,CDM!$L$37:$O$47,3,FALSE)/2*$C43/78,0)</f>
        <v>840351.27125165588</v>
      </c>
      <c r="J43" s="44">
        <f t="shared" si="80"/>
        <v>32012058.677479155</v>
      </c>
      <c r="K43" s="44">
        <v>12886</v>
      </c>
      <c r="L43" s="44">
        <v>116345337.802266</v>
      </c>
      <c r="M43" s="44">
        <f>IFERROR(VLOOKUP($B43-1,CDM!$L$7:$T$18,4,FALSE)/12,0)+IFERROR(VLOOKUP($B43,CDM!$L$37:$O$47,4,FALSE)/24,0)+IFERROR(VLOOKUP($B43,CDM!$L$37:$O$47,4,FALSE)/2*$C43/78,0)</f>
        <v>5400816.7012066767</v>
      </c>
      <c r="N43" s="44">
        <f t="shared" si="81"/>
        <v>121746154.50347269</v>
      </c>
      <c r="O43" s="44">
        <v>306263.61</v>
      </c>
      <c r="P43" s="488">
        <v>1541</v>
      </c>
      <c r="Q43" s="488">
        <v>4164851.4557555499</v>
      </c>
      <c r="R43" s="488">
        <f>IFERROR(VLOOKUP($B43-1,CDM!$L$7:$T$18,5,FALSE)/12,0)+IFERROR(VLOOKUP($B43,CDM!$L$37:$T$47,5,FALSE)/24,0)+IFERROR(VLOOKUP($B43,CDM!$L$37:$T$47,5,FALSE)/2*$C43/78,0)</f>
        <v>94880.524060458585</v>
      </c>
      <c r="S43" s="488">
        <f t="shared" si="18"/>
        <v>4259731.9798160084</v>
      </c>
      <c r="T43" s="44">
        <v>6142.7000000000007</v>
      </c>
      <c r="U43" s="488">
        <v>5</v>
      </c>
      <c r="V43" s="488">
        <v>9336114.4108639508</v>
      </c>
      <c r="W43" s="488">
        <f>IFERROR(VLOOKUP($B43-1,CDM!$L$7:$T$18,6,FALSE)/12,0)+IFERROR(VLOOKUP($B43,CDM!$L$37:$T$47,6,FALSE)/24,0)+IFERROR(VLOOKUP($B43,CDM!$L$37:$T$47,6,FALSE)/2*$C43/78,0)</f>
        <v>325520.21411485953</v>
      </c>
      <c r="X43" s="488">
        <f t="shared" si="19"/>
        <v>9661634.6249788105</v>
      </c>
      <c r="Y43" s="488">
        <v>18421.48</v>
      </c>
      <c r="Z43" s="488">
        <v>1</v>
      </c>
      <c r="AA43" s="44">
        <v>1029904.02</v>
      </c>
      <c r="AB43" s="44">
        <v>3936.94</v>
      </c>
      <c r="AC43" s="488">
        <v>37784</v>
      </c>
      <c r="AD43" s="44">
        <v>444267.02999999997</v>
      </c>
      <c r="AE43" s="44">
        <v>1529</v>
      </c>
      <c r="AF43" s="44">
        <v>43526.240000000005</v>
      </c>
      <c r="AG43" s="44">
        <v>120.61</v>
      </c>
      <c r="AH43" s="44">
        <v>516</v>
      </c>
      <c r="AI43" s="44">
        <v>15400</v>
      </c>
      <c r="AJ43" s="68">
        <f>Economic!H57</f>
        <v>770641</v>
      </c>
      <c r="AK43" s="68">
        <f>Economic!I57</f>
        <v>85970.9</v>
      </c>
      <c r="AL43" s="68">
        <f>Economic!J57</f>
        <v>32860.6</v>
      </c>
      <c r="AM43" s="68">
        <f>Economic!K57</f>
        <v>78307.100000000006</v>
      </c>
      <c r="AN43" s="68">
        <f>Economic!L57</f>
        <v>58237.8</v>
      </c>
      <c r="AO43" s="68">
        <f>Economic!M57</f>
        <v>705711</v>
      </c>
      <c r="AP43" s="68">
        <f>Economic!N57</f>
        <v>72955</v>
      </c>
      <c r="AQ43" s="68">
        <f>Economic!O57</f>
        <v>13082</v>
      </c>
      <c r="AR43" s="68">
        <f>Economic!P57</f>
        <v>31272</v>
      </c>
      <c r="AS43" s="68">
        <f>Economic!Q57</f>
        <v>77054</v>
      </c>
      <c r="AT43" s="68">
        <f>Economic!D57</f>
        <v>6477.4</v>
      </c>
      <c r="AU43" s="68">
        <f>Economic!E57</f>
        <v>6515.6</v>
      </c>
      <c r="AV43" s="68">
        <f>Economic!F57</f>
        <v>238.5</v>
      </c>
      <c r="AW43" s="68">
        <f>Economic!G57</f>
        <v>241.2</v>
      </c>
      <c r="AX43" s="68">
        <f>Economic!W57</f>
        <v>-101018</v>
      </c>
      <c r="AY43" s="68">
        <f>Economic!R57</f>
        <v>-918.70000000000073</v>
      </c>
      <c r="AZ43" s="68">
        <f>Economic!W57</f>
        <v>-101018</v>
      </c>
      <c r="BA43" s="68">
        <f>Economic!X57</f>
        <v>-22192</v>
      </c>
      <c r="BB43" s="68">
        <f>Economic!Y57</f>
        <v>2410</v>
      </c>
      <c r="BC43" s="236">
        <f>Weather!C55</f>
        <v>19.448472222222218</v>
      </c>
      <c r="BD43" s="16">
        <f>Weather!D55</f>
        <v>47.600000000000009</v>
      </c>
      <c r="BE43" s="16">
        <f>Weather!E55</f>
        <v>31.054166666666653</v>
      </c>
      <c r="BF43" s="16">
        <f>Weather!F55</f>
        <v>25.245833333333337</v>
      </c>
      <c r="BG43" s="16">
        <f>Weather!G55</f>
        <v>68.699999999999989</v>
      </c>
      <c r="BH43" s="16">
        <f>Weather!H55</f>
        <v>11.395833333333332</v>
      </c>
      <c r="BI43" s="16">
        <f>Weather!I55</f>
        <v>114.84999999999997</v>
      </c>
      <c r="BJ43" s="16">
        <f>Weather!J55</f>
        <v>3.7708333333333339</v>
      </c>
      <c r="BK43" s="16">
        <f>Weather!K55</f>
        <v>167.22499999999997</v>
      </c>
      <c r="BL43" s="16">
        <f>Weather!L55</f>
        <v>0</v>
      </c>
      <c r="BM43" s="16">
        <f>Weather!M55</f>
        <v>223.45416666666662</v>
      </c>
      <c r="BN43" s="16">
        <f>Weather!N55</f>
        <v>0</v>
      </c>
      <c r="BO43" s="16">
        <f>Weather!O55</f>
        <v>283.45416666666665</v>
      </c>
      <c r="BP43" s="16">
        <f>Weather!P55</f>
        <v>0</v>
      </c>
      <c r="BQ43" s="16">
        <f>Weather!Q55</f>
        <v>343.45416666666665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1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f t="shared" si="52"/>
        <v>0</v>
      </c>
      <c r="CF43">
        <v>0</v>
      </c>
      <c r="CG43">
        <f t="shared" si="52"/>
        <v>0</v>
      </c>
      <c r="CH43">
        <v>0</v>
      </c>
      <c r="CI43">
        <f t="shared" si="51"/>
        <v>0</v>
      </c>
      <c r="CJ43">
        <f t="shared" si="21"/>
        <v>0</v>
      </c>
      <c r="CK43">
        <f t="shared" si="53"/>
        <v>1</v>
      </c>
      <c r="CL43">
        <f t="shared" si="53"/>
        <v>0</v>
      </c>
      <c r="CM43" s="1">
        <f t="shared" si="22"/>
        <v>42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>
        <v>30</v>
      </c>
      <c r="CT43" s="1">
        <v>22</v>
      </c>
      <c r="CU43" s="1">
        <v>1</v>
      </c>
      <c r="CV43" s="1">
        <v>0.5</v>
      </c>
      <c r="CW43" s="1">
        <v>0.5</v>
      </c>
      <c r="CX43" s="1">
        <v>1</v>
      </c>
      <c r="CY43" s="1">
        <v>0.5</v>
      </c>
      <c r="CZ43" s="10">
        <f t="shared" si="87"/>
        <v>23.800000000000004</v>
      </c>
      <c r="DA43" s="10">
        <f t="shared" si="88"/>
        <v>15.527083333333326</v>
      </c>
      <c r="DB43" s="10">
        <f t="shared" si="89"/>
        <v>12.622916666666669</v>
      </c>
      <c r="DC43" s="10">
        <f t="shared" si="90"/>
        <v>34.349999999999994</v>
      </c>
      <c r="DD43" s="10">
        <f t="shared" si="91"/>
        <v>5.6979166666666661</v>
      </c>
      <c r="DE43" s="10">
        <f t="shared" si="92"/>
        <v>57.424999999999983</v>
      </c>
      <c r="DF43" s="10">
        <f t="shared" si="93"/>
        <v>1.885416666666667</v>
      </c>
      <c r="DG43" s="10">
        <f t="shared" si="94"/>
        <v>83.612499999999983</v>
      </c>
      <c r="DH43" s="10">
        <f t="shared" si="95"/>
        <v>0</v>
      </c>
      <c r="DI43" s="10">
        <f t="shared" si="96"/>
        <v>111.72708333333331</v>
      </c>
      <c r="DJ43" s="10">
        <f t="shared" si="97"/>
        <v>0</v>
      </c>
      <c r="DK43" s="10">
        <f t="shared" si="98"/>
        <v>141.72708333333333</v>
      </c>
      <c r="DL43" s="10">
        <f t="shared" si="99"/>
        <v>0</v>
      </c>
      <c r="DM43" s="10">
        <f t="shared" si="100"/>
        <v>171.72708333333333</v>
      </c>
      <c r="DN43" s="10">
        <f t="shared" si="101"/>
        <v>47.600000000000009</v>
      </c>
      <c r="DO43" s="10">
        <f t="shared" si="102"/>
        <v>31.054166666666653</v>
      </c>
      <c r="DP43" s="10">
        <f t="shared" si="103"/>
        <v>25.245833333333337</v>
      </c>
      <c r="DQ43" s="10">
        <f t="shared" si="104"/>
        <v>68.699999999999989</v>
      </c>
      <c r="DR43" s="10">
        <f t="shared" si="105"/>
        <v>11.395833333333332</v>
      </c>
      <c r="DS43" s="10">
        <f t="shared" si="106"/>
        <v>114.84999999999997</v>
      </c>
      <c r="DT43" s="10">
        <f t="shared" si="107"/>
        <v>3.7708333333333339</v>
      </c>
      <c r="DU43" s="10">
        <f t="shared" si="108"/>
        <v>167.22499999999997</v>
      </c>
      <c r="DV43" s="10">
        <f t="shared" si="109"/>
        <v>0</v>
      </c>
      <c r="DW43" s="10">
        <f t="shared" si="110"/>
        <v>223.45416666666662</v>
      </c>
      <c r="DX43" s="10">
        <f t="shared" si="111"/>
        <v>0</v>
      </c>
      <c r="DY43" s="10">
        <f t="shared" si="112"/>
        <v>283.45416666666665</v>
      </c>
      <c r="DZ43" s="10">
        <f t="shared" si="113"/>
        <v>0</v>
      </c>
      <c r="EA43" s="10">
        <f t="shared" si="114"/>
        <v>343.45416666666665</v>
      </c>
      <c r="EB43" s="44">
        <f t="shared" si="82"/>
        <v>767.1994146557048</v>
      </c>
      <c r="EC43" s="44">
        <f t="shared" si="5"/>
        <v>25.573313821856825</v>
      </c>
      <c r="ED43" s="44">
        <f t="shared" si="83"/>
        <v>3757845.0262389299</v>
      </c>
      <c r="EE43" s="44">
        <f t="shared" si="84"/>
        <v>2484.2510226198319</v>
      </c>
      <c r="EF43" s="44">
        <f t="shared" si="8"/>
        <v>82.808367420661071</v>
      </c>
      <c r="EG43" s="44">
        <f t="shared" si="85"/>
        <v>1067068.6225826384</v>
      </c>
      <c r="EH43" s="44">
        <f t="shared" si="86"/>
        <v>79004.64276669221</v>
      </c>
      <c r="EI43" s="44">
        <f t="shared" si="11"/>
        <v>2633.4880922230736</v>
      </c>
      <c r="EJ43" s="44">
        <f t="shared" si="55"/>
        <v>3762.1258460329623</v>
      </c>
      <c r="EK43" s="44">
        <f t="shared" si="54"/>
        <v>4058205.1501157563</v>
      </c>
      <c r="EL43" s="44">
        <f t="shared" si="56"/>
        <v>5797435.9287367947</v>
      </c>
    </row>
    <row r="44" spans="1:142" x14ac:dyDescent="0.2">
      <c r="A44" s="66">
        <v>44013</v>
      </c>
      <c r="B44" s="4">
        <f t="shared" si="0"/>
        <v>2020</v>
      </c>
      <c r="C44" s="4">
        <f t="shared" si="1"/>
        <v>7</v>
      </c>
      <c r="D44" s="44">
        <v>144467698.59768701</v>
      </c>
      <c r="E44" s="44">
        <f>IFERROR(VLOOKUP($B44-1,CDM!$L$7:$T$18,2,FALSE)/12,0)+IFERROR(VLOOKUP($B44,CDM!$L$37:$O$47,2,FALSE)/24,0)+IFERROR(VLOOKUP($B44,CDM!$L$37:$O$47,2,FALSE)/2*$C44/78,0)</f>
        <v>2158271.6960088876</v>
      </c>
      <c r="F44" s="44">
        <f t="shared" si="79"/>
        <v>146625970.2936959</v>
      </c>
      <c r="G44" s="488">
        <v>147020</v>
      </c>
      <c r="H44" s="44">
        <v>37902571.5506984</v>
      </c>
      <c r="I44" s="44">
        <f>IFERROR(VLOOKUP($B44-1,CDM!$L$7:$T$18,3,FALSE)/12,0)+IFERROR(VLOOKUP($B44,CDM!$L$37:$O$47,3,FALSE)/24,0)+IFERROR(VLOOKUP($B44,CDM!$L$37:$O$47,3,FALSE)/2*$C44/78,0)</f>
        <v>842881.82729972154</v>
      </c>
      <c r="J44" s="44">
        <f t="shared" si="80"/>
        <v>38745453.377998121</v>
      </c>
      <c r="K44" s="44">
        <v>12898</v>
      </c>
      <c r="L44" s="44">
        <v>134497722.80362701</v>
      </c>
      <c r="M44" s="44">
        <f>IFERROR(VLOOKUP($B44-1,CDM!$L$7:$T$18,4,FALSE)/12,0)+IFERROR(VLOOKUP($B44,CDM!$L$37:$O$47,4,FALSE)/24,0)+IFERROR(VLOOKUP($B44,CDM!$L$37:$O$47,4,FALSE)/2*$C44/78,0)</f>
        <v>5449024.0532252137</v>
      </c>
      <c r="N44" s="44">
        <f t="shared" si="81"/>
        <v>139946746.85685223</v>
      </c>
      <c r="O44" s="44">
        <v>322317.2</v>
      </c>
      <c r="P44" s="488">
        <v>1541</v>
      </c>
      <c r="Q44" s="488">
        <v>7185655.3482043799</v>
      </c>
      <c r="R44" s="488">
        <f>IFERROR(VLOOKUP($B44-1,CDM!$L$7:$T$18,5,FALSE)/12,0)+IFERROR(VLOOKUP($B44,CDM!$L$37:$T$47,5,FALSE)/24,0)+IFERROR(VLOOKUP($B44,CDM!$L$37:$T$47,5,FALSE)/2*$C44/78,0)</f>
        <v>94880.524060458585</v>
      </c>
      <c r="S44" s="488">
        <f t="shared" si="18"/>
        <v>7280535.8722648388</v>
      </c>
      <c r="T44" s="44">
        <v>8508.65</v>
      </c>
      <c r="U44" s="488">
        <v>5</v>
      </c>
      <c r="V44" s="488">
        <v>11306802.853088601</v>
      </c>
      <c r="W44" s="488">
        <f>IFERROR(VLOOKUP($B44-1,CDM!$L$7:$T$18,6,FALSE)/12,0)+IFERROR(VLOOKUP($B44,CDM!$L$37:$T$47,6,FALSE)/24,0)+IFERROR(VLOOKUP($B44,CDM!$L$37:$T$47,6,FALSE)/2*$C44/78,0)</f>
        <v>326661.88433635986</v>
      </c>
      <c r="X44" s="488">
        <f t="shared" si="19"/>
        <v>11633464.73742496</v>
      </c>
      <c r="Y44" s="488">
        <v>20088.03</v>
      </c>
      <c r="Z44" s="488">
        <v>1</v>
      </c>
      <c r="AA44" s="44">
        <v>1093525.01</v>
      </c>
      <c r="AB44" s="44">
        <v>3936.94</v>
      </c>
      <c r="AC44" s="488">
        <v>37784</v>
      </c>
      <c r="AD44" s="44">
        <v>459361.66</v>
      </c>
      <c r="AE44" s="44">
        <v>1530</v>
      </c>
      <c r="AF44" s="44">
        <v>45775.87</v>
      </c>
      <c r="AG44" s="44">
        <v>120.58</v>
      </c>
      <c r="AH44" s="44">
        <v>516</v>
      </c>
      <c r="AI44" s="44">
        <v>15400</v>
      </c>
      <c r="AJ44" s="68">
        <f>Economic!H58</f>
        <v>770641</v>
      </c>
      <c r="AK44" s="68">
        <f>Economic!I58</f>
        <v>85970.9</v>
      </c>
      <c r="AL44" s="68">
        <f>Economic!J58</f>
        <v>32860.6</v>
      </c>
      <c r="AM44" s="68">
        <f>Economic!K58</f>
        <v>78307.100000000006</v>
      </c>
      <c r="AN44" s="68">
        <f>Economic!L58</f>
        <v>58237.8</v>
      </c>
      <c r="AO44" s="68">
        <f>Economic!M58</f>
        <v>778294</v>
      </c>
      <c r="AP44" s="68">
        <f>Economic!N58</f>
        <v>89762</v>
      </c>
      <c r="AQ44" s="68">
        <f>Economic!O58</f>
        <v>14094</v>
      </c>
      <c r="AR44" s="68">
        <f>Economic!P58</f>
        <v>32643</v>
      </c>
      <c r="AS44" s="68">
        <f>Economic!Q58</f>
        <v>78497</v>
      </c>
      <c r="AT44" s="68">
        <f>Economic!D58</f>
        <v>6666.4</v>
      </c>
      <c r="AU44" s="68">
        <f>Economic!E58</f>
        <v>6730.9</v>
      </c>
      <c r="AV44" s="68">
        <f>Economic!F58</f>
        <v>249.8</v>
      </c>
      <c r="AW44" s="68">
        <f>Economic!G58</f>
        <v>254.1</v>
      </c>
      <c r="AX44" s="68">
        <f>Economic!W58</f>
        <v>-32403</v>
      </c>
      <c r="AY44" s="68">
        <f>Economic!R58</f>
        <v>-733.20000000000073</v>
      </c>
      <c r="AZ44" s="68">
        <f>Economic!W58</f>
        <v>-32403</v>
      </c>
      <c r="BA44" s="68">
        <f>Economic!X58</f>
        <v>-4719</v>
      </c>
      <c r="BB44" s="68">
        <f>Economic!Y58</f>
        <v>2588</v>
      </c>
      <c r="BC44" s="236">
        <f>Weather!C56</f>
        <v>23.220967741935489</v>
      </c>
      <c r="BD44" s="16">
        <f>Weather!D56</f>
        <v>1.3625000000000007</v>
      </c>
      <c r="BE44" s="16">
        <f>Weather!E56</f>
        <v>101.21250000000006</v>
      </c>
      <c r="BF44" s="16">
        <f>Weather!F56</f>
        <v>0</v>
      </c>
      <c r="BG44" s="16">
        <f>Weather!G56</f>
        <v>161.85000000000008</v>
      </c>
      <c r="BH44" s="16">
        <f>Weather!H56</f>
        <v>0</v>
      </c>
      <c r="BI44" s="16">
        <f>Weather!I56</f>
        <v>223.85000000000002</v>
      </c>
      <c r="BJ44" s="16">
        <f>Weather!J56</f>
        <v>0</v>
      </c>
      <c r="BK44" s="16">
        <f>Weather!K56</f>
        <v>285.85000000000008</v>
      </c>
      <c r="BL44" s="16">
        <f>Weather!L56</f>
        <v>0</v>
      </c>
      <c r="BM44" s="16">
        <f>Weather!M56</f>
        <v>347.85000000000008</v>
      </c>
      <c r="BN44" s="16">
        <f>Weather!N56</f>
        <v>0</v>
      </c>
      <c r="BO44" s="16">
        <f>Weather!O56</f>
        <v>409.85000000000008</v>
      </c>
      <c r="BP44" s="16">
        <f>Weather!P56</f>
        <v>0</v>
      </c>
      <c r="BQ44" s="16">
        <f>Weather!Q56</f>
        <v>471.85000000000008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f t="shared" si="52"/>
        <v>0</v>
      </c>
      <c r="CF44">
        <v>0</v>
      </c>
      <c r="CG44">
        <f t="shared" si="52"/>
        <v>0</v>
      </c>
      <c r="CH44">
        <v>0</v>
      </c>
      <c r="CI44">
        <f t="shared" si="51"/>
        <v>0</v>
      </c>
      <c r="CJ44">
        <f t="shared" si="21"/>
        <v>0</v>
      </c>
      <c r="CK44">
        <f t="shared" si="53"/>
        <v>1</v>
      </c>
      <c r="CL44">
        <f t="shared" si="53"/>
        <v>1</v>
      </c>
      <c r="CM44" s="1">
        <f t="shared" si="22"/>
        <v>43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>
        <v>31</v>
      </c>
      <c r="CT44" s="1">
        <v>22</v>
      </c>
      <c r="CU44" s="1">
        <v>1</v>
      </c>
      <c r="CV44" s="1">
        <v>0.5</v>
      </c>
      <c r="CW44" s="1">
        <v>0.5</v>
      </c>
      <c r="CX44" s="1">
        <v>1</v>
      </c>
      <c r="CY44" s="1">
        <v>0</v>
      </c>
      <c r="CZ44" s="10">
        <f t="shared" si="87"/>
        <v>0.68125000000000036</v>
      </c>
      <c r="DA44" s="10">
        <f t="shared" si="88"/>
        <v>50.606250000000031</v>
      </c>
      <c r="DB44" s="10">
        <f t="shared" si="89"/>
        <v>0</v>
      </c>
      <c r="DC44" s="10">
        <f t="shared" si="90"/>
        <v>80.92500000000004</v>
      </c>
      <c r="DD44" s="10">
        <f t="shared" si="91"/>
        <v>0</v>
      </c>
      <c r="DE44" s="10">
        <f t="shared" si="92"/>
        <v>111.92500000000001</v>
      </c>
      <c r="DF44" s="10">
        <f t="shared" si="93"/>
        <v>0</v>
      </c>
      <c r="DG44" s="10">
        <f t="shared" si="94"/>
        <v>142.92500000000004</v>
      </c>
      <c r="DH44" s="10">
        <f t="shared" si="95"/>
        <v>0</v>
      </c>
      <c r="DI44" s="10">
        <f t="shared" si="96"/>
        <v>173.92500000000004</v>
      </c>
      <c r="DJ44" s="10">
        <f t="shared" si="97"/>
        <v>0</v>
      </c>
      <c r="DK44" s="10">
        <f t="shared" si="98"/>
        <v>204.92500000000004</v>
      </c>
      <c r="DL44" s="10">
        <f t="shared" si="99"/>
        <v>0</v>
      </c>
      <c r="DM44" s="10">
        <f t="shared" si="100"/>
        <v>235.92500000000004</v>
      </c>
      <c r="DN44" s="10">
        <f t="shared" si="101"/>
        <v>1.3625000000000007</v>
      </c>
      <c r="DO44" s="10">
        <f t="shared" si="102"/>
        <v>101.21250000000006</v>
      </c>
      <c r="DP44" s="10">
        <f t="shared" si="103"/>
        <v>0</v>
      </c>
      <c r="DQ44" s="10">
        <f t="shared" si="104"/>
        <v>161.85000000000008</v>
      </c>
      <c r="DR44" s="10">
        <f t="shared" si="105"/>
        <v>0</v>
      </c>
      <c r="DS44" s="10">
        <f t="shared" si="106"/>
        <v>223.85000000000002</v>
      </c>
      <c r="DT44" s="10">
        <f t="shared" si="107"/>
        <v>0</v>
      </c>
      <c r="DU44" s="10">
        <f t="shared" si="108"/>
        <v>285.85000000000008</v>
      </c>
      <c r="DV44" s="10">
        <f t="shared" si="109"/>
        <v>0</v>
      </c>
      <c r="DW44" s="10">
        <f t="shared" si="110"/>
        <v>347.85000000000008</v>
      </c>
      <c r="DX44" s="10">
        <f t="shared" si="111"/>
        <v>0</v>
      </c>
      <c r="DY44" s="10">
        <f t="shared" si="112"/>
        <v>409.85000000000008</v>
      </c>
      <c r="DZ44" s="10">
        <f t="shared" si="113"/>
        <v>0</v>
      </c>
      <c r="EA44" s="10">
        <f t="shared" si="114"/>
        <v>471.85000000000008</v>
      </c>
      <c r="EB44" s="44">
        <f t="shared" si="82"/>
        <v>997.31989044821046</v>
      </c>
      <c r="EC44" s="44">
        <f t="shared" si="5"/>
        <v>32.171609369297109</v>
      </c>
      <c r="ED44" s="44">
        <f t="shared" si="83"/>
        <v>4729870.0094740614</v>
      </c>
      <c r="EE44" s="44">
        <f t="shared" si="84"/>
        <v>3003.9892524420934</v>
      </c>
      <c r="EF44" s="44">
        <f t="shared" si="8"/>
        <v>96.902879111035276</v>
      </c>
      <c r="EG44" s="44">
        <f t="shared" si="85"/>
        <v>1249853.3347741331</v>
      </c>
      <c r="EH44" s="44">
        <f t="shared" si="86"/>
        <v>90815.539816257122</v>
      </c>
      <c r="EI44" s="44">
        <f t="shared" si="11"/>
        <v>2929.533542459907</v>
      </c>
      <c r="EJ44" s="44">
        <f t="shared" si="55"/>
        <v>4324.5495150598626</v>
      </c>
      <c r="EK44" s="44">
        <f t="shared" si="54"/>
        <v>4514411.1889307173</v>
      </c>
      <c r="EL44" s="44">
        <f t="shared" si="56"/>
        <v>6664130.8027072493</v>
      </c>
    </row>
    <row r="45" spans="1:142" x14ac:dyDescent="0.2">
      <c r="A45" s="66">
        <v>44044</v>
      </c>
      <c r="B45" s="4">
        <f t="shared" si="0"/>
        <v>2020</v>
      </c>
      <c r="C45" s="4">
        <f t="shared" si="1"/>
        <v>8</v>
      </c>
      <c r="D45" s="44">
        <v>118686100.65221</v>
      </c>
      <c r="E45" s="44">
        <f>IFERROR(VLOOKUP($B45-1,CDM!$L$7:$T$18,2,FALSE)/12,0)+IFERROR(VLOOKUP($B45,CDM!$L$37:$O$47,2,FALSE)/24,0)+IFERROR(VLOOKUP($B45,CDM!$L$37:$O$47,2,FALSE)/2*$C45/78,0)</f>
        <v>2158271.6960088876</v>
      </c>
      <c r="F45" s="44">
        <f t="shared" si="79"/>
        <v>120844372.34821889</v>
      </c>
      <c r="G45" s="488">
        <v>147180</v>
      </c>
      <c r="H45" s="44">
        <v>34491355.0488021</v>
      </c>
      <c r="I45" s="44">
        <f>IFERROR(VLOOKUP($B45-1,CDM!$L$7:$T$18,3,FALSE)/12,0)+IFERROR(VLOOKUP($B45,CDM!$L$37:$O$47,3,FALSE)/24,0)+IFERROR(VLOOKUP($B45,CDM!$L$37:$O$47,3,FALSE)/2*$C45/78,0)</f>
        <v>845412.38334778708</v>
      </c>
      <c r="J45" s="44">
        <f t="shared" si="80"/>
        <v>35336767.432149887</v>
      </c>
      <c r="K45" s="44">
        <v>12899</v>
      </c>
      <c r="L45" s="44">
        <v>128395050.772392</v>
      </c>
      <c r="M45" s="44">
        <f>IFERROR(VLOOKUP($B45-1,CDM!$L$7:$T$18,4,FALSE)/12,0)+IFERROR(VLOOKUP($B45,CDM!$L$37:$O$47,4,FALSE)/24,0)+IFERROR(VLOOKUP($B45,CDM!$L$37:$O$47,4,FALSE)/2*$C45/78,0)</f>
        <v>5497231.4052437497</v>
      </c>
      <c r="N45" s="44">
        <f t="shared" si="81"/>
        <v>133892282.17763576</v>
      </c>
      <c r="O45" s="44">
        <v>316974.28000000003</v>
      </c>
      <c r="P45" s="488">
        <v>1542</v>
      </c>
      <c r="Q45" s="488">
        <v>6215084.2580377003</v>
      </c>
      <c r="R45" s="488">
        <f>IFERROR(VLOOKUP($B45-1,CDM!$L$7:$T$18,5,FALSE)/12,0)+IFERROR(VLOOKUP($B45,CDM!$L$37:$T$47,5,FALSE)/24,0)+IFERROR(VLOOKUP($B45,CDM!$L$37:$T$47,5,FALSE)/2*$C45/78,0)</f>
        <v>94880.524060458585</v>
      </c>
      <c r="S45" s="488">
        <f t="shared" si="18"/>
        <v>6309964.7820981592</v>
      </c>
      <c r="T45" s="44">
        <v>7865.9299999999994</v>
      </c>
      <c r="U45" s="488">
        <v>5</v>
      </c>
      <c r="V45" s="488">
        <v>10553944.672339</v>
      </c>
      <c r="W45" s="488">
        <f>IFERROR(VLOOKUP($B45-1,CDM!$L$7:$T$18,6,FALSE)/12,0)+IFERROR(VLOOKUP($B45,CDM!$L$37:$T$47,6,FALSE)/24,0)+IFERROR(VLOOKUP($B45,CDM!$L$37:$T$47,6,FALSE)/2*$C45/78,0)</f>
        <v>327803.55455786019</v>
      </c>
      <c r="X45" s="488">
        <f t="shared" si="19"/>
        <v>10881748.22689686</v>
      </c>
      <c r="Y45" s="488">
        <v>20333.830000000002</v>
      </c>
      <c r="Z45" s="488">
        <v>1</v>
      </c>
      <c r="AA45" s="44">
        <v>1217341.8799999999</v>
      </c>
      <c r="AB45" s="44">
        <v>3942.68</v>
      </c>
      <c r="AC45" s="488">
        <v>37869</v>
      </c>
      <c r="AD45" s="44">
        <v>459284.13999999996</v>
      </c>
      <c r="AE45" s="44">
        <v>1531</v>
      </c>
      <c r="AF45" s="44">
        <v>45121.030000000006</v>
      </c>
      <c r="AG45" s="44">
        <v>120.58</v>
      </c>
      <c r="AH45" s="44">
        <v>516</v>
      </c>
      <c r="AI45" s="44">
        <v>15400</v>
      </c>
      <c r="AJ45" s="68">
        <f>Economic!H59</f>
        <v>770641</v>
      </c>
      <c r="AK45" s="68">
        <f>Economic!I59</f>
        <v>85970.9</v>
      </c>
      <c r="AL45" s="68">
        <f>Economic!J59</f>
        <v>32860.6</v>
      </c>
      <c r="AM45" s="68">
        <f>Economic!K59</f>
        <v>78307.100000000006</v>
      </c>
      <c r="AN45" s="68">
        <f>Economic!L59</f>
        <v>58237.8</v>
      </c>
      <c r="AO45" s="68">
        <f>Economic!M59</f>
        <v>778294</v>
      </c>
      <c r="AP45" s="68">
        <f>Economic!N59</f>
        <v>89762</v>
      </c>
      <c r="AQ45" s="68">
        <f>Economic!O59</f>
        <v>14094</v>
      </c>
      <c r="AR45" s="68">
        <f>Economic!P59</f>
        <v>32643</v>
      </c>
      <c r="AS45" s="68">
        <f>Economic!Q59</f>
        <v>78497</v>
      </c>
      <c r="AT45" s="68">
        <f>Economic!D59</f>
        <v>6904.3</v>
      </c>
      <c r="AU45" s="68">
        <f>Economic!E59</f>
        <v>6971.5</v>
      </c>
      <c r="AV45" s="68">
        <f>Economic!F59</f>
        <v>257.5</v>
      </c>
      <c r="AW45" s="68">
        <f>Economic!G59</f>
        <v>263.2</v>
      </c>
      <c r="AX45" s="68">
        <f>Economic!W59</f>
        <v>-32403</v>
      </c>
      <c r="AY45" s="68">
        <f>Economic!R59</f>
        <v>-509.69999999999982</v>
      </c>
      <c r="AZ45" s="68">
        <f>Economic!W59</f>
        <v>-32403</v>
      </c>
      <c r="BA45" s="68">
        <f>Economic!X59</f>
        <v>-4719</v>
      </c>
      <c r="BB45" s="68">
        <f>Economic!Y59</f>
        <v>2588</v>
      </c>
      <c r="BC45" s="236">
        <f>Weather!C57</f>
        <v>20.436962365591402</v>
      </c>
      <c r="BD45" s="16">
        <f>Weather!D57</f>
        <v>22.308333333333337</v>
      </c>
      <c r="BE45" s="16">
        <f>Weather!E57</f>
        <v>35.854166666666686</v>
      </c>
      <c r="BF45" s="16">
        <f>Weather!F57</f>
        <v>3.3250000000000028</v>
      </c>
      <c r="BG45" s="16">
        <f>Weather!G57</f>
        <v>78.870833333333351</v>
      </c>
      <c r="BH45" s="16">
        <f>Weather!H57</f>
        <v>0</v>
      </c>
      <c r="BI45" s="16">
        <f>Weather!I57</f>
        <v>137.54583333333335</v>
      </c>
      <c r="BJ45" s="16">
        <f>Weather!J57</f>
        <v>0</v>
      </c>
      <c r="BK45" s="16">
        <f>Weather!K57</f>
        <v>199.54583333333341</v>
      </c>
      <c r="BL45" s="16">
        <f>Weather!L57</f>
        <v>0</v>
      </c>
      <c r="BM45" s="16">
        <f>Weather!M57</f>
        <v>261.54583333333341</v>
      </c>
      <c r="BN45" s="16">
        <f>Weather!N57</f>
        <v>0</v>
      </c>
      <c r="BO45" s="16">
        <f>Weather!O57</f>
        <v>323.54583333333323</v>
      </c>
      <c r="BP45" s="16">
        <f>Weather!P57</f>
        <v>0</v>
      </c>
      <c r="BQ45" s="16">
        <f>Weather!Q57</f>
        <v>385.54583333333335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f t="shared" si="52"/>
        <v>0</v>
      </c>
      <c r="CF45">
        <v>0</v>
      </c>
      <c r="CG45">
        <f t="shared" si="52"/>
        <v>0</v>
      </c>
      <c r="CH45">
        <v>0</v>
      </c>
      <c r="CI45">
        <f t="shared" si="51"/>
        <v>0</v>
      </c>
      <c r="CJ45">
        <f t="shared" si="21"/>
        <v>0</v>
      </c>
      <c r="CK45">
        <f t="shared" si="53"/>
        <v>1</v>
      </c>
      <c r="CL45">
        <f t="shared" si="53"/>
        <v>1</v>
      </c>
      <c r="CM45" s="1">
        <f t="shared" si="22"/>
        <v>44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>
        <v>31</v>
      </c>
      <c r="CT45" s="1">
        <v>20</v>
      </c>
      <c r="CU45" s="1">
        <v>1</v>
      </c>
      <c r="CV45" s="1">
        <v>0.5</v>
      </c>
      <c r="CW45" s="1">
        <v>0.5</v>
      </c>
      <c r="CX45" s="1">
        <v>1</v>
      </c>
      <c r="CY45" s="1">
        <v>0</v>
      </c>
      <c r="CZ45" s="10">
        <f t="shared" si="87"/>
        <v>11.154166666666669</v>
      </c>
      <c r="DA45" s="10">
        <f t="shared" si="88"/>
        <v>17.927083333333343</v>
      </c>
      <c r="DB45" s="10">
        <f t="shared" si="89"/>
        <v>1.6625000000000014</v>
      </c>
      <c r="DC45" s="10">
        <f t="shared" si="90"/>
        <v>39.435416666666676</v>
      </c>
      <c r="DD45" s="10">
        <f t="shared" si="91"/>
        <v>0</v>
      </c>
      <c r="DE45" s="10">
        <f t="shared" si="92"/>
        <v>68.772916666666674</v>
      </c>
      <c r="DF45" s="10">
        <f t="shared" si="93"/>
        <v>0</v>
      </c>
      <c r="DG45" s="10">
        <f t="shared" si="94"/>
        <v>99.772916666666703</v>
      </c>
      <c r="DH45" s="10">
        <f t="shared" si="95"/>
        <v>0</v>
      </c>
      <c r="DI45" s="10">
        <f t="shared" si="96"/>
        <v>130.7729166666667</v>
      </c>
      <c r="DJ45" s="10">
        <f t="shared" si="97"/>
        <v>0</v>
      </c>
      <c r="DK45" s="10">
        <f t="shared" si="98"/>
        <v>161.77291666666662</v>
      </c>
      <c r="DL45" s="10">
        <f t="shared" si="99"/>
        <v>0</v>
      </c>
      <c r="DM45" s="10">
        <f t="shared" si="100"/>
        <v>192.77291666666667</v>
      </c>
      <c r="DN45" s="10">
        <f t="shared" si="101"/>
        <v>22.308333333333337</v>
      </c>
      <c r="DO45" s="10">
        <f t="shared" si="102"/>
        <v>35.854166666666686</v>
      </c>
      <c r="DP45" s="10">
        <f t="shared" si="103"/>
        <v>3.3250000000000028</v>
      </c>
      <c r="DQ45" s="10">
        <f t="shared" si="104"/>
        <v>78.870833333333351</v>
      </c>
      <c r="DR45" s="10">
        <f t="shared" si="105"/>
        <v>0</v>
      </c>
      <c r="DS45" s="10">
        <f t="shared" si="106"/>
        <v>137.54583333333335</v>
      </c>
      <c r="DT45" s="10">
        <f t="shared" si="107"/>
        <v>0</v>
      </c>
      <c r="DU45" s="10">
        <f t="shared" si="108"/>
        <v>199.54583333333341</v>
      </c>
      <c r="DV45" s="10">
        <f t="shared" si="109"/>
        <v>0</v>
      </c>
      <c r="DW45" s="10">
        <f t="shared" si="110"/>
        <v>261.54583333333341</v>
      </c>
      <c r="DX45" s="10">
        <f t="shared" si="111"/>
        <v>0</v>
      </c>
      <c r="DY45" s="10">
        <f t="shared" si="112"/>
        <v>323.54583333333323</v>
      </c>
      <c r="DZ45" s="10">
        <f t="shared" si="113"/>
        <v>0</v>
      </c>
      <c r="EA45" s="10">
        <f t="shared" si="114"/>
        <v>385.54583333333335</v>
      </c>
      <c r="EB45" s="44">
        <f t="shared" si="82"/>
        <v>821.06517426429468</v>
      </c>
      <c r="EC45" s="44">
        <f t="shared" si="5"/>
        <v>26.485973363364344</v>
      </c>
      <c r="ED45" s="44">
        <f t="shared" si="83"/>
        <v>3898205.5596199641</v>
      </c>
      <c r="EE45" s="44">
        <f t="shared" si="84"/>
        <v>2739.4966611481423</v>
      </c>
      <c r="EF45" s="44">
        <f t="shared" si="8"/>
        <v>88.370860037036849</v>
      </c>
      <c r="EG45" s="44">
        <f t="shared" si="85"/>
        <v>1139895.7236177383</v>
      </c>
      <c r="EH45" s="44">
        <f t="shared" si="86"/>
        <v>86830.273785755999</v>
      </c>
      <c r="EI45" s="44">
        <f t="shared" si="11"/>
        <v>2800.9765737340645</v>
      </c>
      <c r="EJ45" s="44">
        <f t="shared" si="55"/>
        <v>3946.8306266252725</v>
      </c>
      <c r="EK45" s="44">
        <f t="shared" si="54"/>
        <v>4319105.8766979277</v>
      </c>
      <c r="EL45" s="44">
        <f t="shared" si="56"/>
        <v>6086012.8262561709</v>
      </c>
    </row>
    <row r="46" spans="1:142" x14ac:dyDescent="0.2">
      <c r="A46" s="66">
        <v>44075</v>
      </c>
      <c r="B46" s="4">
        <f t="shared" si="0"/>
        <v>2020</v>
      </c>
      <c r="C46" s="4">
        <f t="shared" si="1"/>
        <v>9</v>
      </c>
      <c r="D46" s="44">
        <v>85460893.366121605</v>
      </c>
      <c r="E46" s="44">
        <f>IFERROR(VLOOKUP($B46-1,CDM!$L$7:$T$18,2,FALSE)/12,0)+IFERROR(VLOOKUP($B46,CDM!$L$37:$O$47,2,FALSE)/24,0)+IFERROR(VLOOKUP($B46,CDM!$L$37:$O$47,2,FALSE)/2*$C46/78,0)</f>
        <v>2158271.6960088876</v>
      </c>
      <c r="F46" s="44">
        <f t="shared" si="79"/>
        <v>87619165.062130496</v>
      </c>
      <c r="G46" s="488">
        <v>147302</v>
      </c>
      <c r="H46" s="44">
        <v>29216482.049734801</v>
      </c>
      <c r="I46" s="44">
        <f>IFERROR(VLOOKUP($B46-1,CDM!$L$7:$T$18,3,FALSE)/12,0)+IFERROR(VLOOKUP($B46,CDM!$L$37:$O$47,3,FALSE)/24,0)+IFERROR(VLOOKUP($B46,CDM!$L$37:$O$47,3,FALSE)/2*$C46/78,0)</f>
        <v>847942.93939585262</v>
      </c>
      <c r="J46" s="44">
        <f t="shared" si="80"/>
        <v>30064424.989130653</v>
      </c>
      <c r="K46" s="44">
        <v>12903</v>
      </c>
      <c r="L46" s="44">
        <v>114769674.647438</v>
      </c>
      <c r="M46" s="44">
        <f>IFERROR(VLOOKUP($B46-1,CDM!$L$7:$T$18,4,FALSE)/12,0)+IFERROR(VLOOKUP($B46,CDM!$L$37:$O$47,4,FALSE)/24,0)+IFERROR(VLOOKUP($B46,CDM!$L$37:$O$47,4,FALSE)/2*$C46/78,0)</f>
        <v>5545438.7572622858</v>
      </c>
      <c r="N46" s="44">
        <f t="shared" si="81"/>
        <v>120315113.40470029</v>
      </c>
      <c r="O46" s="44">
        <v>301726.23</v>
      </c>
      <c r="P46" s="488">
        <v>1545</v>
      </c>
      <c r="Q46" s="488">
        <v>4688623.9399956604</v>
      </c>
      <c r="R46" s="488">
        <f>IFERROR(VLOOKUP($B46-1,CDM!$L$7:$T$18,5,FALSE)/12,0)+IFERROR(VLOOKUP($B46,CDM!$L$37:$T$47,5,FALSE)/24,0)+IFERROR(VLOOKUP($B46,CDM!$L$37:$T$47,5,FALSE)/2*$C46/78,0)</f>
        <v>94880.524060458585</v>
      </c>
      <c r="S46" s="488">
        <f t="shared" si="18"/>
        <v>4783504.4640561193</v>
      </c>
      <c r="T46" s="44">
        <v>4721.9199999999992</v>
      </c>
      <c r="U46" s="488">
        <v>5</v>
      </c>
      <c r="V46" s="488">
        <v>9083068.3950830307</v>
      </c>
      <c r="W46" s="488">
        <f>IFERROR(VLOOKUP($B46-1,CDM!$L$7:$T$18,6,FALSE)/12,0)+IFERROR(VLOOKUP($B46,CDM!$L$37:$T$47,6,FALSE)/24,0)+IFERROR(VLOOKUP($B46,CDM!$L$37:$T$47,6,FALSE)/2*$C46/78,0)</f>
        <v>328945.22477936052</v>
      </c>
      <c r="X46" s="488">
        <f t="shared" si="19"/>
        <v>9412013.6198623907</v>
      </c>
      <c r="Y46" s="488">
        <v>19839.919999999998</v>
      </c>
      <c r="Z46" s="488">
        <v>1</v>
      </c>
      <c r="AA46" s="44">
        <v>1355773.16</v>
      </c>
      <c r="AB46" s="44">
        <v>3950.39</v>
      </c>
      <c r="AC46" s="488">
        <v>37945</v>
      </c>
      <c r="AD46" s="44">
        <v>446074.38</v>
      </c>
      <c r="AE46" s="44">
        <v>1535</v>
      </c>
      <c r="AF46" s="44">
        <v>44031.939999999995</v>
      </c>
      <c r="AG46" s="44">
        <v>120.52</v>
      </c>
      <c r="AH46" s="44">
        <v>516</v>
      </c>
      <c r="AI46" s="44">
        <v>15400</v>
      </c>
      <c r="AJ46" s="68">
        <f>Economic!H60</f>
        <v>770641</v>
      </c>
      <c r="AK46" s="68">
        <f>Economic!I60</f>
        <v>85970.9</v>
      </c>
      <c r="AL46" s="68">
        <f>Economic!J60</f>
        <v>32860.6</v>
      </c>
      <c r="AM46" s="68">
        <f>Economic!K60</f>
        <v>78307.100000000006</v>
      </c>
      <c r="AN46" s="68">
        <f>Economic!L60</f>
        <v>58237.8</v>
      </c>
      <c r="AO46" s="68">
        <f>Economic!M60</f>
        <v>778294</v>
      </c>
      <c r="AP46" s="68">
        <f>Economic!N60</f>
        <v>89762</v>
      </c>
      <c r="AQ46" s="68">
        <f>Economic!O60</f>
        <v>14094</v>
      </c>
      <c r="AR46" s="68">
        <f>Economic!P60</f>
        <v>32643</v>
      </c>
      <c r="AS46" s="68">
        <f>Economic!Q60</f>
        <v>78497</v>
      </c>
      <c r="AT46" s="68">
        <f>Economic!D60</f>
        <v>7065.2</v>
      </c>
      <c r="AU46" s="68">
        <f>Economic!E60</f>
        <v>7098.8</v>
      </c>
      <c r="AV46" s="68">
        <f>Economic!F60</f>
        <v>262.10000000000002</v>
      </c>
      <c r="AW46" s="68">
        <f>Economic!G60</f>
        <v>264.39999999999998</v>
      </c>
      <c r="AX46" s="68">
        <f>Economic!W60</f>
        <v>-32403</v>
      </c>
      <c r="AY46" s="68">
        <f>Economic!R60</f>
        <v>-367.19999999999982</v>
      </c>
      <c r="AZ46" s="68">
        <f>Economic!W60</f>
        <v>-32403</v>
      </c>
      <c r="BA46" s="68">
        <f>Economic!X60</f>
        <v>-4719</v>
      </c>
      <c r="BB46" s="68">
        <f>Economic!Y60</f>
        <v>2588</v>
      </c>
      <c r="BC46" s="236">
        <f>Weather!C58</f>
        <v>15.530277777777776</v>
      </c>
      <c r="BD46" s="16">
        <f>Weather!D58</f>
        <v>137.5333333333333</v>
      </c>
      <c r="BE46" s="16">
        <f>Weather!E58</f>
        <v>3.4416666666666629</v>
      </c>
      <c r="BF46" s="16">
        <f>Weather!F58</f>
        <v>88.633333333333326</v>
      </c>
      <c r="BG46" s="16">
        <f>Weather!G58</f>
        <v>14.541666666666668</v>
      </c>
      <c r="BH46" s="16">
        <f>Weather!H58</f>
        <v>51.81666666666667</v>
      </c>
      <c r="BI46" s="16">
        <f>Weather!I58</f>
        <v>37.725000000000009</v>
      </c>
      <c r="BJ46" s="16">
        <f>Weather!J58</f>
        <v>25.787499999999994</v>
      </c>
      <c r="BK46" s="16">
        <f>Weather!K58</f>
        <v>71.695833333333354</v>
      </c>
      <c r="BL46" s="16">
        <f>Weather!L58</f>
        <v>9.6500000000000057</v>
      </c>
      <c r="BM46" s="16">
        <f>Weather!M58</f>
        <v>115.55833333333335</v>
      </c>
      <c r="BN46" s="16">
        <f>Weather!N58</f>
        <v>2.929166666666668</v>
      </c>
      <c r="BO46" s="16">
        <f>Weather!O58</f>
        <v>168.83750000000003</v>
      </c>
      <c r="BP46" s="16">
        <f>Weather!P58</f>
        <v>0.13333333333333375</v>
      </c>
      <c r="BQ46" s="16">
        <f>Weather!Q58</f>
        <v>226.04166666666671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</v>
      </c>
      <c r="CA46">
        <v>0</v>
      </c>
      <c r="CB46">
        <v>0</v>
      </c>
      <c r="CC46">
        <v>0</v>
      </c>
      <c r="CD46">
        <v>0</v>
      </c>
      <c r="CE46">
        <f t="shared" si="52"/>
        <v>0</v>
      </c>
      <c r="CF46">
        <v>1</v>
      </c>
      <c r="CG46">
        <f t="shared" si="52"/>
        <v>1</v>
      </c>
      <c r="CH46">
        <v>1</v>
      </c>
      <c r="CI46">
        <f t="shared" si="51"/>
        <v>1</v>
      </c>
      <c r="CJ46">
        <f t="shared" si="21"/>
        <v>1</v>
      </c>
      <c r="CK46">
        <f t="shared" si="53"/>
        <v>0</v>
      </c>
      <c r="CL46">
        <f t="shared" si="53"/>
        <v>0</v>
      </c>
      <c r="CM46" s="1">
        <f t="shared" si="22"/>
        <v>45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>
        <v>30</v>
      </c>
      <c r="CT46" s="1">
        <v>21</v>
      </c>
      <c r="CU46" s="1">
        <v>1</v>
      </c>
      <c r="CV46" s="1">
        <v>0.5</v>
      </c>
      <c r="CW46" s="1">
        <v>0.5</v>
      </c>
      <c r="CX46" s="1">
        <v>1</v>
      </c>
      <c r="CY46" s="1">
        <v>0</v>
      </c>
      <c r="CZ46" s="10">
        <f t="shared" si="87"/>
        <v>68.766666666666652</v>
      </c>
      <c r="DA46" s="10">
        <f t="shared" si="88"/>
        <v>1.7208333333333314</v>
      </c>
      <c r="DB46" s="10">
        <f t="shared" si="89"/>
        <v>44.316666666666663</v>
      </c>
      <c r="DC46" s="10">
        <f t="shared" si="90"/>
        <v>7.2708333333333339</v>
      </c>
      <c r="DD46" s="10">
        <f t="shared" si="91"/>
        <v>25.908333333333335</v>
      </c>
      <c r="DE46" s="10">
        <f t="shared" si="92"/>
        <v>18.862500000000004</v>
      </c>
      <c r="DF46" s="10">
        <f t="shared" si="93"/>
        <v>12.893749999999997</v>
      </c>
      <c r="DG46" s="10">
        <f t="shared" si="94"/>
        <v>35.847916666666677</v>
      </c>
      <c r="DH46" s="10">
        <f t="shared" si="95"/>
        <v>4.8250000000000028</v>
      </c>
      <c r="DI46" s="10">
        <f t="shared" si="96"/>
        <v>57.779166666666676</v>
      </c>
      <c r="DJ46" s="10">
        <f t="shared" si="97"/>
        <v>1.464583333333334</v>
      </c>
      <c r="DK46" s="10">
        <f t="shared" si="98"/>
        <v>84.418750000000017</v>
      </c>
      <c r="DL46" s="10">
        <f t="shared" si="99"/>
        <v>6.6666666666666874E-2</v>
      </c>
      <c r="DM46" s="10">
        <f t="shared" si="100"/>
        <v>113.02083333333336</v>
      </c>
      <c r="DN46" s="10">
        <f t="shared" si="101"/>
        <v>137.5333333333333</v>
      </c>
      <c r="DO46" s="10">
        <f t="shared" si="102"/>
        <v>3.4416666666666629</v>
      </c>
      <c r="DP46" s="10">
        <f t="shared" si="103"/>
        <v>88.633333333333326</v>
      </c>
      <c r="DQ46" s="10">
        <f t="shared" si="104"/>
        <v>14.541666666666668</v>
      </c>
      <c r="DR46" s="10">
        <f t="shared" si="105"/>
        <v>51.81666666666667</v>
      </c>
      <c r="DS46" s="10">
        <f t="shared" si="106"/>
        <v>37.725000000000009</v>
      </c>
      <c r="DT46" s="10">
        <f t="shared" si="107"/>
        <v>25.787499999999994</v>
      </c>
      <c r="DU46" s="10">
        <f t="shared" si="108"/>
        <v>71.695833333333354</v>
      </c>
      <c r="DV46" s="10">
        <f t="shared" si="109"/>
        <v>9.6500000000000057</v>
      </c>
      <c r="DW46" s="10">
        <f t="shared" si="110"/>
        <v>115.55833333333335</v>
      </c>
      <c r="DX46" s="10">
        <f t="shared" si="111"/>
        <v>2.929166666666668</v>
      </c>
      <c r="DY46" s="10">
        <f t="shared" si="112"/>
        <v>168.83750000000003</v>
      </c>
      <c r="DZ46" s="10">
        <f t="shared" si="113"/>
        <v>0.13333333333333375</v>
      </c>
      <c r="EA46" s="10">
        <f t="shared" si="114"/>
        <v>226.04166666666671</v>
      </c>
      <c r="EB46" s="44">
        <f t="shared" si="82"/>
        <v>594.82671696331681</v>
      </c>
      <c r="EC46" s="44">
        <f t="shared" si="5"/>
        <v>19.827557232110561</v>
      </c>
      <c r="ED46" s="44">
        <f t="shared" si="83"/>
        <v>2920638.83540435</v>
      </c>
      <c r="EE46" s="44">
        <f t="shared" si="84"/>
        <v>2330.0337122475898</v>
      </c>
      <c r="EF46" s="44">
        <f t="shared" si="8"/>
        <v>77.667790408252998</v>
      </c>
      <c r="EG46" s="44">
        <f t="shared" si="85"/>
        <v>1002147.4996376884</v>
      </c>
      <c r="EH46" s="44">
        <f t="shared" si="86"/>
        <v>77873.859808867506</v>
      </c>
      <c r="EI46" s="44">
        <f t="shared" si="11"/>
        <v>2595.7953269622503</v>
      </c>
      <c r="EJ46" s="44">
        <f t="shared" si="55"/>
        <v>4098.624200466711</v>
      </c>
      <c r="EK46" s="44">
        <f t="shared" si="54"/>
        <v>4010503.7801566767</v>
      </c>
      <c r="EL46" s="44">
        <f t="shared" si="56"/>
        <v>6332374.3897210686</v>
      </c>
    </row>
    <row r="47" spans="1:142" x14ac:dyDescent="0.2">
      <c r="A47" s="66">
        <v>44105</v>
      </c>
      <c r="B47" s="4">
        <f t="shared" si="0"/>
        <v>2020</v>
      </c>
      <c r="C47" s="4">
        <f t="shared" si="1"/>
        <v>10</v>
      </c>
      <c r="D47" s="44">
        <v>81316707.653132796</v>
      </c>
      <c r="E47" s="44">
        <f>IFERROR(VLOOKUP($B47-1,CDM!$L$7:$T$18,2,FALSE)/12,0)+IFERROR(VLOOKUP($B47,CDM!$L$37:$O$47,2,FALSE)/24,0)+IFERROR(VLOOKUP($B47,CDM!$L$37:$O$47,2,FALSE)/2*$C47/78,0)</f>
        <v>2158271.6960088876</v>
      </c>
      <c r="F47" s="44">
        <f t="shared" si="79"/>
        <v>83474979.349141687</v>
      </c>
      <c r="G47" s="488">
        <v>147372</v>
      </c>
      <c r="H47" s="44">
        <v>28656586.839617901</v>
      </c>
      <c r="I47" s="44">
        <f>IFERROR(VLOOKUP($B47-1,CDM!$L$7:$T$18,3,FALSE)/12,0)+IFERROR(VLOOKUP($B47,CDM!$L$37:$O$47,3,FALSE)/24,0)+IFERROR(VLOOKUP($B47,CDM!$L$37:$O$47,3,FALSE)/2*$C47/78,0)</f>
        <v>850473.49544391816</v>
      </c>
      <c r="J47" s="44">
        <f t="shared" si="80"/>
        <v>29507060.335061818</v>
      </c>
      <c r="K47" s="44">
        <v>12908</v>
      </c>
      <c r="L47" s="44">
        <v>110821521.455433</v>
      </c>
      <c r="M47" s="44">
        <f>IFERROR(VLOOKUP($B47-1,CDM!$L$7:$T$18,4,FALSE)/12,0)+IFERROR(VLOOKUP($B47,CDM!$L$37:$O$47,4,FALSE)/24,0)+IFERROR(VLOOKUP($B47,CDM!$L$37:$O$47,4,FALSE)/2*$C47/78,0)</f>
        <v>5593646.1092808228</v>
      </c>
      <c r="N47" s="44">
        <f t="shared" si="81"/>
        <v>116415167.56471382</v>
      </c>
      <c r="O47" s="44">
        <v>279613.8</v>
      </c>
      <c r="P47" s="488">
        <v>1547</v>
      </c>
      <c r="Q47" s="488">
        <v>3564030.35892497</v>
      </c>
      <c r="R47" s="488">
        <f>IFERROR(VLOOKUP($B47-1,CDM!$L$7:$T$18,5,FALSE)/12,0)+IFERROR(VLOOKUP($B47,CDM!$L$37:$T$47,5,FALSE)/24,0)+IFERROR(VLOOKUP($B47,CDM!$L$37:$T$47,5,FALSE)/2*$C47/78,0)</f>
        <v>94880.524060458585</v>
      </c>
      <c r="S47" s="488">
        <f t="shared" si="18"/>
        <v>3658910.8829854284</v>
      </c>
      <c r="T47" s="44">
        <v>6029.59</v>
      </c>
      <c r="U47" s="488">
        <v>5</v>
      </c>
      <c r="V47" s="488">
        <v>7851401.58875152</v>
      </c>
      <c r="W47" s="488">
        <f>IFERROR(VLOOKUP($B47-1,CDM!$L$7:$T$18,6,FALSE)/12,0)+IFERROR(VLOOKUP($B47,CDM!$L$37:$T$47,6,FALSE)/24,0)+IFERROR(VLOOKUP($B47,CDM!$L$37:$T$47,6,FALSE)/2*$C47/78,0)</f>
        <v>330086.89500086079</v>
      </c>
      <c r="X47" s="488">
        <f t="shared" si="19"/>
        <v>8181488.4837523811</v>
      </c>
      <c r="Y47" s="488">
        <v>14339.07</v>
      </c>
      <c r="Z47" s="488">
        <v>1</v>
      </c>
      <c r="AA47" s="44">
        <v>1583669.71</v>
      </c>
      <c r="AB47" s="44">
        <v>3950.98</v>
      </c>
      <c r="AC47" s="488">
        <v>37954</v>
      </c>
      <c r="AD47" s="44">
        <v>460089.14999999997</v>
      </c>
      <c r="AE47" s="44">
        <v>1536</v>
      </c>
      <c r="AF47" s="44">
        <v>46345.97</v>
      </c>
      <c r="AG47" s="44">
        <v>120.32</v>
      </c>
      <c r="AH47" s="44">
        <v>515</v>
      </c>
      <c r="AI47" s="44">
        <v>15400</v>
      </c>
      <c r="AJ47" s="68">
        <f>Economic!H61</f>
        <v>770641</v>
      </c>
      <c r="AK47" s="68">
        <f>Economic!I61</f>
        <v>85970.9</v>
      </c>
      <c r="AL47" s="68">
        <f>Economic!J61</f>
        <v>32860.6</v>
      </c>
      <c r="AM47" s="68">
        <f>Economic!K61</f>
        <v>78307.100000000006</v>
      </c>
      <c r="AN47" s="68">
        <f>Economic!L61</f>
        <v>58237.8</v>
      </c>
      <c r="AO47" s="68">
        <f>Economic!M61</f>
        <v>797313</v>
      </c>
      <c r="AP47" s="68">
        <f>Economic!N61</f>
        <v>90586</v>
      </c>
      <c r="AQ47" s="68">
        <f>Economic!O61</f>
        <v>13876</v>
      </c>
      <c r="AR47" s="68">
        <f>Economic!P61</f>
        <v>33612</v>
      </c>
      <c r="AS47" s="68">
        <f>Economic!Q61</f>
        <v>79712</v>
      </c>
      <c r="AT47" s="68">
        <f>Economic!D61</f>
        <v>7186.6</v>
      </c>
      <c r="AU47" s="68">
        <f>Economic!E61</f>
        <v>7210.7</v>
      </c>
      <c r="AV47" s="68">
        <f>Economic!F61</f>
        <v>264.2</v>
      </c>
      <c r="AW47" s="68">
        <f>Economic!G61</f>
        <v>265.3</v>
      </c>
      <c r="AX47" s="68">
        <f>Economic!W61</f>
        <v>-14851</v>
      </c>
      <c r="AY47" s="68">
        <f>Economic!R61</f>
        <v>-263.39999999999964</v>
      </c>
      <c r="AZ47" s="68">
        <f>Economic!W61</f>
        <v>-14851</v>
      </c>
      <c r="BA47" s="68">
        <f>Economic!X61</f>
        <v>-2327</v>
      </c>
      <c r="BB47" s="68">
        <f>Economic!Y61</f>
        <v>2117</v>
      </c>
      <c r="BC47" s="236">
        <f>Weather!C59</f>
        <v>8.7920026881720439</v>
      </c>
      <c r="BD47" s="16">
        <f>Weather!D59</f>
        <v>347.44791666666663</v>
      </c>
      <c r="BE47" s="16">
        <f>Weather!E59</f>
        <v>0</v>
      </c>
      <c r="BF47" s="16">
        <f>Weather!F59</f>
        <v>285.44791666666663</v>
      </c>
      <c r="BG47" s="16">
        <f>Weather!G59</f>
        <v>0</v>
      </c>
      <c r="BH47" s="16">
        <f>Weather!H59</f>
        <v>223.65625</v>
      </c>
      <c r="BI47" s="16">
        <f>Weather!I59</f>
        <v>0.2083333333333357</v>
      </c>
      <c r="BJ47" s="16">
        <f>Weather!J59</f>
        <v>165.45833333333334</v>
      </c>
      <c r="BK47" s="16">
        <f>Weather!K59</f>
        <v>4.0104166666666714</v>
      </c>
      <c r="BL47" s="16">
        <f>Weather!L59</f>
        <v>112.08750000000001</v>
      </c>
      <c r="BM47" s="16">
        <f>Weather!M59</f>
        <v>12.639583333333345</v>
      </c>
      <c r="BN47" s="16">
        <f>Weather!N59</f>
        <v>69.74166666666666</v>
      </c>
      <c r="BO47" s="16">
        <f>Weather!O59</f>
        <v>32.293750000000017</v>
      </c>
      <c r="BP47" s="16">
        <f>Weather!P59</f>
        <v>37.6875</v>
      </c>
      <c r="BQ47" s="16">
        <f>Weather!Q59</f>
        <v>62.239583333333357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1</v>
      </c>
      <c r="CB47">
        <v>0</v>
      </c>
      <c r="CC47">
        <v>0</v>
      </c>
      <c r="CD47">
        <v>0</v>
      </c>
      <c r="CE47">
        <f t="shared" si="52"/>
        <v>0</v>
      </c>
      <c r="CF47">
        <v>1</v>
      </c>
      <c r="CG47">
        <f t="shared" si="52"/>
        <v>1</v>
      </c>
      <c r="CH47">
        <v>1</v>
      </c>
      <c r="CI47">
        <f t="shared" si="51"/>
        <v>1</v>
      </c>
      <c r="CJ47">
        <f t="shared" si="21"/>
        <v>1</v>
      </c>
      <c r="CK47">
        <f t="shared" si="53"/>
        <v>0</v>
      </c>
      <c r="CL47">
        <f t="shared" si="53"/>
        <v>0</v>
      </c>
      <c r="CM47" s="1">
        <f t="shared" si="22"/>
        <v>46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>
        <v>31</v>
      </c>
      <c r="CT47" s="1">
        <v>21</v>
      </c>
      <c r="CU47" s="1">
        <v>1</v>
      </c>
      <c r="CV47" s="1">
        <v>0.5</v>
      </c>
      <c r="CW47" s="1">
        <v>0.5</v>
      </c>
      <c r="CX47" s="1">
        <v>1</v>
      </c>
      <c r="CY47" s="1">
        <v>0</v>
      </c>
      <c r="CZ47" s="10">
        <f t="shared" si="87"/>
        <v>173.72395833333331</v>
      </c>
      <c r="DA47" s="10">
        <f t="shared" si="88"/>
        <v>0</v>
      </c>
      <c r="DB47" s="10">
        <f t="shared" si="89"/>
        <v>142.72395833333331</v>
      </c>
      <c r="DC47" s="10">
        <f t="shared" si="90"/>
        <v>0</v>
      </c>
      <c r="DD47" s="10">
        <f t="shared" si="91"/>
        <v>111.828125</v>
      </c>
      <c r="DE47" s="10">
        <f t="shared" si="92"/>
        <v>0.10416666666666785</v>
      </c>
      <c r="DF47" s="10">
        <f t="shared" si="93"/>
        <v>82.729166666666671</v>
      </c>
      <c r="DG47" s="10">
        <f t="shared" si="94"/>
        <v>2.0052083333333357</v>
      </c>
      <c r="DH47" s="10">
        <f t="shared" si="95"/>
        <v>56.043750000000003</v>
      </c>
      <c r="DI47" s="10">
        <f t="shared" si="96"/>
        <v>6.3197916666666725</v>
      </c>
      <c r="DJ47" s="10">
        <f t="shared" si="97"/>
        <v>34.87083333333333</v>
      </c>
      <c r="DK47" s="10">
        <f t="shared" si="98"/>
        <v>16.146875000000009</v>
      </c>
      <c r="DL47" s="10">
        <f t="shared" si="99"/>
        <v>18.84375</v>
      </c>
      <c r="DM47" s="10">
        <f t="shared" si="100"/>
        <v>31.119791666666679</v>
      </c>
      <c r="DN47" s="10">
        <f t="shared" si="101"/>
        <v>347.44791666666663</v>
      </c>
      <c r="DO47" s="10">
        <f t="shared" si="102"/>
        <v>0</v>
      </c>
      <c r="DP47" s="10">
        <f t="shared" si="103"/>
        <v>285.44791666666663</v>
      </c>
      <c r="DQ47" s="10">
        <f t="shared" si="104"/>
        <v>0</v>
      </c>
      <c r="DR47" s="10">
        <f t="shared" si="105"/>
        <v>223.65625</v>
      </c>
      <c r="DS47" s="10">
        <f t="shared" si="106"/>
        <v>0.2083333333333357</v>
      </c>
      <c r="DT47" s="10">
        <f t="shared" si="107"/>
        <v>165.45833333333334</v>
      </c>
      <c r="DU47" s="10">
        <f t="shared" si="108"/>
        <v>4.0104166666666714</v>
      </c>
      <c r="DV47" s="10">
        <f t="shared" si="109"/>
        <v>112.08750000000001</v>
      </c>
      <c r="DW47" s="10">
        <f t="shared" si="110"/>
        <v>12.639583333333345</v>
      </c>
      <c r="DX47" s="10">
        <f t="shared" si="111"/>
        <v>69.74166666666666</v>
      </c>
      <c r="DY47" s="10">
        <f t="shared" si="112"/>
        <v>32.293750000000017</v>
      </c>
      <c r="DZ47" s="10">
        <f t="shared" si="113"/>
        <v>37.6875</v>
      </c>
      <c r="EA47" s="10">
        <f t="shared" si="114"/>
        <v>62.239583333333357</v>
      </c>
      <c r="EB47" s="44">
        <f t="shared" si="82"/>
        <v>566.42360386736755</v>
      </c>
      <c r="EC47" s="44">
        <f t="shared" si="5"/>
        <v>18.271729157011855</v>
      </c>
      <c r="ED47" s="44">
        <f t="shared" si="83"/>
        <v>2692741.2693271511</v>
      </c>
      <c r="EE47" s="44">
        <f t="shared" si="84"/>
        <v>2285.9513739589261</v>
      </c>
      <c r="EF47" s="44">
        <f t="shared" si="8"/>
        <v>73.740366901900842</v>
      </c>
      <c r="EG47" s="44">
        <f t="shared" si="85"/>
        <v>951840.65596973605</v>
      </c>
      <c r="EH47" s="44">
        <f t="shared" si="86"/>
        <v>75252.209156246812</v>
      </c>
      <c r="EI47" s="44">
        <f t="shared" si="11"/>
        <v>2427.4906179434456</v>
      </c>
      <c r="EJ47" s="44">
        <f t="shared" si="55"/>
        <v>3420.5549616475823</v>
      </c>
      <c r="EK47" s="44">
        <f t="shared" si="54"/>
        <v>3755327.9859585105</v>
      </c>
      <c r="EL47" s="44">
        <f t="shared" si="56"/>
        <v>5291598.5256688101</v>
      </c>
    </row>
    <row r="48" spans="1:142" x14ac:dyDescent="0.2">
      <c r="A48" s="66">
        <v>44136</v>
      </c>
      <c r="B48" s="4">
        <f t="shared" si="0"/>
        <v>2020</v>
      </c>
      <c r="C48" s="4">
        <f t="shared" si="1"/>
        <v>11</v>
      </c>
      <c r="D48" s="44">
        <v>84112163.675081</v>
      </c>
      <c r="E48" s="44">
        <f>IFERROR(VLOOKUP($B48-1,CDM!$L$7:$T$18,2,FALSE)/12,0)+IFERROR(VLOOKUP($B48,CDM!$L$37:$O$47,2,FALSE)/24,0)+IFERROR(VLOOKUP($B48,CDM!$L$37:$O$47,2,FALSE)/2*$C48/78,0)</f>
        <v>2158271.6960088876</v>
      </c>
      <c r="F48" s="44">
        <f t="shared" si="79"/>
        <v>86270435.371089891</v>
      </c>
      <c r="G48" s="488">
        <v>147580</v>
      </c>
      <c r="H48" s="44">
        <v>29404069.509152699</v>
      </c>
      <c r="I48" s="44">
        <f>IFERROR(VLOOKUP($B48-1,CDM!$L$7:$T$18,3,FALSE)/12,0)+IFERROR(VLOOKUP($B48,CDM!$L$37:$O$47,3,FALSE)/24,0)+IFERROR(VLOOKUP($B48,CDM!$L$37:$O$47,3,FALSE)/2*$C48/78,0)</f>
        <v>853004.05149198382</v>
      </c>
      <c r="J48" s="44">
        <f t="shared" si="80"/>
        <v>30257073.560644682</v>
      </c>
      <c r="K48" s="44">
        <v>12923</v>
      </c>
      <c r="L48" s="44">
        <v>109920672.136112</v>
      </c>
      <c r="M48" s="44">
        <f>IFERROR(VLOOKUP($B48-1,CDM!$L$7:$T$18,4,FALSE)/12,0)+IFERROR(VLOOKUP($B48,CDM!$L$37:$O$47,4,FALSE)/24,0)+IFERROR(VLOOKUP($B48,CDM!$L$37:$O$47,4,FALSE)/2*$C48/78,0)</f>
        <v>5641853.4612993589</v>
      </c>
      <c r="N48" s="44">
        <f t="shared" si="81"/>
        <v>115562525.59741136</v>
      </c>
      <c r="O48" s="44">
        <v>277433.75</v>
      </c>
      <c r="P48" s="488">
        <v>1546</v>
      </c>
      <c r="Q48" s="488">
        <v>2730355.48178335</v>
      </c>
      <c r="R48" s="488">
        <f>IFERROR(VLOOKUP($B48-1,CDM!$L$7:$T$18,5,FALSE)/12,0)+IFERROR(VLOOKUP($B48,CDM!$L$37:$T$47,5,FALSE)/24,0)+IFERROR(VLOOKUP($B48,CDM!$L$37:$T$47,5,FALSE)/2*$C48/78,0)</f>
        <v>94880.524060458585</v>
      </c>
      <c r="S48" s="488">
        <f t="shared" si="18"/>
        <v>2825236.0058438084</v>
      </c>
      <c r="T48" s="44">
        <v>4937.6900000000005</v>
      </c>
      <c r="U48" s="488">
        <v>6</v>
      </c>
      <c r="V48" s="488">
        <v>7542157.7188372398</v>
      </c>
      <c r="W48" s="488">
        <f>IFERROR(VLOOKUP($B48-1,CDM!$L$7:$T$18,6,FALSE)/12,0)+IFERROR(VLOOKUP($B48,CDM!$L$37:$T$47,6,FALSE)/24,0)+IFERROR(VLOOKUP($B48,CDM!$L$37:$T$47,6,FALSE)/2*$C48/78,0)</f>
        <v>331228.56522236113</v>
      </c>
      <c r="X48" s="488">
        <f t="shared" si="19"/>
        <v>7873386.2840596009</v>
      </c>
      <c r="Y48" s="488">
        <v>12812.14</v>
      </c>
      <c r="Z48" s="488">
        <v>1</v>
      </c>
      <c r="AA48" s="44">
        <v>1678725.06</v>
      </c>
      <c r="AB48" s="44">
        <v>3951.8</v>
      </c>
      <c r="AC48" s="488">
        <v>37969</v>
      </c>
      <c r="AD48" s="44">
        <v>445749.32</v>
      </c>
      <c r="AE48" s="44">
        <v>1539</v>
      </c>
      <c r="AF48" s="44">
        <v>42935.72</v>
      </c>
      <c r="AG48" s="44">
        <v>120.13</v>
      </c>
      <c r="AH48" s="44">
        <v>515</v>
      </c>
      <c r="AI48" s="44">
        <v>15400</v>
      </c>
      <c r="AJ48" s="68">
        <f>Economic!H62</f>
        <v>770641</v>
      </c>
      <c r="AK48" s="68">
        <f>Economic!I62</f>
        <v>85970.9</v>
      </c>
      <c r="AL48" s="68">
        <f>Economic!J62</f>
        <v>32860.6</v>
      </c>
      <c r="AM48" s="68">
        <f>Economic!K62</f>
        <v>78307.100000000006</v>
      </c>
      <c r="AN48" s="68">
        <f>Economic!L62</f>
        <v>58237.8</v>
      </c>
      <c r="AO48" s="68">
        <f>Economic!M62</f>
        <v>797313</v>
      </c>
      <c r="AP48" s="68">
        <f>Economic!N62</f>
        <v>90586</v>
      </c>
      <c r="AQ48" s="68">
        <f>Economic!O62</f>
        <v>13876</v>
      </c>
      <c r="AR48" s="68">
        <f>Economic!P62</f>
        <v>33612</v>
      </c>
      <c r="AS48" s="68">
        <f>Economic!Q62</f>
        <v>79712</v>
      </c>
      <c r="AT48" s="68">
        <f>Economic!D62</f>
        <v>7271.8</v>
      </c>
      <c r="AU48" s="68">
        <f>Economic!E62</f>
        <v>7283</v>
      </c>
      <c r="AV48" s="68">
        <f>Economic!F62</f>
        <v>264.8</v>
      </c>
      <c r="AW48" s="68">
        <f>Economic!G62</f>
        <v>263.7</v>
      </c>
      <c r="AX48" s="68">
        <f>Economic!W62</f>
        <v>-14851</v>
      </c>
      <c r="AY48" s="68">
        <f>Economic!R62</f>
        <v>-186.39999999999964</v>
      </c>
      <c r="AZ48" s="68">
        <f>Economic!W62</f>
        <v>-14851</v>
      </c>
      <c r="BA48" s="68">
        <f>Economic!X62</f>
        <v>-2327</v>
      </c>
      <c r="BB48" s="68">
        <f>Economic!Y62</f>
        <v>2117</v>
      </c>
      <c r="BC48" s="236">
        <f>Weather!C60</f>
        <v>6.1381944444444425</v>
      </c>
      <c r="BD48" s="16">
        <f>Weather!D60</f>
        <v>415.85416666666657</v>
      </c>
      <c r="BE48" s="16">
        <f>Weather!E60</f>
        <v>0</v>
      </c>
      <c r="BF48" s="16">
        <f>Weather!F60</f>
        <v>355.85416666666663</v>
      </c>
      <c r="BG48" s="16">
        <f>Weather!G60</f>
        <v>0</v>
      </c>
      <c r="BH48" s="16">
        <f>Weather!H60</f>
        <v>296.94583333333333</v>
      </c>
      <c r="BI48" s="16">
        <f>Weather!I60</f>
        <v>1.091666666666665</v>
      </c>
      <c r="BJ48" s="16">
        <f>Weather!J60</f>
        <v>238.94583333333335</v>
      </c>
      <c r="BK48" s="16">
        <f>Weather!K60</f>
        <v>3.091666666666665</v>
      </c>
      <c r="BL48" s="16">
        <f>Weather!L60</f>
        <v>184.32083333333333</v>
      </c>
      <c r="BM48" s="16">
        <f>Weather!M60</f>
        <v>8.4666666666666615</v>
      </c>
      <c r="BN48" s="16">
        <f>Weather!N60</f>
        <v>140.25833333333333</v>
      </c>
      <c r="BO48" s="16">
        <f>Weather!O60</f>
        <v>24.404166666666669</v>
      </c>
      <c r="BP48" s="16">
        <f>Weather!P60</f>
        <v>100.12083333333332</v>
      </c>
      <c r="BQ48" s="16">
        <f>Weather!Q60</f>
        <v>44.266666666666666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</v>
      </c>
      <c r="CC48">
        <v>0</v>
      </c>
      <c r="CD48">
        <v>0</v>
      </c>
      <c r="CE48">
        <f t="shared" si="52"/>
        <v>0</v>
      </c>
      <c r="CF48">
        <v>1</v>
      </c>
      <c r="CG48">
        <f t="shared" si="52"/>
        <v>0</v>
      </c>
      <c r="CH48">
        <v>1</v>
      </c>
      <c r="CI48">
        <f t="shared" si="51"/>
        <v>0</v>
      </c>
      <c r="CJ48">
        <f t="shared" si="21"/>
        <v>1</v>
      </c>
      <c r="CK48">
        <f t="shared" si="53"/>
        <v>0</v>
      </c>
      <c r="CL48">
        <f t="shared" si="53"/>
        <v>0</v>
      </c>
      <c r="CM48" s="1">
        <f t="shared" si="22"/>
        <v>47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>
        <v>30</v>
      </c>
      <c r="CT48" s="1">
        <v>21</v>
      </c>
      <c r="CU48" s="1">
        <v>1</v>
      </c>
      <c r="CV48" s="1">
        <v>0.5</v>
      </c>
      <c r="CW48" s="1">
        <v>0.5</v>
      </c>
      <c r="CX48" s="1">
        <v>1</v>
      </c>
      <c r="CY48" s="1">
        <v>0</v>
      </c>
      <c r="CZ48" s="10">
        <f t="shared" si="87"/>
        <v>207.92708333333329</v>
      </c>
      <c r="DA48" s="10">
        <f t="shared" si="88"/>
        <v>0</v>
      </c>
      <c r="DB48" s="10">
        <f t="shared" si="89"/>
        <v>177.92708333333331</v>
      </c>
      <c r="DC48" s="10">
        <f t="shared" si="90"/>
        <v>0</v>
      </c>
      <c r="DD48" s="10">
        <f t="shared" si="91"/>
        <v>148.47291666666666</v>
      </c>
      <c r="DE48" s="10">
        <f t="shared" si="92"/>
        <v>0.5458333333333325</v>
      </c>
      <c r="DF48" s="10">
        <f t="shared" si="93"/>
        <v>119.47291666666668</v>
      </c>
      <c r="DG48" s="10">
        <f t="shared" si="94"/>
        <v>1.5458333333333325</v>
      </c>
      <c r="DH48" s="10">
        <f t="shared" si="95"/>
        <v>92.160416666666663</v>
      </c>
      <c r="DI48" s="10">
        <f t="shared" si="96"/>
        <v>4.2333333333333307</v>
      </c>
      <c r="DJ48" s="10">
        <f t="shared" si="97"/>
        <v>70.129166666666663</v>
      </c>
      <c r="DK48" s="10">
        <f t="shared" si="98"/>
        <v>12.202083333333334</v>
      </c>
      <c r="DL48" s="10">
        <f t="shared" si="99"/>
        <v>50.060416666666661</v>
      </c>
      <c r="DM48" s="10">
        <f t="shared" si="100"/>
        <v>22.133333333333333</v>
      </c>
      <c r="DN48" s="10">
        <f t="shared" si="101"/>
        <v>415.85416666666657</v>
      </c>
      <c r="DO48" s="10">
        <f t="shared" si="102"/>
        <v>0</v>
      </c>
      <c r="DP48" s="10">
        <f t="shared" si="103"/>
        <v>355.85416666666663</v>
      </c>
      <c r="DQ48" s="10">
        <f t="shared" si="104"/>
        <v>0</v>
      </c>
      <c r="DR48" s="10">
        <f t="shared" si="105"/>
        <v>296.94583333333333</v>
      </c>
      <c r="DS48" s="10">
        <f t="shared" si="106"/>
        <v>1.091666666666665</v>
      </c>
      <c r="DT48" s="10">
        <f t="shared" si="107"/>
        <v>238.94583333333335</v>
      </c>
      <c r="DU48" s="10">
        <f t="shared" si="108"/>
        <v>3.091666666666665</v>
      </c>
      <c r="DV48" s="10">
        <f t="shared" si="109"/>
        <v>184.32083333333333</v>
      </c>
      <c r="DW48" s="10">
        <f t="shared" si="110"/>
        <v>8.4666666666666615</v>
      </c>
      <c r="DX48" s="10">
        <f t="shared" si="111"/>
        <v>140.25833333333333</v>
      </c>
      <c r="DY48" s="10">
        <f t="shared" si="112"/>
        <v>24.404166666666669</v>
      </c>
      <c r="DZ48" s="10">
        <f t="shared" si="113"/>
        <v>100.12083333333332</v>
      </c>
      <c r="EA48" s="10">
        <f t="shared" si="114"/>
        <v>44.266666666666666</v>
      </c>
      <c r="EB48" s="44">
        <f t="shared" si="82"/>
        <v>584.56725417461644</v>
      </c>
      <c r="EC48" s="44">
        <f t="shared" si="5"/>
        <v>19.48557513915388</v>
      </c>
      <c r="ED48" s="44">
        <f t="shared" si="83"/>
        <v>2875681.1790363295</v>
      </c>
      <c r="EE48" s="44">
        <f t="shared" si="84"/>
        <v>2341.335104901701</v>
      </c>
      <c r="EF48" s="44">
        <f t="shared" si="8"/>
        <v>78.044503496723365</v>
      </c>
      <c r="EG48" s="44">
        <f t="shared" si="85"/>
        <v>1008569.1186881561</v>
      </c>
      <c r="EH48" s="44">
        <f t="shared" si="86"/>
        <v>74749.369726656761</v>
      </c>
      <c r="EI48" s="44">
        <f t="shared" si="11"/>
        <v>2491.6456575552252</v>
      </c>
      <c r="EJ48" s="44">
        <f t="shared" si="55"/>
        <v>3397.6986239389439</v>
      </c>
      <c r="EK48" s="44">
        <f t="shared" si="54"/>
        <v>3852084.186580379</v>
      </c>
      <c r="EL48" s="44">
        <f t="shared" si="56"/>
        <v>5252842.0726096071</v>
      </c>
    </row>
    <row r="49" spans="1:142" x14ac:dyDescent="0.2">
      <c r="A49" s="66">
        <v>44166</v>
      </c>
      <c r="B49" s="4">
        <f t="shared" si="0"/>
        <v>2020</v>
      </c>
      <c r="C49" s="4">
        <f t="shared" si="1"/>
        <v>12</v>
      </c>
      <c r="D49" s="44">
        <v>102049585.613088</v>
      </c>
      <c r="E49" s="44">
        <f>IFERROR(VLOOKUP($B49-1,CDM!$L$7:$T$18,2,FALSE)/12,0)+IFERROR(VLOOKUP($B49,CDM!$L$37:$O$47,2,FALSE)/24,0)+IFERROR(VLOOKUP($B49,CDM!$L$37:$O$47,2,FALSE)/2*$C49/78,0)</f>
        <v>2158271.6960088876</v>
      </c>
      <c r="F49" s="44">
        <f t="shared" si="79"/>
        <v>104207857.30909689</v>
      </c>
      <c r="G49" s="488">
        <v>147666</v>
      </c>
      <c r="H49" s="44">
        <v>32497812.205378901</v>
      </c>
      <c r="I49" s="44">
        <f>IFERROR(VLOOKUP($B49-1,CDM!$L$7:$T$18,3,FALSE)/12,0)+IFERROR(VLOOKUP($B49,CDM!$L$37:$O$47,3,FALSE)/24,0)+IFERROR(VLOOKUP($B49,CDM!$L$37:$O$47,3,FALSE)/2*$C49/78,0)</f>
        <v>855534.60754004936</v>
      </c>
      <c r="J49" s="44">
        <f t="shared" si="80"/>
        <v>33353346.81291895</v>
      </c>
      <c r="K49" s="44">
        <v>12925</v>
      </c>
      <c r="L49" s="44">
        <v>112002547.180989</v>
      </c>
      <c r="M49" s="44">
        <f>IFERROR(VLOOKUP($B49-1,CDM!$L$7:$T$18,4,FALSE)/12,0)+IFERROR(VLOOKUP($B49,CDM!$L$37:$O$47,4,FALSE)/24,0)+IFERROR(VLOOKUP($B49,CDM!$L$37:$O$47,4,FALSE)/2*$C49/78,0)</f>
        <v>5690060.8133178959</v>
      </c>
      <c r="N49" s="44">
        <f t="shared" si="81"/>
        <v>117692607.99430689</v>
      </c>
      <c r="O49" s="44">
        <v>269032.19</v>
      </c>
      <c r="P49" s="488">
        <v>1542</v>
      </c>
      <c r="Q49" s="488">
        <v>1507091.7382817101</v>
      </c>
      <c r="R49" s="488">
        <f>IFERROR(VLOOKUP($B49-1,CDM!$L$7:$T$18,5,FALSE)/12,0)+IFERROR(VLOOKUP($B49,CDM!$L$37:$T$47,5,FALSE)/24,0)+IFERROR(VLOOKUP($B49,CDM!$L$37:$T$47,5,FALSE)/2*$C49/78,0)</f>
        <v>94880.524060458585</v>
      </c>
      <c r="S49" s="488">
        <f t="shared" si="18"/>
        <v>1601972.2623421687</v>
      </c>
      <c r="T49" s="44">
        <v>3331.75</v>
      </c>
      <c r="U49" s="488">
        <v>6</v>
      </c>
      <c r="V49" s="488">
        <v>7693489.64064526</v>
      </c>
      <c r="W49" s="488">
        <f>IFERROR(VLOOKUP($B49-1,CDM!$L$7:$T$18,6,FALSE)/12,0)+IFERROR(VLOOKUP($B49,CDM!$L$37:$T$47,6,FALSE)/24,0)+IFERROR(VLOOKUP($B49,CDM!$L$37:$T$47,6,FALSE)/2*$C49/78,0)</f>
        <v>332370.23544386146</v>
      </c>
      <c r="X49" s="488">
        <f t="shared" si="19"/>
        <v>8025859.8760891212</v>
      </c>
      <c r="Y49" s="488">
        <v>12314.82</v>
      </c>
      <c r="Z49" s="488">
        <v>1</v>
      </c>
      <c r="AA49" s="44">
        <v>1826645.13</v>
      </c>
      <c r="AB49" s="44">
        <v>3951.98</v>
      </c>
      <c r="AC49" s="488">
        <v>37973</v>
      </c>
      <c r="AD49" s="44">
        <v>460635.31999999995</v>
      </c>
      <c r="AE49" s="44">
        <v>1539</v>
      </c>
      <c r="AF49" s="44">
        <v>47124.369999999981</v>
      </c>
      <c r="AG49" s="44">
        <v>120.07</v>
      </c>
      <c r="AH49" s="44">
        <v>515</v>
      </c>
      <c r="AI49" s="44">
        <v>15400</v>
      </c>
      <c r="AJ49" s="68">
        <f>Economic!H63</f>
        <v>770641</v>
      </c>
      <c r="AK49" s="68">
        <f>Economic!I63</f>
        <v>85970.9</v>
      </c>
      <c r="AL49" s="68">
        <f>Economic!J63</f>
        <v>32860.6</v>
      </c>
      <c r="AM49" s="68">
        <f>Economic!K63</f>
        <v>78307.100000000006</v>
      </c>
      <c r="AN49" s="68">
        <f>Economic!L63</f>
        <v>58237.8</v>
      </c>
      <c r="AO49" s="68">
        <f>Economic!M63</f>
        <v>797313</v>
      </c>
      <c r="AP49" s="68">
        <f>Economic!N63</f>
        <v>90586</v>
      </c>
      <c r="AQ49" s="68">
        <f>Economic!O63</f>
        <v>13876</v>
      </c>
      <c r="AR49" s="68">
        <f>Economic!P63</f>
        <v>33612</v>
      </c>
      <c r="AS49" s="68">
        <f>Economic!Q63</f>
        <v>79712</v>
      </c>
      <c r="AT49" s="68">
        <f>Economic!D63</f>
        <v>7289.8</v>
      </c>
      <c r="AU49" s="68">
        <f>Economic!E63</f>
        <v>7300.6</v>
      </c>
      <c r="AV49" s="68">
        <f>Economic!F63</f>
        <v>267.60000000000002</v>
      </c>
      <c r="AW49" s="68">
        <f>Economic!G63</f>
        <v>265.89999999999998</v>
      </c>
      <c r="AX49" s="68">
        <f>Economic!W63</f>
        <v>-14851</v>
      </c>
      <c r="AY49" s="68">
        <f>Economic!R63</f>
        <v>-184.19999999999982</v>
      </c>
      <c r="AZ49" s="68">
        <f>Economic!W63</f>
        <v>-14851</v>
      </c>
      <c r="BA49" s="68">
        <f>Economic!X63</f>
        <v>-2327</v>
      </c>
      <c r="BB49" s="68">
        <f>Economic!Y63</f>
        <v>2117</v>
      </c>
      <c r="BC49" s="236">
        <f>Weather!C61</f>
        <v>-0.69670698924731178</v>
      </c>
      <c r="BD49" s="16">
        <f>Weather!D61</f>
        <v>641.59791666666649</v>
      </c>
      <c r="BE49" s="16">
        <f>Weather!E61</f>
        <v>0</v>
      </c>
      <c r="BF49" s="16">
        <f>Weather!F61</f>
        <v>579.59791666666661</v>
      </c>
      <c r="BG49" s="16">
        <f>Weather!G61</f>
        <v>0</v>
      </c>
      <c r="BH49" s="16">
        <f>Weather!H61</f>
        <v>517.59791666666661</v>
      </c>
      <c r="BI49" s="16">
        <f>Weather!I61</f>
        <v>0</v>
      </c>
      <c r="BJ49" s="16">
        <f>Weather!J61</f>
        <v>455.59791666666672</v>
      </c>
      <c r="BK49" s="16">
        <f>Weather!K61</f>
        <v>0</v>
      </c>
      <c r="BL49" s="16">
        <f>Weather!L61</f>
        <v>393.59791666666666</v>
      </c>
      <c r="BM49" s="16">
        <f>Weather!M61</f>
        <v>0</v>
      </c>
      <c r="BN49" s="16">
        <f>Weather!N61</f>
        <v>331.59791666666666</v>
      </c>
      <c r="BO49" s="16">
        <f>Weather!O61</f>
        <v>0</v>
      </c>
      <c r="BP49" s="16">
        <f>Weather!P61</f>
        <v>269.59791666666672</v>
      </c>
      <c r="BQ49" s="16">
        <f>Weather!Q61</f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1</v>
      </c>
      <c r="CD49">
        <v>0</v>
      </c>
      <c r="CE49">
        <f t="shared" si="52"/>
        <v>0</v>
      </c>
      <c r="CF49">
        <v>0</v>
      </c>
      <c r="CG49">
        <f t="shared" si="52"/>
        <v>0</v>
      </c>
      <c r="CH49">
        <v>0</v>
      </c>
      <c r="CI49">
        <f t="shared" si="51"/>
        <v>0</v>
      </c>
      <c r="CJ49">
        <f t="shared" si="21"/>
        <v>0</v>
      </c>
      <c r="CK49">
        <f t="shared" si="53"/>
        <v>0</v>
      </c>
      <c r="CL49">
        <f t="shared" si="53"/>
        <v>0</v>
      </c>
      <c r="CM49" s="1">
        <f t="shared" si="22"/>
        <v>48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>
        <v>31</v>
      </c>
      <c r="CT49" s="1">
        <v>21</v>
      </c>
      <c r="CU49" s="1">
        <v>1</v>
      </c>
      <c r="CV49" s="1">
        <v>0.5</v>
      </c>
      <c r="CW49" s="1">
        <v>0.5</v>
      </c>
      <c r="CX49" s="1">
        <v>1</v>
      </c>
      <c r="CY49" s="1">
        <v>0</v>
      </c>
      <c r="CZ49" s="10">
        <f t="shared" si="87"/>
        <v>320.79895833333325</v>
      </c>
      <c r="DA49" s="10">
        <f t="shared" si="88"/>
        <v>0</v>
      </c>
      <c r="DB49" s="10">
        <f t="shared" si="89"/>
        <v>289.7989583333333</v>
      </c>
      <c r="DC49" s="10">
        <f t="shared" si="90"/>
        <v>0</v>
      </c>
      <c r="DD49" s="10">
        <f t="shared" si="91"/>
        <v>258.7989583333333</v>
      </c>
      <c r="DE49" s="10">
        <f t="shared" si="92"/>
        <v>0</v>
      </c>
      <c r="DF49" s="10">
        <f t="shared" si="93"/>
        <v>227.79895833333336</v>
      </c>
      <c r="DG49" s="10">
        <f t="shared" si="94"/>
        <v>0</v>
      </c>
      <c r="DH49" s="10">
        <f t="shared" si="95"/>
        <v>196.79895833333333</v>
      </c>
      <c r="DI49" s="10">
        <f t="shared" si="96"/>
        <v>0</v>
      </c>
      <c r="DJ49" s="10">
        <f t="shared" si="97"/>
        <v>165.79895833333333</v>
      </c>
      <c r="DK49" s="10">
        <f t="shared" si="98"/>
        <v>0</v>
      </c>
      <c r="DL49" s="10">
        <f t="shared" si="99"/>
        <v>134.79895833333336</v>
      </c>
      <c r="DM49" s="10">
        <f t="shared" si="100"/>
        <v>0</v>
      </c>
      <c r="DN49" s="10">
        <f t="shared" si="101"/>
        <v>641.59791666666649</v>
      </c>
      <c r="DO49" s="10">
        <f t="shared" si="102"/>
        <v>0</v>
      </c>
      <c r="DP49" s="10">
        <f t="shared" si="103"/>
        <v>579.59791666666661</v>
      </c>
      <c r="DQ49" s="10">
        <f t="shared" si="104"/>
        <v>0</v>
      </c>
      <c r="DR49" s="10">
        <f t="shared" si="105"/>
        <v>517.59791666666661</v>
      </c>
      <c r="DS49" s="10">
        <f t="shared" si="106"/>
        <v>0</v>
      </c>
      <c r="DT49" s="10">
        <f t="shared" si="107"/>
        <v>455.59791666666672</v>
      </c>
      <c r="DU49" s="10">
        <f t="shared" si="108"/>
        <v>0</v>
      </c>
      <c r="DV49" s="10">
        <f t="shared" si="109"/>
        <v>393.59791666666666</v>
      </c>
      <c r="DW49" s="10">
        <f t="shared" si="110"/>
        <v>0</v>
      </c>
      <c r="DX49" s="10">
        <f t="shared" si="111"/>
        <v>331.59791666666666</v>
      </c>
      <c r="DY49" s="10">
        <f t="shared" si="112"/>
        <v>0</v>
      </c>
      <c r="DZ49" s="10">
        <f t="shared" si="113"/>
        <v>269.59791666666672</v>
      </c>
      <c r="EA49" s="10">
        <f t="shared" si="114"/>
        <v>0</v>
      </c>
      <c r="EB49" s="44">
        <f t="shared" si="82"/>
        <v>705.69973662926395</v>
      </c>
      <c r="EC49" s="44">
        <f t="shared" si="5"/>
        <v>22.764507633202061</v>
      </c>
      <c r="ED49" s="44">
        <f t="shared" si="83"/>
        <v>3361543.7841644157</v>
      </c>
      <c r="EE49" s="44">
        <f t="shared" si="84"/>
        <v>2580.5297340749671</v>
      </c>
      <c r="EF49" s="44">
        <f t="shared" si="8"/>
        <v>83.24289464757959</v>
      </c>
      <c r="EG49" s="44">
        <f t="shared" si="85"/>
        <v>1075914.4133199661</v>
      </c>
      <c r="EH49" s="44">
        <f t="shared" si="86"/>
        <v>76324.64850473858</v>
      </c>
      <c r="EI49" s="44">
        <f t="shared" si="11"/>
        <v>2462.0854356367286</v>
      </c>
      <c r="EJ49" s="44">
        <f t="shared" si="55"/>
        <v>4017.0867634072938</v>
      </c>
      <c r="EK49" s="44">
        <f t="shared" si="54"/>
        <v>3796535.7417518352</v>
      </c>
      <c r="EL49" s="44">
        <f t="shared" si="56"/>
        <v>6194347.7891740473</v>
      </c>
    </row>
    <row r="50" spans="1:142" x14ac:dyDescent="0.2">
      <c r="A50" s="66">
        <v>44197</v>
      </c>
      <c r="B50" s="4">
        <f t="shared" si="0"/>
        <v>2021</v>
      </c>
      <c r="C50" s="4">
        <f t="shared" si="1"/>
        <v>1</v>
      </c>
      <c r="D50" s="44">
        <v>103585110.575472</v>
      </c>
      <c r="E50" s="44">
        <f>IFERROR(VLOOKUP($B50-1,CDM!$L$7:$T$18,2,FALSE)/12,0)+IFERROR(VLOOKUP($B50,CDM!$L$37:$O$47,2,FALSE)/24,0)+IFERROR(VLOOKUP($B50,CDM!$L$37:$O$47,2,FALSE)/2*$C50/78,0)</f>
        <v>2166234.5531729907</v>
      </c>
      <c r="F50" s="44">
        <f t="shared" si="79"/>
        <v>105751345.12864499</v>
      </c>
      <c r="G50" s="488">
        <v>147698</v>
      </c>
      <c r="H50" s="44">
        <v>32307506.020737398</v>
      </c>
      <c r="I50" s="44">
        <f>IFERROR(VLOOKUP($B50-1,CDM!$L$7:$T$18,3,FALSE)/12,0)+IFERROR(VLOOKUP($B50,CDM!$L$37:$O$47,3,FALSE)/24,0)+IFERROR(VLOOKUP($B50,CDM!$L$37:$O$47,3,FALSE)/2*$C50/78,0)</f>
        <v>881164.90756857162</v>
      </c>
      <c r="J50" s="44">
        <f t="shared" si="80"/>
        <v>33188670.928305969</v>
      </c>
      <c r="K50" s="44">
        <v>12977</v>
      </c>
      <c r="L50" s="44">
        <v>113201970.285382</v>
      </c>
      <c r="M50" s="44">
        <f>IFERROR(VLOOKUP($B50-1,CDM!$L$7:$T$18,4,FALSE)/12,0)+IFERROR(VLOOKUP($B50,CDM!$L$37:$O$47,4,FALSE)/24,0)+IFERROR(VLOOKUP($B50,CDM!$L$37:$O$47,4,FALSE)/2*$C50/78,0)</f>
        <v>5782077.7697262438</v>
      </c>
      <c r="N50" s="44">
        <f t="shared" si="81"/>
        <v>118984048.05510825</v>
      </c>
      <c r="O50" s="44">
        <v>264149.84999999998</v>
      </c>
      <c r="P50" s="488">
        <v>1519</v>
      </c>
      <c r="Q50" s="488">
        <v>1076635.35837927</v>
      </c>
      <c r="R50" s="488">
        <f>IFERROR(VLOOKUP($B50-1,CDM!$L$7:$T$18,5,FALSE)/12,0)+IFERROR(VLOOKUP($B50,CDM!$L$37:$T$47,5,FALSE)/24,0)+IFERROR(VLOOKUP($B50,CDM!$L$37:$T$47,5,FALSE)/2*$C50/78,0)</f>
        <v>94880.524060458585</v>
      </c>
      <c r="S50" s="488">
        <f t="shared" si="18"/>
        <v>1171515.8824397286</v>
      </c>
      <c r="T50" s="44">
        <v>237.92000000000007</v>
      </c>
      <c r="U50" s="488">
        <v>6</v>
      </c>
      <c r="V50" s="488">
        <v>7627098.32899947</v>
      </c>
      <c r="W50" s="488">
        <f>IFERROR(VLOOKUP($B50-1,CDM!$L$7:$T$18,6,FALSE)/12,0)+IFERROR(VLOOKUP($B50,CDM!$L$37:$T$47,6,FALSE)/24,0)+IFERROR(VLOOKUP($B50,CDM!$L$37:$T$47,6,FALSE)/2*$C50/78,0)</f>
        <v>640023.17361916788</v>
      </c>
      <c r="X50" s="488">
        <f t="shared" si="19"/>
        <v>8267121.5026186379</v>
      </c>
      <c r="Y50" s="488">
        <v>11801.26</v>
      </c>
      <c r="Z50" s="488">
        <v>1</v>
      </c>
      <c r="AA50" s="44">
        <v>1765612.79</v>
      </c>
      <c r="AB50" s="44">
        <v>3952.48</v>
      </c>
      <c r="AC50" s="488">
        <v>37993</v>
      </c>
      <c r="AD50" s="44">
        <v>460629.8299999999</v>
      </c>
      <c r="AE50" s="44">
        <v>1540</v>
      </c>
      <c r="AF50" s="44">
        <v>44862.869999999995</v>
      </c>
      <c r="AG50" s="44">
        <v>120.13</v>
      </c>
      <c r="AH50" s="44">
        <v>515</v>
      </c>
      <c r="AI50" s="44">
        <v>15400</v>
      </c>
      <c r="AJ50" s="68">
        <f>Economic!H64</f>
        <v>818746.1</v>
      </c>
      <c r="AK50" s="68">
        <f>Economic!I64</f>
        <v>92448.9</v>
      </c>
      <c r="AL50" s="68">
        <f>Economic!J64</f>
        <v>35353</v>
      </c>
      <c r="AM50" s="68">
        <f>Economic!K64</f>
        <v>84915.6</v>
      </c>
      <c r="AN50" s="68">
        <f>Economic!L64</f>
        <v>64969.2</v>
      </c>
      <c r="AO50" s="68">
        <f>Economic!M64</f>
        <v>809994</v>
      </c>
      <c r="AP50" s="68">
        <f>Economic!N64</f>
        <v>92073</v>
      </c>
      <c r="AQ50" s="68">
        <f>Economic!O64</f>
        <v>13955</v>
      </c>
      <c r="AR50" s="68">
        <f>Economic!P64</f>
        <v>34029</v>
      </c>
      <c r="AS50" s="68">
        <f>Economic!Q64</f>
        <v>81653</v>
      </c>
      <c r="AT50" s="68">
        <f>Economic!D64</f>
        <v>7234.6</v>
      </c>
      <c r="AU50" s="68">
        <f>Economic!E64</f>
        <v>7207.2</v>
      </c>
      <c r="AV50" s="68">
        <f>Economic!F64</f>
        <v>269.8</v>
      </c>
      <c r="AW50" s="68">
        <f>Economic!G64</f>
        <v>267.39999999999998</v>
      </c>
      <c r="AX50" s="68">
        <f>Economic!W64</f>
        <v>8748</v>
      </c>
      <c r="AY50" s="68">
        <f>Economic!R64</f>
        <v>-263.5</v>
      </c>
      <c r="AZ50" s="68">
        <f>Economic!W64</f>
        <v>8748</v>
      </c>
      <c r="BA50" s="68">
        <f>Economic!X64</f>
        <v>1492</v>
      </c>
      <c r="BB50" s="68">
        <f>Economic!Y64</f>
        <v>3688</v>
      </c>
      <c r="BC50" s="236">
        <f>Weather!C62</f>
        <v>-2.9006720430107529</v>
      </c>
      <c r="BD50" s="16">
        <f>Weather!D62</f>
        <v>709.92083333333335</v>
      </c>
      <c r="BE50" s="16">
        <f>Weather!E62</f>
        <v>0</v>
      </c>
      <c r="BF50" s="16">
        <f>Weather!F62</f>
        <v>647.92083333333335</v>
      </c>
      <c r="BG50" s="16">
        <f>Weather!G62</f>
        <v>0</v>
      </c>
      <c r="BH50" s="16">
        <f>Weather!H62</f>
        <v>585.92083333333335</v>
      </c>
      <c r="BI50" s="16">
        <f>Weather!I62</f>
        <v>0</v>
      </c>
      <c r="BJ50" s="16">
        <f>Weather!J62</f>
        <v>523.92083333333335</v>
      </c>
      <c r="BK50" s="16">
        <f>Weather!K62</f>
        <v>0</v>
      </c>
      <c r="BL50" s="16">
        <f>Weather!L62</f>
        <v>461.92083333333329</v>
      </c>
      <c r="BM50" s="16">
        <f>Weather!M62</f>
        <v>0</v>
      </c>
      <c r="BN50" s="16">
        <f>Weather!N62</f>
        <v>399.92083333333329</v>
      </c>
      <c r="BO50" s="16">
        <f>Weather!O62</f>
        <v>0</v>
      </c>
      <c r="BP50" s="16">
        <f>Weather!P62</f>
        <v>337.92083333333329</v>
      </c>
      <c r="BQ50" s="16">
        <f>Weather!Q62</f>
        <v>0</v>
      </c>
      <c r="BR50">
        <v>1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 s="1">
        <f>CD38</f>
        <v>0</v>
      </c>
      <c r="CE50">
        <f t="shared" si="52"/>
        <v>0</v>
      </c>
      <c r="CF50" s="1">
        <f>CF38</f>
        <v>0</v>
      </c>
      <c r="CG50">
        <f t="shared" si="52"/>
        <v>0</v>
      </c>
      <c r="CH50" s="1">
        <f>CH38</f>
        <v>0</v>
      </c>
      <c r="CI50">
        <f t="shared" si="51"/>
        <v>0</v>
      </c>
      <c r="CJ50">
        <f t="shared" si="21"/>
        <v>0</v>
      </c>
      <c r="CK50">
        <f t="shared" si="53"/>
        <v>0</v>
      </c>
      <c r="CL50">
        <f t="shared" si="53"/>
        <v>0</v>
      </c>
      <c r="CM50" s="1">
        <f t="shared" si="22"/>
        <v>49</v>
      </c>
      <c r="CN50" s="1">
        <v>1</v>
      </c>
      <c r="CO50" s="1">
        <v>0</v>
      </c>
      <c r="CP50" s="1">
        <v>0</v>
      </c>
      <c r="CQ50" s="1">
        <v>0</v>
      </c>
      <c r="CR50" s="1">
        <v>0</v>
      </c>
      <c r="CS50">
        <f>CS2</f>
        <v>31</v>
      </c>
      <c r="CT50" s="1">
        <v>20</v>
      </c>
      <c r="CU50" s="1">
        <v>1</v>
      </c>
      <c r="CV50" s="1">
        <v>0.5</v>
      </c>
      <c r="CW50" s="1">
        <v>0.25</v>
      </c>
      <c r="CX50" s="1">
        <v>0.75</v>
      </c>
      <c r="CY50" s="1">
        <v>0</v>
      </c>
      <c r="CZ50" s="10">
        <f>$CV50*BD50</f>
        <v>354.96041666666667</v>
      </c>
      <c r="DA50" s="10">
        <f t="shared" si="88"/>
        <v>0</v>
      </c>
      <c r="DB50" s="10">
        <f t="shared" si="89"/>
        <v>323.96041666666667</v>
      </c>
      <c r="DC50" s="10">
        <f t="shared" si="90"/>
        <v>0</v>
      </c>
      <c r="DD50" s="10">
        <f t="shared" si="91"/>
        <v>292.96041666666667</v>
      </c>
      <c r="DE50" s="10">
        <f t="shared" si="92"/>
        <v>0</v>
      </c>
      <c r="DF50" s="10">
        <f t="shared" si="93"/>
        <v>261.96041666666667</v>
      </c>
      <c r="DG50" s="10">
        <f t="shared" si="94"/>
        <v>0</v>
      </c>
      <c r="DH50" s="10">
        <f t="shared" si="95"/>
        <v>230.96041666666665</v>
      </c>
      <c r="DI50" s="10">
        <f t="shared" si="96"/>
        <v>0</v>
      </c>
      <c r="DJ50" s="10">
        <f t="shared" si="97"/>
        <v>199.96041666666665</v>
      </c>
      <c r="DK50" s="10">
        <f t="shared" si="98"/>
        <v>0</v>
      </c>
      <c r="DL50" s="10">
        <f t="shared" si="99"/>
        <v>168.96041666666665</v>
      </c>
      <c r="DM50" s="10">
        <f t="shared" si="100"/>
        <v>0</v>
      </c>
      <c r="DN50" s="10">
        <f t="shared" si="101"/>
        <v>532.44062499999995</v>
      </c>
      <c r="DO50" s="10">
        <f t="shared" si="102"/>
        <v>0</v>
      </c>
      <c r="DP50" s="10">
        <f t="shared" si="103"/>
        <v>485.94062500000001</v>
      </c>
      <c r="DQ50" s="10">
        <f t="shared" si="104"/>
        <v>0</v>
      </c>
      <c r="DR50" s="10">
        <f t="shared" si="105"/>
        <v>439.44062500000001</v>
      </c>
      <c r="DS50" s="10">
        <f t="shared" si="106"/>
        <v>0</v>
      </c>
      <c r="DT50" s="10">
        <f t="shared" si="107"/>
        <v>392.94062500000001</v>
      </c>
      <c r="DU50" s="10">
        <f t="shared" si="108"/>
        <v>0</v>
      </c>
      <c r="DV50" s="10">
        <f t="shared" si="109"/>
        <v>346.44062499999995</v>
      </c>
      <c r="DW50" s="10">
        <f t="shared" si="110"/>
        <v>0</v>
      </c>
      <c r="DX50" s="10">
        <f t="shared" si="111"/>
        <v>299.94062499999995</v>
      </c>
      <c r="DY50" s="10">
        <f t="shared" si="112"/>
        <v>0</v>
      </c>
      <c r="DZ50" s="10">
        <f t="shared" si="113"/>
        <v>253.44062499999995</v>
      </c>
      <c r="EA50" s="10">
        <f t="shared" si="114"/>
        <v>0</v>
      </c>
      <c r="EB50" s="44">
        <f t="shared" si="82"/>
        <v>715.99713691888167</v>
      </c>
      <c r="EC50" s="44">
        <f t="shared" si="5"/>
        <v>23.096681836092959</v>
      </c>
      <c r="ED50" s="44">
        <f t="shared" si="83"/>
        <v>3411333.7138272575</v>
      </c>
      <c r="EE50" s="44">
        <f t="shared" si="84"/>
        <v>2557.4994935891168</v>
      </c>
      <c r="EF50" s="44">
        <f t="shared" si="8"/>
        <v>82.499983664165057</v>
      </c>
      <c r="EG50" s="44">
        <f t="shared" si="85"/>
        <v>1070602.2880098699</v>
      </c>
      <c r="EH50" s="44">
        <f t="shared" si="86"/>
        <v>78330.512215344468</v>
      </c>
      <c r="EI50" s="44">
        <f t="shared" si="11"/>
        <v>2526.7907166240152</v>
      </c>
      <c r="EJ50" s="44">
        <f t="shared" si="55"/>
        <v>3560.4778279702032</v>
      </c>
      <c r="EK50" s="44">
        <f t="shared" si="54"/>
        <v>3838195.0985518792</v>
      </c>
      <c r="EL50" s="44">
        <f t="shared" si="56"/>
        <v>5408365.8206867389</v>
      </c>
    </row>
    <row r="51" spans="1:142" x14ac:dyDescent="0.2">
      <c r="A51" s="66">
        <v>44228</v>
      </c>
      <c r="B51" s="4">
        <f t="shared" si="0"/>
        <v>2021</v>
      </c>
      <c r="C51" s="4">
        <f t="shared" si="1"/>
        <v>2</v>
      </c>
      <c r="D51" s="44">
        <v>96139580.901831999</v>
      </c>
      <c r="E51" s="44">
        <f>IFERROR(VLOOKUP($B51-1,CDM!$L$7:$T$18,2,FALSE)/12,0)+IFERROR(VLOOKUP($B51,CDM!$L$37:$O$47,2,FALSE)/24,0)+IFERROR(VLOOKUP($B51,CDM!$L$37:$O$47,2,FALSE)/2*$C51/78,0)</f>
        <v>2167296.2674615378</v>
      </c>
      <c r="F51" s="44">
        <f t="shared" si="79"/>
        <v>98306877.169293538</v>
      </c>
      <c r="G51" s="488">
        <v>147947</v>
      </c>
      <c r="H51" s="44">
        <v>31143523.885196801</v>
      </c>
      <c r="I51" s="44">
        <f>IFERROR(VLOOKUP($B51-1,CDM!$L$7:$T$18,3,FALSE)/12,0)+IFERROR(VLOOKUP($B51,CDM!$L$37:$O$47,3,FALSE)/24,0)+IFERROR(VLOOKUP($B51,CDM!$L$37:$O$47,3,FALSE)/2*$C51/78,0)</f>
        <v>886438.02200762276</v>
      </c>
      <c r="J51" s="44">
        <f t="shared" si="80"/>
        <v>32029961.907204423</v>
      </c>
      <c r="K51" s="44">
        <v>12988</v>
      </c>
      <c r="L51" s="44">
        <v>107227575.806771</v>
      </c>
      <c r="M51" s="44">
        <f>IFERROR(VLOOKUP($B51-1,CDM!$L$7:$T$18,4,FALSE)/12,0)+IFERROR(VLOOKUP($B51,CDM!$L$37:$O$47,4,FALSE)/24,0)+IFERROR(VLOOKUP($B51,CDM!$L$37:$O$47,4,FALSE)/2*$C51/78,0)</f>
        <v>5829698.7553942837</v>
      </c>
      <c r="N51" s="44">
        <f t="shared" si="81"/>
        <v>113057274.56216528</v>
      </c>
      <c r="O51" s="44">
        <v>269366.92</v>
      </c>
      <c r="P51" s="488">
        <v>1517</v>
      </c>
      <c r="Q51" s="488">
        <v>1081750.4898618001</v>
      </c>
      <c r="R51" s="488">
        <f>IFERROR(VLOOKUP($B51-1,CDM!$L$7:$T$18,5,FALSE)/12,0)+IFERROR(VLOOKUP($B51,CDM!$L$37:$T$47,5,FALSE)/24,0)+IFERROR(VLOOKUP($B51,CDM!$L$37:$T$47,5,FALSE)/2*$C51/78,0)</f>
        <v>94880.524060458585</v>
      </c>
      <c r="S51" s="488">
        <f t="shared" si="18"/>
        <v>1176631.0139222587</v>
      </c>
      <c r="T51" s="44">
        <v>1465.7499999999998</v>
      </c>
      <c r="U51" s="488">
        <v>6</v>
      </c>
      <c r="V51" s="488">
        <v>7179009.2492294796</v>
      </c>
      <c r="W51" s="488">
        <f>IFERROR(VLOOKUP($B51-1,CDM!$L$7:$T$18,6,FALSE)/12,0)+IFERROR(VLOOKUP($B51,CDM!$L$37:$T$47,6,FALSE)/24,0)+IFERROR(VLOOKUP($B51,CDM!$L$37:$T$47,6,FALSE)/2*$C51/78,0)</f>
        <v>681880.79020497564</v>
      </c>
      <c r="X51" s="488">
        <f t="shared" si="19"/>
        <v>7860890.0394344553</v>
      </c>
      <c r="Y51" s="488">
        <v>12258.63</v>
      </c>
      <c r="Z51" s="488">
        <v>1</v>
      </c>
      <c r="AA51" s="44">
        <v>1485953.06</v>
      </c>
      <c r="AB51" s="44">
        <v>3954.53</v>
      </c>
      <c r="AC51" s="488">
        <v>38024</v>
      </c>
      <c r="AD51" s="44">
        <v>416400.8</v>
      </c>
      <c r="AE51" s="44">
        <v>1542</v>
      </c>
      <c r="AF51" s="44">
        <v>40818.620000000003</v>
      </c>
      <c r="AG51" s="44">
        <v>120.02</v>
      </c>
      <c r="AH51" s="44">
        <v>515</v>
      </c>
      <c r="AI51" s="44">
        <v>15400</v>
      </c>
      <c r="AJ51" s="68">
        <f>Economic!H65</f>
        <v>818746.1</v>
      </c>
      <c r="AK51" s="68">
        <f>Economic!I65</f>
        <v>92448.9</v>
      </c>
      <c r="AL51" s="68">
        <f>Economic!J65</f>
        <v>35353</v>
      </c>
      <c r="AM51" s="68">
        <f>Economic!K65</f>
        <v>84915.6</v>
      </c>
      <c r="AN51" s="68">
        <f>Economic!L65</f>
        <v>64969.2</v>
      </c>
      <c r="AO51" s="68">
        <f>Economic!M65</f>
        <v>809994</v>
      </c>
      <c r="AP51" s="68">
        <f>Economic!N65</f>
        <v>92073</v>
      </c>
      <c r="AQ51" s="68">
        <f>Economic!O65</f>
        <v>13955</v>
      </c>
      <c r="AR51" s="68">
        <f>Economic!P65</f>
        <v>34029</v>
      </c>
      <c r="AS51" s="68">
        <f>Economic!Q65</f>
        <v>81653</v>
      </c>
      <c r="AT51" s="68">
        <f>Economic!D65</f>
        <v>7209.5</v>
      </c>
      <c r="AU51" s="68">
        <f>Economic!E65</f>
        <v>7151.3</v>
      </c>
      <c r="AV51" s="68">
        <f>Economic!F65</f>
        <v>273.89999999999998</v>
      </c>
      <c r="AW51" s="68">
        <f>Economic!G65</f>
        <v>271.39999999999998</v>
      </c>
      <c r="AX51" s="68">
        <f>Economic!W65</f>
        <v>8748</v>
      </c>
      <c r="AY51" s="68">
        <f>Economic!R65</f>
        <v>-298.5</v>
      </c>
      <c r="AZ51" s="68">
        <f>Economic!W65</f>
        <v>8748</v>
      </c>
      <c r="BA51" s="68">
        <f>Economic!X65</f>
        <v>1492</v>
      </c>
      <c r="BB51" s="68">
        <f>Economic!Y65</f>
        <v>3688</v>
      </c>
      <c r="BC51" s="236">
        <f>Weather!C63</f>
        <v>-6.375</v>
      </c>
      <c r="BD51" s="16">
        <f>Weather!D63</f>
        <v>738.5</v>
      </c>
      <c r="BE51" s="16">
        <f>Weather!E63</f>
        <v>0</v>
      </c>
      <c r="BF51" s="16">
        <f>Weather!F63</f>
        <v>682.5</v>
      </c>
      <c r="BG51" s="16">
        <f>Weather!G63</f>
        <v>0</v>
      </c>
      <c r="BH51" s="16">
        <f>Weather!H63</f>
        <v>626.5</v>
      </c>
      <c r="BI51" s="16">
        <f>Weather!I63</f>
        <v>0</v>
      </c>
      <c r="BJ51" s="16">
        <f>Weather!J63</f>
        <v>570.50000000000011</v>
      </c>
      <c r="BK51" s="16">
        <f>Weather!K63</f>
        <v>0</v>
      </c>
      <c r="BL51" s="16">
        <f>Weather!L63</f>
        <v>514.5</v>
      </c>
      <c r="BM51" s="16">
        <f>Weather!M63</f>
        <v>0</v>
      </c>
      <c r="BN51" s="16">
        <f>Weather!N63</f>
        <v>458.50000000000006</v>
      </c>
      <c r="BO51" s="16">
        <f>Weather!O63</f>
        <v>0</v>
      </c>
      <c r="BP51" s="16">
        <f>Weather!P63</f>
        <v>402.50000000000006</v>
      </c>
      <c r="BQ51" s="16">
        <f>Weather!Q63</f>
        <v>0</v>
      </c>
      <c r="BR51">
        <v>0</v>
      </c>
      <c r="BS51">
        <v>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 s="1">
        <f t="shared" ref="CD51:CI66" si="115">CD39</f>
        <v>0</v>
      </c>
      <c r="CE51">
        <f t="shared" si="52"/>
        <v>0</v>
      </c>
      <c r="CF51" s="1">
        <f t="shared" si="115"/>
        <v>0</v>
      </c>
      <c r="CG51">
        <f t="shared" si="52"/>
        <v>0</v>
      </c>
      <c r="CH51" s="1">
        <f t="shared" si="115"/>
        <v>0</v>
      </c>
      <c r="CI51">
        <f t="shared" si="115"/>
        <v>0</v>
      </c>
      <c r="CJ51">
        <f t="shared" si="21"/>
        <v>0</v>
      </c>
      <c r="CK51">
        <f t="shared" si="53"/>
        <v>0</v>
      </c>
      <c r="CL51">
        <f t="shared" si="53"/>
        <v>0</v>
      </c>
      <c r="CM51" s="1">
        <f t="shared" si="22"/>
        <v>50</v>
      </c>
      <c r="CN51" s="1">
        <f>CN50+1</f>
        <v>2</v>
      </c>
      <c r="CO51" s="1">
        <v>0</v>
      </c>
      <c r="CP51" s="1">
        <v>0</v>
      </c>
      <c r="CQ51" s="1">
        <v>0</v>
      </c>
      <c r="CR51" s="1">
        <v>0</v>
      </c>
      <c r="CS51">
        <f t="shared" ref="CS51:CS109" si="116">CS3</f>
        <v>28</v>
      </c>
      <c r="CT51" s="1">
        <v>19</v>
      </c>
      <c r="CU51" s="1">
        <v>1</v>
      </c>
      <c r="CV51" s="1">
        <v>0.5</v>
      </c>
      <c r="CW51" s="1">
        <v>0.25</v>
      </c>
      <c r="CX51" s="1">
        <v>0.75</v>
      </c>
      <c r="CY51" s="1">
        <v>0</v>
      </c>
      <c r="CZ51" s="10">
        <f t="shared" si="87"/>
        <v>369.25</v>
      </c>
      <c r="DA51" s="10">
        <f t="shared" si="88"/>
        <v>0</v>
      </c>
      <c r="DB51" s="10">
        <f t="shared" si="89"/>
        <v>341.25</v>
      </c>
      <c r="DC51" s="10">
        <f t="shared" si="90"/>
        <v>0</v>
      </c>
      <c r="DD51" s="10">
        <f t="shared" si="91"/>
        <v>313.25</v>
      </c>
      <c r="DE51" s="10">
        <f t="shared" si="92"/>
        <v>0</v>
      </c>
      <c r="DF51" s="10">
        <f t="shared" si="93"/>
        <v>285.25000000000006</v>
      </c>
      <c r="DG51" s="10">
        <f t="shared" si="94"/>
        <v>0</v>
      </c>
      <c r="DH51" s="10">
        <f t="shared" si="95"/>
        <v>257.25</v>
      </c>
      <c r="DI51" s="10">
        <f t="shared" si="96"/>
        <v>0</v>
      </c>
      <c r="DJ51" s="10">
        <f t="shared" si="97"/>
        <v>229.25000000000003</v>
      </c>
      <c r="DK51" s="10">
        <f t="shared" si="98"/>
        <v>0</v>
      </c>
      <c r="DL51" s="10">
        <f t="shared" si="99"/>
        <v>201.25000000000003</v>
      </c>
      <c r="DM51" s="10">
        <f t="shared" si="100"/>
        <v>0</v>
      </c>
      <c r="DN51" s="10">
        <f t="shared" si="101"/>
        <v>553.875</v>
      </c>
      <c r="DO51" s="10">
        <f t="shared" si="102"/>
        <v>0</v>
      </c>
      <c r="DP51" s="10">
        <f t="shared" si="103"/>
        <v>511.875</v>
      </c>
      <c r="DQ51" s="10">
        <f t="shared" si="104"/>
        <v>0</v>
      </c>
      <c r="DR51" s="10">
        <f t="shared" si="105"/>
        <v>469.875</v>
      </c>
      <c r="DS51" s="10">
        <f t="shared" si="106"/>
        <v>0</v>
      </c>
      <c r="DT51" s="10">
        <f t="shared" si="107"/>
        <v>427.87500000000011</v>
      </c>
      <c r="DU51" s="10">
        <f t="shared" si="108"/>
        <v>0</v>
      </c>
      <c r="DV51" s="10">
        <f t="shared" si="109"/>
        <v>385.875</v>
      </c>
      <c r="DW51" s="10">
        <f t="shared" si="110"/>
        <v>0</v>
      </c>
      <c r="DX51" s="10">
        <f t="shared" si="111"/>
        <v>343.87500000000006</v>
      </c>
      <c r="DY51" s="10">
        <f t="shared" si="112"/>
        <v>0</v>
      </c>
      <c r="DZ51" s="10">
        <f t="shared" si="113"/>
        <v>301.87500000000006</v>
      </c>
      <c r="EA51" s="10">
        <f t="shared" si="114"/>
        <v>0</v>
      </c>
      <c r="EB51" s="44">
        <f t="shared" si="82"/>
        <v>664.47360993662278</v>
      </c>
      <c r="EC51" s="44">
        <f t="shared" si="5"/>
        <v>23.731200354879384</v>
      </c>
      <c r="ED51" s="44">
        <f t="shared" si="83"/>
        <v>3510959.8989033406</v>
      </c>
      <c r="EE51" s="44">
        <f t="shared" si="84"/>
        <v>2466.1196417619667</v>
      </c>
      <c r="EF51" s="44">
        <f t="shared" si="8"/>
        <v>88.075701491498805</v>
      </c>
      <c r="EG51" s="44">
        <f t="shared" si="85"/>
        <v>1143927.2109715866</v>
      </c>
      <c r="EH51" s="44">
        <f t="shared" si="86"/>
        <v>74526.878419357468</v>
      </c>
      <c r="EI51" s="44">
        <f t="shared" si="11"/>
        <v>2661.6742292627669</v>
      </c>
      <c r="EJ51" s="44">
        <f t="shared" si="55"/>
        <v>3922.4672852293406</v>
      </c>
      <c r="EK51" s="44">
        <f t="shared" si="54"/>
        <v>4037759.8057916169</v>
      </c>
      <c r="EL51" s="44">
        <f t="shared" si="56"/>
        <v>5950382.8716929089</v>
      </c>
    </row>
    <row r="52" spans="1:142" x14ac:dyDescent="0.2">
      <c r="A52" s="66">
        <v>44256</v>
      </c>
      <c r="B52" s="4">
        <f t="shared" si="0"/>
        <v>2021</v>
      </c>
      <c r="C52" s="4">
        <f t="shared" si="1"/>
        <v>3</v>
      </c>
      <c r="D52" s="44">
        <v>89804671.2688732</v>
      </c>
      <c r="E52" s="44">
        <f>IFERROR(VLOOKUP($B52-1,CDM!$L$7:$T$18,2,FALSE)/12,0)+IFERROR(VLOOKUP($B52,CDM!$L$37:$O$47,2,FALSE)/24,0)+IFERROR(VLOOKUP($B52,CDM!$L$37:$O$47,2,FALSE)/2*$C52/78,0)</f>
        <v>2168357.9817500846</v>
      </c>
      <c r="F52" s="44">
        <f t="shared" si="79"/>
        <v>91973029.250623286</v>
      </c>
      <c r="G52" s="488">
        <v>148098</v>
      </c>
      <c r="H52" s="44">
        <v>31875895.1614943</v>
      </c>
      <c r="I52" s="44">
        <f>IFERROR(VLOOKUP($B52-1,CDM!$L$7:$T$18,3,FALSE)/12,0)+IFERROR(VLOOKUP($B52,CDM!$L$37:$O$47,3,FALSE)/24,0)+IFERROR(VLOOKUP($B52,CDM!$L$37:$O$47,3,FALSE)/2*$C52/78,0)</f>
        <v>891711.13644667377</v>
      </c>
      <c r="J52" s="44">
        <f t="shared" si="80"/>
        <v>32767606.297940973</v>
      </c>
      <c r="K52" s="44">
        <v>12982</v>
      </c>
      <c r="L52" s="44">
        <v>114936357.59426799</v>
      </c>
      <c r="M52" s="44">
        <f>IFERROR(VLOOKUP($B52-1,CDM!$L$7:$T$18,4,FALSE)/12,0)+IFERROR(VLOOKUP($B52,CDM!$L$37:$O$47,4,FALSE)/24,0)+IFERROR(VLOOKUP($B52,CDM!$L$37:$O$47,4,FALSE)/2*$C52/78,0)</f>
        <v>5877319.7410623236</v>
      </c>
      <c r="N52" s="44">
        <f t="shared" si="81"/>
        <v>120813677.33533032</v>
      </c>
      <c r="O52" s="44">
        <v>274246.76</v>
      </c>
      <c r="P52" s="488">
        <v>1519</v>
      </c>
      <c r="Q52" s="488">
        <v>834172.237683477</v>
      </c>
      <c r="R52" s="488">
        <f>IFERROR(VLOOKUP($B52-1,CDM!$L$7:$T$18,5,FALSE)/12,0)+IFERROR(VLOOKUP($B52,CDM!$L$37:$T$47,5,FALSE)/24,0)+IFERROR(VLOOKUP($B52,CDM!$L$37:$T$47,5,FALSE)/2*$C52/78,0)</f>
        <v>94880.524060458585</v>
      </c>
      <c r="S52" s="488">
        <f t="shared" si="18"/>
        <v>929052.76174393552</v>
      </c>
      <c r="T52" s="44">
        <v>1860.1399999999996</v>
      </c>
      <c r="U52" s="488">
        <v>6</v>
      </c>
      <c r="V52" s="488">
        <v>7893289.3145697396</v>
      </c>
      <c r="W52" s="488">
        <f>IFERROR(VLOOKUP($B52-1,CDM!$L$7:$T$18,6,FALSE)/12,0)+IFERROR(VLOOKUP($B52,CDM!$L$37:$T$47,6,FALSE)/24,0)+IFERROR(VLOOKUP($B52,CDM!$L$37:$T$47,6,FALSE)/2*$C52/78,0)</f>
        <v>723738.4067907834</v>
      </c>
      <c r="X52" s="488">
        <f t="shared" si="19"/>
        <v>8617027.7213605233</v>
      </c>
      <c r="Y52" s="488">
        <v>12583.54</v>
      </c>
      <c r="Z52" s="488">
        <v>1</v>
      </c>
      <c r="AA52" s="44">
        <v>1466404.74</v>
      </c>
      <c r="AB52" s="44">
        <v>3961.76</v>
      </c>
      <c r="AC52" s="488">
        <v>38097</v>
      </c>
      <c r="AD52" s="44">
        <v>460512.79</v>
      </c>
      <c r="AE52" s="44">
        <v>1544</v>
      </c>
      <c r="AF52" s="44">
        <v>44220.290000000008</v>
      </c>
      <c r="AG52" s="44">
        <v>119.47</v>
      </c>
      <c r="AH52" s="44">
        <v>512</v>
      </c>
      <c r="AI52" s="44">
        <v>15900</v>
      </c>
      <c r="AJ52" s="68">
        <f>Economic!H66</f>
        <v>818746.1</v>
      </c>
      <c r="AK52" s="68">
        <f>Economic!I66</f>
        <v>92448.9</v>
      </c>
      <c r="AL52" s="68">
        <f>Economic!J66</f>
        <v>35353</v>
      </c>
      <c r="AM52" s="68">
        <f>Economic!K66</f>
        <v>84915.6</v>
      </c>
      <c r="AN52" s="68">
        <f>Economic!L66</f>
        <v>64969.2</v>
      </c>
      <c r="AO52" s="68">
        <f>Economic!M66</f>
        <v>809994</v>
      </c>
      <c r="AP52" s="68">
        <f>Economic!N66</f>
        <v>92073</v>
      </c>
      <c r="AQ52" s="68">
        <f>Economic!O66</f>
        <v>13955</v>
      </c>
      <c r="AR52" s="68">
        <f>Economic!P66</f>
        <v>34029</v>
      </c>
      <c r="AS52" s="68">
        <f>Economic!Q66</f>
        <v>81653</v>
      </c>
      <c r="AT52" s="68">
        <f>Economic!D66</f>
        <v>7237.4</v>
      </c>
      <c r="AU52" s="68">
        <f>Economic!E66</f>
        <v>7153.7</v>
      </c>
      <c r="AV52" s="68">
        <f>Economic!F66</f>
        <v>276.5</v>
      </c>
      <c r="AW52" s="68">
        <f>Economic!G66</f>
        <v>273.7</v>
      </c>
      <c r="AX52" s="68">
        <f>Economic!W66</f>
        <v>8748</v>
      </c>
      <c r="AY52" s="68">
        <f>Economic!R66</f>
        <v>-114.20000000000073</v>
      </c>
      <c r="AZ52" s="68">
        <f>Economic!W66</f>
        <v>8748</v>
      </c>
      <c r="BA52" s="68">
        <f>Economic!X66</f>
        <v>1492</v>
      </c>
      <c r="BB52" s="68">
        <f>Economic!Y66</f>
        <v>3688</v>
      </c>
      <c r="BC52" s="236">
        <f>Weather!C64</f>
        <v>3.4170698924731178</v>
      </c>
      <c r="BD52" s="16">
        <f>Weather!D64</f>
        <v>514.07083333333333</v>
      </c>
      <c r="BE52" s="16">
        <f>Weather!E64</f>
        <v>0</v>
      </c>
      <c r="BF52" s="16">
        <f>Weather!F64</f>
        <v>452.07083333333338</v>
      </c>
      <c r="BG52" s="16">
        <f>Weather!G64</f>
        <v>0</v>
      </c>
      <c r="BH52" s="16">
        <f>Weather!H64</f>
        <v>390.07083333333338</v>
      </c>
      <c r="BI52" s="16">
        <f>Weather!I64</f>
        <v>0</v>
      </c>
      <c r="BJ52" s="16">
        <f>Weather!J64</f>
        <v>328.07083333333333</v>
      </c>
      <c r="BK52" s="16">
        <f>Weather!K64</f>
        <v>0</v>
      </c>
      <c r="BL52" s="16">
        <f>Weather!L64</f>
        <v>270.91250000000002</v>
      </c>
      <c r="BM52" s="16">
        <f>Weather!M64</f>
        <v>4.8416666666666686</v>
      </c>
      <c r="BN52" s="16">
        <f>Weather!N64</f>
        <v>215.92500000000001</v>
      </c>
      <c r="BO52" s="16">
        <f>Weather!O64</f>
        <v>11.854166666666668</v>
      </c>
      <c r="BP52" s="16">
        <f>Weather!P64</f>
        <v>166.11666666666665</v>
      </c>
      <c r="BQ52" s="16">
        <f>Weather!Q64</f>
        <v>24.045833333333334</v>
      </c>
      <c r="BR52">
        <v>0</v>
      </c>
      <c r="BS52">
        <v>0</v>
      </c>
      <c r="BT52">
        <v>1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 s="1">
        <f t="shared" si="115"/>
        <v>1</v>
      </c>
      <c r="CE52">
        <f t="shared" si="52"/>
        <v>1</v>
      </c>
      <c r="CF52" s="1">
        <f t="shared" si="115"/>
        <v>0</v>
      </c>
      <c r="CG52">
        <f t="shared" si="52"/>
        <v>0</v>
      </c>
      <c r="CH52" s="1">
        <f t="shared" si="115"/>
        <v>1</v>
      </c>
      <c r="CI52">
        <f t="shared" si="115"/>
        <v>1</v>
      </c>
      <c r="CJ52">
        <f t="shared" si="21"/>
        <v>1</v>
      </c>
      <c r="CK52">
        <f t="shared" si="53"/>
        <v>0</v>
      </c>
      <c r="CL52">
        <f t="shared" si="53"/>
        <v>0</v>
      </c>
      <c r="CM52" s="1">
        <f t="shared" si="22"/>
        <v>51</v>
      </c>
      <c r="CN52" s="1">
        <f t="shared" ref="CN52:CN109" si="117">CN51+1</f>
        <v>3</v>
      </c>
      <c r="CO52" s="1">
        <v>0</v>
      </c>
      <c r="CP52" s="1">
        <v>0</v>
      </c>
      <c r="CQ52" s="1">
        <v>0</v>
      </c>
      <c r="CR52" s="1">
        <v>0</v>
      </c>
      <c r="CS52">
        <f t="shared" si="116"/>
        <v>31</v>
      </c>
      <c r="CT52" s="1">
        <v>23</v>
      </c>
      <c r="CU52" s="1">
        <v>1</v>
      </c>
      <c r="CV52" s="1">
        <v>0.5</v>
      </c>
      <c r="CW52" s="1">
        <v>0.25</v>
      </c>
      <c r="CX52" s="1">
        <v>0.75</v>
      </c>
      <c r="CY52" s="1">
        <v>0</v>
      </c>
      <c r="CZ52" s="10">
        <f t="shared" si="87"/>
        <v>257.03541666666666</v>
      </c>
      <c r="DA52" s="10">
        <f t="shared" si="88"/>
        <v>0</v>
      </c>
      <c r="DB52" s="10">
        <f t="shared" si="89"/>
        <v>226.03541666666669</v>
      </c>
      <c r="DC52" s="10">
        <f t="shared" si="90"/>
        <v>0</v>
      </c>
      <c r="DD52" s="10">
        <f t="shared" si="91"/>
        <v>195.03541666666669</v>
      </c>
      <c r="DE52" s="10">
        <f t="shared" si="92"/>
        <v>0</v>
      </c>
      <c r="DF52" s="10">
        <f t="shared" si="93"/>
        <v>164.03541666666666</v>
      </c>
      <c r="DG52" s="10">
        <f t="shared" si="94"/>
        <v>0</v>
      </c>
      <c r="DH52" s="10">
        <f t="shared" si="95"/>
        <v>135.45625000000001</v>
      </c>
      <c r="DI52" s="10">
        <f t="shared" si="96"/>
        <v>2.4208333333333343</v>
      </c>
      <c r="DJ52" s="10">
        <f t="shared" si="97"/>
        <v>107.96250000000001</v>
      </c>
      <c r="DK52" s="10">
        <f t="shared" si="98"/>
        <v>5.9270833333333339</v>
      </c>
      <c r="DL52" s="10">
        <f t="shared" si="99"/>
        <v>83.058333333333323</v>
      </c>
      <c r="DM52" s="10">
        <f t="shared" si="100"/>
        <v>12.022916666666667</v>
      </c>
      <c r="DN52" s="10">
        <f t="shared" si="101"/>
        <v>385.55312500000002</v>
      </c>
      <c r="DO52" s="10">
        <f t="shared" si="102"/>
        <v>0</v>
      </c>
      <c r="DP52" s="10">
        <f t="shared" si="103"/>
        <v>339.05312500000002</v>
      </c>
      <c r="DQ52" s="10">
        <f t="shared" si="104"/>
        <v>0</v>
      </c>
      <c r="DR52" s="10">
        <f t="shared" si="105"/>
        <v>292.55312500000002</v>
      </c>
      <c r="DS52" s="10">
        <f t="shared" si="106"/>
        <v>0</v>
      </c>
      <c r="DT52" s="10">
        <f t="shared" si="107"/>
        <v>246.05312499999999</v>
      </c>
      <c r="DU52" s="10">
        <f t="shared" si="108"/>
        <v>0</v>
      </c>
      <c r="DV52" s="10">
        <f t="shared" si="109"/>
        <v>203.18437500000002</v>
      </c>
      <c r="DW52" s="10">
        <f t="shared" si="110"/>
        <v>3.6312500000000014</v>
      </c>
      <c r="DX52" s="10">
        <f t="shared" si="111"/>
        <v>161.94375000000002</v>
      </c>
      <c r="DY52" s="10">
        <f t="shared" si="112"/>
        <v>8.890625</v>
      </c>
      <c r="DZ52" s="10">
        <f t="shared" si="113"/>
        <v>124.58749999999998</v>
      </c>
      <c r="EA52" s="10">
        <f t="shared" si="114"/>
        <v>18.034375000000001</v>
      </c>
      <c r="EB52" s="44">
        <f t="shared" si="82"/>
        <v>621.0281654757207</v>
      </c>
      <c r="EC52" s="44">
        <f t="shared" si="5"/>
        <v>20.033166628249056</v>
      </c>
      <c r="ED52" s="44">
        <f t="shared" si="83"/>
        <v>2966871.9113104288</v>
      </c>
      <c r="EE52" s="44">
        <f t="shared" si="84"/>
        <v>2524.0799798136632</v>
      </c>
      <c r="EF52" s="44">
        <f t="shared" si="8"/>
        <v>81.42193483269881</v>
      </c>
      <c r="EG52" s="44">
        <f t="shared" si="85"/>
        <v>1057019.5579980959</v>
      </c>
      <c r="EH52" s="44">
        <f t="shared" si="86"/>
        <v>79535.008120691462</v>
      </c>
      <c r="EI52" s="44">
        <f t="shared" si="11"/>
        <v>2565.6454232481115</v>
      </c>
      <c r="EJ52" s="44">
        <f t="shared" si="55"/>
        <v>3615.2276418496117</v>
      </c>
      <c r="EK52" s="44">
        <f t="shared" si="54"/>
        <v>3897215.3979138816</v>
      </c>
      <c r="EL52" s="44">
        <f t="shared" si="56"/>
        <v>5491530.7879695604</v>
      </c>
    </row>
    <row r="53" spans="1:142" x14ac:dyDescent="0.2">
      <c r="A53" s="66">
        <v>44287</v>
      </c>
      <c r="B53" s="4">
        <f t="shared" si="0"/>
        <v>2021</v>
      </c>
      <c r="C53" s="4">
        <f t="shared" si="1"/>
        <v>4</v>
      </c>
      <c r="D53" s="44">
        <v>80811737.233511701</v>
      </c>
      <c r="E53" s="44">
        <f>IFERROR(VLOOKUP($B53-1,CDM!$L$7:$T$18,2,FALSE)/12,0)+IFERROR(VLOOKUP($B53,CDM!$L$37:$O$47,2,FALSE)/24,0)+IFERROR(VLOOKUP($B53,CDM!$L$37:$O$47,2,FALSE)/2*$C53/78,0)</f>
        <v>2169419.6960386317</v>
      </c>
      <c r="F53" s="44">
        <f t="shared" si="79"/>
        <v>82981156.929550335</v>
      </c>
      <c r="G53" s="488">
        <v>148249</v>
      </c>
      <c r="H53" s="44">
        <v>27629913.742513102</v>
      </c>
      <c r="I53" s="44">
        <f>IFERROR(VLOOKUP($B53-1,CDM!$L$7:$T$18,3,FALSE)/12,0)+IFERROR(VLOOKUP($B53,CDM!$L$37:$O$47,3,FALSE)/24,0)+IFERROR(VLOOKUP($B53,CDM!$L$37:$O$47,3,FALSE)/2*$C53/78,0)</f>
        <v>896984.2508857249</v>
      </c>
      <c r="J53" s="44">
        <f t="shared" si="80"/>
        <v>28526897.993398827</v>
      </c>
      <c r="K53" s="44">
        <v>12984</v>
      </c>
      <c r="L53" s="44">
        <v>103713066.931299</v>
      </c>
      <c r="M53" s="44">
        <f>IFERROR(VLOOKUP($B53-1,CDM!$L$7:$T$18,4,FALSE)/12,0)+IFERROR(VLOOKUP($B53,CDM!$L$37:$O$47,4,FALSE)/24,0)+IFERROR(VLOOKUP($B53,CDM!$L$37:$O$47,4,FALSE)/2*$C53/78,0)</f>
        <v>5924940.7267303634</v>
      </c>
      <c r="N53" s="44">
        <f t="shared" si="81"/>
        <v>109638007.65802936</v>
      </c>
      <c r="O53" s="44">
        <v>273671.15999999997</v>
      </c>
      <c r="P53" s="488">
        <v>1521</v>
      </c>
      <c r="Q53" s="488">
        <v>1275498.5790828399</v>
      </c>
      <c r="R53" s="488">
        <f>IFERROR(VLOOKUP($B53-1,CDM!$L$7:$T$18,5,FALSE)/12,0)+IFERROR(VLOOKUP($B53,CDM!$L$37:$T$47,5,FALSE)/24,0)+IFERROR(VLOOKUP($B53,CDM!$L$37:$T$47,5,FALSE)/2*$C53/78,0)</f>
        <v>94880.524060458585</v>
      </c>
      <c r="S53" s="488">
        <f t="shared" si="18"/>
        <v>1370379.1031432985</v>
      </c>
      <c r="T53" s="44">
        <v>1333.8000000000002</v>
      </c>
      <c r="U53" s="488">
        <v>6</v>
      </c>
      <c r="V53" s="488">
        <v>7385954.2042689398</v>
      </c>
      <c r="W53" s="488">
        <f>IFERROR(VLOOKUP($B53-1,CDM!$L$7:$T$18,6,FALSE)/12,0)+IFERROR(VLOOKUP($B53,CDM!$L$37:$T$47,6,FALSE)/24,0)+IFERROR(VLOOKUP($B53,CDM!$L$37:$T$47,6,FALSE)/2*$C53/78,0)</f>
        <v>765596.02337659115</v>
      </c>
      <c r="X53" s="488">
        <f t="shared" si="19"/>
        <v>8151550.2276455313</v>
      </c>
      <c r="Y53" s="488">
        <v>14044.03</v>
      </c>
      <c r="Z53" s="488">
        <v>1</v>
      </c>
      <c r="AA53" s="44">
        <v>1271723.99</v>
      </c>
      <c r="AB53" s="44">
        <v>3961.76</v>
      </c>
      <c r="AC53" s="488">
        <v>38097</v>
      </c>
      <c r="AD53" s="44">
        <v>446937.37000000005</v>
      </c>
      <c r="AE53" s="44">
        <v>1544</v>
      </c>
      <c r="AF53" s="44">
        <v>44297.32</v>
      </c>
      <c r="AG53" s="44">
        <v>119.14</v>
      </c>
      <c r="AH53" s="44">
        <v>511</v>
      </c>
      <c r="AI53" s="44">
        <v>16400</v>
      </c>
      <c r="AJ53" s="68">
        <f>Economic!H67</f>
        <v>818746.1</v>
      </c>
      <c r="AK53" s="68">
        <f>Economic!I67</f>
        <v>92448.9</v>
      </c>
      <c r="AL53" s="68">
        <f>Economic!J67</f>
        <v>35353</v>
      </c>
      <c r="AM53" s="68">
        <f>Economic!K67</f>
        <v>84915.6</v>
      </c>
      <c r="AN53" s="68">
        <f>Economic!L67</f>
        <v>64969.2</v>
      </c>
      <c r="AO53" s="68">
        <f>Economic!M67</f>
        <v>803585</v>
      </c>
      <c r="AP53" s="68">
        <f>Economic!N67</f>
        <v>90340</v>
      </c>
      <c r="AQ53" s="68">
        <f>Economic!O67</f>
        <v>13895</v>
      </c>
      <c r="AR53" s="68">
        <f>Economic!P67</f>
        <v>34748</v>
      </c>
      <c r="AS53" s="68">
        <f>Economic!Q67</f>
        <v>82903</v>
      </c>
      <c r="AT53" s="68">
        <f>Economic!D67</f>
        <v>7276.1</v>
      </c>
      <c r="AU53" s="68">
        <f>Economic!E67</f>
        <v>7213.2</v>
      </c>
      <c r="AV53" s="68">
        <f>Economic!F67</f>
        <v>279.60000000000002</v>
      </c>
      <c r="AW53" s="68">
        <f>Economic!G67</f>
        <v>277.2</v>
      </c>
      <c r="AX53" s="68">
        <f>Economic!W67</f>
        <v>97874</v>
      </c>
      <c r="AY53" s="68">
        <f>Economic!R67</f>
        <v>314.5</v>
      </c>
      <c r="AZ53" s="68">
        <f>Economic!W67</f>
        <v>97874</v>
      </c>
      <c r="BA53" s="68">
        <f>Economic!X67</f>
        <v>17385</v>
      </c>
      <c r="BB53" s="68">
        <f>Economic!Y67</f>
        <v>5849</v>
      </c>
      <c r="BC53" s="236">
        <f>Weather!C65</f>
        <v>7.7619444444444428</v>
      </c>
      <c r="BD53" s="16">
        <f>Weather!D65</f>
        <v>367.14166666666665</v>
      </c>
      <c r="BE53" s="16">
        <f>Weather!E65</f>
        <v>0</v>
      </c>
      <c r="BF53" s="16">
        <f>Weather!F65</f>
        <v>307.14166666666665</v>
      </c>
      <c r="BG53" s="16">
        <f>Weather!G65</f>
        <v>0</v>
      </c>
      <c r="BH53" s="16">
        <f>Weather!H65</f>
        <v>248.47500000000002</v>
      </c>
      <c r="BI53" s="16">
        <f>Weather!I65</f>
        <v>1.3333333333333286</v>
      </c>
      <c r="BJ53" s="16">
        <f>Weather!J65</f>
        <v>195.19166666666669</v>
      </c>
      <c r="BK53" s="16">
        <f>Weather!K65</f>
        <v>8.0499999999999954</v>
      </c>
      <c r="BL53" s="16">
        <f>Weather!L65</f>
        <v>148.07083333333335</v>
      </c>
      <c r="BM53" s="16">
        <f>Weather!M65</f>
        <v>20.929166666666667</v>
      </c>
      <c r="BN53" s="16">
        <f>Weather!N65</f>
        <v>106.03333333333333</v>
      </c>
      <c r="BO53" s="16">
        <f>Weather!O65</f>
        <v>38.891666666666659</v>
      </c>
      <c r="BP53" s="16">
        <f>Weather!P65</f>
        <v>69.625000000000014</v>
      </c>
      <c r="BQ53" s="16">
        <f>Weather!Q65</f>
        <v>62.483333333333327</v>
      </c>
      <c r="BR53">
        <v>0</v>
      </c>
      <c r="BS53">
        <v>0</v>
      </c>
      <c r="BT53">
        <v>0</v>
      </c>
      <c r="BU53">
        <v>1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 s="1">
        <f t="shared" si="115"/>
        <v>1</v>
      </c>
      <c r="CE53">
        <f t="shared" si="52"/>
        <v>1</v>
      </c>
      <c r="CF53" s="1">
        <f t="shared" si="115"/>
        <v>0</v>
      </c>
      <c r="CG53">
        <f t="shared" si="52"/>
        <v>0</v>
      </c>
      <c r="CH53" s="1">
        <f t="shared" si="115"/>
        <v>1</v>
      </c>
      <c r="CI53">
        <f t="shared" si="115"/>
        <v>1</v>
      </c>
      <c r="CJ53">
        <f t="shared" si="21"/>
        <v>1</v>
      </c>
      <c r="CK53">
        <f t="shared" si="53"/>
        <v>0</v>
      </c>
      <c r="CL53">
        <f t="shared" si="53"/>
        <v>0</v>
      </c>
      <c r="CM53" s="1">
        <f t="shared" si="22"/>
        <v>52</v>
      </c>
      <c r="CN53" s="1">
        <f t="shared" si="117"/>
        <v>4</v>
      </c>
      <c r="CO53" s="1">
        <v>0</v>
      </c>
      <c r="CP53" s="1">
        <v>0</v>
      </c>
      <c r="CQ53" s="1">
        <v>0</v>
      </c>
      <c r="CR53" s="1">
        <v>0</v>
      </c>
      <c r="CS53">
        <f t="shared" si="116"/>
        <v>30</v>
      </c>
      <c r="CT53" s="1">
        <v>21</v>
      </c>
      <c r="CU53" s="1">
        <v>1</v>
      </c>
      <c r="CV53" s="1">
        <v>0.5</v>
      </c>
      <c r="CW53" s="1">
        <v>0.25</v>
      </c>
      <c r="CX53" s="1">
        <v>0.75</v>
      </c>
      <c r="CY53" s="1">
        <v>0</v>
      </c>
      <c r="CZ53" s="10">
        <f t="shared" si="87"/>
        <v>183.57083333333333</v>
      </c>
      <c r="DA53" s="10">
        <f t="shared" si="88"/>
        <v>0</v>
      </c>
      <c r="DB53" s="10">
        <f t="shared" si="89"/>
        <v>153.57083333333333</v>
      </c>
      <c r="DC53" s="10">
        <f t="shared" si="90"/>
        <v>0</v>
      </c>
      <c r="DD53" s="10">
        <f t="shared" si="91"/>
        <v>124.23750000000001</v>
      </c>
      <c r="DE53" s="10">
        <f t="shared" si="92"/>
        <v>0.6666666666666643</v>
      </c>
      <c r="DF53" s="10">
        <f t="shared" si="93"/>
        <v>97.595833333333346</v>
      </c>
      <c r="DG53" s="10">
        <f t="shared" si="94"/>
        <v>4.0249999999999977</v>
      </c>
      <c r="DH53" s="10">
        <f t="shared" si="95"/>
        <v>74.035416666666677</v>
      </c>
      <c r="DI53" s="10">
        <f t="shared" si="96"/>
        <v>10.464583333333334</v>
      </c>
      <c r="DJ53" s="10">
        <f t="shared" si="97"/>
        <v>53.016666666666666</v>
      </c>
      <c r="DK53" s="10">
        <f t="shared" si="98"/>
        <v>19.445833333333329</v>
      </c>
      <c r="DL53" s="10">
        <f t="shared" si="99"/>
        <v>34.812500000000007</v>
      </c>
      <c r="DM53" s="10">
        <f t="shared" si="100"/>
        <v>31.241666666666664</v>
      </c>
      <c r="DN53" s="10">
        <f t="shared" si="101"/>
        <v>275.35624999999999</v>
      </c>
      <c r="DO53" s="10">
        <f t="shared" si="102"/>
        <v>0</v>
      </c>
      <c r="DP53" s="10">
        <f t="shared" si="103"/>
        <v>230.35624999999999</v>
      </c>
      <c r="DQ53" s="10">
        <f t="shared" si="104"/>
        <v>0</v>
      </c>
      <c r="DR53" s="10">
        <f t="shared" si="105"/>
        <v>186.35625000000002</v>
      </c>
      <c r="DS53" s="10">
        <f t="shared" si="106"/>
        <v>0.99999999999999645</v>
      </c>
      <c r="DT53" s="10">
        <f t="shared" si="107"/>
        <v>146.39375000000001</v>
      </c>
      <c r="DU53" s="10">
        <f t="shared" si="108"/>
        <v>6.0374999999999961</v>
      </c>
      <c r="DV53" s="10">
        <f t="shared" si="109"/>
        <v>111.05312500000002</v>
      </c>
      <c r="DW53" s="10">
        <f t="shared" si="110"/>
        <v>15.696875</v>
      </c>
      <c r="DX53" s="10">
        <f t="shared" si="111"/>
        <v>79.525000000000006</v>
      </c>
      <c r="DY53" s="10">
        <f t="shared" si="112"/>
        <v>29.168749999999996</v>
      </c>
      <c r="DZ53" s="10">
        <f t="shared" si="113"/>
        <v>52.218750000000014</v>
      </c>
      <c r="EA53" s="10">
        <f t="shared" si="114"/>
        <v>46.862499999999997</v>
      </c>
      <c r="EB53" s="44">
        <f t="shared" si="82"/>
        <v>559.74176506789479</v>
      </c>
      <c r="EC53" s="44">
        <f t="shared" si="5"/>
        <v>18.658058835596492</v>
      </c>
      <c r="ED53" s="44">
        <f t="shared" si="83"/>
        <v>2766038.5643183445</v>
      </c>
      <c r="EE53" s="44">
        <f t="shared" si="84"/>
        <v>2197.0808682531442</v>
      </c>
      <c r="EF53" s="44">
        <f t="shared" si="8"/>
        <v>73.23602894177148</v>
      </c>
      <c r="EG53" s="44">
        <f t="shared" si="85"/>
        <v>950896.59977996093</v>
      </c>
      <c r="EH53" s="44">
        <f t="shared" si="86"/>
        <v>72082.845271551196</v>
      </c>
      <c r="EI53" s="44">
        <f t="shared" si="11"/>
        <v>2402.7615090517065</v>
      </c>
      <c r="EJ53" s="44">
        <f t="shared" si="55"/>
        <v>3432.5164415024378</v>
      </c>
      <c r="EK53" s="44">
        <f t="shared" si="54"/>
        <v>3654600.2552676452</v>
      </c>
      <c r="EL53" s="44">
        <f t="shared" si="56"/>
        <v>5220857.5075252075</v>
      </c>
    </row>
    <row r="54" spans="1:142" x14ac:dyDescent="0.2">
      <c r="A54" s="66">
        <v>44317</v>
      </c>
      <c r="B54" s="4">
        <f t="shared" ref="B54:B97" si="118">YEAR(A54)</f>
        <v>2021</v>
      </c>
      <c r="C54" s="4">
        <f t="shared" ref="C54:C97" si="119">MONTH(A54)</f>
        <v>5</v>
      </c>
      <c r="D54" s="44">
        <v>89169595.174201399</v>
      </c>
      <c r="E54" s="44">
        <f>IFERROR(VLOOKUP($B54-1,CDM!$L$7:$T$18,2,FALSE)/12,0)+IFERROR(VLOOKUP($B54,CDM!$L$37:$O$47,2,FALSE)/24,0)+IFERROR(VLOOKUP($B54,CDM!$L$37:$O$47,2,FALSE)/2*$C54/78,0)</f>
        <v>2170481.4103271789</v>
      </c>
      <c r="F54" s="44">
        <f t="shared" si="79"/>
        <v>91340076.58452858</v>
      </c>
      <c r="G54" s="488">
        <v>148347</v>
      </c>
      <c r="H54" s="44">
        <v>28558016.1819419</v>
      </c>
      <c r="I54" s="44">
        <f>IFERROR(VLOOKUP($B54-1,CDM!$L$7:$T$18,3,FALSE)/12,0)+IFERROR(VLOOKUP($B54,CDM!$L$37:$O$47,3,FALSE)/24,0)+IFERROR(VLOOKUP($B54,CDM!$L$37:$O$47,3,FALSE)/2*$C54/78,0)</f>
        <v>902257.36532477592</v>
      </c>
      <c r="J54" s="44">
        <f t="shared" si="80"/>
        <v>29460273.547266677</v>
      </c>
      <c r="K54" s="44">
        <v>12989</v>
      </c>
      <c r="L54" s="44">
        <v>109268027.136999</v>
      </c>
      <c r="M54" s="44">
        <f>IFERROR(VLOOKUP($B54-1,CDM!$L$7:$T$18,4,FALSE)/12,0)+IFERROR(VLOOKUP($B54,CDM!$L$37:$O$47,4,FALSE)/24,0)+IFERROR(VLOOKUP($B54,CDM!$L$37:$O$47,4,FALSE)/2*$C54/78,0)</f>
        <v>5972561.7123984033</v>
      </c>
      <c r="N54" s="44">
        <f t="shared" si="81"/>
        <v>115240588.84939741</v>
      </c>
      <c r="O54" s="44">
        <v>290633.75</v>
      </c>
      <c r="P54" s="488">
        <v>1522</v>
      </c>
      <c r="Q54" s="488">
        <v>1740226.01229044</v>
      </c>
      <c r="R54" s="488">
        <f>IFERROR(VLOOKUP($B54-1,CDM!$L$7:$T$18,5,FALSE)/12,0)+IFERROR(VLOOKUP($B54,CDM!$L$37:$T$47,5,FALSE)/24,0)+IFERROR(VLOOKUP($B54,CDM!$L$37:$T$47,5,FALSE)/2*$C54/78,0)</f>
        <v>94880.524060458585</v>
      </c>
      <c r="S54" s="488">
        <f t="shared" si="18"/>
        <v>1835106.5363508987</v>
      </c>
      <c r="T54" s="44">
        <v>3756.880000000001</v>
      </c>
      <c r="U54" s="488">
        <v>6</v>
      </c>
      <c r="V54" s="488">
        <v>8278497.5742677096</v>
      </c>
      <c r="W54" s="488">
        <f>IFERROR(VLOOKUP($B54-1,CDM!$L$7:$T$18,6,FALSE)/12,0)+IFERROR(VLOOKUP($B54,CDM!$L$37:$T$47,6,FALSE)/24,0)+IFERROR(VLOOKUP($B54,CDM!$L$37:$T$47,6,FALSE)/2*$C54/78,0)</f>
        <v>807453.63996239891</v>
      </c>
      <c r="X54" s="488">
        <f t="shared" si="19"/>
        <v>9085951.214230109</v>
      </c>
      <c r="Y54" s="488">
        <v>16827.22</v>
      </c>
      <c r="Z54" s="488">
        <v>1</v>
      </c>
      <c r="AA54" s="44">
        <v>1131121.24</v>
      </c>
      <c r="AB54" s="44">
        <v>3961.76</v>
      </c>
      <c r="AC54" s="488">
        <v>38097</v>
      </c>
      <c r="AD54" s="44">
        <v>461383.94</v>
      </c>
      <c r="AE54" s="44">
        <v>1544</v>
      </c>
      <c r="AF54" s="44">
        <v>44683.21</v>
      </c>
      <c r="AG54" s="44">
        <v>119.44</v>
      </c>
      <c r="AH54" s="44">
        <v>511</v>
      </c>
      <c r="AI54" s="44">
        <v>16400</v>
      </c>
      <c r="AJ54" s="68">
        <f>Economic!H68</f>
        <v>818746.1</v>
      </c>
      <c r="AK54" s="68">
        <f>Economic!I68</f>
        <v>92448.9</v>
      </c>
      <c r="AL54" s="68">
        <f>Economic!J68</f>
        <v>35353</v>
      </c>
      <c r="AM54" s="68">
        <f>Economic!K68</f>
        <v>84915.6</v>
      </c>
      <c r="AN54" s="68">
        <f>Economic!L68</f>
        <v>64969.2</v>
      </c>
      <c r="AO54" s="68">
        <f>Economic!M68</f>
        <v>803585</v>
      </c>
      <c r="AP54" s="68">
        <f>Economic!N68</f>
        <v>90340</v>
      </c>
      <c r="AQ54" s="68">
        <f>Economic!O68</f>
        <v>13895</v>
      </c>
      <c r="AR54" s="68">
        <f>Economic!P68</f>
        <v>34748</v>
      </c>
      <c r="AS54" s="68">
        <f>Economic!Q68</f>
        <v>82903</v>
      </c>
      <c r="AT54" s="68">
        <f>Economic!D68</f>
        <v>7265.7</v>
      </c>
      <c r="AU54" s="68">
        <f>Economic!E68</f>
        <v>7247.3</v>
      </c>
      <c r="AV54" s="68">
        <f>Economic!F68</f>
        <v>280.2</v>
      </c>
      <c r="AW54" s="68">
        <f>Economic!G68</f>
        <v>278.39999999999998</v>
      </c>
      <c r="AX54" s="68">
        <f>Economic!W68</f>
        <v>97874</v>
      </c>
      <c r="AY54" s="68">
        <f>Economic!R68</f>
        <v>693.09999999999945</v>
      </c>
      <c r="AZ54" s="68">
        <f>Economic!W68</f>
        <v>97874</v>
      </c>
      <c r="BA54" s="68">
        <f>Economic!X68</f>
        <v>17385</v>
      </c>
      <c r="BB54" s="68">
        <f>Economic!Y68</f>
        <v>5849</v>
      </c>
      <c r="BC54" s="236">
        <f>Weather!C66</f>
        <v>13.140524193548389</v>
      </c>
      <c r="BD54" s="16">
        <f>Weather!D66</f>
        <v>224.60833333333335</v>
      </c>
      <c r="BE54" s="16">
        <f>Weather!E66</f>
        <v>11.96458333333333</v>
      </c>
      <c r="BF54" s="16">
        <f>Weather!F66</f>
        <v>176.10416666666669</v>
      </c>
      <c r="BG54" s="16">
        <f>Weather!G66</f>
        <v>25.460416666666667</v>
      </c>
      <c r="BH54" s="16">
        <f>Weather!H66</f>
        <v>133.16666666666669</v>
      </c>
      <c r="BI54" s="16">
        <f>Weather!I66</f>
        <v>44.52291666666666</v>
      </c>
      <c r="BJ54" s="16">
        <f>Weather!J66</f>
        <v>93.4375</v>
      </c>
      <c r="BK54" s="16">
        <f>Weather!K66</f>
        <v>66.793749999999989</v>
      </c>
      <c r="BL54" s="16">
        <f>Weather!L66</f>
        <v>60.229166666666664</v>
      </c>
      <c r="BM54" s="16">
        <f>Weather!M66</f>
        <v>95.585416666666632</v>
      </c>
      <c r="BN54" s="16">
        <f>Weather!N66</f>
        <v>34.38333333333334</v>
      </c>
      <c r="BO54" s="16">
        <f>Weather!O66</f>
        <v>131.73958333333331</v>
      </c>
      <c r="BP54" s="16">
        <f>Weather!P66</f>
        <v>14.616666666666664</v>
      </c>
      <c r="BQ54" s="16">
        <f>Weather!Q66</f>
        <v>173.97291666666666</v>
      </c>
      <c r="BR54">
        <v>0</v>
      </c>
      <c r="BS54">
        <v>0</v>
      </c>
      <c r="BT54">
        <v>0</v>
      </c>
      <c r="BU54">
        <v>0</v>
      </c>
      <c r="BV54">
        <v>1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 s="1">
        <f t="shared" si="115"/>
        <v>1</v>
      </c>
      <c r="CE54">
        <f t="shared" si="52"/>
        <v>0</v>
      </c>
      <c r="CF54" s="1">
        <f t="shared" si="115"/>
        <v>0</v>
      </c>
      <c r="CG54">
        <f t="shared" si="52"/>
        <v>0</v>
      </c>
      <c r="CH54" s="1">
        <f t="shared" si="115"/>
        <v>1</v>
      </c>
      <c r="CI54">
        <f t="shared" si="115"/>
        <v>0</v>
      </c>
      <c r="CJ54">
        <f t="shared" si="21"/>
        <v>0</v>
      </c>
      <c r="CK54">
        <f t="shared" si="53"/>
        <v>1</v>
      </c>
      <c r="CL54">
        <f t="shared" si="53"/>
        <v>0</v>
      </c>
      <c r="CM54" s="1">
        <f t="shared" ref="CM54:CM109" si="120">1+CM53</f>
        <v>53</v>
      </c>
      <c r="CN54" s="1">
        <f t="shared" si="117"/>
        <v>5</v>
      </c>
      <c r="CO54" s="1">
        <v>0</v>
      </c>
      <c r="CP54" s="1">
        <v>0</v>
      </c>
      <c r="CQ54" s="1">
        <v>0</v>
      </c>
      <c r="CR54" s="1">
        <v>0</v>
      </c>
      <c r="CS54">
        <f t="shared" si="116"/>
        <v>31</v>
      </c>
      <c r="CT54" s="1">
        <v>20</v>
      </c>
      <c r="CU54" s="1">
        <v>1</v>
      </c>
      <c r="CV54" s="1">
        <v>0.5</v>
      </c>
      <c r="CW54" s="1">
        <v>0.25</v>
      </c>
      <c r="CX54" s="1">
        <v>0.75</v>
      </c>
      <c r="CY54" s="1">
        <v>0</v>
      </c>
      <c r="CZ54" s="10">
        <f t="shared" si="87"/>
        <v>112.30416666666667</v>
      </c>
      <c r="DA54" s="10">
        <f t="shared" si="88"/>
        <v>5.982291666666665</v>
      </c>
      <c r="DB54" s="10">
        <f t="shared" si="89"/>
        <v>88.052083333333343</v>
      </c>
      <c r="DC54" s="10">
        <f t="shared" si="90"/>
        <v>12.730208333333334</v>
      </c>
      <c r="DD54" s="10">
        <f t="shared" si="91"/>
        <v>66.583333333333343</v>
      </c>
      <c r="DE54" s="10">
        <f t="shared" si="92"/>
        <v>22.26145833333333</v>
      </c>
      <c r="DF54" s="10">
        <f t="shared" si="93"/>
        <v>46.71875</v>
      </c>
      <c r="DG54" s="10">
        <f t="shared" si="94"/>
        <v>33.396874999999994</v>
      </c>
      <c r="DH54" s="10">
        <f t="shared" si="95"/>
        <v>30.114583333333332</v>
      </c>
      <c r="DI54" s="10">
        <f t="shared" si="96"/>
        <v>47.792708333333316</v>
      </c>
      <c r="DJ54" s="10">
        <f t="shared" si="97"/>
        <v>17.19166666666667</v>
      </c>
      <c r="DK54" s="10">
        <f t="shared" si="98"/>
        <v>65.869791666666657</v>
      </c>
      <c r="DL54" s="10">
        <f t="shared" si="99"/>
        <v>7.3083333333333318</v>
      </c>
      <c r="DM54" s="10">
        <f t="shared" si="100"/>
        <v>86.986458333333331</v>
      </c>
      <c r="DN54" s="10">
        <f t="shared" si="101"/>
        <v>168.45625000000001</v>
      </c>
      <c r="DO54" s="10">
        <f t="shared" si="102"/>
        <v>8.9734374999999975</v>
      </c>
      <c r="DP54" s="10">
        <f t="shared" si="103"/>
        <v>132.078125</v>
      </c>
      <c r="DQ54" s="10">
        <f t="shared" si="104"/>
        <v>19.095312499999999</v>
      </c>
      <c r="DR54" s="10">
        <f t="shared" si="105"/>
        <v>99.875000000000014</v>
      </c>
      <c r="DS54" s="10">
        <f t="shared" si="106"/>
        <v>33.392187499999991</v>
      </c>
      <c r="DT54" s="10">
        <f t="shared" si="107"/>
        <v>70.078125</v>
      </c>
      <c r="DU54" s="10">
        <f t="shared" si="108"/>
        <v>50.095312499999991</v>
      </c>
      <c r="DV54" s="10">
        <f t="shared" si="109"/>
        <v>45.171875</v>
      </c>
      <c r="DW54" s="10">
        <f t="shared" si="110"/>
        <v>71.689062499999977</v>
      </c>
      <c r="DX54" s="10">
        <f t="shared" si="111"/>
        <v>25.787500000000005</v>
      </c>
      <c r="DY54" s="10">
        <f t="shared" si="112"/>
        <v>98.804687499999986</v>
      </c>
      <c r="DZ54" s="10">
        <f t="shared" si="113"/>
        <v>10.962499999999999</v>
      </c>
      <c r="EA54" s="10">
        <f t="shared" si="114"/>
        <v>130.47968750000001</v>
      </c>
      <c r="EB54" s="44">
        <f t="shared" si="82"/>
        <v>615.71906802650938</v>
      </c>
      <c r="EC54" s="44">
        <f t="shared" ref="EC54:EC61" si="121">EB54/CS54</f>
        <v>19.861905420209979</v>
      </c>
      <c r="ED54" s="44">
        <f t="shared" si="83"/>
        <v>2946454.0833718898</v>
      </c>
      <c r="EE54" s="44">
        <f t="shared" si="84"/>
        <v>2268.0940447506873</v>
      </c>
      <c r="EF54" s="44">
        <f t="shared" ref="EF54:EF97" si="122">EE54/CS54</f>
        <v>73.164324024215716</v>
      </c>
      <c r="EG54" s="44">
        <f t="shared" si="85"/>
        <v>950331.40475053794</v>
      </c>
      <c r="EH54" s="44">
        <f t="shared" si="86"/>
        <v>75716.549835346523</v>
      </c>
      <c r="EI54" s="44">
        <f t="shared" ref="EI54:EI97" si="123">EH54/CS54</f>
        <v>2442.4693495273073</v>
      </c>
      <c r="EJ54" s="44">
        <f t="shared" si="55"/>
        <v>3785.8274917673261</v>
      </c>
      <c r="EK54" s="44">
        <f t="shared" si="54"/>
        <v>3717438.3499805615</v>
      </c>
      <c r="EL54" s="44">
        <f t="shared" si="56"/>
        <v>5762029.4424698707</v>
      </c>
    </row>
    <row r="55" spans="1:142" x14ac:dyDescent="0.2">
      <c r="A55" s="66">
        <v>44348</v>
      </c>
      <c r="B55" s="4">
        <f t="shared" si="118"/>
        <v>2021</v>
      </c>
      <c r="C55" s="4">
        <f t="shared" si="119"/>
        <v>6</v>
      </c>
      <c r="D55" s="44">
        <v>113189972.697128</v>
      </c>
      <c r="E55" s="44">
        <f>IFERROR(VLOOKUP($B55-1,CDM!$L$7:$T$18,2,FALSE)/12,0)+IFERROR(VLOOKUP($B55,CDM!$L$37:$O$47,2,FALSE)/24,0)+IFERROR(VLOOKUP($B55,CDM!$L$37:$O$47,2,FALSE)/2*$C55/78,0)</f>
        <v>2171543.1246157261</v>
      </c>
      <c r="F55" s="44">
        <f t="shared" si="79"/>
        <v>115361515.82174373</v>
      </c>
      <c r="G55" s="488">
        <v>148573</v>
      </c>
      <c r="H55" s="44">
        <v>32834050.751505401</v>
      </c>
      <c r="I55" s="44">
        <f>IFERROR(VLOOKUP($B55-1,CDM!$L$7:$T$18,3,FALSE)/12,0)+IFERROR(VLOOKUP($B55,CDM!$L$37:$O$47,3,FALSE)/24,0)+IFERROR(VLOOKUP($B55,CDM!$L$37:$O$47,3,FALSE)/2*$C55/78,0)</f>
        <v>907530.47976382694</v>
      </c>
      <c r="J55" s="44">
        <f t="shared" si="80"/>
        <v>33741581.231269225</v>
      </c>
      <c r="K55" s="44">
        <v>12984</v>
      </c>
      <c r="L55" s="44">
        <v>122538730.982346</v>
      </c>
      <c r="M55" s="44">
        <f>IFERROR(VLOOKUP($B55-1,CDM!$L$7:$T$18,4,FALSE)/12,0)+IFERROR(VLOOKUP($B55,CDM!$L$37:$O$47,4,FALSE)/24,0)+IFERROR(VLOOKUP($B55,CDM!$L$37:$O$47,4,FALSE)/2*$C55/78,0)</f>
        <v>6020182.6980664432</v>
      </c>
      <c r="N55" s="44">
        <f t="shared" si="81"/>
        <v>128558913.68041244</v>
      </c>
      <c r="O55" s="44">
        <v>316641.86</v>
      </c>
      <c r="P55" s="488">
        <v>1525</v>
      </c>
      <c r="Q55" s="488">
        <v>3847589.21353452</v>
      </c>
      <c r="R55" s="488">
        <f>IFERROR(VLOOKUP($B55-1,CDM!$L$7:$T$18,5,FALSE)/12,0)+IFERROR(VLOOKUP($B55,CDM!$L$37:$T$47,5,FALSE)/24,0)+IFERROR(VLOOKUP($B55,CDM!$L$37:$T$47,5,FALSE)/2*$C55/78,0)</f>
        <v>94880.524060458585</v>
      </c>
      <c r="S55" s="488">
        <f t="shared" si="18"/>
        <v>3942469.7375949784</v>
      </c>
      <c r="T55" s="44">
        <v>7643.1799999999994</v>
      </c>
      <c r="U55" s="488">
        <v>6</v>
      </c>
      <c r="V55" s="488">
        <v>10094682.1965062</v>
      </c>
      <c r="W55" s="488">
        <f>IFERROR(VLOOKUP($B55-1,CDM!$L$7:$T$18,6,FALSE)/12,0)+IFERROR(VLOOKUP($B55,CDM!$L$37:$T$47,6,FALSE)/24,0)+IFERROR(VLOOKUP($B55,CDM!$L$37:$T$47,6,FALSE)/2*$C55/78,0)</f>
        <v>849311.25654820667</v>
      </c>
      <c r="X55" s="488">
        <f t="shared" si="19"/>
        <v>10943993.453054408</v>
      </c>
      <c r="Y55" s="488">
        <v>19860.97</v>
      </c>
      <c r="Z55" s="488">
        <v>1</v>
      </c>
      <c r="AA55" s="44">
        <v>1028358.24</v>
      </c>
      <c r="AB55" s="44">
        <v>3931.03</v>
      </c>
      <c r="AC55" s="488">
        <v>38741</v>
      </c>
      <c r="AD55" s="44">
        <v>446836.72</v>
      </c>
      <c r="AE55" s="44">
        <v>1544</v>
      </c>
      <c r="AF55" s="44">
        <v>43325.979999999989</v>
      </c>
      <c r="AG55" s="44">
        <v>119.37</v>
      </c>
      <c r="AH55" s="44">
        <v>510</v>
      </c>
      <c r="AI55" s="44">
        <v>16400</v>
      </c>
      <c r="AJ55" s="68">
        <f>Economic!H69</f>
        <v>818746.1</v>
      </c>
      <c r="AK55" s="68">
        <f>Economic!I69</f>
        <v>92448.9</v>
      </c>
      <c r="AL55" s="68">
        <f>Economic!J69</f>
        <v>35353</v>
      </c>
      <c r="AM55" s="68">
        <f>Economic!K69</f>
        <v>84915.6</v>
      </c>
      <c r="AN55" s="68">
        <f>Economic!L69</f>
        <v>64969.2</v>
      </c>
      <c r="AO55" s="68">
        <f>Economic!M69</f>
        <v>803585</v>
      </c>
      <c r="AP55" s="68">
        <f>Economic!N69</f>
        <v>90340</v>
      </c>
      <c r="AQ55" s="68">
        <f>Economic!O69</f>
        <v>13895</v>
      </c>
      <c r="AR55" s="68">
        <f>Economic!P69</f>
        <v>34748</v>
      </c>
      <c r="AS55" s="68">
        <f>Economic!Q69</f>
        <v>82903</v>
      </c>
      <c r="AT55" s="68">
        <f>Economic!D69</f>
        <v>7250</v>
      </c>
      <c r="AU55" s="68">
        <f>Economic!E69</f>
        <v>7295.8</v>
      </c>
      <c r="AV55" s="68">
        <f>Economic!F69</f>
        <v>280.10000000000002</v>
      </c>
      <c r="AW55" s="68">
        <f>Economic!G69</f>
        <v>282.3</v>
      </c>
      <c r="AX55" s="68">
        <f>Economic!W69</f>
        <v>97874</v>
      </c>
      <c r="AY55" s="68">
        <f>Economic!R69</f>
        <v>772.60000000000036</v>
      </c>
      <c r="AZ55" s="68">
        <f>Economic!W69</f>
        <v>97874</v>
      </c>
      <c r="BA55" s="68">
        <f>Economic!X69</f>
        <v>17385</v>
      </c>
      <c r="BB55" s="68">
        <f>Economic!Y69</f>
        <v>5849</v>
      </c>
      <c r="BC55" s="236">
        <f>Weather!C67</f>
        <v>20.590972222222224</v>
      </c>
      <c r="BD55" s="16">
        <f>Weather!D67</f>
        <v>34.541666666666664</v>
      </c>
      <c r="BE55" s="16">
        <f>Weather!E67</f>
        <v>52.270833333333357</v>
      </c>
      <c r="BF55" s="16">
        <f>Weather!F67</f>
        <v>15.86666666666666</v>
      </c>
      <c r="BG55" s="16">
        <f>Weather!G67</f>
        <v>93.595833333333346</v>
      </c>
      <c r="BH55" s="16">
        <f>Weather!H67</f>
        <v>4.779166666666665</v>
      </c>
      <c r="BI55" s="16">
        <f>Weather!I67</f>
        <v>142.50833333333335</v>
      </c>
      <c r="BJ55" s="16">
        <f>Weather!J67</f>
        <v>1.1083333333333361</v>
      </c>
      <c r="BK55" s="16">
        <f>Weather!K67</f>
        <v>198.83750000000006</v>
      </c>
      <c r="BL55" s="16">
        <f>Weather!L67</f>
        <v>0</v>
      </c>
      <c r="BM55" s="16">
        <f>Weather!M67</f>
        <v>257.72916666666674</v>
      </c>
      <c r="BN55" s="16">
        <f>Weather!N67</f>
        <v>0</v>
      </c>
      <c r="BO55" s="16">
        <f>Weather!O67</f>
        <v>317.72916666666669</v>
      </c>
      <c r="BP55" s="16">
        <f>Weather!P67</f>
        <v>0</v>
      </c>
      <c r="BQ55" s="16">
        <f>Weather!Q67</f>
        <v>377.72916666666674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 s="1">
        <f t="shared" si="115"/>
        <v>0</v>
      </c>
      <c r="CE55">
        <f t="shared" si="52"/>
        <v>0</v>
      </c>
      <c r="CF55" s="1">
        <f t="shared" si="115"/>
        <v>0</v>
      </c>
      <c r="CG55">
        <f t="shared" si="52"/>
        <v>0</v>
      </c>
      <c r="CH55" s="1">
        <f t="shared" si="115"/>
        <v>0</v>
      </c>
      <c r="CI55">
        <f t="shared" si="115"/>
        <v>0</v>
      </c>
      <c r="CJ55">
        <f t="shared" si="21"/>
        <v>0</v>
      </c>
      <c r="CK55">
        <f t="shared" si="53"/>
        <v>1</v>
      </c>
      <c r="CL55">
        <f t="shared" si="53"/>
        <v>0</v>
      </c>
      <c r="CM55" s="1">
        <f t="shared" si="120"/>
        <v>54</v>
      </c>
      <c r="CN55" s="1">
        <f t="shared" si="117"/>
        <v>6</v>
      </c>
      <c r="CO55" s="1">
        <v>0</v>
      </c>
      <c r="CP55" s="1">
        <v>0</v>
      </c>
      <c r="CQ55" s="1">
        <v>0</v>
      </c>
      <c r="CR55" s="1">
        <v>0</v>
      </c>
      <c r="CS55">
        <f t="shared" si="116"/>
        <v>30</v>
      </c>
      <c r="CT55" s="1">
        <v>22</v>
      </c>
      <c r="CU55" s="1">
        <v>1</v>
      </c>
      <c r="CV55" s="1">
        <v>0.5</v>
      </c>
      <c r="CW55" s="1">
        <v>0.25</v>
      </c>
      <c r="CX55" s="1">
        <v>0.75</v>
      </c>
      <c r="CY55" s="1">
        <v>0</v>
      </c>
      <c r="CZ55" s="10">
        <f t="shared" si="87"/>
        <v>17.270833333333332</v>
      </c>
      <c r="DA55" s="10">
        <f t="shared" si="88"/>
        <v>26.135416666666679</v>
      </c>
      <c r="DB55" s="10">
        <f t="shared" si="89"/>
        <v>7.93333333333333</v>
      </c>
      <c r="DC55" s="10">
        <f t="shared" si="90"/>
        <v>46.797916666666673</v>
      </c>
      <c r="DD55" s="10">
        <f t="shared" si="91"/>
        <v>2.3895833333333325</v>
      </c>
      <c r="DE55" s="10">
        <f t="shared" si="92"/>
        <v>71.254166666666677</v>
      </c>
      <c r="DF55" s="10">
        <f t="shared" si="93"/>
        <v>0.55416666666666803</v>
      </c>
      <c r="DG55" s="10">
        <f t="shared" si="94"/>
        <v>99.418750000000031</v>
      </c>
      <c r="DH55" s="10">
        <f t="shared" si="95"/>
        <v>0</v>
      </c>
      <c r="DI55" s="10">
        <f t="shared" si="96"/>
        <v>128.86458333333337</v>
      </c>
      <c r="DJ55" s="10">
        <f t="shared" si="97"/>
        <v>0</v>
      </c>
      <c r="DK55" s="10">
        <f t="shared" si="98"/>
        <v>158.86458333333334</v>
      </c>
      <c r="DL55" s="10">
        <f t="shared" si="99"/>
        <v>0</v>
      </c>
      <c r="DM55" s="10">
        <f t="shared" si="100"/>
        <v>188.86458333333337</v>
      </c>
      <c r="DN55" s="10">
        <f t="shared" si="101"/>
        <v>25.90625</v>
      </c>
      <c r="DO55" s="10">
        <f t="shared" si="102"/>
        <v>39.203125000000014</v>
      </c>
      <c r="DP55" s="10">
        <f t="shared" si="103"/>
        <v>11.899999999999995</v>
      </c>
      <c r="DQ55" s="10">
        <f t="shared" si="104"/>
        <v>70.196875000000006</v>
      </c>
      <c r="DR55" s="10">
        <f t="shared" si="105"/>
        <v>3.5843749999999988</v>
      </c>
      <c r="DS55" s="10">
        <f t="shared" si="106"/>
        <v>106.88125000000002</v>
      </c>
      <c r="DT55" s="10">
        <f t="shared" si="107"/>
        <v>0.83125000000000204</v>
      </c>
      <c r="DU55" s="10">
        <f t="shared" si="108"/>
        <v>149.12812500000004</v>
      </c>
      <c r="DV55" s="10">
        <f t="shared" si="109"/>
        <v>0</v>
      </c>
      <c r="DW55" s="10">
        <f t="shared" si="110"/>
        <v>193.29687500000006</v>
      </c>
      <c r="DX55" s="10">
        <f t="shared" si="111"/>
        <v>0</v>
      </c>
      <c r="DY55" s="10">
        <f t="shared" si="112"/>
        <v>238.296875</v>
      </c>
      <c r="DZ55" s="10">
        <f t="shared" si="113"/>
        <v>0</v>
      </c>
      <c r="EA55" s="10">
        <f t="shared" si="114"/>
        <v>283.29687500000006</v>
      </c>
      <c r="EB55" s="44">
        <f t="shared" si="82"/>
        <v>776.46352851287736</v>
      </c>
      <c r="EC55" s="44">
        <f t="shared" si="121"/>
        <v>25.882117617095911</v>
      </c>
      <c r="ED55" s="44">
        <f t="shared" si="83"/>
        <v>3845383.860724791</v>
      </c>
      <c r="EE55" s="44">
        <f t="shared" si="84"/>
        <v>2598.704654287525</v>
      </c>
      <c r="EF55" s="44">
        <f t="shared" si="122"/>
        <v>86.623488476250841</v>
      </c>
      <c r="EG55" s="44">
        <f t="shared" si="85"/>
        <v>1124719.3743756409</v>
      </c>
      <c r="EH55" s="44">
        <f t="shared" si="86"/>
        <v>84300.927003549135</v>
      </c>
      <c r="EI55" s="44">
        <f t="shared" si="123"/>
        <v>2810.0309001183045</v>
      </c>
      <c r="EJ55" s="44">
        <f t="shared" si="55"/>
        <v>3831.8603183431424</v>
      </c>
      <c r="EK55" s="44">
        <f t="shared" si="54"/>
        <v>4285297.1226804145</v>
      </c>
      <c r="EL55" s="44">
        <f t="shared" si="56"/>
        <v>5843586.9854732929</v>
      </c>
    </row>
    <row r="56" spans="1:142" x14ac:dyDescent="0.2">
      <c r="A56" s="66">
        <v>44378</v>
      </c>
      <c r="B56" s="4">
        <f t="shared" si="118"/>
        <v>2021</v>
      </c>
      <c r="C56" s="4">
        <f t="shared" si="119"/>
        <v>7</v>
      </c>
      <c r="D56" s="44">
        <v>117356096.465094</v>
      </c>
      <c r="E56" s="44">
        <f>IFERROR(VLOOKUP($B56-1,CDM!$L$7:$T$18,2,FALSE)/12,0)+IFERROR(VLOOKUP($B56,CDM!$L$37:$O$47,2,FALSE)/24,0)+IFERROR(VLOOKUP($B56,CDM!$L$37:$O$47,2,FALSE)/2*$C56/78,0)</f>
        <v>2172604.8389042728</v>
      </c>
      <c r="F56" s="44">
        <f t="shared" si="79"/>
        <v>119528701.30399828</v>
      </c>
      <c r="G56" s="488">
        <v>148627</v>
      </c>
      <c r="H56" s="44">
        <v>34908303.988123298</v>
      </c>
      <c r="I56" s="44">
        <f>IFERROR(VLOOKUP($B56-1,CDM!$L$7:$T$18,3,FALSE)/12,0)+IFERROR(VLOOKUP($B56,CDM!$L$37:$O$47,3,FALSE)/24,0)+IFERROR(VLOOKUP($B56,CDM!$L$37:$O$47,3,FALSE)/2*$C56/78,0)</f>
        <v>912803.59420287807</v>
      </c>
      <c r="J56" s="44">
        <f t="shared" si="80"/>
        <v>35821107.582326174</v>
      </c>
      <c r="K56" s="44">
        <v>12974</v>
      </c>
      <c r="L56" s="44">
        <v>126642956.67487299</v>
      </c>
      <c r="M56" s="44">
        <f>IFERROR(VLOOKUP($B56-1,CDM!$L$7:$T$18,4,FALSE)/12,0)+IFERROR(VLOOKUP($B56,CDM!$L$37:$O$47,4,FALSE)/24,0)+IFERROR(VLOOKUP($B56,CDM!$L$37:$O$47,4,FALSE)/2*$C56/78,0)</f>
        <v>6067803.6837344822</v>
      </c>
      <c r="N56" s="44">
        <f t="shared" si="81"/>
        <v>132710760.35860747</v>
      </c>
      <c r="O56" s="44">
        <v>318701.44</v>
      </c>
      <c r="P56" s="488">
        <v>1523</v>
      </c>
      <c r="Q56" s="488">
        <v>3314098.7773442799</v>
      </c>
      <c r="R56" s="488">
        <f>IFERROR(VLOOKUP($B56-1,CDM!$L$7:$T$18,5,FALSE)/12,0)+IFERROR(VLOOKUP($B56,CDM!$L$37:$T$47,5,FALSE)/24,0)+IFERROR(VLOOKUP($B56,CDM!$L$37:$T$47,5,FALSE)/2*$C56/78,0)</f>
        <v>94880.524060458585</v>
      </c>
      <c r="S56" s="488">
        <f t="shared" si="18"/>
        <v>3408979.3014047383</v>
      </c>
      <c r="T56" s="44">
        <v>8882.5299999999988</v>
      </c>
      <c r="U56" s="488">
        <v>8</v>
      </c>
      <c r="V56" s="488">
        <v>10477583.8404539</v>
      </c>
      <c r="W56" s="488">
        <f>IFERROR(VLOOKUP($B56-1,CDM!$L$7:$T$18,6,FALSE)/12,0)+IFERROR(VLOOKUP($B56,CDM!$L$37:$T$47,6,FALSE)/24,0)+IFERROR(VLOOKUP($B56,CDM!$L$37:$T$47,6,FALSE)/2*$C56/78,0)</f>
        <v>891168.87313401443</v>
      </c>
      <c r="X56" s="488">
        <f t="shared" si="19"/>
        <v>11368752.713587916</v>
      </c>
      <c r="Y56" s="488">
        <v>19618.349999999999</v>
      </c>
      <c r="Z56" s="488">
        <v>1</v>
      </c>
      <c r="AA56" s="44">
        <v>1091919.8400000001</v>
      </c>
      <c r="AB56" s="44">
        <v>3931.16</v>
      </c>
      <c r="AC56" s="488">
        <v>38742</v>
      </c>
      <c r="AD56" s="44">
        <v>461478.54000000004</v>
      </c>
      <c r="AE56" s="44">
        <v>1544</v>
      </c>
      <c r="AF56" s="44">
        <v>46088.990000000005</v>
      </c>
      <c r="AG56" s="44">
        <v>119.35</v>
      </c>
      <c r="AH56" s="44">
        <v>509</v>
      </c>
      <c r="AI56" s="44">
        <v>16400</v>
      </c>
      <c r="AJ56" s="68">
        <f>Economic!H70</f>
        <v>818746.1</v>
      </c>
      <c r="AK56" s="68">
        <f>Economic!I70</f>
        <v>92448.9</v>
      </c>
      <c r="AL56" s="68">
        <f>Economic!J70</f>
        <v>35353</v>
      </c>
      <c r="AM56" s="68">
        <f>Economic!K70</f>
        <v>84915.6</v>
      </c>
      <c r="AN56" s="68">
        <f>Economic!L70</f>
        <v>64969.2</v>
      </c>
      <c r="AO56" s="68">
        <f>Economic!M70</f>
        <v>821006</v>
      </c>
      <c r="AP56" s="68">
        <f>Economic!N70</f>
        <v>91760</v>
      </c>
      <c r="AQ56" s="68">
        <f>Economic!O70</f>
        <v>14469</v>
      </c>
      <c r="AR56" s="68">
        <f>Economic!P70</f>
        <v>35850</v>
      </c>
      <c r="AS56" s="68">
        <f>Economic!Q70</f>
        <v>85815</v>
      </c>
      <c r="AT56" s="68">
        <f>Economic!D70</f>
        <v>7317</v>
      </c>
      <c r="AU56" s="68">
        <f>Economic!E70</f>
        <v>7392.6</v>
      </c>
      <c r="AV56" s="68">
        <f>Economic!F70</f>
        <v>281.2</v>
      </c>
      <c r="AW56" s="68">
        <f>Economic!G70</f>
        <v>284.7</v>
      </c>
      <c r="AX56" s="68">
        <f>Economic!W70</f>
        <v>42712</v>
      </c>
      <c r="AY56" s="68">
        <f>Economic!R70</f>
        <v>650.60000000000036</v>
      </c>
      <c r="AZ56" s="68">
        <f>Economic!W70</f>
        <v>42712</v>
      </c>
      <c r="BA56" s="68">
        <f>Economic!X70</f>
        <v>1998</v>
      </c>
      <c r="BB56" s="68">
        <f>Economic!Y70</f>
        <v>7318</v>
      </c>
      <c r="BC56" s="236">
        <f>Weather!C68</f>
        <v>20.239583333333336</v>
      </c>
      <c r="BD56" s="16">
        <f>Weather!D68</f>
        <v>27.74375000000002</v>
      </c>
      <c r="BE56" s="16">
        <f>Weather!E68</f>
        <v>35.170833333333334</v>
      </c>
      <c r="BF56" s="16">
        <f>Weather!F68</f>
        <v>6.0229166666666707</v>
      </c>
      <c r="BG56" s="16">
        <f>Weather!G68</f>
        <v>75.45</v>
      </c>
      <c r="BH56" s="16">
        <f>Weather!H68</f>
        <v>0</v>
      </c>
      <c r="BI56" s="16">
        <f>Weather!I68</f>
        <v>131.42708333333331</v>
      </c>
      <c r="BJ56" s="16">
        <f>Weather!J68</f>
        <v>0</v>
      </c>
      <c r="BK56" s="16">
        <f>Weather!K68</f>
        <v>193.42708333333331</v>
      </c>
      <c r="BL56" s="16">
        <f>Weather!L68</f>
        <v>0</v>
      </c>
      <c r="BM56" s="16">
        <f>Weather!M68</f>
        <v>255.42708333333331</v>
      </c>
      <c r="BN56" s="16">
        <f>Weather!N68</f>
        <v>0</v>
      </c>
      <c r="BO56" s="16">
        <f>Weather!O68</f>
        <v>317.42708333333331</v>
      </c>
      <c r="BP56" s="16">
        <f>Weather!P68</f>
        <v>0</v>
      </c>
      <c r="BQ56" s="16">
        <f>Weather!Q68</f>
        <v>379.42708333333337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 s="1">
        <f t="shared" si="115"/>
        <v>0</v>
      </c>
      <c r="CE56">
        <f t="shared" si="52"/>
        <v>0</v>
      </c>
      <c r="CF56" s="1">
        <f t="shared" si="115"/>
        <v>0</v>
      </c>
      <c r="CG56">
        <f t="shared" si="52"/>
        <v>0</v>
      </c>
      <c r="CH56" s="1">
        <f t="shared" si="115"/>
        <v>0</v>
      </c>
      <c r="CI56">
        <f t="shared" si="115"/>
        <v>0</v>
      </c>
      <c r="CJ56">
        <f t="shared" si="21"/>
        <v>0</v>
      </c>
      <c r="CK56">
        <f t="shared" si="53"/>
        <v>1</v>
      </c>
      <c r="CL56">
        <f t="shared" si="53"/>
        <v>1</v>
      </c>
      <c r="CM56" s="1">
        <f t="shared" si="120"/>
        <v>55</v>
      </c>
      <c r="CN56" s="1">
        <f t="shared" si="117"/>
        <v>7</v>
      </c>
      <c r="CO56" s="1">
        <v>0</v>
      </c>
      <c r="CP56" s="1">
        <v>0</v>
      </c>
      <c r="CQ56" s="1">
        <v>0</v>
      </c>
      <c r="CR56" s="1">
        <v>0</v>
      </c>
      <c r="CS56">
        <f t="shared" si="116"/>
        <v>31</v>
      </c>
      <c r="CT56" s="1">
        <v>21</v>
      </c>
      <c r="CU56" s="1">
        <v>1</v>
      </c>
      <c r="CV56" s="1">
        <v>0.5</v>
      </c>
      <c r="CW56" s="1">
        <v>0.25</v>
      </c>
      <c r="CX56" s="1">
        <v>0.75</v>
      </c>
      <c r="CY56" s="1">
        <v>0</v>
      </c>
      <c r="CZ56" s="10">
        <f t="shared" si="87"/>
        <v>13.87187500000001</v>
      </c>
      <c r="DA56" s="10">
        <f t="shared" si="88"/>
        <v>17.585416666666667</v>
      </c>
      <c r="DB56" s="10">
        <f t="shared" si="89"/>
        <v>3.0114583333333353</v>
      </c>
      <c r="DC56" s="10">
        <f t="shared" si="90"/>
        <v>37.725000000000001</v>
      </c>
      <c r="DD56" s="10">
        <f t="shared" si="91"/>
        <v>0</v>
      </c>
      <c r="DE56" s="10">
        <f t="shared" si="92"/>
        <v>65.713541666666657</v>
      </c>
      <c r="DF56" s="10">
        <f t="shared" si="93"/>
        <v>0</v>
      </c>
      <c r="DG56" s="10">
        <f t="shared" si="94"/>
        <v>96.713541666666657</v>
      </c>
      <c r="DH56" s="10">
        <f t="shared" si="95"/>
        <v>0</v>
      </c>
      <c r="DI56" s="10">
        <f t="shared" si="96"/>
        <v>127.71354166666666</v>
      </c>
      <c r="DJ56" s="10">
        <f t="shared" si="97"/>
        <v>0</v>
      </c>
      <c r="DK56" s="10">
        <f t="shared" si="98"/>
        <v>158.71354166666666</v>
      </c>
      <c r="DL56" s="10">
        <f t="shared" si="99"/>
        <v>0</v>
      </c>
      <c r="DM56" s="10">
        <f t="shared" si="100"/>
        <v>189.71354166666669</v>
      </c>
      <c r="DN56" s="10">
        <f t="shared" si="101"/>
        <v>20.807812500000015</v>
      </c>
      <c r="DO56" s="10">
        <f t="shared" si="102"/>
        <v>26.378125000000001</v>
      </c>
      <c r="DP56" s="10">
        <f t="shared" si="103"/>
        <v>4.517187500000003</v>
      </c>
      <c r="DQ56" s="10">
        <f t="shared" si="104"/>
        <v>56.587500000000006</v>
      </c>
      <c r="DR56" s="10">
        <f t="shared" si="105"/>
        <v>0</v>
      </c>
      <c r="DS56" s="10">
        <f t="shared" si="106"/>
        <v>98.570312499999986</v>
      </c>
      <c r="DT56" s="10">
        <f t="shared" si="107"/>
        <v>0</v>
      </c>
      <c r="DU56" s="10">
        <f t="shared" si="108"/>
        <v>145.0703125</v>
      </c>
      <c r="DV56" s="10">
        <f t="shared" si="109"/>
        <v>0</v>
      </c>
      <c r="DW56" s="10">
        <f t="shared" si="110"/>
        <v>191.5703125</v>
      </c>
      <c r="DX56" s="10">
        <f t="shared" si="111"/>
        <v>0</v>
      </c>
      <c r="DY56" s="10">
        <f t="shared" si="112"/>
        <v>238.0703125</v>
      </c>
      <c r="DZ56" s="10">
        <f t="shared" si="113"/>
        <v>0</v>
      </c>
      <c r="EA56" s="10">
        <f t="shared" si="114"/>
        <v>284.5703125</v>
      </c>
      <c r="EB56" s="44">
        <f t="shared" si="82"/>
        <v>804.21929598254883</v>
      </c>
      <c r="EC56" s="44">
        <f t="shared" si="121"/>
        <v>25.942557934920931</v>
      </c>
      <c r="ED56" s="44">
        <f t="shared" si="83"/>
        <v>3855764.5581934927</v>
      </c>
      <c r="EE56" s="44">
        <f t="shared" si="84"/>
        <v>2760.991797620331</v>
      </c>
      <c r="EF56" s="44">
        <f t="shared" si="122"/>
        <v>89.064251536139707</v>
      </c>
      <c r="EG56" s="44">
        <f t="shared" si="85"/>
        <v>1155519.5994298765</v>
      </c>
      <c r="EH56" s="44">
        <f t="shared" si="86"/>
        <v>87137.728403550544</v>
      </c>
      <c r="EI56" s="44">
        <f t="shared" si="123"/>
        <v>2810.8944646306627</v>
      </c>
      <c r="EJ56" s="44">
        <f t="shared" si="55"/>
        <v>3960.8058365250249</v>
      </c>
      <c r="EK56" s="44">
        <f t="shared" si="54"/>
        <v>4280992.2696324987</v>
      </c>
      <c r="EL56" s="44">
        <f t="shared" si="56"/>
        <v>6032307.2890276127</v>
      </c>
    </row>
    <row r="57" spans="1:142" x14ac:dyDescent="0.2">
      <c r="A57" s="66">
        <v>44409</v>
      </c>
      <c r="B57" s="4">
        <f t="shared" si="118"/>
        <v>2021</v>
      </c>
      <c r="C57" s="4">
        <f t="shared" si="119"/>
        <v>8</v>
      </c>
      <c r="D57" s="44">
        <v>130025875.56869601</v>
      </c>
      <c r="E57" s="44">
        <f>IFERROR(VLOOKUP($B57-1,CDM!$L$7:$T$18,2,FALSE)/12,0)+IFERROR(VLOOKUP($B57,CDM!$L$37:$O$47,2,FALSE)/24,0)+IFERROR(VLOOKUP($B57,CDM!$L$37:$O$47,2,FALSE)/2*$C57/78,0)</f>
        <v>2173666.5531928199</v>
      </c>
      <c r="F57" s="44">
        <f t="shared" si="79"/>
        <v>132199542.12188883</v>
      </c>
      <c r="G57" s="488">
        <v>148813</v>
      </c>
      <c r="H57" s="44">
        <v>37438471.375872098</v>
      </c>
      <c r="I57" s="44">
        <f>IFERROR(VLOOKUP($B57-1,CDM!$L$7:$T$18,3,FALSE)/12,0)+IFERROR(VLOOKUP($B57,CDM!$L$37:$O$47,3,FALSE)/24,0)+IFERROR(VLOOKUP($B57,CDM!$L$37:$O$47,3,FALSE)/2*$C57/78,0)</f>
        <v>918076.70864192909</v>
      </c>
      <c r="J57" s="44">
        <f t="shared" si="80"/>
        <v>38356548.084514029</v>
      </c>
      <c r="K57" s="44">
        <v>12969</v>
      </c>
      <c r="L57" s="44">
        <v>134839846.31503099</v>
      </c>
      <c r="M57" s="44">
        <f>IFERROR(VLOOKUP($B57-1,CDM!$L$7:$T$18,4,FALSE)/12,0)+IFERROR(VLOOKUP($B57,CDM!$L$37:$O$47,4,FALSE)/24,0)+IFERROR(VLOOKUP($B57,CDM!$L$37:$O$47,4,FALSE)/2*$C57/78,0)</f>
        <v>6115424.669402522</v>
      </c>
      <c r="N57" s="44">
        <f t="shared" si="81"/>
        <v>140955270.9844335</v>
      </c>
      <c r="O57" s="44">
        <v>327254.74</v>
      </c>
      <c r="P57" s="488">
        <v>1519</v>
      </c>
      <c r="Q57" s="488">
        <v>4332116.2795503</v>
      </c>
      <c r="R57" s="488">
        <f>IFERROR(VLOOKUP($B57-1,CDM!$L$7:$T$18,5,FALSE)/12,0)+IFERROR(VLOOKUP($B57,CDM!$L$37:$T$47,5,FALSE)/24,0)+IFERROR(VLOOKUP($B57,CDM!$L$37:$T$47,5,FALSE)/2*$C57/78,0)</f>
        <v>94880.524060458585</v>
      </c>
      <c r="S57" s="488">
        <f t="shared" si="18"/>
        <v>4426996.8036107589</v>
      </c>
      <c r="T57" s="44">
        <v>5661.17</v>
      </c>
      <c r="U57" s="488">
        <v>8</v>
      </c>
      <c r="V57" s="488">
        <v>11603855.4193528</v>
      </c>
      <c r="W57" s="488">
        <f>IFERROR(VLOOKUP($B57-1,CDM!$L$7:$T$18,6,FALSE)/12,0)+IFERROR(VLOOKUP($B57,CDM!$L$37:$T$47,6,FALSE)/24,0)+IFERROR(VLOOKUP($B57,CDM!$L$37:$T$47,6,FALSE)/2*$C57/78,0)</f>
        <v>933026.48971982219</v>
      </c>
      <c r="X57" s="488">
        <f t="shared" si="19"/>
        <v>12536881.909072623</v>
      </c>
      <c r="Y57" s="488">
        <v>20663.32</v>
      </c>
      <c r="Z57" s="488">
        <v>1</v>
      </c>
      <c r="AA57" s="44">
        <v>1213718.8899999999</v>
      </c>
      <c r="AB57" s="44">
        <v>3930.95</v>
      </c>
      <c r="AC57" s="488">
        <v>38746</v>
      </c>
      <c r="AD57" s="44">
        <v>461363.68</v>
      </c>
      <c r="AE57" s="44">
        <v>1544</v>
      </c>
      <c r="AF57" s="44">
        <v>43541.23</v>
      </c>
      <c r="AG57" s="44">
        <v>119.43</v>
      </c>
      <c r="AH57" s="44">
        <v>509</v>
      </c>
      <c r="AI57" s="44">
        <v>16400</v>
      </c>
      <c r="AJ57" s="68">
        <f>Economic!H71</f>
        <v>818746.1</v>
      </c>
      <c r="AK57" s="68">
        <f>Economic!I71</f>
        <v>92448.9</v>
      </c>
      <c r="AL57" s="68">
        <f>Economic!J71</f>
        <v>35353</v>
      </c>
      <c r="AM57" s="68">
        <f>Economic!K71</f>
        <v>84915.6</v>
      </c>
      <c r="AN57" s="68">
        <f>Economic!L71</f>
        <v>64969.2</v>
      </c>
      <c r="AO57" s="68">
        <f>Economic!M71</f>
        <v>821006</v>
      </c>
      <c r="AP57" s="68">
        <f>Economic!N71</f>
        <v>91760</v>
      </c>
      <c r="AQ57" s="68">
        <f>Economic!O71</f>
        <v>14469</v>
      </c>
      <c r="AR57" s="68">
        <f>Economic!P71</f>
        <v>35850</v>
      </c>
      <c r="AS57" s="68">
        <f>Economic!Q71</f>
        <v>85815</v>
      </c>
      <c r="AT57" s="68">
        <f>Economic!D71</f>
        <v>7405.9</v>
      </c>
      <c r="AU57" s="68">
        <f>Economic!E71</f>
        <v>7474.7</v>
      </c>
      <c r="AV57" s="68">
        <f>Economic!F71</f>
        <v>283.8</v>
      </c>
      <c r="AW57" s="68">
        <f>Economic!G71</f>
        <v>288</v>
      </c>
      <c r="AX57" s="68">
        <f>Economic!W71</f>
        <v>42712</v>
      </c>
      <c r="AY57" s="68">
        <f>Economic!R71</f>
        <v>501.59999999999945</v>
      </c>
      <c r="AZ57" s="68">
        <f>Economic!W71</f>
        <v>42712</v>
      </c>
      <c r="BA57" s="68">
        <f>Economic!X71</f>
        <v>1998</v>
      </c>
      <c r="BB57" s="68">
        <f>Economic!Y71</f>
        <v>7318</v>
      </c>
      <c r="BC57" s="236">
        <f>Weather!C69</f>
        <v>21.554771505376344</v>
      </c>
      <c r="BD57" s="16">
        <f>Weather!D69</f>
        <v>14.214583333333341</v>
      </c>
      <c r="BE57" s="16">
        <f>Weather!E69</f>
        <v>62.41249999999998</v>
      </c>
      <c r="BF57" s="16">
        <f>Weather!F69</f>
        <v>2.7687500000000078</v>
      </c>
      <c r="BG57" s="16">
        <f>Weather!G69</f>
        <v>112.96666666666667</v>
      </c>
      <c r="BH57" s="16">
        <f>Weather!H69</f>
        <v>0</v>
      </c>
      <c r="BI57" s="16">
        <f>Weather!I69</f>
        <v>172.19791666666666</v>
      </c>
      <c r="BJ57" s="16">
        <f>Weather!J69</f>
        <v>0</v>
      </c>
      <c r="BK57" s="16">
        <f>Weather!K69</f>
        <v>234.19791666666669</v>
      </c>
      <c r="BL57" s="16">
        <f>Weather!L69</f>
        <v>0</v>
      </c>
      <c r="BM57" s="16">
        <f>Weather!M69</f>
        <v>296.19791666666657</v>
      </c>
      <c r="BN57" s="16">
        <f>Weather!N69</f>
        <v>0</v>
      </c>
      <c r="BO57" s="16">
        <f>Weather!O69</f>
        <v>358.19791666666657</v>
      </c>
      <c r="BP57" s="16">
        <f>Weather!P69</f>
        <v>0</v>
      </c>
      <c r="BQ57" s="16">
        <f>Weather!Q69</f>
        <v>420.19791666666663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1</v>
      </c>
      <c r="BZ57">
        <v>0</v>
      </c>
      <c r="CA57">
        <v>0</v>
      </c>
      <c r="CB57">
        <v>0</v>
      </c>
      <c r="CC57">
        <v>0</v>
      </c>
      <c r="CD57" s="1">
        <f t="shared" si="115"/>
        <v>0</v>
      </c>
      <c r="CE57">
        <f t="shared" si="52"/>
        <v>0</v>
      </c>
      <c r="CF57" s="1">
        <f t="shared" si="115"/>
        <v>0</v>
      </c>
      <c r="CG57">
        <f t="shared" si="52"/>
        <v>0</v>
      </c>
      <c r="CH57" s="1">
        <f t="shared" si="115"/>
        <v>0</v>
      </c>
      <c r="CI57">
        <f t="shared" si="115"/>
        <v>0</v>
      </c>
      <c r="CJ57">
        <f t="shared" si="21"/>
        <v>0</v>
      </c>
      <c r="CK57">
        <f t="shared" si="53"/>
        <v>1</v>
      </c>
      <c r="CL57">
        <f t="shared" si="53"/>
        <v>1</v>
      </c>
      <c r="CM57" s="1">
        <f t="shared" si="120"/>
        <v>56</v>
      </c>
      <c r="CN57" s="1">
        <f t="shared" si="117"/>
        <v>8</v>
      </c>
      <c r="CO57" s="1">
        <v>0</v>
      </c>
      <c r="CP57" s="1">
        <v>0</v>
      </c>
      <c r="CQ57" s="1">
        <v>0</v>
      </c>
      <c r="CR57" s="1">
        <v>0</v>
      </c>
      <c r="CS57">
        <f t="shared" si="116"/>
        <v>31</v>
      </c>
      <c r="CT57" s="1">
        <v>20</v>
      </c>
      <c r="CU57" s="1">
        <v>1</v>
      </c>
      <c r="CV57" s="1">
        <v>0.5</v>
      </c>
      <c r="CW57" s="1">
        <v>0.25</v>
      </c>
      <c r="CX57" s="1">
        <v>0.75</v>
      </c>
      <c r="CY57" s="1">
        <v>0</v>
      </c>
      <c r="CZ57" s="10">
        <f t="shared" si="87"/>
        <v>7.1072916666666703</v>
      </c>
      <c r="DA57" s="10">
        <f t="shared" si="88"/>
        <v>31.20624999999999</v>
      </c>
      <c r="DB57" s="10">
        <f t="shared" si="89"/>
        <v>1.3843750000000039</v>
      </c>
      <c r="DC57" s="10">
        <f t="shared" si="90"/>
        <v>56.483333333333334</v>
      </c>
      <c r="DD57" s="10">
        <f t="shared" si="91"/>
        <v>0</v>
      </c>
      <c r="DE57" s="10">
        <f t="shared" si="92"/>
        <v>86.098958333333329</v>
      </c>
      <c r="DF57" s="10">
        <f t="shared" si="93"/>
        <v>0</v>
      </c>
      <c r="DG57" s="10">
        <f t="shared" si="94"/>
        <v>117.09895833333334</v>
      </c>
      <c r="DH57" s="10">
        <f t="shared" si="95"/>
        <v>0</v>
      </c>
      <c r="DI57" s="10">
        <f t="shared" si="96"/>
        <v>148.09895833333329</v>
      </c>
      <c r="DJ57" s="10">
        <f t="shared" si="97"/>
        <v>0</v>
      </c>
      <c r="DK57" s="10">
        <f t="shared" si="98"/>
        <v>179.09895833333329</v>
      </c>
      <c r="DL57" s="10">
        <f t="shared" si="99"/>
        <v>0</v>
      </c>
      <c r="DM57" s="10">
        <f t="shared" si="100"/>
        <v>210.09895833333331</v>
      </c>
      <c r="DN57" s="10">
        <f t="shared" si="101"/>
        <v>10.660937500000006</v>
      </c>
      <c r="DO57" s="10">
        <f t="shared" si="102"/>
        <v>46.809374999999989</v>
      </c>
      <c r="DP57" s="10">
        <f t="shared" si="103"/>
        <v>2.0765625000000059</v>
      </c>
      <c r="DQ57" s="10">
        <f t="shared" si="104"/>
        <v>84.724999999999994</v>
      </c>
      <c r="DR57" s="10">
        <f t="shared" si="105"/>
        <v>0</v>
      </c>
      <c r="DS57" s="10">
        <f t="shared" si="106"/>
        <v>129.1484375</v>
      </c>
      <c r="DT57" s="10">
        <f t="shared" si="107"/>
        <v>0</v>
      </c>
      <c r="DU57" s="10">
        <f t="shared" si="108"/>
        <v>175.6484375</v>
      </c>
      <c r="DV57" s="10">
        <f t="shared" si="109"/>
        <v>0</v>
      </c>
      <c r="DW57" s="10">
        <f t="shared" si="110"/>
        <v>222.14843749999994</v>
      </c>
      <c r="DX57" s="10">
        <f t="shared" si="111"/>
        <v>0</v>
      </c>
      <c r="DY57" s="10">
        <f t="shared" si="112"/>
        <v>268.64843749999994</v>
      </c>
      <c r="DZ57" s="10">
        <f t="shared" si="113"/>
        <v>0</v>
      </c>
      <c r="EA57" s="10">
        <f t="shared" si="114"/>
        <v>315.1484375</v>
      </c>
      <c r="EB57" s="44">
        <f t="shared" si="82"/>
        <v>888.36017096549915</v>
      </c>
      <c r="EC57" s="44">
        <f t="shared" si="121"/>
        <v>28.656779708564489</v>
      </c>
      <c r="ED57" s="44">
        <f t="shared" si="83"/>
        <v>4264501.358770607</v>
      </c>
      <c r="EE57" s="44">
        <f t="shared" si="84"/>
        <v>2957.5563331416479</v>
      </c>
      <c r="EF57" s="44">
        <f t="shared" si="122"/>
        <v>95.405043004569293</v>
      </c>
      <c r="EG57" s="44">
        <f t="shared" si="85"/>
        <v>1237308.0027262589</v>
      </c>
      <c r="EH57" s="44">
        <f t="shared" si="86"/>
        <v>92794.780108251158</v>
      </c>
      <c r="EI57" s="44">
        <f t="shared" si="123"/>
        <v>2993.3800034919727</v>
      </c>
      <c r="EJ57" s="44">
        <f t="shared" si="55"/>
        <v>4639.7390054125581</v>
      </c>
      <c r="EK57" s="44">
        <f t="shared" si="54"/>
        <v>4546944.2253043065</v>
      </c>
      <c r="EL57" s="44">
        <f t="shared" si="56"/>
        <v>7047763.5492216749</v>
      </c>
    </row>
    <row r="58" spans="1:142" x14ac:dyDescent="0.2">
      <c r="A58" s="66">
        <v>44440</v>
      </c>
      <c r="B58" s="4">
        <f t="shared" si="118"/>
        <v>2021</v>
      </c>
      <c r="C58" s="4">
        <f t="shared" si="119"/>
        <v>9</v>
      </c>
      <c r="D58" s="44">
        <v>90483780.238456607</v>
      </c>
      <c r="E58" s="44">
        <f>IFERROR(VLOOKUP($B58-1,CDM!$L$7:$T$18,2,FALSE)/12,0)+IFERROR(VLOOKUP($B58,CDM!$L$37:$O$47,2,FALSE)/24,0)+IFERROR(VLOOKUP($B58,CDM!$L$37:$O$47,2,FALSE)/2*$C58/78,0)</f>
        <v>2174728.2674813671</v>
      </c>
      <c r="F58" s="44">
        <f t="shared" si="79"/>
        <v>92658508.505937979</v>
      </c>
      <c r="G58" s="488">
        <v>148932</v>
      </c>
      <c r="H58" s="44">
        <v>30892200.2620131</v>
      </c>
      <c r="I58" s="44">
        <f>IFERROR(VLOOKUP($B58-1,CDM!$L$7:$T$18,3,FALSE)/12,0)+IFERROR(VLOOKUP($B58,CDM!$L$37:$O$47,3,FALSE)/24,0)+IFERROR(VLOOKUP($B58,CDM!$L$37:$O$47,3,FALSE)/2*$C58/78,0)</f>
        <v>923349.8230809801</v>
      </c>
      <c r="J58" s="44">
        <f t="shared" si="80"/>
        <v>31815550.085094079</v>
      </c>
      <c r="K58" s="44">
        <v>12995</v>
      </c>
      <c r="L58" s="44">
        <v>116253100.123382</v>
      </c>
      <c r="M58" s="44">
        <f>IFERROR(VLOOKUP($B58-1,CDM!$L$7:$T$18,4,FALSE)/12,0)+IFERROR(VLOOKUP($B58,CDM!$L$37:$O$47,4,FALSE)/24,0)+IFERROR(VLOOKUP($B58,CDM!$L$37:$O$47,4,FALSE)/2*$C58/78,0)</f>
        <v>6163045.6550705619</v>
      </c>
      <c r="N58" s="44">
        <f t="shared" si="81"/>
        <v>122416145.77845256</v>
      </c>
      <c r="O58" s="44">
        <v>311104.08</v>
      </c>
      <c r="P58" s="488">
        <v>1525</v>
      </c>
      <c r="Q58" s="488">
        <v>2631646.1342041302</v>
      </c>
      <c r="R58" s="488">
        <f>IFERROR(VLOOKUP($B58-1,CDM!$L$7:$T$18,5,FALSE)/12,0)+IFERROR(VLOOKUP($B58,CDM!$L$37:$T$47,5,FALSE)/24,0)+IFERROR(VLOOKUP($B58,CDM!$L$37:$T$47,5,FALSE)/2*$C58/78,0)</f>
        <v>94880.524060458585</v>
      </c>
      <c r="S58" s="488">
        <f t="shared" si="18"/>
        <v>2726526.6582645886</v>
      </c>
      <c r="T58" s="44">
        <v>3070.26</v>
      </c>
      <c r="U58" s="488">
        <v>8</v>
      </c>
      <c r="V58" s="488">
        <v>9774696.5171095096</v>
      </c>
      <c r="W58" s="488">
        <f>IFERROR(VLOOKUP($B58-1,CDM!$L$7:$T$18,6,FALSE)/12,0)+IFERROR(VLOOKUP($B58,CDM!$L$37:$T$47,6,FALSE)/24,0)+IFERROR(VLOOKUP($B58,CDM!$L$37:$T$47,6,FALSE)/2*$C58/78,0)</f>
        <v>974884.10630562995</v>
      </c>
      <c r="X58" s="488">
        <f t="shared" si="19"/>
        <v>10749580.623415139</v>
      </c>
      <c r="Y58" s="488">
        <v>20998.67</v>
      </c>
      <c r="Z58" s="488">
        <v>1</v>
      </c>
      <c r="AA58" s="44">
        <v>1350684.88</v>
      </c>
      <c r="AB58" s="44">
        <v>3935.56</v>
      </c>
      <c r="AC58" s="488">
        <v>38817</v>
      </c>
      <c r="AD58" s="44">
        <v>447030.77</v>
      </c>
      <c r="AE58" s="44">
        <v>1542</v>
      </c>
      <c r="AF58" s="44">
        <v>43542.019999999982</v>
      </c>
      <c r="AG58" s="44">
        <v>119.37</v>
      </c>
      <c r="AH58" s="44">
        <v>509</v>
      </c>
      <c r="AI58" s="44">
        <v>16400</v>
      </c>
      <c r="AJ58" s="68">
        <f>Economic!H72</f>
        <v>818746.1</v>
      </c>
      <c r="AK58" s="68">
        <f>Economic!I72</f>
        <v>92448.9</v>
      </c>
      <c r="AL58" s="68">
        <f>Economic!J72</f>
        <v>35353</v>
      </c>
      <c r="AM58" s="68">
        <f>Economic!K72</f>
        <v>84915.6</v>
      </c>
      <c r="AN58" s="68">
        <f>Economic!L72</f>
        <v>64969.2</v>
      </c>
      <c r="AO58" s="68">
        <f>Economic!M72</f>
        <v>821006</v>
      </c>
      <c r="AP58" s="68">
        <f>Economic!N72</f>
        <v>91760</v>
      </c>
      <c r="AQ58" s="68">
        <f>Economic!O72</f>
        <v>14469</v>
      </c>
      <c r="AR58" s="68">
        <f>Economic!P72</f>
        <v>35850</v>
      </c>
      <c r="AS58" s="68">
        <f>Economic!Q72</f>
        <v>85815</v>
      </c>
      <c r="AT58" s="68">
        <f>Economic!D72</f>
        <v>7482</v>
      </c>
      <c r="AU58" s="68">
        <f>Economic!E72</f>
        <v>7507</v>
      </c>
      <c r="AV58" s="68">
        <f>Economic!F72</f>
        <v>284.2</v>
      </c>
      <c r="AW58" s="68">
        <f>Economic!G72</f>
        <v>285.39999999999998</v>
      </c>
      <c r="AX58" s="68">
        <f>Economic!W72</f>
        <v>42712</v>
      </c>
      <c r="AY58" s="68">
        <f>Economic!R72</f>
        <v>416.80000000000018</v>
      </c>
      <c r="AZ58" s="68">
        <f>Economic!W72</f>
        <v>42712</v>
      </c>
      <c r="BA58" s="68">
        <f>Economic!X72</f>
        <v>1998</v>
      </c>
      <c r="BB58" s="68">
        <f>Economic!Y72</f>
        <v>7318</v>
      </c>
      <c r="BC58" s="236">
        <f>Weather!C70</f>
        <v>16.66041666666667</v>
      </c>
      <c r="BD58" s="16">
        <f>Weather!D70</f>
        <v>102.52500000000001</v>
      </c>
      <c r="BE58" s="16">
        <f>Weather!E70</f>
        <v>2.3375000000000021</v>
      </c>
      <c r="BF58" s="16">
        <f>Weather!F70</f>
        <v>56.387499999999989</v>
      </c>
      <c r="BG58" s="16">
        <f>Weather!G70</f>
        <v>16.200000000000006</v>
      </c>
      <c r="BH58" s="16">
        <f>Weather!H70</f>
        <v>25.479166666666657</v>
      </c>
      <c r="BI58" s="16">
        <f>Weather!I70</f>
        <v>45.291666666666671</v>
      </c>
      <c r="BJ58" s="16">
        <f>Weather!J70</f>
        <v>6.8624999999999954</v>
      </c>
      <c r="BK58" s="16">
        <f>Weather!K70</f>
        <v>86.675000000000011</v>
      </c>
      <c r="BL58" s="16">
        <f>Weather!L70</f>
        <v>0.15000000000000036</v>
      </c>
      <c r="BM58" s="16">
        <f>Weather!M70</f>
        <v>139.96249999999998</v>
      </c>
      <c r="BN58" s="16">
        <f>Weather!N70</f>
        <v>0</v>
      </c>
      <c r="BO58" s="16">
        <f>Weather!O70</f>
        <v>199.81249999999994</v>
      </c>
      <c r="BP58" s="16">
        <f>Weather!P70</f>
        <v>0</v>
      </c>
      <c r="BQ58" s="16">
        <f>Weather!Q70</f>
        <v>259.8125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</v>
      </c>
      <c r="CA58">
        <v>0</v>
      </c>
      <c r="CB58">
        <v>0</v>
      </c>
      <c r="CC58">
        <v>0</v>
      </c>
      <c r="CD58" s="1">
        <f t="shared" si="115"/>
        <v>0</v>
      </c>
      <c r="CE58">
        <f t="shared" si="52"/>
        <v>0</v>
      </c>
      <c r="CF58" s="1">
        <f t="shared" si="115"/>
        <v>1</v>
      </c>
      <c r="CG58">
        <f t="shared" si="52"/>
        <v>1</v>
      </c>
      <c r="CH58" s="1">
        <f t="shared" si="115"/>
        <v>1</v>
      </c>
      <c r="CI58">
        <f t="shared" si="115"/>
        <v>1</v>
      </c>
      <c r="CJ58">
        <f t="shared" si="21"/>
        <v>1</v>
      </c>
      <c r="CK58">
        <f t="shared" si="53"/>
        <v>0</v>
      </c>
      <c r="CL58">
        <f t="shared" si="53"/>
        <v>0</v>
      </c>
      <c r="CM58" s="1">
        <f t="shared" si="120"/>
        <v>57</v>
      </c>
      <c r="CN58" s="1">
        <f t="shared" si="117"/>
        <v>9</v>
      </c>
      <c r="CO58" s="1">
        <v>0</v>
      </c>
      <c r="CP58" s="1">
        <v>0</v>
      </c>
      <c r="CQ58" s="1">
        <v>0</v>
      </c>
      <c r="CR58" s="1">
        <v>0</v>
      </c>
      <c r="CS58">
        <f t="shared" si="116"/>
        <v>30</v>
      </c>
      <c r="CT58" s="1">
        <v>20</v>
      </c>
      <c r="CU58" s="1">
        <v>1</v>
      </c>
      <c r="CV58" s="1">
        <v>0.5</v>
      </c>
      <c r="CW58" s="1">
        <v>0.25</v>
      </c>
      <c r="CX58" s="1">
        <v>0.75</v>
      </c>
      <c r="CY58" s="1">
        <v>0</v>
      </c>
      <c r="CZ58" s="10">
        <f t="shared" si="87"/>
        <v>51.262500000000003</v>
      </c>
      <c r="DA58" s="10">
        <f t="shared" si="88"/>
        <v>1.1687500000000011</v>
      </c>
      <c r="DB58" s="10">
        <f t="shared" si="89"/>
        <v>28.193749999999994</v>
      </c>
      <c r="DC58" s="10">
        <f t="shared" si="90"/>
        <v>8.1000000000000032</v>
      </c>
      <c r="DD58" s="10">
        <f t="shared" si="91"/>
        <v>12.739583333333329</v>
      </c>
      <c r="DE58" s="10">
        <f t="shared" si="92"/>
        <v>22.645833333333336</v>
      </c>
      <c r="DF58" s="10">
        <f t="shared" si="93"/>
        <v>3.4312499999999977</v>
      </c>
      <c r="DG58" s="10">
        <f t="shared" si="94"/>
        <v>43.337500000000006</v>
      </c>
      <c r="DH58" s="10">
        <f t="shared" si="95"/>
        <v>7.5000000000000178E-2</v>
      </c>
      <c r="DI58" s="10">
        <f t="shared" si="96"/>
        <v>69.981249999999989</v>
      </c>
      <c r="DJ58" s="10">
        <f t="shared" si="97"/>
        <v>0</v>
      </c>
      <c r="DK58" s="10">
        <f t="shared" si="98"/>
        <v>99.906249999999972</v>
      </c>
      <c r="DL58" s="10">
        <f t="shared" si="99"/>
        <v>0</v>
      </c>
      <c r="DM58" s="10">
        <f t="shared" si="100"/>
        <v>129.90625</v>
      </c>
      <c r="DN58" s="10">
        <f t="shared" si="101"/>
        <v>76.893750000000011</v>
      </c>
      <c r="DO58" s="10">
        <f t="shared" si="102"/>
        <v>1.7531250000000016</v>
      </c>
      <c r="DP58" s="10">
        <f t="shared" si="103"/>
        <v>42.290624999999991</v>
      </c>
      <c r="DQ58" s="10">
        <f t="shared" si="104"/>
        <v>12.150000000000006</v>
      </c>
      <c r="DR58" s="10">
        <f t="shared" si="105"/>
        <v>19.109374999999993</v>
      </c>
      <c r="DS58" s="10">
        <f t="shared" si="106"/>
        <v>33.96875</v>
      </c>
      <c r="DT58" s="10">
        <f t="shared" si="107"/>
        <v>5.1468749999999961</v>
      </c>
      <c r="DU58" s="10">
        <f t="shared" si="108"/>
        <v>65.006250000000009</v>
      </c>
      <c r="DV58" s="10">
        <f t="shared" si="109"/>
        <v>0.11250000000000027</v>
      </c>
      <c r="DW58" s="10">
        <f t="shared" si="110"/>
        <v>104.97187499999998</v>
      </c>
      <c r="DX58" s="10">
        <f t="shared" si="111"/>
        <v>0</v>
      </c>
      <c r="DY58" s="10">
        <f t="shared" si="112"/>
        <v>149.85937499999994</v>
      </c>
      <c r="DZ58" s="10">
        <f t="shared" si="113"/>
        <v>0</v>
      </c>
      <c r="EA58" s="10">
        <f t="shared" si="114"/>
        <v>194.859375</v>
      </c>
      <c r="EB58" s="44">
        <f t="shared" si="82"/>
        <v>622.15312025580783</v>
      </c>
      <c r="EC58" s="44">
        <f t="shared" si="121"/>
        <v>20.738437341860262</v>
      </c>
      <c r="ED58" s="44">
        <f t="shared" si="83"/>
        <v>3088616.9501979328</v>
      </c>
      <c r="EE58" s="44">
        <f t="shared" si="84"/>
        <v>2448.2916571830765</v>
      </c>
      <c r="EF58" s="44">
        <f t="shared" si="122"/>
        <v>81.60972190610255</v>
      </c>
      <c r="EG58" s="44">
        <f t="shared" si="85"/>
        <v>1060518.3361698026</v>
      </c>
      <c r="EH58" s="44">
        <f t="shared" si="86"/>
        <v>80272.882477673804</v>
      </c>
      <c r="EI58" s="44">
        <f t="shared" si="123"/>
        <v>2675.7627492557936</v>
      </c>
      <c r="EJ58" s="44">
        <f t="shared" si="55"/>
        <v>3822.5182132225623</v>
      </c>
      <c r="EK58" s="44">
        <f t="shared" ref="EK58:EK89" si="124">N58/CS58</f>
        <v>4080538.1926150853</v>
      </c>
      <c r="EL58" s="44">
        <f t="shared" si="56"/>
        <v>5829340.2751644077</v>
      </c>
    </row>
    <row r="59" spans="1:142" x14ac:dyDescent="0.2">
      <c r="A59" s="66">
        <v>44470</v>
      </c>
      <c r="B59" s="4">
        <f t="shared" si="118"/>
        <v>2021</v>
      </c>
      <c r="C59" s="4">
        <f t="shared" si="119"/>
        <v>10</v>
      </c>
      <c r="D59" s="44">
        <v>85264985.693176702</v>
      </c>
      <c r="E59" s="44">
        <f>IFERROR(VLOOKUP($B59-1,CDM!$L$7:$T$18,2,FALSE)/12,0)+IFERROR(VLOOKUP($B59,CDM!$L$37:$O$47,2,FALSE)/24,0)+IFERROR(VLOOKUP($B59,CDM!$L$37:$O$47,2,FALSE)/2*$C59/78,0)</f>
        <v>2175789.9817699143</v>
      </c>
      <c r="F59" s="44">
        <f t="shared" si="79"/>
        <v>87440775.674946621</v>
      </c>
      <c r="G59" s="488">
        <v>149070</v>
      </c>
      <c r="H59" s="44">
        <v>29989484.525293101</v>
      </c>
      <c r="I59" s="44">
        <f>IFERROR(VLOOKUP($B59-1,CDM!$L$7:$T$18,3,FALSE)/12,0)+IFERROR(VLOOKUP($B59,CDM!$L$37:$O$47,3,FALSE)/24,0)+IFERROR(VLOOKUP($B59,CDM!$L$37:$O$47,3,FALSE)/2*$C59/78,0)</f>
        <v>928622.93752003124</v>
      </c>
      <c r="J59" s="44">
        <f t="shared" si="80"/>
        <v>30918107.462813132</v>
      </c>
      <c r="K59" s="44">
        <v>13003</v>
      </c>
      <c r="L59" s="44">
        <v>114554493.473326</v>
      </c>
      <c r="M59" s="44">
        <f>IFERROR(VLOOKUP($B59-1,CDM!$L$7:$T$18,4,FALSE)/12,0)+IFERROR(VLOOKUP($B59,CDM!$L$37:$O$47,4,FALSE)/24,0)+IFERROR(VLOOKUP($B59,CDM!$L$37:$O$47,4,FALSE)/2*$C59/78,0)</f>
        <v>6210666.6407386018</v>
      </c>
      <c r="N59" s="44">
        <f t="shared" si="81"/>
        <v>120765160.1140646</v>
      </c>
      <c r="O59" s="44">
        <v>293694.37</v>
      </c>
      <c r="P59" s="488">
        <v>1522</v>
      </c>
      <c r="Q59" s="488">
        <v>2518279.96244467</v>
      </c>
      <c r="R59" s="488">
        <f>IFERROR(VLOOKUP($B59-1,CDM!$L$7:$T$18,5,FALSE)/12,0)+IFERROR(VLOOKUP($B59,CDM!$L$37:$T$47,5,FALSE)/24,0)+IFERROR(VLOOKUP($B59,CDM!$L$37:$T$47,5,FALSE)/2*$C59/78,0)</f>
        <v>94880.524060458585</v>
      </c>
      <c r="S59" s="488">
        <f t="shared" si="18"/>
        <v>2613160.4865051284</v>
      </c>
      <c r="T59" s="44">
        <v>4389.8200000000006</v>
      </c>
      <c r="U59" s="488">
        <v>8</v>
      </c>
      <c r="V59" s="488">
        <v>9339386.5848586205</v>
      </c>
      <c r="W59" s="488">
        <f>IFERROR(VLOOKUP($B59-1,CDM!$L$7:$T$18,6,FALSE)/12,0)+IFERROR(VLOOKUP($B59,CDM!$L$37:$T$47,6,FALSE)/24,0)+IFERROR(VLOOKUP($B59,CDM!$L$37:$T$47,6,FALSE)/2*$C59/78,0)</f>
        <v>1016741.7228914377</v>
      </c>
      <c r="X59" s="488">
        <f t="shared" si="19"/>
        <v>10356128.307750057</v>
      </c>
      <c r="Y59" s="488">
        <v>19303.98</v>
      </c>
      <c r="Z59" s="488">
        <v>1</v>
      </c>
      <c r="AA59" s="44">
        <v>1578481.36</v>
      </c>
      <c r="AB59" s="44">
        <v>3938.03</v>
      </c>
      <c r="AC59" s="488">
        <v>38855</v>
      </c>
      <c r="AD59" s="44">
        <v>461804.87</v>
      </c>
      <c r="AE59" s="44">
        <v>1543</v>
      </c>
      <c r="AF59" s="44">
        <v>45254.929999999993</v>
      </c>
      <c r="AG59" s="44">
        <v>119.23</v>
      </c>
      <c r="AH59" s="44">
        <v>508</v>
      </c>
      <c r="AI59" s="44">
        <v>16400</v>
      </c>
      <c r="AJ59" s="68">
        <f>Economic!H73</f>
        <v>818746.1</v>
      </c>
      <c r="AK59" s="68">
        <f>Economic!I73</f>
        <v>92448.9</v>
      </c>
      <c r="AL59" s="68">
        <f>Economic!J73</f>
        <v>35353</v>
      </c>
      <c r="AM59" s="68">
        <f>Economic!K73</f>
        <v>84915.6</v>
      </c>
      <c r="AN59" s="68">
        <f>Economic!L73</f>
        <v>64969.2</v>
      </c>
      <c r="AO59" s="68">
        <f>Economic!M73</f>
        <v>840399</v>
      </c>
      <c r="AP59" s="68">
        <f>Economic!N73</f>
        <v>95623</v>
      </c>
      <c r="AQ59" s="68">
        <f>Economic!O73</f>
        <v>15201</v>
      </c>
      <c r="AR59" s="68">
        <f>Economic!P73</f>
        <v>36785</v>
      </c>
      <c r="AS59" s="68">
        <f>Economic!Q73</f>
        <v>89292</v>
      </c>
      <c r="AT59" s="68">
        <f>Economic!D73</f>
        <v>7537.7</v>
      </c>
      <c r="AU59" s="68">
        <f>Economic!E73</f>
        <v>7547.1</v>
      </c>
      <c r="AV59" s="68">
        <f>Economic!F73</f>
        <v>286.7</v>
      </c>
      <c r="AW59" s="68">
        <f>Economic!G73</f>
        <v>286.60000000000002</v>
      </c>
      <c r="AX59" s="68">
        <f>Economic!W73</f>
        <v>43086</v>
      </c>
      <c r="AY59" s="68">
        <f>Economic!R73</f>
        <v>351.09999999999945</v>
      </c>
      <c r="AZ59" s="68">
        <f>Economic!W73</f>
        <v>43086</v>
      </c>
      <c r="BA59" s="68">
        <f>Economic!X73</f>
        <v>5037</v>
      </c>
      <c r="BB59" s="68">
        <f>Economic!Y73</f>
        <v>9580</v>
      </c>
      <c r="BC59" s="236">
        <f>Weather!C71</f>
        <v>13.037096774193548</v>
      </c>
      <c r="BD59" s="16">
        <f>Weather!D71</f>
        <v>215.85</v>
      </c>
      <c r="BE59" s="16">
        <f>Weather!E71</f>
        <v>0</v>
      </c>
      <c r="BF59" s="16">
        <f>Weather!F71</f>
        <v>158.2208333333333</v>
      </c>
      <c r="BG59" s="16">
        <f>Weather!G71</f>
        <v>4.3708333333333336</v>
      </c>
      <c r="BH59" s="16">
        <f>Weather!H71</f>
        <v>114.46666666666667</v>
      </c>
      <c r="BI59" s="16">
        <f>Weather!I71</f>
        <v>22.616666666666678</v>
      </c>
      <c r="BJ59" s="16">
        <f>Weather!J71</f>
        <v>80.245833333333309</v>
      </c>
      <c r="BK59" s="16">
        <f>Weather!K71</f>
        <v>50.395833333333336</v>
      </c>
      <c r="BL59" s="16">
        <f>Weather!L71</f>
        <v>51.204166666666659</v>
      </c>
      <c r="BM59" s="16">
        <f>Weather!M71</f>
        <v>83.354166666666686</v>
      </c>
      <c r="BN59" s="16">
        <f>Weather!N71</f>
        <v>26.791666666666664</v>
      </c>
      <c r="BO59" s="16">
        <f>Weather!O71</f>
        <v>120.94166666666669</v>
      </c>
      <c r="BP59" s="16">
        <f>Weather!P71</f>
        <v>10.4375</v>
      </c>
      <c r="BQ59" s="16">
        <f>Weather!Q71</f>
        <v>166.58749999999998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1</v>
      </c>
      <c r="CB59">
        <v>0</v>
      </c>
      <c r="CC59">
        <v>0</v>
      </c>
      <c r="CD59" s="1">
        <f t="shared" si="115"/>
        <v>0</v>
      </c>
      <c r="CE59">
        <f t="shared" si="52"/>
        <v>0</v>
      </c>
      <c r="CF59" s="1">
        <f t="shared" si="115"/>
        <v>1</v>
      </c>
      <c r="CG59">
        <f t="shared" si="52"/>
        <v>1</v>
      </c>
      <c r="CH59" s="1">
        <f t="shared" si="115"/>
        <v>1</v>
      </c>
      <c r="CI59">
        <f t="shared" si="115"/>
        <v>1</v>
      </c>
      <c r="CJ59">
        <f t="shared" si="21"/>
        <v>1</v>
      </c>
      <c r="CK59">
        <f t="shared" si="53"/>
        <v>0</v>
      </c>
      <c r="CL59">
        <f t="shared" si="53"/>
        <v>0</v>
      </c>
      <c r="CM59" s="1">
        <f t="shared" si="120"/>
        <v>58</v>
      </c>
      <c r="CN59" s="1">
        <f t="shared" si="117"/>
        <v>10</v>
      </c>
      <c r="CO59" s="1">
        <v>0</v>
      </c>
      <c r="CP59" s="1">
        <v>0</v>
      </c>
      <c r="CQ59" s="1">
        <v>0</v>
      </c>
      <c r="CR59" s="1">
        <v>0</v>
      </c>
      <c r="CS59">
        <f t="shared" si="116"/>
        <v>31</v>
      </c>
      <c r="CT59" s="1">
        <v>20</v>
      </c>
      <c r="CU59" s="1">
        <v>1</v>
      </c>
      <c r="CV59" s="1">
        <v>0.5</v>
      </c>
      <c r="CW59" s="1">
        <v>0.25</v>
      </c>
      <c r="CX59" s="1">
        <v>0.75</v>
      </c>
      <c r="CY59" s="1">
        <v>0</v>
      </c>
      <c r="CZ59" s="10">
        <f t="shared" si="87"/>
        <v>107.925</v>
      </c>
      <c r="DA59" s="10">
        <f t="shared" si="88"/>
        <v>0</v>
      </c>
      <c r="DB59" s="10">
        <f t="shared" si="89"/>
        <v>79.110416666666652</v>
      </c>
      <c r="DC59" s="10">
        <f t="shared" si="90"/>
        <v>2.1854166666666668</v>
      </c>
      <c r="DD59" s="10">
        <f t="shared" si="91"/>
        <v>57.233333333333334</v>
      </c>
      <c r="DE59" s="10">
        <f t="shared" si="92"/>
        <v>11.308333333333339</v>
      </c>
      <c r="DF59" s="10">
        <f t="shared" si="93"/>
        <v>40.122916666666654</v>
      </c>
      <c r="DG59" s="10">
        <f t="shared" si="94"/>
        <v>25.197916666666668</v>
      </c>
      <c r="DH59" s="10">
        <f t="shared" si="95"/>
        <v>25.602083333333329</v>
      </c>
      <c r="DI59" s="10">
        <f t="shared" si="96"/>
        <v>41.677083333333343</v>
      </c>
      <c r="DJ59" s="10">
        <f t="shared" si="97"/>
        <v>13.395833333333332</v>
      </c>
      <c r="DK59" s="10">
        <f t="shared" si="98"/>
        <v>60.470833333333346</v>
      </c>
      <c r="DL59" s="10">
        <f t="shared" si="99"/>
        <v>5.21875</v>
      </c>
      <c r="DM59" s="10">
        <f t="shared" si="100"/>
        <v>83.293749999999989</v>
      </c>
      <c r="DN59" s="10">
        <f t="shared" si="101"/>
        <v>161.88749999999999</v>
      </c>
      <c r="DO59" s="10">
        <f t="shared" si="102"/>
        <v>0</v>
      </c>
      <c r="DP59" s="10">
        <f t="shared" si="103"/>
        <v>118.66562499999998</v>
      </c>
      <c r="DQ59" s="10">
        <f t="shared" si="104"/>
        <v>3.2781250000000002</v>
      </c>
      <c r="DR59" s="10">
        <f t="shared" si="105"/>
        <v>85.85</v>
      </c>
      <c r="DS59" s="10">
        <f t="shared" si="106"/>
        <v>16.962500000000009</v>
      </c>
      <c r="DT59" s="10">
        <f t="shared" si="107"/>
        <v>60.184374999999982</v>
      </c>
      <c r="DU59" s="10">
        <f t="shared" si="108"/>
        <v>37.796875</v>
      </c>
      <c r="DV59" s="10">
        <f t="shared" si="109"/>
        <v>38.403124999999996</v>
      </c>
      <c r="DW59" s="10">
        <f t="shared" si="110"/>
        <v>62.515625000000014</v>
      </c>
      <c r="DX59" s="10">
        <f t="shared" si="111"/>
        <v>20.09375</v>
      </c>
      <c r="DY59" s="10">
        <f t="shared" si="112"/>
        <v>90.706250000000011</v>
      </c>
      <c r="DZ59" s="10">
        <f t="shared" si="113"/>
        <v>7.828125</v>
      </c>
      <c r="EA59" s="10">
        <f t="shared" si="114"/>
        <v>124.94062499999998</v>
      </c>
      <c r="EB59" s="44">
        <f t="shared" si="82"/>
        <v>586.57527118096618</v>
      </c>
      <c r="EC59" s="44">
        <f t="shared" si="121"/>
        <v>18.921782941321489</v>
      </c>
      <c r="ED59" s="44">
        <f t="shared" si="83"/>
        <v>2820670.1830627942</v>
      </c>
      <c r="EE59" s="44">
        <f t="shared" si="84"/>
        <v>2377.7672431602809</v>
      </c>
      <c r="EF59" s="44">
        <f t="shared" si="122"/>
        <v>76.702169134202606</v>
      </c>
      <c r="EG59" s="44">
        <f t="shared" si="85"/>
        <v>997358.30525203655</v>
      </c>
      <c r="EH59" s="44">
        <f t="shared" si="86"/>
        <v>79346.360127506312</v>
      </c>
      <c r="EI59" s="44">
        <f t="shared" si="123"/>
        <v>2559.560004113107</v>
      </c>
      <c r="EJ59" s="44">
        <f t="shared" ref="EJ59:EJ90" si="125">EH59/CT35</f>
        <v>3778.3981013098246</v>
      </c>
      <c r="EK59" s="44">
        <f t="shared" si="124"/>
        <v>3895650.3262601485</v>
      </c>
      <c r="EL59" s="44">
        <f t="shared" ref="EL59:EL90" si="126">N59/CT35</f>
        <v>5750721.9101935523</v>
      </c>
    </row>
    <row r="60" spans="1:142" x14ac:dyDescent="0.2">
      <c r="A60" s="66">
        <v>44501</v>
      </c>
      <c r="B60" s="4">
        <f t="shared" si="118"/>
        <v>2021</v>
      </c>
      <c r="C60" s="4">
        <f t="shared" si="119"/>
        <v>11</v>
      </c>
      <c r="D60" s="44">
        <v>87576548.978796706</v>
      </c>
      <c r="E60" s="44">
        <f>IFERROR(VLOOKUP($B60-1,CDM!$L$7:$T$18,2,FALSE)/12,0)+IFERROR(VLOOKUP($B60,CDM!$L$37:$O$47,2,FALSE)/24,0)+IFERROR(VLOOKUP($B60,CDM!$L$37:$O$47,2,FALSE)/2*$C60/78,0)</f>
        <v>2176851.696058461</v>
      </c>
      <c r="F60" s="44">
        <f t="shared" si="79"/>
        <v>89753400.674855173</v>
      </c>
      <c r="G60" s="488">
        <v>149218</v>
      </c>
      <c r="H60" s="44">
        <v>30936021.620109301</v>
      </c>
      <c r="I60" s="44">
        <f>IFERROR(VLOOKUP($B60-1,CDM!$L$7:$T$18,3,FALSE)/12,0)+IFERROR(VLOOKUP($B60,CDM!$L$37:$O$47,3,FALSE)/24,0)+IFERROR(VLOOKUP($B60,CDM!$L$37:$O$47,3,FALSE)/2*$C60/78,0)</f>
        <v>933896.05195908225</v>
      </c>
      <c r="J60" s="44">
        <f t="shared" si="80"/>
        <v>31869917.672068384</v>
      </c>
      <c r="K60" s="44">
        <v>13025</v>
      </c>
      <c r="L60" s="44">
        <v>112392562.358328</v>
      </c>
      <c r="M60" s="44">
        <f>IFERROR(VLOOKUP($B60-1,CDM!$L$7:$T$18,4,FALSE)/12,0)+IFERROR(VLOOKUP($B60,CDM!$L$37:$O$47,4,FALSE)/24,0)+IFERROR(VLOOKUP($B60,CDM!$L$37:$O$47,4,FALSE)/2*$C60/78,0)</f>
        <v>6258287.6264066417</v>
      </c>
      <c r="N60" s="44">
        <f t="shared" si="81"/>
        <v>118650849.98473464</v>
      </c>
      <c r="O60" s="44">
        <v>278577.36</v>
      </c>
      <c r="P60" s="488">
        <v>1530</v>
      </c>
      <c r="Q60" s="488">
        <v>2991494.5252826801</v>
      </c>
      <c r="R60" s="488">
        <f>IFERROR(VLOOKUP($B60-1,CDM!$L$7:$T$18,5,FALSE)/12,0)+IFERROR(VLOOKUP($B60,CDM!$L$37:$T$47,5,FALSE)/24,0)+IFERROR(VLOOKUP($B60,CDM!$L$37:$T$47,5,FALSE)/2*$C60/78,0)</f>
        <v>94880.524060458585</v>
      </c>
      <c r="S60" s="488">
        <f t="shared" si="18"/>
        <v>3086375.0493431385</v>
      </c>
      <c r="T60" s="44">
        <v>5997.7300000000005</v>
      </c>
      <c r="U60" s="488">
        <v>8</v>
      </c>
      <c r="V60" s="488">
        <v>7996536.2700298596</v>
      </c>
      <c r="W60" s="488">
        <f>IFERROR(VLOOKUP($B60-1,CDM!$L$7:$T$18,6,FALSE)/12,0)+IFERROR(VLOOKUP($B60,CDM!$L$37:$T$47,6,FALSE)/24,0)+IFERROR(VLOOKUP($B60,CDM!$L$37:$T$47,6,FALSE)/2*$C60/78,0)</f>
        <v>1058599.3394772455</v>
      </c>
      <c r="X60" s="488">
        <f t="shared" si="19"/>
        <v>9055135.6095071044</v>
      </c>
      <c r="Y60" s="488">
        <v>13491.76</v>
      </c>
      <c r="Z60" s="488">
        <v>1</v>
      </c>
      <c r="AA60" s="44">
        <v>1675116.38</v>
      </c>
      <c r="AB60" s="44">
        <v>3943.31</v>
      </c>
      <c r="AC60" s="488">
        <v>38888</v>
      </c>
      <c r="AD60" s="44">
        <v>446953.52999999997</v>
      </c>
      <c r="AE60" s="44">
        <v>1542</v>
      </c>
      <c r="AF60" s="44">
        <v>43020.68</v>
      </c>
      <c r="AG60" s="44">
        <v>119.27</v>
      </c>
      <c r="AH60" s="44">
        <v>508</v>
      </c>
      <c r="AI60" s="44">
        <v>16400</v>
      </c>
      <c r="AJ60" s="68">
        <f>Economic!H74</f>
        <v>818746.1</v>
      </c>
      <c r="AK60" s="68">
        <f>Economic!I74</f>
        <v>92448.9</v>
      </c>
      <c r="AL60" s="68">
        <f>Economic!J74</f>
        <v>35353</v>
      </c>
      <c r="AM60" s="68">
        <f>Economic!K74</f>
        <v>84915.6</v>
      </c>
      <c r="AN60" s="68">
        <f>Economic!L74</f>
        <v>64969.2</v>
      </c>
      <c r="AO60" s="68">
        <f>Economic!M74</f>
        <v>840399</v>
      </c>
      <c r="AP60" s="68">
        <f>Economic!N74</f>
        <v>95623</v>
      </c>
      <c r="AQ60" s="68">
        <f>Economic!O74</f>
        <v>15201</v>
      </c>
      <c r="AR60" s="68">
        <f>Economic!P74</f>
        <v>36785</v>
      </c>
      <c r="AS60" s="68">
        <f>Economic!Q74</f>
        <v>89292</v>
      </c>
      <c r="AT60" s="68">
        <f>Economic!D74</f>
        <v>7604</v>
      </c>
      <c r="AU60" s="68">
        <f>Economic!E74</f>
        <v>7604.8</v>
      </c>
      <c r="AV60" s="68">
        <f>Economic!F74</f>
        <v>290.5</v>
      </c>
      <c r="AW60" s="68">
        <f>Economic!G74</f>
        <v>288.7</v>
      </c>
      <c r="AX60" s="68">
        <f>Economic!W74</f>
        <v>43086</v>
      </c>
      <c r="AY60" s="68">
        <f>Economic!R74</f>
        <v>332.19999999999982</v>
      </c>
      <c r="AZ60" s="68">
        <f>Economic!W74</f>
        <v>43086</v>
      </c>
      <c r="BA60" s="68">
        <f>Economic!X74</f>
        <v>5037</v>
      </c>
      <c r="BB60" s="68">
        <f>Economic!Y74</f>
        <v>9580</v>
      </c>
      <c r="BC60" s="236">
        <f>Weather!C72</f>
        <v>3.0640277777777767</v>
      </c>
      <c r="BD60" s="16">
        <f>Weather!D72</f>
        <v>508.07916666666659</v>
      </c>
      <c r="BE60" s="16">
        <f>Weather!E72</f>
        <v>0</v>
      </c>
      <c r="BF60" s="16">
        <f>Weather!F72</f>
        <v>448.07916666666659</v>
      </c>
      <c r="BG60" s="16">
        <f>Weather!G72</f>
        <v>0</v>
      </c>
      <c r="BH60" s="16">
        <f>Weather!H72</f>
        <v>388.07916666666659</v>
      </c>
      <c r="BI60" s="16">
        <f>Weather!I72</f>
        <v>0</v>
      </c>
      <c r="BJ60" s="16">
        <f>Weather!J72</f>
        <v>328.07916666666665</v>
      </c>
      <c r="BK60" s="16">
        <f>Weather!K72</f>
        <v>0</v>
      </c>
      <c r="BL60" s="16">
        <f>Weather!L72</f>
        <v>268.07916666666665</v>
      </c>
      <c r="BM60" s="16">
        <f>Weather!M72</f>
        <v>0</v>
      </c>
      <c r="BN60" s="16">
        <f>Weather!N72</f>
        <v>208.07916666666665</v>
      </c>
      <c r="BO60" s="16">
        <f>Weather!O72</f>
        <v>0</v>
      </c>
      <c r="BP60" s="16">
        <f>Weather!P72</f>
        <v>153.4</v>
      </c>
      <c r="BQ60" s="16">
        <f>Weather!Q72</f>
        <v>5.3208333333333329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1</v>
      </c>
      <c r="CC60">
        <v>0</v>
      </c>
      <c r="CD60" s="1">
        <f t="shared" si="115"/>
        <v>0</v>
      </c>
      <c r="CE60">
        <f t="shared" si="52"/>
        <v>0</v>
      </c>
      <c r="CF60" s="1">
        <f t="shared" si="115"/>
        <v>1</v>
      </c>
      <c r="CG60">
        <f t="shared" si="52"/>
        <v>0</v>
      </c>
      <c r="CH60" s="1">
        <f t="shared" si="115"/>
        <v>1</v>
      </c>
      <c r="CI60">
        <f t="shared" si="115"/>
        <v>0</v>
      </c>
      <c r="CJ60">
        <f t="shared" si="21"/>
        <v>1</v>
      </c>
      <c r="CK60">
        <f t="shared" si="53"/>
        <v>0</v>
      </c>
      <c r="CL60">
        <f t="shared" si="53"/>
        <v>0</v>
      </c>
      <c r="CM60" s="1">
        <f t="shared" si="120"/>
        <v>59</v>
      </c>
      <c r="CN60" s="1">
        <f t="shared" si="117"/>
        <v>11</v>
      </c>
      <c r="CO60" s="1">
        <v>0</v>
      </c>
      <c r="CP60" s="1">
        <v>0</v>
      </c>
      <c r="CQ60" s="1">
        <v>0</v>
      </c>
      <c r="CR60" s="1">
        <v>0</v>
      </c>
      <c r="CS60">
        <f t="shared" si="116"/>
        <v>30</v>
      </c>
      <c r="CT60" s="1">
        <v>22</v>
      </c>
      <c r="CU60" s="1">
        <v>1</v>
      </c>
      <c r="CV60" s="1">
        <v>0.5</v>
      </c>
      <c r="CW60" s="1">
        <v>0.25</v>
      </c>
      <c r="CX60" s="1">
        <v>0.75</v>
      </c>
      <c r="CY60" s="1">
        <v>0</v>
      </c>
      <c r="CZ60" s="10">
        <f t="shared" si="87"/>
        <v>254.0395833333333</v>
      </c>
      <c r="DA60" s="10">
        <f t="shared" si="88"/>
        <v>0</v>
      </c>
      <c r="DB60" s="10">
        <f t="shared" si="89"/>
        <v>224.0395833333333</v>
      </c>
      <c r="DC60" s="10">
        <f t="shared" si="90"/>
        <v>0</v>
      </c>
      <c r="DD60" s="10">
        <f t="shared" si="91"/>
        <v>194.0395833333333</v>
      </c>
      <c r="DE60" s="10">
        <f t="shared" si="92"/>
        <v>0</v>
      </c>
      <c r="DF60" s="10">
        <f t="shared" si="93"/>
        <v>164.03958333333333</v>
      </c>
      <c r="DG60" s="10">
        <f t="shared" si="94"/>
        <v>0</v>
      </c>
      <c r="DH60" s="10">
        <f t="shared" si="95"/>
        <v>134.03958333333333</v>
      </c>
      <c r="DI60" s="10">
        <f t="shared" si="96"/>
        <v>0</v>
      </c>
      <c r="DJ60" s="10">
        <f t="shared" si="97"/>
        <v>104.03958333333333</v>
      </c>
      <c r="DK60" s="10">
        <f t="shared" si="98"/>
        <v>0</v>
      </c>
      <c r="DL60" s="10">
        <f t="shared" si="99"/>
        <v>76.7</v>
      </c>
      <c r="DM60" s="10">
        <f t="shared" si="100"/>
        <v>2.6604166666666664</v>
      </c>
      <c r="DN60" s="10">
        <f t="shared" si="101"/>
        <v>381.05937499999993</v>
      </c>
      <c r="DO60" s="10">
        <f t="shared" si="102"/>
        <v>0</v>
      </c>
      <c r="DP60" s="10">
        <f t="shared" si="103"/>
        <v>336.05937499999993</v>
      </c>
      <c r="DQ60" s="10">
        <f t="shared" si="104"/>
        <v>0</v>
      </c>
      <c r="DR60" s="10">
        <f t="shared" si="105"/>
        <v>291.05937499999993</v>
      </c>
      <c r="DS60" s="10">
        <f t="shared" si="106"/>
        <v>0</v>
      </c>
      <c r="DT60" s="10">
        <f t="shared" si="107"/>
        <v>246.05937499999999</v>
      </c>
      <c r="DU60" s="10">
        <f t="shared" si="108"/>
        <v>0</v>
      </c>
      <c r="DV60" s="10">
        <f t="shared" si="109"/>
        <v>201.05937499999999</v>
      </c>
      <c r="DW60" s="10">
        <f t="shared" si="110"/>
        <v>0</v>
      </c>
      <c r="DX60" s="10">
        <f t="shared" si="111"/>
        <v>156.05937499999999</v>
      </c>
      <c r="DY60" s="10">
        <f t="shared" si="112"/>
        <v>0</v>
      </c>
      <c r="DZ60" s="10">
        <f t="shared" si="113"/>
        <v>115.05000000000001</v>
      </c>
      <c r="EA60" s="10">
        <f t="shared" si="114"/>
        <v>3.9906249999999996</v>
      </c>
      <c r="EB60" s="44">
        <f t="shared" si="82"/>
        <v>601.4917816540576</v>
      </c>
      <c r="EC60" s="44">
        <f t="shared" si="121"/>
        <v>20.049726055135253</v>
      </c>
      <c r="ED60" s="44">
        <f t="shared" si="83"/>
        <v>2991780.0224951725</v>
      </c>
      <c r="EE60" s="44">
        <f t="shared" si="84"/>
        <v>2446.8266926731962</v>
      </c>
      <c r="EF60" s="44">
        <f t="shared" si="122"/>
        <v>81.560889755773204</v>
      </c>
      <c r="EG60" s="44">
        <f t="shared" si="85"/>
        <v>1062330.5890689462</v>
      </c>
      <c r="EH60" s="44">
        <f t="shared" si="86"/>
        <v>77549.575153421334</v>
      </c>
      <c r="EI60" s="44">
        <f t="shared" si="123"/>
        <v>2584.9858384473778</v>
      </c>
      <c r="EJ60" s="44">
        <f t="shared" si="125"/>
        <v>3692.8369120676825</v>
      </c>
      <c r="EK60" s="44">
        <f t="shared" si="124"/>
        <v>3955028.3328244882</v>
      </c>
      <c r="EL60" s="44">
        <f t="shared" si="126"/>
        <v>5650040.4754635543</v>
      </c>
    </row>
    <row r="61" spans="1:142" x14ac:dyDescent="0.2">
      <c r="A61" s="66">
        <v>44531</v>
      </c>
      <c r="B61" s="4">
        <f t="shared" si="118"/>
        <v>2021</v>
      </c>
      <c r="C61" s="4">
        <f t="shared" si="119"/>
        <v>12</v>
      </c>
      <c r="D61" s="44">
        <v>99748023.542485699</v>
      </c>
      <c r="E61" s="44">
        <f>IFERROR(VLOOKUP($B61-1,CDM!$L$7:$T$18,2,FALSE)/12,0)+IFERROR(VLOOKUP($B61,CDM!$L$37:$O$47,2,FALSE)/24,0)+IFERROR(VLOOKUP($B61,CDM!$L$37:$O$47,2,FALSE)/2*$C61/78,0)</f>
        <v>2177913.4103470081</v>
      </c>
      <c r="F61" s="44">
        <f t="shared" si="79"/>
        <v>101925936.95283271</v>
      </c>
      <c r="G61" s="488">
        <v>149578</v>
      </c>
      <c r="H61" s="44">
        <v>32965519.195962399</v>
      </c>
      <c r="I61" s="44">
        <f>IFERROR(VLOOKUP($B61-1,CDM!$L$7:$T$18,3,FALSE)/12,0)+IFERROR(VLOOKUP($B61,CDM!$L$37:$O$47,3,FALSE)/24,0)+IFERROR(VLOOKUP($B61,CDM!$L$37:$O$47,3,FALSE)/2*$C61/78,0)</f>
        <v>939169.16639813338</v>
      </c>
      <c r="J61" s="44">
        <f t="shared" si="80"/>
        <v>33904688.36236053</v>
      </c>
      <c r="K61" s="44">
        <v>13031</v>
      </c>
      <c r="L61" s="44">
        <v>109811433.64880601</v>
      </c>
      <c r="M61" s="44">
        <f>IFERROR(VLOOKUP($B61-1,CDM!$L$7:$T$18,4,FALSE)/12,0)+IFERROR(VLOOKUP($B61,CDM!$L$37:$O$47,4,FALSE)/24,0)+IFERROR(VLOOKUP($B61,CDM!$L$37:$O$47,4,FALSE)/2*$C61/78,0)</f>
        <v>6305908.6120746816</v>
      </c>
      <c r="N61" s="44">
        <f t="shared" si="81"/>
        <v>116117342.26088069</v>
      </c>
      <c r="O61" s="44">
        <v>278477.45</v>
      </c>
      <c r="P61" s="488">
        <v>1520</v>
      </c>
      <c r="Q61" s="488">
        <v>2429034.0141454199</v>
      </c>
      <c r="R61" s="488">
        <f>IFERROR(VLOOKUP($B61-1,CDM!$L$7:$T$18,5,FALSE)/12,0)+IFERROR(VLOOKUP($B61,CDM!$L$37:$T$47,5,FALSE)/24,0)+IFERROR(VLOOKUP($B61,CDM!$L$37:$T$47,5,FALSE)/2*$C61/78,0)</f>
        <v>94880.524060458585</v>
      </c>
      <c r="S61" s="488">
        <f t="shared" si="18"/>
        <v>2523914.5382058783</v>
      </c>
      <c r="T61" s="44">
        <v>6466.8100000000013</v>
      </c>
      <c r="U61" s="488">
        <v>8</v>
      </c>
      <c r="V61" s="488">
        <v>8003919.60795407</v>
      </c>
      <c r="W61" s="488">
        <f>IFERROR(VLOOKUP($B61-1,CDM!$L$7:$T$18,6,FALSE)/12,0)+IFERROR(VLOOKUP($B61,CDM!$L$37:$T$47,6,FALSE)/24,0)+IFERROR(VLOOKUP($B61,CDM!$L$37:$T$47,6,FALSE)/2*$C61/78,0)</f>
        <v>1100456.9560630533</v>
      </c>
      <c r="X61" s="488">
        <f t="shared" si="19"/>
        <v>9104376.5640171226</v>
      </c>
      <c r="Y61" s="488">
        <v>13513.71</v>
      </c>
      <c r="Z61" s="488">
        <v>1</v>
      </c>
      <c r="AA61" s="44">
        <v>1823713.33</v>
      </c>
      <c r="AB61" s="44">
        <v>3945.64</v>
      </c>
      <c r="AC61" s="488">
        <v>38932</v>
      </c>
      <c r="AD61" s="44">
        <v>462000.91</v>
      </c>
      <c r="AE61" s="44">
        <v>1543</v>
      </c>
      <c r="AF61" s="44">
        <v>45249.789999999994</v>
      </c>
      <c r="AG61" s="44">
        <v>119.07</v>
      </c>
      <c r="AH61" s="44">
        <v>508</v>
      </c>
      <c r="AI61" s="44">
        <v>16400</v>
      </c>
      <c r="AJ61" s="68">
        <f>Economic!H75</f>
        <v>818746.1</v>
      </c>
      <c r="AK61" s="68">
        <f>Economic!I75</f>
        <v>92448.9</v>
      </c>
      <c r="AL61" s="68">
        <f>Economic!J75</f>
        <v>35353</v>
      </c>
      <c r="AM61" s="68">
        <f>Economic!K75</f>
        <v>84915.6</v>
      </c>
      <c r="AN61" s="68">
        <f>Economic!L75</f>
        <v>64969.2</v>
      </c>
      <c r="AO61" s="68">
        <f>Economic!M75</f>
        <v>840399</v>
      </c>
      <c r="AP61" s="68">
        <f>Economic!N75</f>
        <v>95623</v>
      </c>
      <c r="AQ61" s="68">
        <f>Economic!O75</f>
        <v>15201</v>
      </c>
      <c r="AR61" s="68">
        <f>Economic!P75</f>
        <v>36785</v>
      </c>
      <c r="AS61" s="68">
        <f>Economic!Q75</f>
        <v>89292</v>
      </c>
      <c r="AT61" s="68">
        <f>Economic!D75</f>
        <v>7658.5</v>
      </c>
      <c r="AU61" s="68">
        <f>Economic!E75</f>
        <v>7662.8</v>
      </c>
      <c r="AV61" s="68">
        <f>Economic!F75</f>
        <v>295.5</v>
      </c>
      <c r="AW61" s="68">
        <f>Economic!G75</f>
        <v>293.39999999999998</v>
      </c>
      <c r="AX61" s="68">
        <f>Economic!W75</f>
        <v>43086</v>
      </c>
      <c r="AY61" s="68">
        <f>Economic!R75</f>
        <v>368.69999999999982</v>
      </c>
      <c r="AZ61" s="68">
        <f>Economic!W75</f>
        <v>43086</v>
      </c>
      <c r="BA61" s="68">
        <f>Economic!X75</f>
        <v>5037</v>
      </c>
      <c r="BB61" s="68">
        <f>Economic!Y75</f>
        <v>9580</v>
      </c>
      <c r="BC61" s="236">
        <f>Weather!C73</f>
        <v>0.99448924731182786</v>
      </c>
      <c r="BD61" s="16">
        <f>Weather!D73</f>
        <v>589.17083333333335</v>
      </c>
      <c r="BE61" s="16">
        <f>Weather!E73</f>
        <v>0</v>
      </c>
      <c r="BF61" s="16">
        <f>Weather!F73</f>
        <v>527.17083333333335</v>
      </c>
      <c r="BG61" s="16">
        <f>Weather!G73</f>
        <v>0</v>
      </c>
      <c r="BH61" s="16">
        <f>Weather!H73</f>
        <v>465.17083333333329</v>
      </c>
      <c r="BI61" s="16">
        <f>Weather!I73</f>
        <v>0</v>
      </c>
      <c r="BJ61" s="16">
        <f>Weather!J73</f>
        <v>403.17083333333323</v>
      </c>
      <c r="BK61" s="16">
        <f>Weather!K73</f>
        <v>0</v>
      </c>
      <c r="BL61" s="16">
        <f>Weather!L73</f>
        <v>341.17083333333323</v>
      </c>
      <c r="BM61" s="16">
        <f>Weather!M73</f>
        <v>0</v>
      </c>
      <c r="BN61" s="16">
        <f>Weather!N73</f>
        <v>280.55</v>
      </c>
      <c r="BO61" s="16">
        <f>Weather!O73</f>
        <v>1.3791666666666647</v>
      </c>
      <c r="BP61" s="16">
        <f>Weather!P73</f>
        <v>220.5500000000001</v>
      </c>
      <c r="BQ61" s="16">
        <f>Weather!Q73</f>
        <v>3.3791666666666647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1</v>
      </c>
      <c r="CD61" s="1">
        <f t="shared" si="115"/>
        <v>0</v>
      </c>
      <c r="CE61">
        <f t="shared" si="52"/>
        <v>0</v>
      </c>
      <c r="CF61" s="1">
        <f t="shared" si="115"/>
        <v>0</v>
      </c>
      <c r="CG61">
        <f t="shared" si="52"/>
        <v>0</v>
      </c>
      <c r="CH61" s="1">
        <f t="shared" si="115"/>
        <v>0</v>
      </c>
      <c r="CI61">
        <f t="shared" si="115"/>
        <v>0</v>
      </c>
      <c r="CJ61">
        <f t="shared" si="21"/>
        <v>0</v>
      </c>
      <c r="CK61">
        <f t="shared" si="53"/>
        <v>0</v>
      </c>
      <c r="CL61">
        <f t="shared" si="53"/>
        <v>0</v>
      </c>
      <c r="CM61" s="1">
        <f t="shared" si="120"/>
        <v>60</v>
      </c>
      <c r="CN61" s="1">
        <f t="shared" si="117"/>
        <v>12</v>
      </c>
      <c r="CO61" s="1">
        <v>0</v>
      </c>
      <c r="CP61" s="1">
        <v>0</v>
      </c>
      <c r="CQ61" s="1">
        <v>0</v>
      </c>
      <c r="CR61" s="1">
        <v>0</v>
      </c>
      <c r="CS61">
        <f t="shared" si="116"/>
        <v>31</v>
      </c>
      <c r="CT61" s="1">
        <v>21</v>
      </c>
      <c r="CU61" s="1">
        <v>1</v>
      </c>
      <c r="CV61" s="1">
        <v>0.5</v>
      </c>
      <c r="CW61" s="1">
        <v>0.25</v>
      </c>
      <c r="CX61" s="1">
        <v>0.75</v>
      </c>
      <c r="CY61" s="1">
        <v>0</v>
      </c>
      <c r="CZ61" s="10">
        <f t="shared" si="87"/>
        <v>294.58541666666667</v>
      </c>
      <c r="DA61" s="10">
        <f t="shared" si="88"/>
        <v>0</v>
      </c>
      <c r="DB61" s="10">
        <f t="shared" si="89"/>
        <v>263.58541666666667</v>
      </c>
      <c r="DC61" s="10">
        <f t="shared" si="90"/>
        <v>0</v>
      </c>
      <c r="DD61" s="10">
        <f t="shared" si="91"/>
        <v>232.58541666666665</v>
      </c>
      <c r="DE61" s="10">
        <f t="shared" si="92"/>
        <v>0</v>
      </c>
      <c r="DF61" s="10">
        <f t="shared" si="93"/>
        <v>201.58541666666662</v>
      </c>
      <c r="DG61" s="10">
        <f t="shared" si="94"/>
        <v>0</v>
      </c>
      <c r="DH61" s="10">
        <f t="shared" si="95"/>
        <v>170.58541666666662</v>
      </c>
      <c r="DI61" s="10">
        <f t="shared" si="96"/>
        <v>0</v>
      </c>
      <c r="DJ61" s="10">
        <f t="shared" si="97"/>
        <v>140.27500000000001</v>
      </c>
      <c r="DK61" s="10">
        <f t="shared" si="98"/>
        <v>0.68958333333333233</v>
      </c>
      <c r="DL61" s="10">
        <f t="shared" si="99"/>
        <v>110.27500000000005</v>
      </c>
      <c r="DM61" s="10">
        <f t="shared" si="100"/>
        <v>1.6895833333333323</v>
      </c>
      <c r="DN61" s="10">
        <f t="shared" si="101"/>
        <v>441.87812500000001</v>
      </c>
      <c r="DO61" s="10">
        <f t="shared" si="102"/>
        <v>0</v>
      </c>
      <c r="DP61" s="10">
        <f t="shared" si="103"/>
        <v>395.37812500000001</v>
      </c>
      <c r="DQ61" s="10">
        <f t="shared" si="104"/>
        <v>0</v>
      </c>
      <c r="DR61" s="10">
        <f t="shared" si="105"/>
        <v>348.87812499999995</v>
      </c>
      <c r="DS61" s="10">
        <f t="shared" si="106"/>
        <v>0</v>
      </c>
      <c r="DT61" s="10">
        <f t="shared" si="107"/>
        <v>302.37812499999995</v>
      </c>
      <c r="DU61" s="10">
        <f t="shared" si="108"/>
        <v>0</v>
      </c>
      <c r="DV61" s="10">
        <f t="shared" si="109"/>
        <v>255.87812499999993</v>
      </c>
      <c r="DW61" s="10">
        <f t="shared" si="110"/>
        <v>0</v>
      </c>
      <c r="DX61" s="10">
        <f t="shared" si="111"/>
        <v>210.41250000000002</v>
      </c>
      <c r="DY61" s="10">
        <f t="shared" si="112"/>
        <v>1.0343749999999985</v>
      </c>
      <c r="DZ61" s="10">
        <f t="shared" si="113"/>
        <v>165.41250000000008</v>
      </c>
      <c r="EA61" s="10">
        <f t="shared" si="114"/>
        <v>2.5343749999999985</v>
      </c>
      <c r="EB61" s="44">
        <f t="shared" si="82"/>
        <v>681.42331728484612</v>
      </c>
      <c r="EC61" s="44">
        <f t="shared" si="121"/>
        <v>21.98139733176923</v>
      </c>
      <c r="ED61" s="44">
        <f t="shared" si="83"/>
        <v>3287933.4500913778</v>
      </c>
      <c r="EE61" s="44">
        <f t="shared" si="84"/>
        <v>2601.8485428870026</v>
      </c>
      <c r="EF61" s="44">
        <f t="shared" si="122"/>
        <v>83.93059815764525</v>
      </c>
      <c r="EG61" s="44">
        <f t="shared" si="85"/>
        <v>1093699.6245922751</v>
      </c>
      <c r="EH61" s="44">
        <f t="shared" si="86"/>
        <v>76392.988329526779</v>
      </c>
      <c r="EI61" s="44">
        <f t="shared" si="123"/>
        <v>2464.2899461137672</v>
      </c>
      <c r="EJ61" s="44">
        <f t="shared" si="125"/>
        <v>3637.7613490250847</v>
      </c>
      <c r="EK61" s="44">
        <f t="shared" si="124"/>
        <v>3745720.7180929254</v>
      </c>
      <c r="EL61" s="44">
        <f t="shared" si="126"/>
        <v>5529397.2505181283</v>
      </c>
    </row>
    <row r="62" spans="1:142" x14ac:dyDescent="0.2">
      <c r="A62" s="66">
        <v>44562</v>
      </c>
      <c r="B62" s="4">
        <f t="shared" si="118"/>
        <v>2022</v>
      </c>
      <c r="C62" s="4">
        <f t="shared" si="119"/>
        <v>1</v>
      </c>
      <c r="D62" s="44">
        <v>111215459.16981401</v>
      </c>
      <c r="E62" s="44">
        <f>IFERROR(VLOOKUP($B62-1,CDM!$L$7:$T$18,2,FALSE)/12,0)+IFERROR(VLOOKUP($B62,CDM!$L$37:$O$47,2,FALSE)/24,0)+IFERROR(VLOOKUP($B62,CDM!$L$37:$O$47,2,FALSE)/2*$C62/78,0)</f>
        <v>2184976.9420835217</v>
      </c>
      <c r="F62" s="44">
        <f t="shared" si="79"/>
        <v>113400436.11189753</v>
      </c>
      <c r="G62" s="488">
        <v>149791</v>
      </c>
      <c r="H62" s="44">
        <v>36022664.739224397</v>
      </c>
      <c r="I62" s="44">
        <f>IFERROR(VLOOKUP($B62-1,CDM!$L$7:$T$18,3,FALSE)/12,0)+IFERROR(VLOOKUP($B62,CDM!$L$37:$O$47,3,FALSE)/24,0)+IFERROR(VLOOKUP($B62,CDM!$L$37:$O$47,3,FALSE)/2*$C62/78,0)</f>
        <v>1049534.5469092953</v>
      </c>
      <c r="J62" s="44">
        <f t="shared" si="80"/>
        <v>37072199.286133692</v>
      </c>
      <c r="K62" s="44">
        <v>13115</v>
      </c>
      <c r="L62" s="44">
        <v>119326074.354404</v>
      </c>
      <c r="M62" s="44">
        <f>IFERROR(VLOOKUP($B62-1,CDM!$L$7:$T$18,4,FALSE)/12,0)+IFERROR(VLOOKUP($B62,CDM!$L$37:$O$47,4,FALSE)/24,0)+IFERROR(VLOOKUP($B62,CDM!$L$37:$O$47,4,FALSE)/2*$C62/78,0)</f>
        <v>6600346.0338955084</v>
      </c>
      <c r="N62" s="44">
        <f t="shared" si="81"/>
        <v>125926420.38829951</v>
      </c>
      <c r="O62" s="44">
        <v>275893.39</v>
      </c>
      <c r="P62" s="488">
        <v>1464</v>
      </c>
      <c r="Q62" s="488">
        <v>919985.12828702095</v>
      </c>
      <c r="R62" s="488">
        <f>IFERROR(VLOOKUP($B62-1,CDM!$L$7:$T$18,5,FALSE)/12,0)+IFERROR(VLOOKUP($B62,CDM!$L$37:$T$47,5,FALSE)/24,0)+IFERROR(VLOOKUP($B62,CDM!$L$37:$T$47,5,FALSE)/2*$C62/78,0)</f>
        <v>102074.48869875554</v>
      </c>
      <c r="S62" s="488">
        <f t="shared" si="18"/>
        <v>1022059.6169857765</v>
      </c>
      <c r="T62" s="44">
        <v>7411.98</v>
      </c>
      <c r="U62" s="488">
        <v>8</v>
      </c>
      <c r="V62" s="488">
        <v>7907319.2057059398</v>
      </c>
      <c r="W62" s="488">
        <f>IFERROR(VLOOKUP($B62-1,CDM!$L$7:$T$18,6,FALSE)/12,0)+IFERROR(VLOOKUP($B62,CDM!$L$37:$T$47,6,FALSE)/24,0)+IFERROR(VLOOKUP($B62,CDM!$L$37:$T$47,6,FALSE)/2*$C62/78,0)</f>
        <v>1203431.8251777245</v>
      </c>
      <c r="X62" s="488">
        <f t="shared" si="19"/>
        <v>9110751.0308836643</v>
      </c>
      <c r="Y62" s="488">
        <v>12630.25</v>
      </c>
      <c r="Z62" s="488">
        <v>1</v>
      </c>
      <c r="AA62" s="44">
        <v>1763381.03</v>
      </c>
      <c r="AB62" s="44">
        <v>3947.49</v>
      </c>
      <c r="AC62" s="488">
        <v>38975</v>
      </c>
      <c r="AD62" s="44">
        <v>461745.80999999994</v>
      </c>
      <c r="AE62" s="44">
        <v>1543</v>
      </c>
      <c r="AF62" s="44">
        <v>44311.23000000001</v>
      </c>
      <c r="AG62" s="44">
        <v>119.08</v>
      </c>
      <c r="AH62" s="44">
        <v>506</v>
      </c>
      <c r="AI62" s="44">
        <v>16400</v>
      </c>
      <c r="AJ62" s="68">
        <f>Economic!H76</f>
        <v>854001.9</v>
      </c>
      <c r="AK62" s="68">
        <f>Economic!I76</f>
        <v>93618.5</v>
      </c>
      <c r="AL62" s="68">
        <f>Economic!J76</f>
        <v>35584.300000000003</v>
      </c>
      <c r="AM62" s="68">
        <f>Economic!K76</f>
        <v>87698.4</v>
      </c>
      <c r="AN62" s="68">
        <f>Economic!L76</f>
        <v>71366.899999999994</v>
      </c>
      <c r="AO62" s="68">
        <f>Economic!M76</f>
        <v>847546</v>
      </c>
      <c r="AP62" s="68">
        <f>Economic!N76</f>
        <v>95039</v>
      </c>
      <c r="AQ62" s="68">
        <f>Economic!O76</f>
        <v>14723</v>
      </c>
      <c r="AR62" s="68">
        <f>Economic!P76</f>
        <v>35881</v>
      </c>
      <c r="AS62" s="68">
        <f>Economic!Q76</f>
        <v>89450</v>
      </c>
      <c r="AT62" s="68">
        <f>Economic!D76</f>
        <v>7643.6</v>
      </c>
      <c r="AU62" s="68">
        <f>Economic!E76</f>
        <v>7611.7</v>
      </c>
      <c r="AV62" s="68">
        <f>Economic!F76</f>
        <v>297.8</v>
      </c>
      <c r="AW62" s="68">
        <f>Economic!G76</f>
        <v>295.2</v>
      </c>
      <c r="AX62" s="68">
        <f>Economic!W76</f>
        <v>37552</v>
      </c>
      <c r="AY62" s="68">
        <f>Economic!R76</f>
        <v>409</v>
      </c>
      <c r="AZ62" s="68">
        <f>Economic!W76</f>
        <v>37552</v>
      </c>
      <c r="BA62" s="68">
        <f>Economic!X76</f>
        <v>2966</v>
      </c>
      <c r="BB62" s="68">
        <f>Economic!Y76</f>
        <v>7797</v>
      </c>
      <c r="BC62" s="236">
        <f>Weather!C74</f>
        <v>-7.9393817204301067</v>
      </c>
      <c r="BD62" s="16">
        <f>Weather!D74</f>
        <v>866.12083333333339</v>
      </c>
      <c r="BE62" s="16">
        <f>Weather!E74</f>
        <v>0</v>
      </c>
      <c r="BF62" s="16">
        <f>Weather!F74</f>
        <v>804.12083333333339</v>
      </c>
      <c r="BG62" s="16">
        <f>Weather!G74</f>
        <v>0</v>
      </c>
      <c r="BH62" s="16">
        <f>Weather!H74</f>
        <v>742.12083333333339</v>
      </c>
      <c r="BI62" s="16">
        <f>Weather!I74</f>
        <v>0</v>
      </c>
      <c r="BJ62" s="16">
        <f>Weather!J74</f>
        <v>680.12083333333328</v>
      </c>
      <c r="BK62" s="16">
        <f>Weather!K74</f>
        <v>0</v>
      </c>
      <c r="BL62" s="16">
        <f>Weather!L74</f>
        <v>618.12083333333339</v>
      </c>
      <c r="BM62" s="16">
        <f>Weather!M74</f>
        <v>0</v>
      </c>
      <c r="BN62" s="16">
        <f>Weather!N74</f>
        <v>556.12083333333328</v>
      </c>
      <c r="BO62" s="16">
        <f>Weather!O74</f>
        <v>0</v>
      </c>
      <c r="BP62" s="16">
        <f>Weather!P74</f>
        <v>494.12083333333328</v>
      </c>
      <c r="BQ62" s="16">
        <f>Weather!Q74</f>
        <v>0</v>
      </c>
      <c r="BR62">
        <f>BR50</f>
        <v>1</v>
      </c>
      <c r="BS62">
        <f t="shared" ref="BS62:CC62" si="127">BS50</f>
        <v>0</v>
      </c>
      <c r="BT62">
        <f t="shared" si="127"/>
        <v>0</v>
      </c>
      <c r="BU62">
        <f t="shared" si="127"/>
        <v>0</v>
      </c>
      <c r="BV62">
        <f t="shared" si="127"/>
        <v>0</v>
      </c>
      <c r="BW62">
        <f t="shared" si="127"/>
        <v>0</v>
      </c>
      <c r="BX62">
        <f t="shared" si="127"/>
        <v>0</v>
      </c>
      <c r="BY62">
        <f t="shared" si="127"/>
        <v>0</v>
      </c>
      <c r="BZ62">
        <f t="shared" si="127"/>
        <v>0</v>
      </c>
      <c r="CA62">
        <f t="shared" si="127"/>
        <v>0</v>
      </c>
      <c r="CB62">
        <f t="shared" si="127"/>
        <v>0</v>
      </c>
      <c r="CC62">
        <f t="shared" si="127"/>
        <v>0</v>
      </c>
      <c r="CD62" s="1">
        <f t="shared" si="115"/>
        <v>0</v>
      </c>
      <c r="CE62">
        <f t="shared" si="52"/>
        <v>0</v>
      </c>
      <c r="CF62" s="1">
        <f t="shared" si="115"/>
        <v>0</v>
      </c>
      <c r="CG62">
        <f t="shared" si="52"/>
        <v>0</v>
      </c>
      <c r="CH62" s="1">
        <f t="shared" si="115"/>
        <v>0</v>
      </c>
      <c r="CI62">
        <f t="shared" si="115"/>
        <v>0</v>
      </c>
      <c r="CJ62">
        <f t="shared" si="21"/>
        <v>0</v>
      </c>
      <c r="CK62">
        <f t="shared" si="53"/>
        <v>0</v>
      </c>
      <c r="CL62">
        <f t="shared" si="53"/>
        <v>0</v>
      </c>
      <c r="CM62" s="1">
        <f t="shared" si="120"/>
        <v>61</v>
      </c>
      <c r="CN62" s="1">
        <f t="shared" si="117"/>
        <v>13</v>
      </c>
      <c r="CO62" s="1">
        <v>1</v>
      </c>
      <c r="CP62" s="1">
        <v>0</v>
      </c>
      <c r="CQ62" s="1">
        <v>0</v>
      </c>
      <c r="CR62" s="1">
        <v>1</v>
      </c>
      <c r="CS62">
        <f t="shared" si="116"/>
        <v>31</v>
      </c>
      <c r="CT62" s="1">
        <v>20</v>
      </c>
      <c r="CU62" s="1">
        <v>0.5</v>
      </c>
      <c r="CV62" s="1">
        <v>0.25</v>
      </c>
      <c r="CW62" s="1">
        <v>0</v>
      </c>
      <c r="CX62" s="1">
        <v>0.5</v>
      </c>
      <c r="CY62" s="1">
        <v>0</v>
      </c>
      <c r="CZ62" s="10">
        <f t="shared" si="87"/>
        <v>216.53020833333335</v>
      </c>
      <c r="DA62" s="10">
        <f t="shared" si="88"/>
        <v>0</v>
      </c>
      <c r="DB62" s="10">
        <f t="shared" si="89"/>
        <v>201.03020833333335</v>
      </c>
      <c r="DC62" s="10">
        <f t="shared" si="90"/>
        <v>0</v>
      </c>
      <c r="DD62" s="10">
        <f t="shared" si="91"/>
        <v>185.53020833333335</v>
      </c>
      <c r="DE62" s="10">
        <f t="shared" si="92"/>
        <v>0</v>
      </c>
      <c r="DF62" s="10">
        <f t="shared" si="93"/>
        <v>170.03020833333332</v>
      </c>
      <c r="DG62" s="10">
        <f t="shared" si="94"/>
        <v>0</v>
      </c>
      <c r="DH62" s="10">
        <f t="shared" si="95"/>
        <v>154.53020833333335</v>
      </c>
      <c r="DI62" s="10">
        <f t="shared" si="96"/>
        <v>0</v>
      </c>
      <c r="DJ62" s="10">
        <f t="shared" si="97"/>
        <v>139.03020833333332</v>
      </c>
      <c r="DK62" s="10">
        <f t="shared" si="98"/>
        <v>0</v>
      </c>
      <c r="DL62" s="10">
        <f t="shared" si="99"/>
        <v>123.53020833333332</v>
      </c>
      <c r="DM62" s="10">
        <f t="shared" si="100"/>
        <v>0</v>
      </c>
      <c r="DN62" s="10">
        <f t="shared" si="101"/>
        <v>433.0604166666667</v>
      </c>
      <c r="DO62" s="10">
        <f t="shared" si="102"/>
        <v>0</v>
      </c>
      <c r="DP62" s="10">
        <f t="shared" si="103"/>
        <v>402.0604166666667</v>
      </c>
      <c r="DQ62" s="10">
        <f t="shared" si="104"/>
        <v>0</v>
      </c>
      <c r="DR62" s="10">
        <f t="shared" si="105"/>
        <v>371.0604166666667</v>
      </c>
      <c r="DS62" s="10">
        <f t="shared" si="106"/>
        <v>0</v>
      </c>
      <c r="DT62" s="10">
        <f t="shared" si="107"/>
        <v>340.06041666666664</v>
      </c>
      <c r="DU62" s="10">
        <f t="shared" si="108"/>
        <v>0</v>
      </c>
      <c r="DV62" s="10">
        <f t="shared" si="109"/>
        <v>309.0604166666667</v>
      </c>
      <c r="DW62" s="10">
        <f t="shared" si="110"/>
        <v>0</v>
      </c>
      <c r="DX62" s="10">
        <f t="shared" si="111"/>
        <v>278.06041666666664</v>
      </c>
      <c r="DY62" s="10">
        <f t="shared" si="112"/>
        <v>0</v>
      </c>
      <c r="DZ62" s="10">
        <f t="shared" si="113"/>
        <v>247.06041666666664</v>
      </c>
      <c r="EA62" s="10">
        <f t="shared" si="114"/>
        <v>0</v>
      </c>
      <c r="EB62" s="44">
        <f t="shared" si="82"/>
        <v>757.05774119872035</v>
      </c>
      <c r="EC62" s="44">
        <f>EB62/CS62</f>
        <v>24.421217458023236</v>
      </c>
      <c r="ED62" s="44">
        <f t="shared" si="83"/>
        <v>3658078.5842547589</v>
      </c>
      <c r="EE62" s="44">
        <f t="shared" si="84"/>
        <v>2826.7021949015398</v>
      </c>
      <c r="EF62" s="44">
        <f t="shared" si="122"/>
        <v>91.183941771017416</v>
      </c>
      <c r="EG62" s="44">
        <f t="shared" si="85"/>
        <v>1195877.3963268932</v>
      </c>
      <c r="EH62" s="44">
        <f t="shared" si="86"/>
        <v>86015.314472882179</v>
      </c>
      <c r="EI62" s="44">
        <f t="shared" si="123"/>
        <v>2774.6875636413606</v>
      </c>
      <c r="EJ62" s="44">
        <f t="shared" si="125"/>
        <v>3909.7870214946447</v>
      </c>
      <c r="EK62" s="44">
        <f t="shared" si="124"/>
        <v>4062142.5931709521</v>
      </c>
      <c r="EL62" s="44">
        <f t="shared" si="126"/>
        <v>5723928.1994681591</v>
      </c>
    </row>
    <row r="63" spans="1:142" x14ac:dyDescent="0.2">
      <c r="A63" s="66">
        <v>44593</v>
      </c>
      <c r="B63" s="4">
        <f t="shared" si="118"/>
        <v>2022</v>
      </c>
      <c r="C63" s="4">
        <f t="shared" si="119"/>
        <v>2</v>
      </c>
      <c r="D63" s="44">
        <v>96084443.165332407</v>
      </c>
      <c r="E63" s="44">
        <f>IFERROR(VLOOKUP($B63-1,CDM!$L$7:$T$18,2,FALSE)/12,0)+IFERROR(VLOOKUP($B63,CDM!$L$37:$O$47,2,FALSE)/24,0)+IFERROR(VLOOKUP($B63,CDM!$L$37:$O$47,2,FALSE)/2*$C63/78,0)</f>
        <v>2186697.3367933244</v>
      </c>
      <c r="F63" s="44">
        <f t="shared" si="79"/>
        <v>98271140.502125725</v>
      </c>
      <c r="G63" s="488">
        <v>149936</v>
      </c>
      <c r="H63" s="44">
        <v>33037908.339163601</v>
      </c>
      <c r="I63" s="44">
        <f>IFERROR(VLOOKUP($B63-1,CDM!$L$7:$T$18,3,FALSE)/12,0)+IFERROR(VLOOKUP($B63,CDM!$L$37:$O$47,3,FALSE)/24,0)+IFERROR(VLOOKUP($B63,CDM!$L$37:$O$47,3,FALSE)/2*$C63/78,0)</f>
        <v>1068116.8815660875</v>
      </c>
      <c r="J63" s="44">
        <f t="shared" si="80"/>
        <v>34106025.220729686</v>
      </c>
      <c r="K63" s="44">
        <v>13129</v>
      </c>
      <c r="L63" s="44">
        <v>108929407.393823</v>
      </c>
      <c r="M63" s="44">
        <f>IFERROR(VLOOKUP($B63-1,CDM!$L$7:$T$18,4,FALSE)/12,0)+IFERROR(VLOOKUP($B63,CDM!$L$37:$O$47,4,FALSE)/24,0)+IFERROR(VLOOKUP($B63,CDM!$L$37:$O$47,4,FALSE)/2*$C63/78,0)</f>
        <v>6674526.4129615147</v>
      </c>
      <c r="N63" s="44">
        <f t="shared" si="81"/>
        <v>115603933.80678451</v>
      </c>
      <c r="O63" s="44">
        <v>276664.75</v>
      </c>
      <c r="P63" s="488">
        <v>1453</v>
      </c>
      <c r="Q63" s="488">
        <v>1641859.00129552</v>
      </c>
      <c r="R63" s="488">
        <f>IFERROR(VLOOKUP($B63-1,CDM!$L$7:$T$18,5,FALSE)/12,0)+IFERROR(VLOOKUP($B63,CDM!$L$37:$T$47,5,FALSE)/24,0)+IFERROR(VLOOKUP($B63,CDM!$L$37:$T$47,5,FALSE)/2*$C63/78,0)</f>
        <v>103033.68398386179</v>
      </c>
      <c r="S63" s="488">
        <f t="shared" si="18"/>
        <v>1744892.6852793817</v>
      </c>
      <c r="T63" s="44">
        <v>2440.67</v>
      </c>
      <c r="U63" s="488">
        <v>8</v>
      </c>
      <c r="V63" s="488">
        <v>7378774.7171841301</v>
      </c>
      <c r="W63" s="488">
        <f>IFERROR(VLOOKUP($B63-1,CDM!$L$7:$T$18,6,FALSE)/12,0)+IFERROR(VLOOKUP($B63,CDM!$L$37:$T$47,6,FALSE)/24,0)+IFERROR(VLOOKUP($B63,CDM!$L$37:$T$47,6,FALSE)/2*$C63/78,0)</f>
        <v>1247857.3932226063</v>
      </c>
      <c r="X63" s="488">
        <f t="shared" si="19"/>
        <v>8626632.1104067359</v>
      </c>
      <c r="Y63" s="488">
        <v>13111.83</v>
      </c>
      <c r="Z63" s="488">
        <v>1</v>
      </c>
      <c r="AA63" s="44">
        <v>1483926.97</v>
      </c>
      <c r="AB63" s="44">
        <v>3949.14</v>
      </c>
      <c r="AC63" s="488">
        <v>39005</v>
      </c>
      <c r="AD63" s="44">
        <v>417435.07999999996</v>
      </c>
      <c r="AE63" s="44">
        <v>1543</v>
      </c>
      <c r="AF63" s="44">
        <v>40704.1</v>
      </c>
      <c r="AG63" s="44">
        <v>118.96</v>
      </c>
      <c r="AH63" s="44">
        <v>506</v>
      </c>
      <c r="AI63" s="44">
        <v>16400</v>
      </c>
      <c r="AJ63" s="68">
        <f>Economic!H77</f>
        <v>854001.9</v>
      </c>
      <c r="AK63" s="68">
        <f>Economic!I77</f>
        <v>93618.5</v>
      </c>
      <c r="AL63" s="68">
        <f>Economic!J77</f>
        <v>35584.300000000003</v>
      </c>
      <c r="AM63" s="68">
        <f>Economic!K77</f>
        <v>87698.4</v>
      </c>
      <c r="AN63" s="68">
        <f>Economic!L77</f>
        <v>71366.899999999994</v>
      </c>
      <c r="AO63" s="68">
        <f>Economic!M77</f>
        <v>847546</v>
      </c>
      <c r="AP63" s="68">
        <f>Economic!N77</f>
        <v>95039</v>
      </c>
      <c r="AQ63" s="68">
        <f>Economic!O77</f>
        <v>14723</v>
      </c>
      <c r="AR63" s="68">
        <f>Economic!P77</f>
        <v>35881</v>
      </c>
      <c r="AS63" s="68">
        <f>Economic!Q77</f>
        <v>89450</v>
      </c>
      <c r="AT63" s="68">
        <f>Economic!D77</f>
        <v>7668.9</v>
      </c>
      <c r="AU63" s="68">
        <f>Economic!E77</f>
        <v>7606.7</v>
      </c>
      <c r="AV63" s="68">
        <f>Economic!F77</f>
        <v>298.89999999999998</v>
      </c>
      <c r="AW63" s="68">
        <f>Economic!G77</f>
        <v>296.3</v>
      </c>
      <c r="AX63" s="68">
        <f>Economic!W77</f>
        <v>37552</v>
      </c>
      <c r="AY63" s="68">
        <f>Economic!R77</f>
        <v>459.39999999999964</v>
      </c>
      <c r="AZ63" s="68">
        <f>Economic!W77</f>
        <v>37552</v>
      </c>
      <c r="BA63" s="68">
        <f>Economic!X77</f>
        <v>2966</v>
      </c>
      <c r="BB63" s="68">
        <f>Economic!Y77</f>
        <v>7797</v>
      </c>
      <c r="BC63" s="236">
        <f>Weather!C75</f>
        <v>-4.8768601190476186</v>
      </c>
      <c r="BD63" s="16">
        <f>Weather!D75</f>
        <v>696.55208333333348</v>
      </c>
      <c r="BE63" s="16">
        <f>Weather!E75</f>
        <v>0</v>
      </c>
      <c r="BF63" s="16">
        <f>Weather!F75</f>
        <v>640.55208333333348</v>
      </c>
      <c r="BG63" s="16">
        <f>Weather!G75</f>
        <v>0</v>
      </c>
      <c r="BH63" s="16">
        <f>Weather!H75</f>
        <v>584.55208333333337</v>
      </c>
      <c r="BI63" s="16">
        <f>Weather!I75</f>
        <v>0</v>
      </c>
      <c r="BJ63" s="16">
        <f>Weather!J75</f>
        <v>528.55208333333337</v>
      </c>
      <c r="BK63" s="16">
        <f>Weather!K75</f>
        <v>0</v>
      </c>
      <c r="BL63" s="16">
        <f>Weather!L75</f>
        <v>472.55208333333331</v>
      </c>
      <c r="BM63" s="16">
        <f>Weather!M75</f>
        <v>0</v>
      </c>
      <c r="BN63" s="16">
        <f>Weather!N75</f>
        <v>416.55208333333331</v>
      </c>
      <c r="BO63" s="16">
        <f>Weather!O75</f>
        <v>0</v>
      </c>
      <c r="BP63" s="16">
        <f>Weather!P75</f>
        <v>360.55208333333331</v>
      </c>
      <c r="BQ63" s="16">
        <f>Weather!Q75</f>
        <v>0</v>
      </c>
      <c r="BR63">
        <f t="shared" ref="BR63:CH78" si="128">BR51</f>
        <v>0</v>
      </c>
      <c r="BS63">
        <f t="shared" si="128"/>
        <v>1</v>
      </c>
      <c r="BT63">
        <f t="shared" si="128"/>
        <v>0</v>
      </c>
      <c r="BU63">
        <f t="shared" si="128"/>
        <v>0</v>
      </c>
      <c r="BV63">
        <f t="shared" si="128"/>
        <v>0</v>
      </c>
      <c r="BW63">
        <f t="shared" si="128"/>
        <v>0</v>
      </c>
      <c r="BX63">
        <f t="shared" si="128"/>
        <v>0</v>
      </c>
      <c r="BY63">
        <f t="shared" si="128"/>
        <v>0</v>
      </c>
      <c r="BZ63">
        <f t="shared" si="128"/>
        <v>0</v>
      </c>
      <c r="CA63">
        <f t="shared" si="128"/>
        <v>0</v>
      </c>
      <c r="CB63">
        <f t="shared" si="128"/>
        <v>0</v>
      </c>
      <c r="CC63">
        <f t="shared" si="128"/>
        <v>0</v>
      </c>
      <c r="CD63" s="1">
        <f t="shared" si="115"/>
        <v>0</v>
      </c>
      <c r="CE63">
        <f t="shared" si="52"/>
        <v>0</v>
      </c>
      <c r="CF63" s="1">
        <f t="shared" si="115"/>
        <v>0</v>
      </c>
      <c r="CG63">
        <f t="shared" si="52"/>
        <v>0</v>
      </c>
      <c r="CH63" s="1">
        <f t="shared" si="115"/>
        <v>0</v>
      </c>
      <c r="CI63">
        <f t="shared" si="115"/>
        <v>0</v>
      </c>
      <c r="CJ63">
        <f t="shared" si="21"/>
        <v>0</v>
      </c>
      <c r="CK63">
        <f t="shared" si="53"/>
        <v>0</v>
      </c>
      <c r="CL63">
        <f t="shared" si="53"/>
        <v>0</v>
      </c>
      <c r="CM63" s="1">
        <f t="shared" si="120"/>
        <v>62</v>
      </c>
      <c r="CN63" s="1">
        <f t="shared" si="117"/>
        <v>14</v>
      </c>
      <c r="CO63" s="1">
        <f>CO62+1</f>
        <v>2</v>
      </c>
      <c r="CP63" s="1">
        <v>0</v>
      </c>
      <c r="CQ63" s="1">
        <v>0</v>
      </c>
      <c r="CR63" s="1">
        <f>CR62+1</f>
        <v>2</v>
      </c>
      <c r="CS63">
        <f t="shared" si="116"/>
        <v>28</v>
      </c>
      <c r="CT63" s="1">
        <v>19</v>
      </c>
      <c r="CU63" s="1">
        <v>0.5</v>
      </c>
      <c r="CV63" s="1">
        <v>0.25</v>
      </c>
      <c r="CW63" s="1">
        <v>0</v>
      </c>
      <c r="CX63" s="1">
        <v>0.5</v>
      </c>
      <c r="CY63" s="1">
        <v>0</v>
      </c>
      <c r="CZ63" s="10">
        <f t="shared" si="87"/>
        <v>174.13802083333337</v>
      </c>
      <c r="DA63" s="10">
        <f t="shared" si="88"/>
        <v>0</v>
      </c>
      <c r="DB63" s="10">
        <f t="shared" si="89"/>
        <v>160.13802083333337</v>
      </c>
      <c r="DC63" s="10">
        <f t="shared" si="90"/>
        <v>0</v>
      </c>
      <c r="DD63" s="10">
        <f t="shared" si="91"/>
        <v>146.13802083333334</v>
      </c>
      <c r="DE63" s="10">
        <f t="shared" si="92"/>
        <v>0</v>
      </c>
      <c r="DF63" s="10">
        <f t="shared" si="93"/>
        <v>132.13802083333334</v>
      </c>
      <c r="DG63" s="10">
        <f t="shared" si="94"/>
        <v>0</v>
      </c>
      <c r="DH63" s="10">
        <f t="shared" si="95"/>
        <v>118.13802083333333</v>
      </c>
      <c r="DI63" s="10">
        <f t="shared" si="96"/>
        <v>0</v>
      </c>
      <c r="DJ63" s="10">
        <f t="shared" si="97"/>
        <v>104.13802083333333</v>
      </c>
      <c r="DK63" s="10">
        <f t="shared" si="98"/>
        <v>0</v>
      </c>
      <c r="DL63" s="10">
        <f t="shared" si="99"/>
        <v>90.138020833333329</v>
      </c>
      <c r="DM63" s="10">
        <f t="shared" si="100"/>
        <v>0</v>
      </c>
      <c r="DN63" s="10">
        <f t="shared" si="101"/>
        <v>348.27604166666674</v>
      </c>
      <c r="DO63" s="10">
        <f t="shared" si="102"/>
        <v>0</v>
      </c>
      <c r="DP63" s="10">
        <f t="shared" si="103"/>
        <v>320.27604166666674</v>
      </c>
      <c r="DQ63" s="10">
        <f t="shared" si="104"/>
        <v>0</v>
      </c>
      <c r="DR63" s="10">
        <f t="shared" si="105"/>
        <v>292.27604166666669</v>
      </c>
      <c r="DS63" s="10">
        <f t="shared" si="106"/>
        <v>0</v>
      </c>
      <c r="DT63" s="10">
        <f t="shared" si="107"/>
        <v>264.27604166666669</v>
      </c>
      <c r="DU63" s="10">
        <f t="shared" si="108"/>
        <v>0</v>
      </c>
      <c r="DV63" s="10">
        <f t="shared" si="109"/>
        <v>236.27604166666666</v>
      </c>
      <c r="DW63" s="10">
        <f t="shared" si="110"/>
        <v>0</v>
      </c>
      <c r="DX63" s="10">
        <f t="shared" si="111"/>
        <v>208.27604166666666</v>
      </c>
      <c r="DY63" s="10">
        <f t="shared" si="112"/>
        <v>0</v>
      </c>
      <c r="DZ63" s="10">
        <f t="shared" si="113"/>
        <v>180.27604166666666</v>
      </c>
      <c r="EA63" s="10">
        <f t="shared" si="114"/>
        <v>0</v>
      </c>
      <c r="EB63" s="44">
        <f t="shared" si="82"/>
        <v>655.42058279616458</v>
      </c>
      <c r="EC63" s="44">
        <f t="shared" ref="EC63:EC97" si="129">EB63/CS63</f>
        <v>23.407877957005876</v>
      </c>
      <c r="ED63" s="44">
        <f t="shared" si="83"/>
        <v>3509683.5893616332</v>
      </c>
      <c r="EE63" s="44">
        <f t="shared" si="84"/>
        <v>2597.7626034526384</v>
      </c>
      <c r="EF63" s="44">
        <f t="shared" si="122"/>
        <v>92.777235837594233</v>
      </c>
      <c r="EG63" s="44">
        <f t="shared" si="85"/>
        <v>1218072.3293117746</v>
      </c>
      <c r="EH63" s="44">
        <f t="shared" si="86"/>
        <v>79562.239371496573</v>
      </c>
      <c r="EI63" s="44">
        <f t="shared" si="123"/>
        <v>2841.5085489820203</v>
      </c>
      <c r="EJ63" s="44">
        <f t="shared" si="125"/>
        <v>4187.4862827103461</v>
      </c>
      <c r="EK63" s="44">
        <f t="shared" si="124"/>
        <v>4128711.9216708755</v>
      </c>
      <c r="EL63" s="44">
        <f t="shared" si="126"/>
        <v>6084417.5687781321</v>
      </c>
    </row>
    <row r="64" spans="1:142" x14ac:dyDescent="0.2">
      <c r="A64" s="66">
        <v>44621</v>
      </c>
      <c r="B64" s="4">
        <f t="shared" si="118"/>
        <v>2022</v>
      </c>
      <c r="C64" s="4">
        <f t="shared" si="119"/>
        <v>3</v>
      </c>
      <c r="D64" s="44">
        <v>95622019.432539895</v>
      </c>
      <c r="E64" s="44">
        <f>IFERROR(VLOOKUP($B64-1,CDM!$L$7:$T$18,2,FALSE)/12,0)+IFERROR(VLOOKUP($B64,CDM!$L$37:$O$47,2,FALSE)/24,0)+IFERROR(VLOOKUP($B64,CDM!$L$37:$O$47,2,FALSE)/2*$C64/78,0)</f>
        <v>2188417.7315031276</v>
      </c>
      <c r="F64" s="44">
        <f t="shared" si="79"/>
        <v>97810437.164043024</v>
      </c>
      <c r="G64" s="488">
        <v>150067</v>
      </c>
      <c r="H64" s="44">
        <v>34569442.531452797</v>
      </c>
      <c r="I64" s="44">
        <f>IFERROR(VLOOKUP($B64-1,CDM!$L$7:$T$18,3,FALSE)/12,0)+IFERROR(VLOOKUP($B64,CDM!$L$37:$O$47,3,FALSE)/24,0)+IFERROR(VLOOKUP($B64,CDM!$L$37:$O$47,3,FALSE)/2*$C64/78,0)</f>
        <v>1086699.2162228799</v>
      </c>
      <c r="J64" s="44">
        <f t="shared" si="80"/>
        <v>35656141.74767568</v>
      </c>
      <c r="K64" s="44">
        <v>13156</v>
      </c>
      <c r="L64" s="44">
        <v>118871968.94424801</v>
      </c>
      <c r="M64" s="44">
        <f>IFERROR(VLOOKUP($B64-1,CDM!$L$7:$T$18,4,FALSE)/12,0)+IFERROR(VLOOKUP($B64,CDM!$L$37:$O$47,4,FALSE)/24,0)+IFERROR(VLOOKUP($B64,CDM!$L$37:$O$47,4,FALSE)/2*$C64/78,0)</f>
        <v>6748706.79202752</v>
      </c>
      <c r="N64" s="44">
        <f t="shared" si="81"/>
        <v>125620675.73627552</v>
      </c>
      <c r="O64" s="44">
        <v>278061.09999999998</v>
      </c>
      <c r="P64" s="488">
        <v>1455</v>
      </c>
      <c r="Q64" s="488">
        <v>1086086.19877124</v>
      </c>
      <c r="R64" s="488">
        <f>IFERROR(VLOOKUP($B64-1,CDM!$L$7:$T$18,5,FALSE)/12,0)+IFERROR(VLOOKUP($B64,CDM!$L$37:$T$47,5,FALSE)/24,0)+IFERROR(VLOOKUP($B64,CDM!$L$37:$T$47,5,FALSE)/2*$C64/78,0)</f>
        <v>103992.87926896806</v>
      </c>
      <c r="S64" s="488">
        <f t="shared" si="18"/>
        <v>1190079.078040208</v>
      </c>
      <c r="T64" s="44">
        <v>2606.52</v>
      </c>
      <c r="U64" s="488">
        <v>8</v>
      </c>
      <c r="V64" s="488">
        <v>8296964.0573950503</v>
      </c>
      <c r="W64" s="488">
        <f>IFERROR(VLOOKUP($B64-1,CDM!$L$7:$T$18,6,FALSE)/12,0)+IFERROR(VLOOKUP($B64,CDM!$L$37:$T$47,6,FALSE)/24,0)+IFERROR(VLOOKUP($B64,CDM!$L$37:$T$47,6,FALSE)/2*$C64/78,0)</f>
        <v>1292282.9612674883</v>
      </c>
      <c r="X64" s="488">
        <f t="shared" si="19"/>
        <v>9589247.0186625384</v>
      </c>
      <c r="Y64" s="488">
        <v>13360.17</v>
      </c>
      <c r="Z64" s="488">
        <v>1</v>
      </c>
      <c r="AA64" s="44">
        <v>1461671.76</v>
      </c>
      <c r="AB64" s="44">
        <v>3948.97</v>
      </c>
      <c r="AC64" s="488">
        <v>39002</v>
      </c>
      <c r="AD64" s="44">
        <v>461716.12999999995</v>
      </c>
      <c r="AE64" s="44">
        <v>1543</v>
      </c>
      <c r="AF64" s="44">
        <v>44930.429999999971</v>
      </c>
      <c r="AG64" s="44">
        <v>118.97</v>
      </c>
      <c r="AH64" s="44">
        <v>506</v>
      </c>
      <c r="AI64" s="44">
        <v>16400</v>
      </c>
      <c r="AJ64" s="68">
        <f>Economic!H78</f>
        <v>854001.9</v>
      </c>
      <c r="AK64" s="68">
        <f>Economic!I78</f>
        <v>93618.5</v>
      </c>
      <c r="AL64" s="68">
        <f>Economic!J78</f>
        <v>35584.300000000003</v>
      </c>
      <c r="AM64" s="68">
        <f>Economic!K78</f>
        <v>87698.4</v>
      </c>
      <c r="AN64" s="68">
        <f>Economic!L78</f>
        <v>71366.899999999994</v>
      </c>
      <c r="AO64" s="68">
        <f>Economic!M78</f>
        <v>847546</v>
      </c>
      <c r="AP64" s="68">
        <f>Economic!N78</f>
        <v>95039</v>
      </c>
      <c r="AQ64" s="68">
        <f>Economic!O78</f>
        <v>14723</v>
      </c>
      <c r="AR64" s="68">
        <f>Economic!P78</f>
        <v>35881</v>
      </c>
      <c r="AS64" s="68">
        <f>Economic!Q78</f>
        <v>89450</v>
      </c>
      <c r="AT64" s="68">
        <f>Economic!D78</f>
        <v>7681.1</v>
      </c>
      <c r="AU64" s="68">
        <f>Economic!E78</f>
        <v>7595.3</v>
      </c>
      <c r="AV64" s="68">
        <f>Economic!F78</f>
        <v>301.8</v>
      </c>
      <c r="AW64" s="68">
        <f>Economic!G78</f>
        <v>298.60000000000002</v>
      </c>
      <c r="AX64" s="68">
        <f>Economic!W78</f>
        <v>37552</v>
      </c>
      <c r="AY64" s="68">
        <f>Economic!R78</f>
        <v>443.70000000000073</v>
      </c>
      <c r="AZ64" s="68">
        <f>Economic!W78</f>
        <v>37552</v>
      </c>
      <c r="BA64" s="68">
        <f>Economic!X78</f>
        <v>2966</v>
      </c>
      <c r="BB64" s="68">
        <f>Economic!Y78</f>
        <v>7797</v>
      </c>
      <c r="BC64" s="236">
        <f>Weather!C76</f>
        <v>0.70288978494623688</v>
      </c>
      <c r="BD64" s="16">
        <f>Weather!D76</f>
        <v>598.21041666666656</v>
      </c>
      <c r="BE64" s="16">
        <f>Weather!E76</f>
        <v>0</v>
      </c>
      <c r="BF64" s="16">
        <f>Weather!F76</f>
        <v>536.21041666666656</v>
      </c>
      <c r="BG64" s="16">
        <f>Weather!G76</f>
        <v>0</v>
      </c>
      <c r="BH64" s="16">
        <f>Weather!H76</f>
        <v>474.21041666666667</v>
      </c>
      <c r="BI64" s="16">
        <f>Weather!I76</f>
        <v>0</v>
      </c>
      <c r="BJ64" s="16">
        <f>Weather!J76</f>
        <v>412.21041666666667</v>
      </c>
      <c r="BK64" s="16">
        <f>Weather!K76</f>
        <v>0</v>
      </c>
      <c r="BL64" s="16">
        <f>Weather!L76</f>
        <v>350.21041666666667</v>
      </c>
      <c r="BM64" s="16">
        <f>Weather!M76</f>
        <v>0</v>
      </c>
      <c r="BN64" s="16">
        <f>Weather!N76</f>
        <v>288.21041666666667</v>
      </c>
      <c r="BO64" s="16">
        <f>Weather!O76</f>
        <v>0</v>
      </c>
      <c r="BP64" s="16">
        <f>Weather!P76</f>
        <v>231.35208333333333</v>
      </c>
      <c r="BQ64" s="16">
        <f>Weather!Q76</f>
        <v>5.1416666666666675</v>
      </c>
      <c r="BR64">
        <f t="shared" si="128"/>
        <v>0</v>
      </c>
      <c r="BS64">
        <f t="shared" si="128"/>
        <v>0</v>
      </c>
      <c r="BT64">
        <f t="shared" si="128"/>
        <v>1</v>
      </c>
      <c r="BU64">
        <f t="shared" si="128"/>
        <v>0</v>
      </c>
      <c r="BV64">
        <f t="shared" si="128"/>
        <v>0</v>
      </c>
      <c r="BW64">
        <f t="shared" si="128"/>
        <v>0</v>
      </c>
      <c r="BX64">
        <f t="shared" si="128"/>
        <v>0</v>
      </c>
      <c r="BY64">
        <f t="shared" si="128"/>
        <v>0</v>
      </c>
      <c r="BZ64">
        <f t="shared" si="128"/>
        <v>0</v>
      </c>
      <c r="CA64">
        <f t="shared" si="128"/>
        <v>0</v>
      </c>
      <c r="CB64">
        <f t="shared" si="128"/>
        <v>0</v>
      </c>
      <c r="CC64">
        <f t="shared" si="128"/>
        <v>0</v>
      </c>
      <c r="CD64" s="1">
        <f t="shared" si="115"/>
        <v>1</v>
      </c>
      <c r="CE64">
        <f t="shared" si="52"/>
        <v>1</v>
      </c>
      <c r="CF64" s="1">
        <f t="shared" si="115"/>
        <v>0</v>
      </c>
      <c r="CG64">
        <f t="shared" si="52"/>
        <v>0</v>
      </c>
      <c r="CH64" s="1">
        <f t="shared" si="115"/>
        <v>1</v>
      </c>
      <c r="CI64">
        <f t="shared" si="115"/>
        <v>1</v>
      </c>
      <c r="CJ64">
        <f t="shared" si="21"/>
        <v>1</v>
      </c>
      <c r="CK64">
        <f t="shared" si="53"/>
        <v>0</v>
      </c>
      <c r="CL64">
        <f t="shared" si="53"/>
        <v>0</v>
      </c>
      <c r="CM64" s="1">
        <f t="shared" si="120"/>
        <v>63</v>
      </c>
      <c r="CN64" s="1">
        <f t="shared" si="117"/>
        <v>15</v>
      </c>
      <c r="CO64" s="1">
        <f t="shared" ref="CO64:CO109" si="130">CO63+1</f>
        <v>3</v>
      </c>
      <c r="CP64" s="1">
        <v>0</v>
      </c>
      <c r="CQ64" s="1">
        <v>0</v>
      </c>
      <c r="CR64" s="1">
        <f t="shared" ref="CQ64:CR109" si="131">CR63+1</f>
        <v>3</v>
      </c>
      <c r="CS64">
        <f t="shared" si="116"/>
        <v>31</v>
      </c>
      <c r="CT64" s="1">
        <v>23</v>
      </c>
      <c r="CU64" s="1">
        <v>0.5</v>
      </c>
      <c r="CV64" s="1">
        <v>0.25</v>
      </c>
      <c r="CW64" s="1">
        <v>0</v>
      </c>
      <c r="CX64" s="1">
        <v>0.5</v>
      </c>
      <c r="CY64" s="1">
        <v>0</v>
      </c>
      <c r="CZ64" s="10">
        <f t="shared" si="87"/>
        <v>149.55260416666664</v>
      </c>
      <c r="DA64" s="10">
        <f t="shared" si="88"/>
        <v>0</v>
      </c>
      <c r="DB64" s="10">
        <f t="shared" si="89"/>
        <v>134.05260416666664</v>
      </c>
      <c r="DC64" s="10">
        <f t="shared" si="90"/>
        <v>0</v>
      </c>
      <c r="DD64" s="10">
        <f t="shared" si="91"/>
        <v>118.55260416666667</v>
      </c>
      <c r="DE64" s="10">
        <f t="shared" si="92"/>
        <v>0</v>
      </c>
      <c r="DF64" s="10">
        <f t="shared" si="93"/>
        <v>103.05260416666667</v>
      </c>
      <c r="DG64" s="10">
        <f t="shared" si="94"/>
        <v>0</v>
      </c>
      <c r="DH64" s="10">
        <f t="shared" si="95"/>
        <v>87.552604166666669</v>
      </c>
      <c r="DI64" s="10">
        <f t="shared" si="96"/>
        <v>0</v>
      </c>
      <c r="DJ64" s="10">
        <f t="shared" si="97"/>
        <v>72.052604166666669</v>
      </c>
      <c r="DK64" s="10">
        <f t="shared" si="98"/>
        <v>0</v>
      </c>
      <c r="DL64" s="10">
        <f t="shared" si="99"/>
        <v>57.838020833333331</v>
      </c>
      <c r="DM64" s="10">
        <f t="shared" si="100"/>
        <v>1.2854166666666669</v>
      </c>
      <c r="DN64" s="10">
        <f t="shared" si="101"/>
        <v>299.10520833333328</v>
      </c>
      <c r="DO64" s="10">
        <f t="shared" si="102"/>
        <v>0</v>
      </c>
      <c r="DP64" s="10">
        <f t="shared" si="103"/>
        <v>268.10520833333328</v>
      </c>
      <c r="DQ64" s="10">
        <f t="shared" si="104"/>
        <v>0</v>
      </c>
      <c r="DR64" s="10">
        <f t="shared" si="105"/>
        <v>237.10520833333334</v>
      </c>
      <c r="DS64" s="10">
        <f t="shared" si="106"/>
        <v>0</v>
      </c>
      <c r="DT64" s="10">
        <f t="shared" si="107"/>
        <v>206.10520833333334</v>
      </c>
      <c r="DU64" s="10">
        <f t="shared" si="108"/>
        <v>0</v>
      </c>
      <c r="DV64" s="10">
        <f t="shared" si="109"/>
        <v>175.10520833333334</v>
      </c>
      <c r="DW64" s="10">
        <f t="shared" si="110"/>
        <v>0</v>
      </c>
      <c r="DX64" s="10">
        <f t="shared" si="111"/>
        <v>144.10520833333334</v>
      </c>
      <c r="DY64" s="10">
        <f t="shared" si="112"/>
        <v>0</v>
      </c>
      <c r="DZ64" s="10">
        <f t="shared" si="113"/>
        <v>115.67604166666666</v>
      </c>
      <c r="EA64" s="10">
        <f t="shared" si="114"/>
        <v>2.5708333333333337</v>
      </c>
      <c r="EB64" s="44">
        <f t="shared" si="82"/>
        <v>651.77845338444183</v>
      </c>
      <c r="EC64" s="44">
        <f t="shared" si="129"/>
        <v>21.025111399498122</v>
      </c>
      <c r="ED64" s="44">
        <f t="shared" si="83"/>
        <v>3155175.3923884844</v>
      </c>
      <c r="EE64" s="44">
        <f t="shared" si="84"/>
        <v>2710.2570498385285</v>
      </c>
      <c r="EF64" s="44">
        <f t="shared" si="122"/>
        <v>87.427646768984786</v>
      </c>
      <c r="EG64" s="44">
        <f t="shared" si="85"/>
        <v>1150198.1208927638</v>
      </c>
      <c r="EH64" s="44">
        <f t="shared" si="86"/>
        <v>86337.23418300724</v>
      </c>
      <c r="EI64" s="44">
        <f t="shared" si="123"/>
        <v>2785.0720704195883</v>
      </c>
      <c r="EJ64" s="44">
        <f t="shared" si="125"/>
        <v>3924.4197355912384</v>
      </c>
      <c r="EK64" s="44">
        <f t="shared" si="124"/>
        <v>4052279.8624605006</v>
      </c>
      <c r="EL64" s="44">
        <f t="shared" si="126"/>
        <v>5710030.7152852509</v>
      </c>
    </row>
    <row r="65" spans="1:142" x14ac:dyDescent="0.2">
      <c r="A65" s="66">
        <v>44652</v>
      </c>
      <c r="B65" s="4">
        <f t="shared" si="118"/>
        <v>2022</v>
      </c>
      <c r="C65" s="4">
        <f t="shared" si="119"/>
        <v>4</v>
      </c>
      <c r="D65" s="44">
        <v>83592913.449343607</v>
      </c>
      <c r="E65" s="44">
        <f>IFERROR(VLOOKUP($B65-1,CDM!$L$7:$T$18,2,FALSE)/12,0)+IFERROR(VLOOKUP($B65,CDM!$L$37:$O$47,2,FALSE)/24,0)+IFERROR(VLOOKUP($B65,CDM!$L$37:$O$47,2,FALSE)/2*$C65/78,0)</f>
        <v>2190138.1262129303</v>
      </c>
      <c r="F65" s="44">
        <f t="shared" si="79"/>
        <v>85783051.575556532</v>
      </c>
      <c r="G65" s="488">
        <v>150303</v>
      </c>
      <c r="H65" s="44">
        <v>30641147.6507136</v>
      </c>
      <c r="I65" s="44">
        <f>IFERROR(VLOOKUP($B65-1,CDM!$L$7:$T$18,3,FALSE)/12,0)+IFERROR(VLOOKUP($B65,CDM!$L$37:$O$47,3,FALSE)/24,0)+IFERROR(VLOOKUP($B65,CDM!$L$37:$O$47,3,FALSE)/2*$C65/78,0)</f>
        <v>1105281.5508796722</v>
      </c>
      <c r="J65" s="44">
        <f t="shared" si="80"/>
        <v>31746429.201593272</v>
      </c>
      <c r="K65" s="44">
        <v>13155</v>
      </c>
      <c r="L65" s="44">
        <v>108582870.56730001</v>
      </c>
      <c r="M65" s="44">
        <f>IFERROR(VLOOKUP($B65-1,CDM!$L$7:$T$18,4,FALSE)/12,0)+IFERROR(VLOOKUP($B65,CDM!$L$37:$O$47,4,FALSE)/24,0)+IFERROR(VLOOKUP($B65,CDM!$L$37:$O$47,4,FALSE)/2*$C65/78,0)</f>
        <v>6822887.1710935263</v>
      </c>
      <c r="N65" s="44">
        <f t="shared" si="81"/>
        <v>115405757.73839353</v>
      </c>
      <c r="O65" s="44">
        <v>279402.71000000002</v>
      </c>
      <c r="P65" s="488">
        <v>1461</v>
      </c>
      <c r="Q65" s="488">
        <v>1256391.45153897</v>
      </c>
      <c r="R65" s="488">
        <f>IFERROR(VLOOKUP($B65-1,CDM!$L$7:$T$18,5,FALSE)/12,0)+IFERROR(VLOOKUP($B65,CDM!$L$37:$T$47,5,FALSE)/24,0)+IFERROR(VLOOKUP($B65,CDM!$L$37:$T$47,5,FALSE)/2*$C65/78,0)</f>
        <v>104952.07455407431</v>
      </c>
      <c r="S65" s="488">
        <f t="shared" si="18"/>
        <v>1361343.5260930443</v>
      </c>
      <c r="T65" s="44">
        <v>5201.9699999999993</v>
      </c>
      <c r="U65" s="488">
        <v>7</v>
      </c>
      <c r="V65" s="488">
        <v>7843519.4180403901</v>
      </c>
      <c r="W65" s="488">
        <f>IFERROR(VLOOKUP($B65-1,CDM!$L$7:$T$18,6,FALSE)/12,0)+IFERROR(VLOOKUP($B65,CDM!$L$37:$T$47,6,FALSE)/24,0)+IFERROR(VLOOKUP($B65,CDM!$L$37:$T$47,6,FALSE)/2*$C65/78,0)</f>
        <v>1336708.5293123701</v>
      </c>
      <c r="X65" s="488">
        <f t="shared" si="19"/>
        <v>9180227.9473527595</v>
      </c>
      <c r="Y65" s="488">
        <v>14236.89</v>
      </c>
      <c r="Z65" s="488">
        <v>1</v>
      </c>
      <c r="AA65" s="44">
        <v>1275716.9099999999</v>
      </c>
      <c r="AB65" s="44">
        <v>3974.2</v>
      </c>
      <c r="AC65" s="488">
        <v>39187</v>
      </c>
      <c r="AD65" s="44">
        <v>447167.73</v>
      </c>
      <c r="AE65" s="44">
        <v>1543</v>
      </c>
      <c r="AF65" s="44">
        <v>43930.44</v>
      </c>
      <c r="AG65" s="44">
        <v>118.84</v>
      </c>
      <c r="AH65" s="44">
        <v>506</v>
      </c>
      <c r="AI65" s="44">
        <v>16400</v>
      </c>
      <c r="AJ65" s="68">
        <f>Economic!H79</f>
        <v>854001.9</v>
      </c>
      <c r="AK65" s="68">
        <f>Economic!I79</f>
        <v>93618.5</v>
      </c>
      <c r="AL65" s="68">
        <f>Economic!J79</f>
        <v>35584.300000000003</v>
      </c>
      <c r="AM65" s="68">
        <f>Economic!K79</f>
        <v>87698.4</v>
      </c>
      <c r="AN65" s="68">
        <f>Economic!L79</f>
        <v>71366.899999999994</v>
      </c>
      <c r="AO65" s="68">
        <f>Economic!M79</f>
        <v>854755</v>
      </c>
      <c r="AP65" s="68">
        <f>Economic!N79</f>
        <v>94257</v>
      </c>
      <c r="AQ65" s="68">
        <f>Economic!O79</f>
        <v>14654</v>
      </c>
      <c r="AR65" s="68">
        <f>Economic!P79</f>
        <v>35373</v>
      </c>
      <c r="AS65" s="68">
        <f>Economic!Q79</f>
        <v>88426</v>
      </c>
      <c r="AT65" s="68">
        <f>Economic!D79</f>
        <v>7758.4</v>
      </c>
      <c r="AU65" s="68">
        <f>Economic!E79</f>
        <v>7694.2</v>
      </c>
      <c r="AV65" s="68">
        <f>Economic!F79</f>
        <v>303.39999999999998</v>
      </c>
      <c r="AW65" s="68">
        <f>Economic!G79</f>
        <v>301</v>
      </c>
      <c r="AX65" s="68">
        <f>Economic!W79</f>
        <v>51170</v>
      </c>
      <c r="AY65" s="68">
        <f>Economic!R79</f>
        <v>482.29999999999927</v>
      </c>
      <c r="AZ65" s="68">
        <f>Economic!W79</f>
        <v>51170</v>
      </c>
      <c r="BA65" s="68">
        <f>Economic!X79</f>
        <v>3917</v>
      </c>
      <c r="BB65" s="68">
        <f>Economic!Y79</f>
        <v>5523</v>
      </c>
      <c r="BC65" s="236">
        <f>Weather!C77</f>
        <v>5.7362500000000001</v>
      </c>
      <c r="BD65" s="16">
        <f>Weather!D77</f>
        <v>427.91249999999997</v>
      </c>
      <c r="BE65" s="16">
        <f>Weather!E77</f>
        <v>0</v>
      </c>
      <c r="BF65" s="16">
        <f>Weather!F77</f>
        <v>367.91249999999997</v>
      </c>
      <c r="BG65" s="16">
        <f>Weather!G77</f>
        <v>0</v>
      </c>
      <c r="BH65" s="16">
        <f>Weather!H77</f>
        <v>307.91249999999997</v>
      </c>
      <c r="BI65" s="16">
        <f>Weather!I77</f>
        <v>0</v>
      </c>
      <c r="BJ65" s="16">
        <f>Weather!J77</f>
        <v>250.45416666666662</v>
      </c>
      <c r="BK65" s="16">
        <f>Weather!K77</f>
        <v>2.5416666666666696</v>
      </c>
      <c r="BL65" s="16">
        <f>Weather!L77</f>
        <v>196.37083333333328</v>
      </c>
      <c r="BM65" s="16">
        <f>Weather!M77</f>
        <v>8.4583333333333357</v>
      </c>
      <c r="BN65" s="16">
        <f>Weather!N77</f>
        <v>144.5958333333333</v>
      </c>
      <c r="BO65" s="16">
        <f>Weather!O77</f>
        <v>16.683333333333337</v>
      </c>
      <c r="BP65" s="16">
        <f>Weather!P77</f>
        <v>100.91666666666667</v>
      </c>
      <c r="BQ65" s="16">
        <f>Weather!Q77</f>
        <v>33.00416666666667</v>
      </c>
      <c r="BR65">
        <f t="shared" si="128"/>
        <v>0</v>
      </c>
      <c r="BS65">
        <f t="shared" si="128"/>
        <v>0</v>
      </c>
      <c r="BT65">
        <f t="shared" si="128"/>
        <v>0</v>
      </c>
      <c r="BU65">
        <f t="shared" si="128"/>
        <v>1</v>
      </c>
      <c r="BV65">
        <f t="shared" si="128"/>
        <v>0</v>
      </c>
      <c r="BW65">
        <f t="shared" si="128"/>
        <v>0</v>
      </c>
      <c r="BX65">
        <f t="shared" si="128"/>
        <v>0</v>
      </c>
      <c r="BY65">
        <f t="shared" si="128"/>
        <v>0</v>
      </c>
      <c r="BZ65">
        <f t="shared" si="128"/>
        <v>0</v>
      </c>
      <c r="CA65">
        <f t="shared" si="128"/>
        <v>0</v>
      </c>
      <c r="CB65">
        <f t="shared" si="128"/>
        <v>0</v>
      </c>
      <c r="CC65">
        <f t="shared" si="128"/>
        <v>0</v>
      </c>
      <c r="CD65" s="1">
        <f t="shared" si="115"/>
        <v>1</v>
      </c>
      <c r="CE65">
        <f t="shared" si="52"/>
        <v>1</v>
      </c>
      <c r="CF65" s="1">
        <f t="shared" si="115"/>
        <v>0</v>
      </c>
      <c r="CG65">
        <f t="shared" si="52"/>
        <v>0</v>
      </c>
      <c r="CH65" s="1">
        <f t="shared" si="115"/>
        <v>1</v>
      </c>
      <c r="CI65">
        <f t="shared" si="115"/>
        <v>1</v>
      </c>
      <c r="CJ65">
        <f t="shared" si="21"/>
        <v>1</v>
      </c>
      <c r="CK65">
        <f t="shared" si="53"/>
        <v>0</v>
      </c>
      <c r="CL65">
        <f t="shared" si="53"/>
        <v>0</v>
      </c>
      <c r="CM65" s="1">
        <f t="shared" si="120"/>
        <v>64</v>
      </c>
      <c r="CN65" s="1">
        <f t="shared" si="117"/>
        <v>16</v>
      </c>
      <c r="CO65" s="1">
        <f t="shared" si="130"/>
        <v>4</v>
      </c>
      <c r="CP65" s="1">
        <v>0</v>
      </c>
      <c r="CQ65" s="1">
        <v>0</v>
      </c>
      <c r="CR65" s="1">
        <f t="shared" si="131"/>
        <v>4</v>
      </c>
      <c r="CS65">
        <f t="shared" si="116"/>
        <v>30</v>
      </c>
      <c r="CT65" s="1">
        <v>20</v>
      </c>
      <c r="CU65" s="1">
        <v>0.5</v>
      </c>
      <c r="CV65" s="1">
        <v>0.25</v>
      </c>
      <c r="CW65" s="1">
        <v>0</v>
      </c>
      <c r="CX65" s="1">
        <v>0.5</v>
      </c>
      <c r="CY65" s="1">
        <v>0</v>
      </c>
      <c r="CZ65" s="10">
        <f t="shared" si="87"/>
        <v>106.97812499999999</v>
      </c>
      <c r="DA65" s="10">
        <f t="shared" si="88"/>
        <v>0</v>
      </c>
      <c r="DB65" s="10">
        <f t="shared" si="89"/>
        <v>91.978124999999991</v>
      </c>
      <c r="DC65" s="10">
        <f t="shared" si="90"/>
        <v>0</v>
      </c>
      <c r="DD65" s="10">
        <f t="shared" si="91"/>
        <v>76.978124999999991</v>
      </c>
      <c r="DE65" s="10">
        <f t="shared" si="92"/>
        <v>0</v>
      </c>
      <c r="DF65" s="10">
        <f t="shared" si="93"/>
        <v>62.613541666666656</v>
      </c>
      <c r="DG65" s="10">
        <f t="shared" si="94"/>
        <v>0.63541666666666741</v>
      </c>
      <c r="DH65" s="10">
        <f t="shared" si="95"/>
        <v>49.09270833333332</v>
      </c>
      <c r="DI65" s="10">
        <f t="shared" si="96"/>
        <v>2.1145833333333339</v>
      </c>
      <c r="DJ65" s="10">
        <f t="shared" si="97"/>
        <v>36.148958333333326</v>
      </c>
      <c r="DK65" s="10">
        <f t="shared" si="98"/>
        <v>4.1708333333333343</v>
      </c>
      <c r="DL65" s="10">
        <f t="shared" si="99"/>
        <v>25.229166666666668</v>
      </c>
      <c r="DM65" s="10">
        <f t="shared" si="100"/>
        <v>8.2510416666666675</v>
      </c>
      <c r="DN65" s="10">
        <f t="shared" si="101"/>
        <v>213.95624999999998</v>
      </c>
      <c r="DO65" s="10">
        <f t="shared" si="102"/>
        <v>0</v>
      </c>
      <c r="DP65" s="10">
        <f t="shared" si="103"/>
        <v>183.95624999999998</v>
      </c>
      <c r="DQ65" s="10">
        <f t="shared" si="104"/>
        <v>0</v>
      </c>
      <c r="DR65" s="10">
        <f t="shared" si="105"/>
        <v>153.95624999999998</v>
      </c>
      <c r="DS65" s="10">
        <f t="shared" si="106"/>
        <v>0</v>
      </c>
      <c r="DT65" s="10">
        <f t="shared" si="107"/>
        <v>125.22708333333331</v>
      </c>
      <c r="DU65" s="10">
        <f t="shared" si="108"/>
        <v>1.2708333333333348</v>
      </c>
      <c r="DV65" s="10">
        <f t="shared" si="109"/>
        <v>98.18541666666664</v>
      </c>
      <c r="DW65" s="10">
        <f t="shared" si="110"/>
        <v>4.2291666666666679</v>
      </c>
      <c r="DX65" s="10">
        <f t="shared" si="111"/>
        <v>72.297916666666652</v>
      </c>
      <c r="DY65" s="10">
        <f t="shared" si="112"/>
        <v>8.3416666666666686</v>
      </c>
      <c r="DZ65" s="10">
        <f t="shared" si="113"/>
        <v>50.458333333333336</v>
      </c>
      <c r="EA65" s="10">
        <f t="shared" si="114"/>
        <v>16.502083333333335</v>
      </c>
      <c r="EB65" s="44">
        <f t="shared" si="82"/>
        <v>570.73412756602681</v>
      </c>
      <c r="EC65" s="44">
        <f t="shared" si="129"/>
        <v>19.024470918867561</v>
      </c>
      <c r="ED65" s="44">
        <f t="shared" si="83"/>
        <v>2859435.0525185512</v>
      </c>
      <c r="EE65" s="44">
        <f t="shared" si="84"/>
        <v>2413.2595364191011</v>
      </c>
      <c r="EF65" s="44">
        <f t="shared" si="122"/>
        <v>80.441984547303363</v>
      </c>
      <c r="EG65" s="44">
        <f t="shared" si="85"/>
        <v>1058214.3067197758</v>
      </c>
      <c r="EH65" s="44">
        <f t="shared" si="86"/>
        <v>78990.936165909327</v>
      </c>
      <c r="EI65" s="44">
        <f t="shared" si="123"/>
        <v>2633.0312055303107</v>
      </c>
      <c r="EJ65" s="44">
        <f t="shared" si="125"/>
        <v>3761.4731507575871</v>
      </c>
      <c r="EK65" s="44">
        <f t="shared" si="124"/>
        <v>3846858.5912797842</v>
      </c>
      <c r="EL65" s="44">
        <f t="shared" si="126"/>
        <v>5495512.2732568346</v>
      </c>
    </row>
    <row r="66" spans="1:142" x14ac:dyDescent="0.2">
      <c r="A66" s="66">
        <v>44682</v>
      </c>
      <c r="B66" s="4">
        <f t="shared" si="118"/>
        <v>2022</v>
      </c>
      <c r="C66" s="4">
        <f t="shared" si="119"/>
        <v>5</v>
      </c>
      <c r="D66" s="44">
        <v>87104872.971098602</v>
      </c>
      <c r="E66" s="44">
        <f>IFERROR(VLOOKUP($B66-1,CDM!$L$7:$T$18,2,FALSE)/12,0)+IFERROR(VLOOKUP($B66,CDM!$L$37:$O$47,2,FALSE)/24,0)+IFERROR(VLOOKUP($B66,CDM!$L$37:$O$47,2,FALSE)/2*$C66/78,0)</f>
        <v>2191858.5209227335</v>
      </c>
      <c r="F66" s="44">
        <f t="shared" si="79"/>
        <v>89296731.492021337</v>
      </c>
      <c r="G66" s="488">
        <v>150135</v>
      </c>
      <c r="H66" s="44">
        <v>31694331.4660175</v>
      </c>
      <c r="I66" s="44">
        <f>IFERROR(VLOOKUP($B66-1,CDM!$L$7:$T$18,3,FALSE)/12,0)+IFERROR(VLOOKUP($B66,CDM!$L$37:$O$47,3,FALSE)/24,0)+IFERROR(VLOOKUP($B66,CDM!$L$37:$O$47,3,FALSE)/2*$C66/78,0)</f>
        <v>1123863.8855364646</v>
      </c>
      <c r="J66" s="44">
        <f t="shared" si="80"/>
        <v>32818195.351553965</v>
      </c>
      <c r="K66" s="44">
        <v>13170</v>
      </c>
      <c r="L66" s="44">
        <v>115987734.96966501</v>
      </c>
      <c r="M66" s="44">
        <f>IFERROR(VLOOKUP($B66-1,CDM!$L$7:$T$18,4,FALSE)/12,0)+IFERROR(VLOOKUP($B66,CDM!$L$37:$O$47,4,FALSE)/24,0)+IFERROR(VLOOKUP($B66,CDM!$L$37:$O$47,4,FALSE)/2*$C66/78,0)</f>
        <v>6897067.5501595326</v>
      </c>
      <c r="N66" s="44">
        <f t="shared" si="81"/>
        <v>122884802.51982453</v>
      </c>
      <c r="O66" s="44">
        <v>308776.88</v>
      </c>
      <c r="P66" s="488">
        <v>1463</v>
      </c>
      <c r="Q66" s="488">
        <v>5244808.8451044401</v>
      </c>
      <c r="R66" s="488">
        <f>IFERROR(VLOOKUP($B66-1,CDM!$L$7:$T$18,5,FALSE)/12,0)+IFERROR(VLOOKUP($B66,CDM!$L$37:$T$47,5,FALSE)/24,0)+IFERROR(VLOOKUP($B66,CDM!$L$37:$T$47,5,FALSE)/2*$C66/78,0)</f>
        <v>105911.26983918058</v>
      </c>
      <c r="S66" s="488">
        <f t="shared" si="18"/>
        <v>5350720.1149436207</v>
      </c>
      <c r="T66" s="44">
        <v>9436.34</v>
      </c>
      <c r="U66" s="488">
        <v>7</v>
      </c>
      <c r="V66" s="488">
        <v>8696696.3659753408</v>
      </c>
      <c r="W66" s="488">
        <f>IFERROR(VLOOKUP($B66-1,CDM!$L$7:$T$18,6,FALSE)/12,0)+IFERROR(VLOOKUP($B66,CDM!$L$37:$T$47,6,FALSE)/24,0)+IFERROR(VLOOKUP($B66,CDM!$L$37:$T$47,6,FALSE)/2*$C66/78,0)</f>
        <v>1381134.0973572519</v>
      </c>
      <c r="X66" s="488">
        <f t="shared" si="19"/>
        <v>10077830.463332593</v>
      </c>
      <c r="Y66" s="488">
        <v>17970</v>
      </c>
      <c r="Z66" s="488">
        <v>1</v>
      </c>
      <c r="AA66" s="44">
        <v>1134942.22</v>
      </c>
      <c r="AB66" s="44">
        <v>3975.14</v>
      </c>
      <c r="AC66" s="488">
        <v>39203</v>
      </c>
      <c r="AD66" s="44">
        <v>461672.45</v>
      </c>
      <c r="AE66" s="44">
        <v>1543</v>
      </c>
      <c r="AF66" s="44">
        <v>43715.35</v>
      </c>
      <c r="AG66" s="44">
        <v>119.03</v>
      </c>
      <c r="AH66" s="44">
        <v>506</v>
      </c>
      <c r="AI66" s="44">
        <v>16400</v>
      </c>
      <c r="AJ66" s="68">
        <f>Economic!H80</f>
        <v>854001.9</v>
      </c>
      <c r="AK66" s="68">
        <f>Economic!I80</f>
        <v>93618.5</v>
      </c>
      <c r="AL66" s="68">
        <f>Economic!J80</f>
        <v>35584.300000000003</v>
      </c>
      <c r="AM66" s="68">
        <f>Economic!K80</f>
        <v>87698.4</v>
      </c>
      <c r="AN66" s="68">
        <f>Economic!L80</f>
        <v>71366.899999999994</v>
      </c>
      <c r="AO66" s="68">
        <f>Economic!M80</f>
        <v>854755</v>
      </c>
      <c r="AP66" s="68">
        <f>Economic!N80</f>
        <v>94257</v>
      </c>
      <c r="AQ66" s="68">
        <f>Economic!O80</f>
        <v>14654</v>
      </c>
      <c r="AR66" s="68">
        <f>Economic!P80</f>
        <v>35373</v>
      </c>
      <c r="AS66" s="68">
        <f>Economic!Q80</f>
        <v>88426</v>
      </c>
      <c r="AT66" s="68">
        <f>Economic!D80</f>
        <v>7776.1</v>
      </c>
      <c r="AU66" s="68">
        <f>Economic!E80</f>
        <v>7765</v>
      </c>
      <c r="AV66" s="68">
        <f>Economic!F80</f>
        <v>303.2</v>
      </c>
      <c r="AW66" s="68">
        <f>Economic!G80</f>
        <v>303.7</v>
      </c>
      <c r="AX66" s="68">
        <f>Economic!W80</f>
        <v>51170</v>
      </c>
      <c r="AY66" s="68">
        <f>Economic!R80</f>
        <v>510.40000000000055</v>
      </c>
      <c r="AZ66" s="68">
        <f>Economic!W80</f>
        <v>51170</v>
      </c>
      <c r="BA66" s="68">
        <f>Economic!X80</f>
        <v>3917</v>
      </c>
      <c r="BB66" s="68">
        <f>Economic!Y80</f>
        <v>5523</v>
      </c>
      <c r="BC66" s="236">
        <f>Weather!C78</f>
        <v>15.18125</v>
      </c>
      <c r="BD66" s="16">
        <f>Weather!D78</f>
        <v>159.17708333333337</v>
      </c>
      <c r="BE66" s="16">
        <f>Weather!E78</f>
        <v>9.7958333333333272</v>
      </c>
      <c r="BF66" s="16">
        <f>Weather!F78</f>
        <v>115.30833333333334</v>
      </c>
      <c r="BG66" s="16">
        <f>Weather!G78</f>
        <v>27.927083333333336</v>
      </c>
      <c r="BH66" s="16">
        <f>Weather!H78</f>
        <v>77.116666666666688</v>
      </c>
      <c r="BI66" s="16">
        <f>Weather!I78</f>
        <v>51.73541666666668</v>
      </c>
      <c r="BJ66" s="16">
        <f>Weather!J78</f>
        <v>44.104166666666664</v>
      </c>
      <c r="BK66" s="16">
        <f>Weather!K78</f>
        <v>80.722916666666649</v>
      </c>
      <c r="BL66" s="16">
        <f>Weather!L78</f>
        <v>19.479166666666664</v>
      </c>
      <c r="BM66" s="16">
        <f>Weather!M78</f>
        <v>118.09791666666665</v>
      </c>
      <c r="BN66" s="16">
        <f>Weather!N78</f>
        <v>2.9666666666666668</v>
      </c>
      <c r="BO66" s="16">
        <f>Weather!O78</f>
        <v>163.58541666666665</v>
      </c>
      <c r="BP66" s="16">
        <f>Weather!P78</f>
        <v>0</v>
      </c>
      <c r="BQ66" s="16">
        <f>Weather!Q78</f>
        <v>222.61874999999995</v>
      </c>
      <c r="BR66">
        <f t="shared" si="128"/>
        <v>0</v>
      </c>
      <c r="BS66">
        <f t="shared" si="128"/>
        <v>0</v>
      </c>
      <c r="BT66">
        <f t="shared" si="128"/>
        <v>0</v>
      </c>
      <c r="BU66">
        <f t="shared" si="128"/>
        <v>0</v>
      </c>
      <c r="BV66">
        <f t="shared" si="128"/>
        <v>1</v>
      </c>
      <c r="BW66">
        <f t="shared" si="128"/>
        <v>0</v>
      </c>
      <c r="BX66">
        <f t="shared" si="128"/>
        <v>0</v>
      </c>
      <c r="BY66">
        <f t="shared" si="128"/>
        <v>0</v>
      </c>
      <c r="BZ66">
        <f t="shared" si="128"/>
        <v>0</v>
      </c>
      <c r="CA66">
        <f t="shared" si="128"/>
        <v>0</v>
      </c>
      <c r="CB66">
        <f t="shared" si="128"/>
        <v>0</v>
      </c>
      <c r="CC66">
        <f t="shared" si="128"/>
        <v>0</v>
      </c>
      <c r="CD66" s="1">
        <f t="shared" si="115"/>
        <v>1</v>
      </c>
      <c r="CE66">
        <f t="shared" si="52"/>
        <v>0</v>
      </c>
      <c r="CF66" s="1">
        <f t="shared" si="115"/>
        <v>0</v>
      </c>
      <c r="CG66">
        <f t="shared" si="52"/>
        <v>0</v>
      </c>
      <c r="CH66" s="1">
        <f t="shared" si="115"/>
        <v>1</v>
      </c>
      <c r="CI66">
        <f t="shared" si="115"/>
        <v>0</v>
      </c>
      <c r="CJ66">
        <f t="shared" si="21"/>
        <v>0</v>
      </c>
      <c r="CK66">
        <f t="shared" si="53"/>
        <v>1</v>
      </c>
      <c r="CL66">
        <f t="shared" si="53"/>
        <v>0</v>
      </c>
      <c r="CM66" s="1">
        <f t="shared" si="120"/>
        <v>65</v>
      </c>
      <c r="CN66" s="1">
        <f t="shared" si="117"/>
        <v>17</v>
      </c>
      <c r="CO66" s="1">
        <f t="shared" si="130"/>
        <v>5</v>
      </c>
      <c r="CP66" s="1">
        <v>0</v>
      </c>
      <c r="CQ66" s="1">
        <v>0</v>
      </c>
      <c r="CR66" s="1">
        <f t="shared" si="131"/>
        <v>5</v>
      </c>
      <c r="CS66">
        <f t="shared" si="116"/>
        <v>31</v>
      </c>
      <c r="CT66" s="1">
        <v>21</v>
      </c>
      <c r="CU66" s="1">
        <v>0.5</v>
      </c>
      <c r="CV66" s="1">
        <v>0.25</v>
      </c>
      <c r="CW66" s="1">
        <v>0</v>
      </c>
      <c r="CX66" s="1">
        <v>0.5</v>
      </c>
      <c r="CY66" s="1">
        <v>0</v>
      </c>
      <c r="CZ66" s="10">
        <f t="shared" si="87"/>
        <v>39.794270833333343</v>
      </c>
      <c r="DA66" s="10">
        <f t="shared" si="88"/>
        <v>2.4489583333333318</v>
      </c>
      <c r="DB66" s="10">
        <f t="shared" si="89"/>
        <v>28.827083333333334</v>
      </c>
      <c r="DC66" s="10">
        <f t="shared" si="90"/>
        <v>6.9817708333333339</v>
      </c>
      <c r="DD66" s="10">
        <f t="shared" si="91"/>
        <v>19.279166666666672</v>
      </c>
      <c r="DE66" s="10">
        <f t="shared" si="92"/>
        <v>12.93385416666667</v>
      </c>
      <c r="DF66" s="10">
        <f t="shared" si="93"/>
        <v>11.026041666666666</v>
      </c>
      <c r="DG66" s="10">
        <f t="shared" si="94"/>
        <v>20.180729166666662</v>
      </c>
      <c r="DH66" s="10">
        <f t="shared" si="95"/>
        <v>4.8697916666666661</v>
      </c>
      <c r="DI66" s="10">
        <f t="shared" si="96"/>
        <v>29.524479166666662</v>
      </c>
      <c r="DJ66" s="10">
        <f t="shared" si="97"/>
        <v>0.7416666666666667</v>
      </c>
      <c r="DK66" s="10">
        <f t="shared" si="98"/>
        <v>40.896354166666661</v>
      </c>
      <c r="DL66" s="10">
        <f t="shared" si="99"/>
        <v>0</v>
      </c>
      <c r="DM66" s="10">
        <f t="shared" si="100"/>
        <v>55.654687499999987</v>
      </c>
      <c r="DN66" s="10">
        <f t="shared" si="101"/>
        <v>79.588541666666686</v>
      </c>
      <c r="DO66" s="10">
        <f t="shared" si="102"/>
        <v>4.8979166666666636</v>
      </c>
      <c r="DP66" s="10">
        <f t="shared" si="103"/>
        <v>57.654166666666669</v>
      </c>
      <c r="DQ66" s="10">
        <f t="shared" si="104"/>
        <v>13.963541666666668</v>
      </c>
      <c r="DR66" s="10">
        <f t="shared" si="105"/>
        <v>38.558333333333344</v>
      </c>
      <c r="DS66" s="10">
        <f t="shared" si="106"/>
        <v>25.86770833333334</v>
      </c>
      <c r="DT66" s="10">
        <f t="shared" si="107"/>
        <v>22.052083333333332</v>
      </c>
      <c r="DU66" s="10">
        <f t="shared" si="108"/>
        <v>40.361458333333324</v>
      </c>
      <c r="DV66" s="10">
        <f t="shared" si="109"/>
        <v>9.7395833333333321</v>
      </c>
      <c r="DW66" s="10">
        <f t="shared" si="110"/>
        <v>59.048958333333324</v>
      </c>
      <c r="DX66" s="10">
        <f t="shared" si="111"/>
        <v>1.4833333333333334</v>
      </c>
      <c r="DY66" s="10">
        <f t="shared" si="112"/>
        <v>81.792708333333323</v>
      </c>
      <c r="DZ66" s="10">
        <f t="shared" si="113"/>
        <v>0</v>
      </c>
      <c r="EA66" s="10">
        <f t="shared" si="114"/>
        <v>111.30937499999997</v>
      </c>
      <c r="EB66" s="44">
        <f t="shared" ref="EB66:EB97" si="132">F66/G66</f>
        <v>594.77624465994825</v>
      </c>
      <c r="EC66" s="44">
        <f t="shared" si="129"/>
        <v>19.186330472901556</v>
      </c>
      <c r="ED66" s="44">
        <f t="shared" ref="ED66:ED97" si="133">F66/CS66</f>
        <v>2880539.7255490753</v>
      </c>
      <c r="EE66" s="44">
        <f t="shared" ref="EE66:EE97" si="134">J66/K66</f>
        <v>2491.8903076350771</v>
      </c>
      <c r="EF66" s="44">
        <f t="shared" si="122"/>
        <v>80.383558310808937</v>
      </c>
      <c r="EG66" s="44">
        <f t="shared" ref="EG66:EG97" si="135">J66/CS66</f>
        <v>1058651.4629533538</v>
      </c>
      <c r="EH66" s="44">
        <f t="shared" ref="EH66:EH97" si="136">N66/P66</f>
        <v>83995.080327973017</v>
      </c>
      <c r="EI66" s="44">
        <f t="shared" si="123"/>
        <v>2709.5187202571942</v>
      </c>
      <c r="EJ66" s="44">
        <f t="shared" si="125"/>
        <v>4199.7540163986505</v>
      </c>
      <c r="EK66" s="44">
        <f t="shared" si="124"/>
        <v>3964025.8877362753</v>
      </c>
      <c r="EL66" s="44">
        <f t="shared" si="126"/>
        <v>6144240.1259912271</v>
      </c>
    </row>
    <row r="67" spans="1:142" x14ac:dyDescent="0.2">
      <c r="A67" s="66">
        <v>44713</v>
      </c>
      <c r="B67" s="4">
        <f t="shared" si="118"/>
        <v>2022</v>
      </c>
      <c r="C67" s="4">
        <f t="shared" si="119"/>
        <v>6</v>
      </c>
      <c r="D67" s="44">
        <v>102164811.51188999</v>
      </c>
      <c r="E67" s="44">
        <f>IFERROR(VLOOKUP($B67-1,CDM!$L$7:$T$18,2,FALSE)/12,0)+IFERROR(VLOOKUP($B67,CDM!$L$37:$O$47,2,FALSE)/24,0)+IFERROR(VLOOKUP($B67,CDM!$L$37:$O$47,2,FALSE)/2*$C67/78,0)</f>
        <v>2193578.9156325366</v>
      </c>
      <c r="F67" s="44">
        <f t="shared" si="79"/>
        <v>104358390.42752253</v>
      </c>
      <c r="G67" s="488">
        <v>150281</v>
      </c>
      <c r="H67" s="44">
        <v>34209750.976027302</v>
      </c>
      <c r="I67" s="44">
        <f>IFERROR(VLOOKUP($B67-1,CDM!$L$7:$T$18,3,FALSE)/12,0)+IFERROR(VLOOKUP($B67,CDM!$L$37:$O$47,3,FALSE)/24,0)+IFERROR(VLOOKUP($B67,CDM!$L$37:$O$47,3,FALSE)/2*$C67/78,0)</f>
        <v>1142446.2201932569</v>
      </c>
      <c r="J67" s="44">
        <f t="shared" si="80"/>
        <v>35352197.196220562</v>
      </c>
      <c r="K67" s="44">
        <v>13136</v>
      </c>
      <c r="L67" s="44">
        <v>123564821.910271</v>
      </c>
      <c r="M67" s="44">
        <f>IFERROR(VLOOKUP($B67-1,CDM!$L$7:$T$18,4,FALSE)/12,0)+IFERROR(VLOOKUP($B67,CDM!$L$37:$O$47,4,FALSE)/24,0)+IFERROR(VLOOKUP($B67,CDM!$L$37:$O$47,4,FALSE)/2*$C67/78,0)</f>
        <v>6971247.9292255389</v>
      </c>
      <c r="N67" s="44">
        <f t="shared" si="81"/>
        <v>130536069.83949654</v>
      </c>
      <c r="O67" s="44">
        <v>333444.77</v>
      </c>
      <c r="P67" s="488">
        <v>1466</v>
      </c>
      <c r="Q67" s="488">
        <v>4582446.3349120803</v>
      </c>
      <c r="R67" s="488">
        <f>IFERROR(VLOOKUP($B67-1,CDM!$L$7:$T$18,5,FALSE)/12,0)+IFERROR(VLOOKUP($B67,CDM!$L$37:$T$47,5,FALSE)/24,0)+IFERROR(VLOOKUP($B67,CDM!$L$37:$T$47,5,FALSE)/2*$C67/78,0)</f>
        <v>106870.46512428683</v>
      </c>
      <c r="S67" s="488">
        <f t="shared" ref="S67:S97" si="137">R67+Q67</f>
        <v>4689316.800036367</v>
      </c>
      <c r="T67" s="44">
        <v>8700.75</v>
      </c>
      <c r="U67" s="488">
        <v>7</v>
      </c>
      <c r="V67" s="488">
        <v>9157769.0986425392</v>
      </c>
      <c r="W67" s="488">
        <f>IFERROR(VLOOKUP($B67-1,CDM!$L$7:$T$18,6,FALSE)/12,0)+IFERROR(VLOOKUP($B67,CDM!$L$37:$T$47,6,FALSE)/24,0)+IFERROR(VLOOKUP($B67,CDM!$L$37:$T$47,6,FALSE)/2*$C67/78,0)</f>
        <v>1425559.6654021339</v>
      </c>
      <c r="X67" s="488">
        <f t="shared" ref="X67:X97" si="138">W67+V67</f>
        <v>10583328.764044672</v>
      </c>
      <c r="Y67" s="488">
        <v>20269.75</v>
      </c>
      <c r="Z67" s="488">
        <v>1</v>
      </c>
      <c r="AA67" s="44">
        <v>1040302.1</v>
      </c>
      <c r="AB67" s="44">
        <v>3976.69</v>
      </c>
      <c r="AC67" s="488">
        <v>39226</v>
      </c>
      <c r="AD67" s="44">
        <v>447423.66</v>
      </c>
      <c r="AE67" s="44">
        <v>1551</v>
      </c>
      <c r="AF67" s="44">
        <v>43774.57999999998</v>
      </c>
      <c r="AG67" s="44">
        <v>118.97</v>
      </c>
      <c r="AH67" s="44">
        <v>506</v>
      </c>
      <c r="AI67" s="44">
        <v>16400</v>
      </c>
      <c r="AJ67" s="68">
        <f>Economic!H81</f>
        <v>854001.9</v>
      </c>
      <c r="AK67" s="68">
        <f>Economic!I81</f>
        <v>93618.5</v>
      </c>
      <c r="AL67" s="68">
        <f>Economic!J81</f>
        <v>35584.300000000003</v>
      </c>
      <c r="AM67" s="68">
        <f>Economic!K81</f>
        <v>87698.4</v>
      </c>
      <c r="AN67" s="68">
        <f>Economic!L81</f>
        <v>71366.899999999994</v>
      </c>
      <c r="AO67" s="68">
        <f>Economic!M81</f>
        <v>854755</v>
      </c>
      <c r="AP67" s="68">
        <f>Economic!N81</f>
        <v>94257</v>
      </c>
      <c r="AQ67" s="68">
        <f>Economic!O81</f>
        <v>14654</v>
      </c>
      <c r="AR67" s="68">
        <f>Economic!P81</f>
        <v>35373</v>
      </c>
      <c r="AS67" s="68">
        <f>Economic!Q81</f>
        <v>88426</v>
      </c>
      <c r="AT67" s="68">
        <f>Economic!D81</f>
        <v>7782.8</v>
      </c>
      <c r="AU67" s="68">
        <f>Economic!E81</f>
        <v>7838.7</v>
      </c>
      <c r="AV67" s="68">
        <f>Economic!F81</f>
        <v>299.7</v>
      </c>
      <c r="AW67" s="68">
        <f>Economic!G81</f>
        <v>303.39999999999998</v>
      </c>
      <c r="AX67" s="68">
        <f>Economic!W81</f>
        <v>51170</v>
      </c>
      <c r="AY67" s="68">
        <f>Economic!R81</f>
        <v>532.80000000000018</v>
      </c>
      <c r="AZ67" s="68">
        <f>Economic!W81</f>
        <v>51170</v>
      </c>
      <c r="BA67" s="68">
        <f>Economic!X81</f>
        <v>3917</v>
      </c>
      <c r="BB67" s="68">
        <f>Economic!Y81</f>
        <v>5523</v>
      </c>
      <c r="BC67" s="236">
        <f>Weather!C79</f>
        <v>18.728402777777781</v>
      </c>
      <c r="BD67" s="16">
        <f>Weather!D79</f>
        <v>72.906249999999986</v>
      </c>
      <c r="BE67" s="16">
        <f>Weather!E79</f>
        <v>34.758333333333326</v>
      </c>
      <c r="BF67" s="16">
        <f>Weather!F79</f>
        <v>37.135416666666671</v>
      </c>
      <c r="BG67" s="16">
        <f>Weather!G79</f>
        <v>58.987499999999997</v>
      </c>
      <c r="BH67" s="16">
        <f>Weather!H79</f>
        <v>11.835416666666665</v>
      </c>
      <c r="BI67" s="16">
        <f>Weather!I79</f>
        <v>93.6875</v>
      </c>
      <c r="BJ67" s="16">
        <f>Weather!J79</f>
        <v>0.97291666666666998</v>
      </c>
      <c r="BK67" s="16">
        <f>Weather!K79</f>
        <v>142.82500000000002</v>
      </c>
      <c r="BL67" s="16">
        <f>Weather!L79</f>
        <v>0</v>
      </c>
      <c r="BM67" s="16">
        <f>Weather!M79</f>
        <v>201.85208333333333</v>
      </c>
      <c r="BN67" s="16">
        <f>Weather!N79</f>
        <v>0</v>
      </c>
      <c r="BO67" s="16">
        <f>Weather!O79</f>
        <v>261.85208333333327</v>
      </c>
      <c r="BP67" s="16">
        <f>Weather!P79</f>
        <v>0</v>
      </c>
      <c r="BQ67" s="16">
        <f>Weather!Q79</f>
        <v>321.85208333333327</v>
      </c>
      <c r="BR67">
        <f t="shared" si="128"/>
        <v>0</v>
      </c>
      <c r="BS67">
        <f t="shared" si="128"/>
        <v>0</v>
      </c>
      <c r="BT67">
        <f t="shared" si="128"/>
        <v>0</v>
      </c>
      <c r="BU67">
        <f t="shared" si="128"/>
        <v>0</v>
      </c>
      <c r="BV67">
        <f t="shared" si="128"/>
        <v>0</v>
      </c>
      <c r="BW67">
        <f t="shared" si="128"/>
        <v>1</v>
      </c>
      <c r="BX67">
        <f t="shared" si="128"/>
        <v>0</v>
      </c>
      <c r="BY67">
        <f t="shared" si="128"/>
        <v>0</v>
      </c>
      <c r="BZ67">
        <f t="shared" si="128"/>
        <v>0</v>
      </c>
      <c r="CA67">
        <f t="shared" si="128"/>
        <v>0</v>
      </c>
      <c r="CB67">
        <f t="shared" si="128"/>
        <v>0</v>
      </c>
      <c r="CC67">
        <f t="shared" si="128"/>
        <v>0</v>
      </c>
      <c r="CD67" s="1">
        <f t="shared" si="128"/>
        <v>0</v>
      </c>
      <c r="CE67">
        <f t="shared" si="52"/>
        <v>0</v>
      </c>
      <c r="CF67" s="1">
        <f t="shared" si="128"/>
        <v>0</v>
      </c>
      <c r="CG67">
        <f t="shared" si="52"/>
        <v>0</v>
      </c>
      <c r="CH67" s="1">
        <f t="shared" si="128"/>
        <v>0</v>
      </c>
      <c r="CI67">
        <f t="shared" ref="CI67:CI94" si="139">CI55</f>
        <v>0</v>
      </c>
      <c r="CJ67">
        <f t="shared" ref="CJ67:CJ97" si="140">CE67+CF67</f>
        <v>0</v>
      </c>
      <c r="CK67">
        <f t="shared" si="53"/>
        <v>1</v>
      </c>
      <c r="CL67">
        <f t="shared" si="53"/>
        <v>0</v>
      </c>
      <c r="CM67" s="1">
        <f t="shared" si="120"/>
        <v>66</v>
      </c>
      <c r="CN67" s="1">
        <f t="shared" si="117"/>
        <v>18</v>
      </c>
      <c r="CO67" s="1">
        <f t="shared" si="130"/>
        <v>6</v>
      </c>
      <c r="CP67" s="1">
        <v>0</v>
      </c>
      <c r="CQ67" s="1">
        <v>0</v>
      </c>
      <c r="CR67" s="1">
        <f t="shared" si="131"/>
        <v>6</v>
      </c>
      <c r="CS67">
        <f t="shared" si="116"/>
        <v>30</v>
      </c>
      <c r="CT67" s="1">
        <v>22</v>
      </c>
      <c r="CU67" s="1">
        <v>0.5</v>
      </c>
      <c r="CV67" s="1">
        <v>0.25</v>
      </c>
      <c r="CW67" s="1">
        <v>0</v>
      </c>
      <c r="CX67" s="1">
        <v>0.5</v>
      </c>
      <c r="CY67" s="1">
        <v>0</v>
      </c>
      <c r="CZ67" s="10">
        <f t="shared" si="87"/>
        <v>18.226562499999996</v>
      </c>
      <c r="DA67" s="10">
        <f t="shared" si="88"/>
        <v>8.6895833333333314</v>
      </c>
      <c r="DB67" s="10">
        <f t="shared" si="89"/>
        <v>9.2838541666666679</v>
      </c>
      <c r="DC67" s="10">
        <f t="shared" si="90"/>
        <v>14.746874999999999</v>
      </c>
      <c r="DD67" s="10">
        <f t="shared" si="91"/>
        <v>2.9588541666666663</v>
      </c>
      <c r="DE67" s="10">
        <f t="shared" si="92"/>
        <v>23.421875</v>
      </c>
      <c r="DF67" s="10">
        <f t="shared" si="93"/>
        <v>0.2432291666666675</v>
      </c>
      <c r="DG67" s="10">
        <f t="shared" si="94"/>
        <v>35.706250000000004</v>
      </c>
      <c r="DH67" s="10">
        <f t="shared" si="95"/>
        <v>0</v>
      </c>
      <c r="DI67" s="10">
        <f t="shared" si="96"/>
        <v>50.463020833333331</v>
      </c>
      <c r="DJ67" s="10">
        <f t="shared" si="97"/>
        <v>0</v>
      </c>
      <c r="DK67" s="10">
        <f t="shared" si="98"/>
        <v>65.463020833333317</v>
      </c>
      <c r="DL67" s="10">
        <f t="shared" si="99"/>
        <v>0</v>
      </c>
      <c r="DM67" s="10">
        <f t="shared" si="100"/>
        <v>80.463020833333317</v>
      </c>
      <c r="DN67" s="10">
        <f t="shared" si="101"/>
        <v>36.453124999999993</v>
      </c>
      <c r="DO67" s="10">
        <f t="shared" si="102"/>
        <v>17.379166666666663</v>
      </c>
      <c r="DP67" s="10">
        <f t="shared" si="103"/>
        <v>18.567708333333336</v>
      </c>
      <c r="DQ67" s="10">
        <f t="shared" si="104"/>
        <v>29.493749999999999</v>
      </c>
      <c r="DR67" s="10">
        <f t="shared" si="105"/>
        <v>5.9177083333333327</v>
      </c>
      <c r="DS67" s="10">
        <f t="shared" si="106"/>
        <v>46.84375</v>
      </c>
      <c r="DT67" s="10">
        <f t="shared" si="107"/>
        <v>0.48645833333333499</v>
      </c>
      <c r="DU67" s="10">
        <f t="shared" si="108"/>
        <v>71.412500000000009</v>
      </c>
      <c r="DV67" s="10">
        <f t="shared" si="109"/>
        <v>0</v>
      </c>
      <c r="DW67" s="10">
        <f t="shared" si="110"/>
        <v>100.92604166666666</v>
      </c>
      <c r="DX67" s="10">
        <f t="shared" si="111"/>
        <v>0</v>
      </c>
      <c r="DY67" s="10">
        <f t="shared" si="112"/>
        <v>130.92604166666663</v>
      </c>
      <c r="DZ67" s="10">
        <f t="shared" si="113"/>
        <v>0</v>
      </c>
      <c r="EA67" s="10">
        <f t="shared" si="114"/>
        <v>160.92604166666663</v>
      </c>
      <c r="EB67" s="44">
        <f t="shared" si="132"/>
        <v>694.42171949562839</v>
      </c>
      <c r="EC67" s="44">
        <f t="shared" si="129"/>
        <v>23.14739064985428</v>
      </c>
      <c r="ED67" s="44">
        <f t="shared" si="133"/>
        <v>3478613.0142507507</v>
      </c>
      <c r="EE67" s="44">
        <f t="shared" si="134"/>
        <v>2691.2452189571072</v>
      </c>
      <c r="EF67" s="44">
        <f t="shared" si="122"/>
        <v>89.708173965236909</v>
      </c>
      <c r="EG67" s="44">
        <f t="shared" si="135"/>
        <v>1178406.5732073521</v>
      </c>
      <c r="EH67" s="44">
        <f t="shared" si="136"/>
        <v>89042.339590379634</v>
      </c>
      <c r="EI67" s="44">
        <f t="shared" si="123"/>
        <v>2968.0779863459879</v>
      </c>
      <c r="EJ67" s="44">
        <f t="shared" si="125"/>
        <v>4047.3790722899835</v>
      </c>
      <c r="EK67" s="44">
        <f t="shared" si="124"/>
        <v>4351202.3279832182</v>
      </c>
      <c r="EL67" s="44">
        <f t="shared" si="126"/>
        <v>5933457.7199771153</v>
      </c>
    </row>
    <row r="68" spans="1:142" x14ac:dyDescent="0.2">
      <c r="A68" s="66">
        <v>44743</v>
      </c>
      <c r="B68" s="4">
        <f t="shared" si="118"/>
        <v>2022</v>
      </c>
      <c r="C68" s="4">
        <f t="shared" si="119"/>
        <v>7</v>
      </c>
      <c r="D68" s="44">
        <v>123688701.01707</v>
      </c>
      <c r="E68" s="44">
        <f>IFERROR(VLOOKUP($B68-1,CDM!$L$7:$T$18,2,FALSE)/12,0)+IFERROR(VLOOKUP($B68,CDM!$L$37:$O$47,2,FALSE)/24,0)+IFERROR(VLOOKUP($B68,CDM!$L$37:$O$47,2,FALSE)/2*$C68/78,0)</f>
        <v>2195299.3103423393</v>
      </c>
      <c r="F68" s="44">
        <f t="shared" si="79"/>
        <v>125884000.32741234</v>
      </c>
      <c r="G68" s="488">
        <v>150338</v>
      </c>
      <c r="H68" s="44">
        <v>37735053.444555603</v>
      </c>
      <c r="I68" s="44">
        <f>IFERROR(VLOOKUP($B68-1,CDM!$L$7:$T$18,3,FALSE)/12,0)+IFERROR(VLOOKUP($B68,CDM!$L$37:$O$47,3,FALSE)/24,0)+IFERROR(VLOOKUP($B68,CDM!$L$37:$O$47,3,FALSE)/2*$C68/78,0)</f>
        <v>1161028.5548500493</v>
      </c>
      <c r="J68" s="44">
        <f t="shared" si="80"/>
        <v>38896081.999405652</v>
      </c>
      <c r="K68" s="44">
        <v>13135</v>
      </c>
      <c r="L68" s="44">
        <v>132025631.09683999</v>
      </c>
      <c r="M68" s="44">
        <f>IFERROR(VLOOKUP($B68-1,CDM!$L$7:$T$18,4,FALSE)/12,0)+IFERROR(VLOOKUP($B68,CDM!$L$37:$O$47,4,FALSE)/24,0)+IFERROR(VLOOKUP($B68,CDM!$L$37:$O$47,4,FALSE)/2*$C68/78,0)</f>
        <v>7045428.3082915451</v>
      </c>
      <c r="N68" s="44">
        <f t="shared" si="81"/>
        <v>139071059.40513155</v>
      </c>
      <c r="O68" s="44">
        <v>326922.98</v>
      </c>
      <c r="P68" s="488">
        <v>1468</v>
      </c>
      <c r="Q68" s="488">
        <v>5007289.4767214302</v>
      </c>
      <c r="R68" s="488">
        <f>IFERROR(VLOOKUP($B68-1,CDM!$L$7:$T$18,5,FALSE)/12,0)+IFERROR(VLOOKUP($B68,CDM!$L$37:$T$47,5,FALSE)/24,0)+IFERROR(VLOOKUP($B68,CDM!$L$37:$T$47,5,FALSE)/2*$C68/78,0)</f>
        <v>107829.66040939309</v>
      </c>
      <c r="S68" s="488">
        <f t="shared" si="137"/>
        <v>5115119.137130823</v>
      </c>
      <c r="T68" s="44">
        <v>7184.0599999999995</v>
      </c>
      <c r="U68" s="488">
        <v>7</v>
      </c>
      <c r="V68" s="488">
        <v>10182889.9445142</v>
      </c>
      <c r="W68" s="488">
        <f>IFERROR(VLOOKUP($B68-1,CDM!$L$7:$T$18,6,FALSE)/12,0)+IFERROR(VLOOKUP($B68,CDM!$L$37:$T$47,6,FALSE)/24,0)+IFERROR(VLOOKUP($B68,CDM!$L$37:$T$47,6,FALSE)/2*$C68/78,0)</f>
        <v>1469985.2334470158</v>
      </c>
      <c r="X68" s="488">
        <f t="shared" si="138"/>
        <v>11652875.177961215</v>
      </c>
      <c r="Y68" s="488">
        <v>19466.71</v>
      </c>
      <c r="Z68" s="488">
        <v>1</v>
      </c>
      <c r="AA68" s="44">
        <v>1104857.07</v>
      </c>
      <c r="AB68" s="44">
        <v>3977.74</v>
      </c>
      <c r="AC68" s="488">
        <v>39240</v>
      </c>
      <c r="AD68" s="44">
        <v>461799.48000000004</v>
      </c>
      <c r="AE68" s="44">
        <v>1551</v>
      </c>
      <c r="AF68" s="44">
        <v>45367.189999999988</v>
      </c>
      <c r="AG68" s="44">
        <v>119.03</v>
      </c>
      <c r="AH68" s="44">
        <v>506</v>
      </c>
      <c r="AI68" s="44">
        <v>16400</v>
      </c>
      <c r="AJ68" s="68">
        <f>Economic!H82</f>
        <v>854001.9</v>
      </c>
      <c r="AK68" s="68">
        <f>Economic!I82</f>
        <v>93618.5</v>
      </c>
      <c r="AL68" s="68">
        <f>Economic!J82</f>
        <v>35584.300000000003</v>
      </c>
      <c r="AM68" s="68">
        <f>Economic!K82</f>
        <v>87698.4</v>
      </c>
      <c r="AN68" s="68">
        <f>Economic!L82</f>
        <v>71366.899999999994</v>
      </c>
      <c r="AO68" s="68">
        <f>Economic!M82</f>
        <v>856819</v>
      </c>
      <c r="AP68" s="68">
        <f>Economic!N82</f>
        <v>93556</v>
      </c>
      <c r="AQ68" s="68">
        <f>Economic!O82</f>
        <v>14578</v>
      </c>
      <c r="AR68" s="68">
        <f>Economic!P82</f>
        <v>35455</v>
      </c>
      <c r="AS68" s="68">
        <f>Economic!Q82</f>
        <v>86844</v>
      </c>
      <c r="AT68" s="68">
        <f>Economic!D82</f>
        <v>7784.1</v>
      </c>
      <c r="AU68" s="68">
        <f>Economic!E82</f>
        <v>7872.1</v>
      </c>
      <c r="AV68" s="68">
        <f>Economic!F82</f>
        <v>299.2</v>
      </c>
      <c r="AW68" s="68">
        <f>Economic!G82</f>
        <v>303.8</v>
      </c>
      <c r="AX68" s="68">
        <f>Economic!W82</f>
        <v>35813</v>
      </c>
      <c r="AY68" s="68">
        <f>Economic!R82</f>
        <v>467.10000000000036</v>
      </c>
      <c r="AZ68" s="68">
        <f>Economic!W82</f>
        <v>35813</v>
      </c>
      <c r="BA68" s="68">
        <f>Economic!X82</f>
        <v>1796</v>
      </c>
      <c r="BB68" s="68">
        <f>Economic!Y82</f>
        <v>1029</v>
      </c>
      <c r="BC68" s="236">
        <f>Weather!C80</f>
        <v>21.255913978494618</v>
      </c>
      <c r="BD68" s="16">
        <f>Weather!D80</f>
        <v>8.5125000000000135</v>
      </c>
      <c r="BE68" s="16">
        <f>Weather!E80</f>
        <v>47.44583333333334</v>
      </c>
      <c r="BF68" s="16">
        <f>Weather!F80</f>
        <v>0.14166666666666217</v>
      </c>
      <c r="BG68" s="16">
        <f>Weather!G80</f>
        <v>101.075</v>
      </c>
      <c r="BH68" s="16">
        <f>Weather!H80</f>
        <v>0</v>
      </c>
      <c r="BI68" s="16">
        <f>Weather!I80</f>
        <v>162.93333333333334</v>
      </c>
      <c r="BJ68" s="16">
        <f>Weather!J80</f>
        <v>0</v>
      </c>
      <c r="BK68" s="16">
        <f>Weather!K80</f>
        <v>224.93333333333328</v>
      </c>
      <c r="BL68" s="16">
        <f>Weather!L80</f>
        <v>0</v>
      </c>
      <c r="BM68" s="16">
        <f>Weather!M80</f>
        <v>286.93333333333339</v>
      </c>
      <c r="BN68" s="16">
        <f>Weather!N80</f>
        <v>0</v>
      </c>
      <c r="BO68" s="16">
        <f>Weather!O80</f>
        <v>348.93333333333334</v>
      </c>
      <c r="BP68" s="16">
        <f>Weather!P80</f>
        <v>0</v>
      </c>
      <c r="BQ68" s="16">
        <f>Weather!Q80</f>
        <v>410.93333333333339</v>
      </c>
      <c r="BR68">
        <f t="shared" si="128"/>
        <v>0</v>
      </c>
      <c r="BS68">
        <f t="shared" si="128"/>
        <v>0</v>
      </c>
      <c r="BT68">
        <f t="shared" si="128"/>
        <v>0</v>
      </c>
      <c r="BU68">
        <f t="shared" si="128"/>
        <v>0</v>
      </c>
      <c r="BV68">
        <f t="shared" si="128"/>
        <v>0</v>
      </c>
      <c r="BW68">
        <f t="shared" si="128"/>
        <v>0</v>
      </c>
      <c r="BX68">
        <f t="shared" si="128"/>
        <v>1</v>
      </c>
      <c r="BY68">
        <f t="shared" si="128"/>
        <v>0</v>
      </c>
      <c r="BZ68">
        <f t="shared" si="128"/>
        <v>0</v>
      </c>
      <c r="CA68">
        <f t="shared" si="128"/>
        <v>0</v>
      </c>
      <c r="CB68">
        <f t="shared" si="128"/>
        <v>0</v>
      </c>
      <c r="CC68">
        <f t="shared" si="128"/>
        <v>0</v>
      </c>
      <c r="CD68" s="1">
        <f t="shared" si="128"/>
        <v>0</v>
      </c>
      <c r="CE68">
        <f t="shared" si="52"/>
        <v>0</v>
      </c>
      <c r="CF68" s="1">
        <f t="shared" si="128"/>
        <v>0</v>
      </c>
      <c r="CG68">
        <f t="shared" si="52"/>
        <v>0</v>
      </c>
      <c r="CH68" s="1">
        <f t="shared" si="128"/>
        <v>0</v>
      </c>
      <c r="CI68">
        <f t="shared" si="139"/>
        <v>0</v>
      </c>
      <c r="CJ68">
        <f t="shared" si="140"/>
        <v>0</v>
      </c>
      <c r="CK68">
        <f t="shared" si="53"/>
        <v>1</v>
      </c>
      <c r="CL68">
        <f t="shared" si="53"/>
        <v>1</v>
      </c>
      <c r="CM68" s="1">
        <f t="shared" si="120"/>
        <v>67</v>
      </c>
      <c r="CN68" s="1">
        <f t="shared" si="117"/>
        <v>19</v>
      </c>
      <c r="CO68" s="1">
        <f t="shared" si="130"/>
        <v>7</v>
      </c>
      <c r="CP68" s="1">
        <v>0</v>
      </c>
      <c r="CQ68" s="1">
        <v>0</v>
      </c>
      <c r="CR68" s="1">
        <f t="shared" si="131"/>
        <v>7</v>
      </c>
      <c r="CS68">
        <f t="shared" si="116"/>
        <v>31</v>
      </c>
      <c r="CT68" s="1">
        <v>20</v>
      </c>
      <c r="CU68" s="1">
        <v>0.5</v>
      </c>
      <c r="CV68" s="1">
        <v>0.25</v>
      </c>
      <c r="CW68" s="1">
        <v>0</v>
      </c>
      <c r="CX68" s="1">
        <v>0.5</v>
      </c>
      <c r="CY68" s="1">
        <v>0</v>
      </c>
      <c r="CZ68" s="10">
        <f t="shared" si="87"/>
        <v>2.1281250000000034</v>
      </c>
      <c r="DA68" s="10">
        <f t="shared" si="88"/>
        <v>11.861458333333335</v>
      </c>
      <c r="DB68" s="10">
        <f t="shared" si="89"/>
        <v>3.5416666666665542E-2</v>
      </c>
      <c r="DC68" s="10">
        <f t="shared" si="90"/>
        <v>25.268750000000001</v>
      </c>
      <c r="DD68" s="10">
        <f t="shared" si="91"/>
        <v>0</v>
      </c>
      <c r="DE68" s="10">
        <f t="shared" si="92"/>
        <v>40.733333333333334</v>
      </c>
      <c r="DF68" s="10">
        <f t="shared" si="93"/>
        <v>0</v>
      </c>
      <c r="DG68" s="10">
        <f t="shared" si="94"/>
        <v>56.23333333333332</v>
      </c>
      <c r="DH68" s="10">
        <f t="shared" si="95"/>
        <v>0</v>
      </c>
      <c r="DI68" s="10">
        <f t="shared" si="96"/>
        <v>71.733333333333348</v>
      </c>
      <c r="DJ68" s="10">
        <f t="shared" si="97"/>
        <v>0</v>
      </c>
      <c r="DK68" s="10">
        <f t="shared" si="98"/>
        <v>87.233333333333334</v>
      </c>
      <c r="DL68" s="10">
        <f t="shared" si="99"/>
        <v>0</v>
      </c>
      <c r="DM68" s="10">
        <f t="shared" si="100"/>
        <v>102.73333333333335</v>
      </c>
      <c r="DN68" s="10">
        <f t="shared" si="101"/>
        <v>4.2562500000000068</v>
      </c>
      <c r="DO68" s="10">
        <f t="shared" si="102"/>
        <v>23.72291666666667</v>
      </c>
      <c r="DP68" s="10">
        <f t="shared" si="103"/>
        <v>7.0833333333331083E-2</v>
      </c>
      <c r="DQ68" s="10">
        <f t="shared" si="104"/>
        <v>50.537500000000001</v>
      </c>
      <c r="DR68" s="10">
        <f t="shared" si="105"/>
        <v>0</v>
      </c>
      <c r="DS68" s="10">
        <f t="shared" si="106"/>
        <v>81.466666666666669</v>
      </c>
      <c r="DT68" s="10">
        <f t="shared" si="107"/>
        <v>0</v>
      </c>
      <c r="DU68" s="10">
        <f t="shared" si="108"/>
        <v>112.46666666666664</v>
      </c>
      <c r="DV68" s="10">
        <f t="shared" si="109"/>
        <v>0</v>
      </c>
      <c r="DW68" s="10">
        <f t="shared" si="110"/>
        <v>143.4666666666667</v>
      </c>
      <c r="DX68" s="10">
        <f t="shared" si="111"/>
        <v>0</v>
      </c>
      <c r="DY68" s="10">
        <f t="shared" si="112"/>
        <v>174.46666666666667</v>
      </c>
      <c r="DZ68" s="10">
        <f t="shared" si="113"/>
        <v>0</v>
      </c>
      <c r="EA68" s="10">
        <f t="shared" si="114"/>
        <v>205.4666666666667</v>
      </c>
      <c r="EB68" s="44">
        <f t="shared" si="132"/>
        <v>837.33986302473318</v>
      </c>
      <c r="EC68" s="44">
        <f t="shared" si="129"/>
        <v>27.01096332337849</v>
      </c>
      <c r="ED68" s="44">
        <f t="shared" si="133"/>
        <v>4060774.2041100753</v>
      </c>
      <c r="EE68" s="44">
        <f t="shared" si="134"/>
        <v>2961.2548153335097</v>
      </c>
      <c r="EF68" s="44">
        <f t="shared" si="122"/>
        <v>95.524348881726112</v>
      </c>
      <c r="EG68" s="44">
        <f t="shared" si="135"/>
        <v>1254712.3225614727</v>
      </c>
      <c r="EH68" s="44">
        <f t="shared" si="136"/>
        <v>94735.054090689067</v>
      </c>
      <c r="EI68" s="44">
        <f t="shared" si="123"/>
        <v>3055.9694867964217</v>
      </c>
      <c r="EJ68" s="44">
        <f t="shared" si="125"/>
        <v>4306.1388223040485</v>
      </c>
      <c r="EK68" s="44">
        <f t="shared" si="124"/>
        <v>4486163.2066171467</v>
      </c>
      <c r="EL68" s="44">
        <f t="shared" si="126"/>
        <v>6321411.7911423435</v>
      </c>
    </row>
    <row r="69" spans="1:142" x14ac:dyDescent="0.2">
      <c r="A69" s="66">
        <v>44774</v>
      </c>
      <c r="B69" s="4">
        <f t="shared" si="118"/>
        <v>2022</v>
      </c>
      <c r="C69" s="4">
        <f t="shared" si="119"/>
        <v>8</v>
      </c>
      <c r="D69" s="44">
        <v>118953224.774854</v>
      </c>
      <c r="E69" s="44">
        <f>IFERROR(VLOOKUP($B69-1,CDM!$L$7:$T$18,2,FALSE)/12,0)+IFERROR(VLOOKUP($B69,CDM!$L$37:$O$47,2,FALSE)/24,0)+IFERROR(VLOOKUP($B69,CDM!$L$37:$O$47,2,FALSE)/2*$C69/78,0)</f>
        <v>2197019.7050521425</v>
      </c>
      <c r="F69" s="44">
        <f t="shared" si="79"/>
        <v>121150244.47990614</v>
      </c>
      <c r="G69" s="488">
        <v>150523</v>
      </c>
      <c r="H69" s="44">
        <v>37660575.033222601</v>
      </c>
      <c r="I69" s="44">
        <f>IFERROR(VLOOKUP($B69-1,CDM!$L$7:$T$18,3,FALSE)/12,0)+IFERROR(VLOOKUP($B69,CDM!$L$37:$O$47,3,FALSE)/24,0)+IFERROR(VLOOKUP($B69,CDM!$L$37:$O$47,3,FALSE)/2*$C69/78,0)</f>
        <v>1179610.8895068415</v>
      </c>
      <c r="J69" s="44">
        <f t="shared" si="80"/>
        <v>38840185.92272944</v>
      </c>
      <c r="K69" s="44">
        <v>13151</v>
      </c>
      <c r="L69" s="44">
        <v>135884642.32431999</v>
      </c>
      <c r="M69" s="44">
        <f>IFERROR(VLOOKUP($B69-1,CDM!$L$7:$T$18,4,FALSE)/12,0)+IFERROR(VLOOKUP($B69,CDM!$L$37:$O$47,4,FALSE)/24,0)+IFERROR(VLOOKUP($B69,CDM!$L$37:$O$47,4,FALSE)/2*$C69/78,0)</f>
        <v>7119608.6873575514</v>
      </c>
      <c r="N69" s="44">
        <f t="shared" si="81"/>
        <v>143004251.01167753</v>
      </c>
      <c r="O69" s="44">
        <v>329613.63</v>
      </c>
      <c r="P69" s="488">
        <v>1473</v>
      </c>
      <c r="Q69" s="488">
        <v>6952322.9695094395</v>
      </c>
      <c r="R69" s="488">
        <f>IFERROR(VLOOKUP($B69-1,CDM!$L$7:$T$18,5,FALSE)/12,0)+IFERROR(VLOOKUP($B69,CDM!$L$37:$T$47,5,FALSE)/24,0)+IFERROR(VLOOKUP($B69,CDM!$L$37:$T$47,5,FALSE)/2*$C69/78,0)</f>
        <v>108788.85569449935</v>
      </c>
      <c r="S69" s="488">
        <f t="shared" si="137"/>
        <v>7061111.8252039393</v>
      </c>
      <c r="T69" s="44">
        <v>9488.2000000000007</v>
      </c>
      <c r="U69" s="488">
        <v>7</v>
      </c>
      <c r="V69" s="488">
        <v>10193340.6656103</v>
      </c>
      <c r="W69" s="488">
        <f>IFERROR(VLOOKUP($B69-1,CDM!$L$7:$T$18,6,FALSE)/12,0)+IFERROR(VLOOKUP($B69,CDM!$L$37:$T$47,6,FALSE)/24,0)+IFERROR(VLOOKUP($B69,CDM!$L$37:$T$47,6,FALSE)/2*$C69/78,0)</f>
        <v>1514410.8014918976</v>
      </c>
      <c r="X69" s="488">
        <f t="shared" si="138"/>
        <v>11707751.467102198</v>
      </c>
      <c r="Y69" s="488">
        <v>19302.009999999998</v>
      </c>
      <c r="Z69" s="488">
        <v>1</v>
      </c>
      <c r="AA69" s="44">
        <v>1229029.69</v>
      </c>
      <c r="AB69" s="44">
        <v>3980.53</v>
      </c>
      <c r="AC69" s="488">
        <v>39294</v>
      </c>
      <c r="AD69" s="44">
        <v>461776.57</v>
      </c>
      <c r="AE69" s="44">
        <v>1553</v>
      </c>
      <c r="AF69" s="44">
        <v>43454.81</v>
      </c>
      <c r="AG69" s="44">
        <v>119.03</v>
      </c>
      <c r="AH69" s="44">
        <v>506</v>
      </c>
      <c r="AI69" s="44">
        <v>16400</v>
      </c>
      <c r="AJ69" s="68">
        <f>Economic!H83</f>
        <v>854001.9</v>
      </c>
      <c r="AK69" s="68">
        <f>Economic!I83</f>
        <v>93618.5</v>
      </c>
      <c r="AL69" s="68">
        <f>Economic!J83</f>
        <v>35584.300000000003</v>
      </c>
      <c r="AM69" s="68">
        <f>Economic!K83</f>
        <v>87698.4</v>
      </c>
      <c r="AN69" s="68">
        <f>Economic!L83</f>
        <v>71366.899999999994</v>
      </c>
      <c r="AO69" s="68">
        <f>Economic!M83</f>
        <v>856819</v>
      </c>
      <c r="AP69" s="68">
        <f>Economic!N83</f>
        <v>93556</v>
      </c>
      <c r="AQ69" s="68">
        <f>Economic!O83</f>
        <v>14578</v>
      </c>
      <c r="AR69" s="68">
        <f>Economic!P83</f>
        <v>35455</v>
      </c>
      <c r="AS69" s="68">
        <f>Economic!Q83</f>
        <v>86844</v>
      </c>
      <c r="AT69" s="68">
        <f>Economic!D83</f>
        <v>7778</v>
      </c>
      <c r="AU69" s="68">
        <f>Economic!E83</f>
        <v>7852.4</v>
      </c>
      <c r="AV69" s="68">
        <f>Economic!F83</f>
        <v>297.3</v>
      </c>
      <c r="AW69" s="68">
        <f>Economic!G83</f>
        <v>300.7</v>
      </c>
      <c r="AX69" s="68">
        <f>Economic!W83</f>
        <v>35813</v>
      </c>
      <c r="AY69" s="68">
        <f>Economic!R83</f>
        <v>372.10000000000036</v>
      </c>
      <c r="AZ69" s="68">
        <f>Economic!W83</f>
        <v>35813</v>
      </c>
      <c r="BA69" s="68">
        <f>Economic!X83</f>
        <v>1796</v>
      </c>
      <c r="BB69" s="68">
        <f>Economic!Y83</f>
        <v>1029</v>
      </c>
      <c r="BC69" s="236">
        <f>Weather!C81</f>
        <v>20.718682795698921</v>
      </c>
      <c r="BD69" s="16">
        <f>Weather!D81</f>
        <v>13.745833333333337</v>
      </c>
      <c r="BE69" s="16">
        <f>Weather!E81</f>
        <v>36.024999999999991</v>
      </c>
      <c r="BF69" s="16">
        <f>Weather!F81</f>
        <v>1.0333333333333314</v>
      </c>
      <c r="BG69" s="16">
        <f>Weather!G81</f>
        <v>85.312499999999972</v>
      </c>
      <c r="BH69" s="16">
        <f>Weather!H81</f>
        <v>0</v>
      </c>
      <c r="BI69" s="16">
        <f>Weather!I81</f>
        <v>146.27916666666667</v>
      </c>
      <c r="BJ69" s="16">
        <f>Weather!J81</f>
        <v>0</v>
      </c>
      <c r="BK69" s="16">
        <f>Weather!K81</f>
        <v>208.27916666666667</v>
      </c>
      <c r="BL69" s="16">
        <f>Weather!L81</f>
        <v>0</v>
      </c>
      <c r="BM69" s="16">
        <f>Weather!M81</f>
        <v>270.27916666666675</v>
      </c>
      <c r="BN69" s="16">
        <f>Weather!N81</f>
        <v>0</v>
      </c>
      <c r="BO69" s="16">
        <f>Weather!O81</f>
        <v>332.27916666666675</v>
      </c>
      <c r="BP69" s="16">
        <f>Weather!P81</f>
        <v>0</v>
      </c>
      <c r="BQ69" s="16">
        <f>Weather!Q81</f>
        <v>394.27916666666664</v>
      </c>
      <c r="BR69">
        <f t="shared" si="128"/>
        <v>0</v>
      </c>
      <c r="BS69">
        <f t="shared" si="128"/>
        <v>0</v>
      </c>
      <c r="BT69">
        <f t="shared" si="128"/>
        <v>0</v>
      </c>
      <c r="BU69">
        <f t="shared" si="128"/>
        <v>0</v>
      </c>
      <c r="BV69">
        <f t="shared" si="128"/>
        <v>0</v>
      </c>
      <c r="BW69">
        <f t="shared" si="128"/>
        <v>0</v>
      </c>
      <c r="BX69">
        <f t="shared" si="128"/>
        <v>0</v>
      </c>
      <c r="BY69">
        <f t="shared" si="128"/>
        <v>1</v>
      </c>
      <c r="BZ69">
        <f t="shared" si="128"/>
        <v>0</v>
      </c>
      <c r="CA69">
        <f t="shared" si="128"/>
        <v>0</v>
      </c>
      <c r="CB69">
        <f t="shared" si="128"/>
        <v>0</v>
      </c>
      <c r="CC69">
        <f t="shared" si="128"/>
        <v>0</v>
      </c>
      <c r="CD69" s="1">
        <f t="shared" si="128"/>
        <v>0</v>
      </c>
      <c r="CE69">
        <f t="shared" si="52"/>
        <v>0</v>
      </c>
      <c r="CF69" s="1">
        <f t="shared" si="128"/>
        <v>0</v>
      </c>
      <c r="CG69">
        <f t="shared" si="52"/>
        <v>0</v>
      </c>
      <c r="CH69" s="1">
        <f t="shared" si="128"/>
        <v>0</v>
      </c>
      <c r="CI69">
        <f t="shared" si="139"/>
        <v>0</v>
      </c>
      <c r="CJ69">
        <f t="shared" si="140"/>
        <v>0</v>
      </c>
      <c r="CK69">
        <f t="shared" si="53"/>
        <v>1</v>
      </c>
      <c r="CL69">
        <f t="shared" si="53"/>
        <v>1</v>
      </c>
      <c r="CM69" s="1">
        <f t="shared" si="120"/>
        <v>68</v>
      </c>
      <c r="CN69" s="1">
        <f t="shared" si="117"/>
        <v>20</v>
      </c>
      <c r="CO69" s="1">
        <f t="shared" si="130"/>
        <v>8</v>
      </c>
      <c r="CP69" s="1">
        <v>0</v>
      </c>
      <c r="CQ69" s="1">
        <v>0</v>
      </c>
      <c r="CR69" s="1">
        <f t="shared" si="131"/>
        <v>8</v>
      </c>
      <c r="CS69">
        <f t="shared" si="116"/>
        <v>31</v>
      </c>
      <c r="CT69" s="1">
        <v>22</v>
      </c>
      <c r="CU69" s="1">
        <v>0.5</v>
      </c>
      <c r="CV69" s="1">
        <v>0.25</v>
      </c>
      <c r="CW69" s="1">
        <v>0</v>
      </c>
      <c r="CX69" s="1">
        <v>0.5</v>
      </c>
      <c r="CY69" s="1">
        <v>0</v>
      </c>
      <c r="CZ69" s="10">
        <f t="shared" si="87"/>
        <v>3.4364583333333343</v>
      </c>
      <c r="DA69" s="10">
        <f t="shared" si="88"/>
        <v>9.0062499999999979</v>
      </c>
      <c r="DB69" s="10">
        <f t="shared" si="89"/>
        <v>0.25833333333333286</v>
      </c>
      <c r="DC69" s="10">
        <f t="shared" si="90"/>
        <v>21.328124999999993</v>
      </c>
      <c r="DD69" s="10">
        <f t="shared" si="91"/>
        <v>0</v>
      </c>
      <c r="DE69" s="10">
        <f t="shared" si="92"/>
        <v>36.569791666666667</v>
      </c>
      <c r="DF69" s="10">
        <f t="shared" si="93"/>
        <v>0</v>
      </c>
      <c r="DG69" s="10">
        <f t="shared" si="94"/>
        <v>52.069791666666667</v>
      </c>
      <c r="DH69" s="10">
        <f t="shared" si="95"/>
        <v>0</v>
      </c>
      <c r="DI69" s="10">
        <f t="shared" si="96"/>
        <v>67.569791666666688</v>
      </c>
      <c r="DJ69" s="10">
        <f t="shared" si="97"/>
        <v>0</v>
      </c>
      <c r="DK69" s="10">
        <f t="shared" si="98"/>
        <v>83.069791666666688</v>
      </c>
      <c r="DL69" s="10">
        <f t="shared" si="99"/>
        <v>0</v>
      </c>
      <c r="DM69" s="10">
        <f t="shared" si="100"/>
        <v>98.56979166666666</v>
      </c>
      <c r="DN69" s="10">
        <f t="shared" si="101"/>
        <v>6.8729166666666686</v>
      </c>
      <c r="DO69" s="10">
        <f t="shared" si="102"/>
        <v>18.012499999999996</v>
      </c>
      <c r="DP69" s="10">
        <f t="shared" si="103"/>
        <v>0.51666666666666572</v>
      </c>
      <c r="DQ69" s="10">
        <f t="shared" si="104"/>
        <v>42.656249999999986</v>
      </c>
      <c r="DR69" s="10">
        <f t="shared" si="105"/>
        <v>0</v>
      </c>
      <c r="DS69" s="10">
        <f t="shared" si="106"/>
        <v>73.139583333333334</v>
      </c>
      <c r="DT69" s="10">
        <f t="shared" si="107"/>
        <v>0</v>
      </c>
      <c r="DU69" s="10">
        <f t="shared" si="108"/>
        <v>104.13958333333333</v>
      </c>
      <c r="DV69" s="10">
        <f t="shared" si="109"/>
        <v>0</v>
      </c>
      <c r="DW69" s="10">
        <f t="shared" si="110"/>
        <v>135.13958333333338</v>
      </c>
      <c r="DX69" s="10">
        <f t="shared" si="111"/>
        <v>0</v>
      </c>
      <c r="DY69" s="10">
        <f t="shared" si="112"/>
        <v>166.13958333333338</v>
      </c>
      <c r="DZ69" s="10">
        <f t="shared" si="113"/>
        <v>0</v>
      </c>
      <c r="EA69" s="10">
        <f t="shared" si="114"/>
        <v>197.13958333333332</v>
      </c>
      <c r="EB69" s="44">
        <f t="shared" si="132"/>
        <v>804.8620109877304</v>
      </c>
      <c r="EC69" s="44">
        <f t="shared" si="129"/>
        <v>25.963290677023561</v>
      </c>
      <c r="ED69" s="44">
        <f t="shared" si="133"/>
        <v>3908072.4025776177</v>
      </c>
      <c r="EE69" s="44">
        <f t="shared" si="134"/>
        <v>2953.4017126248527</v>
      </c>
      <c r="EF69" s="44">
        <f t="shared" si="122"/>
        <v>95.271022987898476</v>
      </c>
      <c r="EG69" s="44">
        <f t="shared" si="135"/>
        <v>1252909.2233138529</v>
      </c>
      <c r="EH69" s="44">
        <f t="shared" si="136"/>
        <v>97083.67346346064</v>
      </c>
      <c r="EI69" s="44">
        <f t="shared" si="123"/>
        <v>3131.7314020471176</v>
      </c>
      <c r="EJ69" s="44">
        <f t="shared" si="125"/>
        <v>4854.1836731730318</v>
      </c>
      <c r="EK69" s="44">
        <f t="shared" si="124"/>
        <v>4613040.3552154042</v>
      </c>
      <c r="EL69" s="44">
        <f t="shared" si="126"/>
        <v>7150212.5505838767</v>
      </c>
    </row>
    <row r="70" spans="1:142" x14ac:dyDescent="0.2">
      <c r="A70" s="66">
        <v>44805</v>
      </c>
      <c r="B70" s="4">
        <f t="shared" si="118"/>
        <v>2022</v>
      </c>
      <c r="C70" s="4">
        <f t="shared" si="119"/>
        <v>9</v>
      </c>
      <c r="D70" s="44">
        <v>93697345.179709494</v>
      </c>
      <c r="E70" s="44">
        <f>IFERROR(VLOOKUP($B70-1,CDM!$L$7:$T$18,2,FALSE)/12,0)+IFERROR(VLOOKUP($B70,CDM!$L$37:$O$47,2,FALSE)/24,0)+IFERROR(VLOOKUP($B70,CDM!$L$37:$O$47,2,FALSE)/2*$C70/78,0)</f>
        <v>2198740.0997619452</v>
      </c>
      <c r="F70" s="44">
        <f t="shared" si="79"/>
        <v>95896085.279471442</v>
      </c>
      <c r="G70" s="488">
        <v>150661</v>
      </c>
      <c r="H70" s="44">
        <v>32456134.506344099</v>
      </c>
      <c r="I70" s="44">
        <f>IFERROR(VLOOKUP($B70-1,CDM!$L$7:$T$18,3,FALSE)/12,0)+IFERROR(VLOOKUP($B70,CDM!$L$37:$O$47,3,FALSE)/24,0)+IFERROR(VLOOKUP($B70,CDM!$L$37:$O$47,3,FALSE)/2*$C70/78,0)</f>
        <v>1198193.224163634</v>
      </c>
      <c r="J70" s="44">
        <f t="shared" si="80"/>
        <v>33654327.730507731</v>
      </c>
      <c r="K70" s="44">
        <v>13148</v>
      </c>
      <c r="L70" s="44">
        <v>122141909.72374099</v>
      </c>
      <c r="M70" s="44">
        <f>IFERROR(VLOOKUP($B70-1,CDM!$L$7:$T$18,4,FALSE)/12,0)+IFERROR(VLOOKUP($B70,CDM!$L$37:$O$47,4,FALSE)/24,0)+IFERROR(VLOOKUP($B70,CDM!$L$37:$O$47,4,FALSE)/2*$C70/78,0)</f>
        <v>7193789.0664235568</v>
      </c>
      <c r="N70" s="44">
        <f t="shared" si="81"/>
        <v>129335698.79016455</v>
      </c>
      <c r="O70" s="44">
        <v>317081.78000000003</v>
      </c>
      <c r="P70" s="488">
        <v>1474</v>
      </c>
      <c r="Q70" s="488">
        <v>5180637.7837396497</v>
      </c>
      <c r="R70" s="488">
        <f>IFERROR(VLOOKUP($B70-1,CDM!$L$7:$T$18,5,FALSE)/12,0)+IFERROR(VLOOKUP($B70,CDM!$L$37:$T$47,5,FALSE)/24,0)+IFERROR(VLOOKUP($B70,CDM!$L$37:$T$47,5,FALSE)/2*$C70/78,0)</f>
        <v>109748.05097960561</v>
      </c>
      <c r="S70" s="488">
        <f t="shared" si="137"/>
        <v>5290385.8347192556</v>
      </c>
      <c r="T70" s="44">
        <v>8637.41</v>
      </c>
      <c r="U70" s="488">
        <v>7</v>
      </c>
      <c r="V70" s="488">
        <v>9380500.5510599595</v>
      </c>
      <c r="W70" s="488">
        <f>IFERROR(VLOOKUP($B70-1,CDM!$L$7:$T$18,6,FALSE)/12,0)+IFERROR(VLOOKUP($B70,CDM!$L$37:$T$47,6,FALSE)/24,0)+IFERROR(VLOOKUP($B70,CDM!$L$37:$T$47,6,FALSE)/2*$C70/78,0)</f>
        <v>1558836.3695367794</v>
      </c>
      <c r="X70" s="488">
        <f t="shared" si="138"/>
        <v>10939336.920596739</v>
      </c>
      <c r="Y70" s="488">
        <v>19190.23</v>
      </c>
      <c r="Z70" s="488">
        <v>1</v>
      </c>
      <c r="AA70" s="44">
        <v>1366919.61</v>
      </c>
      <c r="AB70" s="44">
        <v>3982.87</v>
      </c>
      <c r="AC70" s="488">
        <v>39333</v>
      </c>
      <c r="AD70" s="44">
        <v>448017.12000000005</v>
      </c>
      <c r="AE70" s="44">
        <v>1554</v>
      </c>
      <c r="AF70" s="44">
        <v>43943.020000000011</v>
      </c>
      <c r="AG70" s="44">
        <v>118.97</v>
      </c>
      <c r="AH70" s="44">
        <v>506</v>
      </c>
      <c r="AI70" s="44">
        <v>16400</v>
      </c>
      <c r="AJ70" s="68">
        <f>Economic!H84</f>
        <v>854001.9</v>
      </c>
      <c r="AK70" s="68">
        <f>Economic!I84</f>
        <v>93618.5</v>
      </c>
      <c r="AL70" s="68">
        <f>Economic!J84</f>
        <v>35584.300000000003</v>
      </c>
      <c r="AM70" s="68">
        <f>Economic!K84</f>
        <v>87698.4</v>
      </c>
      <c r="AN70" s="68">
        <f>Economic!L84</f>
        <v>71366.899999999994</v>
      </c>
      <c r="AO70" s="68">
        <f>Economic!M84</f>
        <v>856819</v>
      </c>
      <c r="AP70" s="68">
        <f>Economic!N84</f>
        <v>93556</v>
      </c>
      <c r="AQ70" s="68">
        <f>Economic!O84</f>
        <v>14578</v>
      </c>
      <c r="AR70" s="68">
        <f>Economic!P84</f>
        <v>35455</v>
      </c>
      <c r="AS70" s="68">
        <f>Economic!Q84</f>
        <v>86844</v>
      </c>
      <c r="AT70" s="68">
        <f>Economic!D84</f>
        <v>7770.7</v>
      </c>
      <c r="AU70" s="68">
        <f>Economic!E84</f>
        <v>7793.8</v>
      </c>
      <c r="AV70" s="68">
        <f>Economic!F84</f>
        <v>299.60000000000002</v>
      </c>
      <c r="AW70" s="68">
        <f>Economic!G84</f>
        <v>300.60000000000002</v>
      </c>
      <c r="AX70" s="68">
        <f>Economic!W84</f>
        <v>35813</v>
      </c>
      <c r="AY70" s="68">
        <f>Economic!R84</f>
        <v>288.69999999999982</v>
      </c>
      <c r="AZ70" s="68">
        <f>Economic!W84</f>
        <v>35813</v>
      </c>
      <c r="BA70" s="68">
        <f>Economic!X84</f>
        <v>1796</v>
      </c>
      <c r="BB70" s="68">
        <f>Economic!Y84</f>
        <v>1029</v>
      </c>
      <c r="BC70" s="236">
        <f>Weather!C82</f>
        <v>16.580277777777781</v>
      </c>
      <c r="BD70" s="16">
        <f>Weather!D82</f>
        <v>109.90833333333333</v>
      </c>
      <c r="BE70" s="16">
        <f>Weather!E82</f>
        <v>7.3166666666666629</v>
      </c>
      <c r="BF70" s="16">
        <f>Weather!F82</f>
        <v>68.80416666666666</v>
      </c>
      <c r="BG70" s="16">
        <f>Weather!G82</f>
        <v>26.212499999999999</v>
      </c>
      <c r="BH70" s="16">
        <f>Weather!H82</f>
        <v>45.320833333333333</v>
      </c>
      <c r="BI70" s="16">
        <f>Weather!I82</f>
        <v>62.729166666666657</v>
      </c>
      <c r="BJ70" s="16">
        <f>Weather!J82</f>
        <v>24.349999999999994</v>
      </c>
      <c r="BK70" s="16">
        <f>Weather!K82</f>
        <v>101.75833333333333</v>
      </c>
      <c r="BL70" s="16">
        <f>Weather!L82</f>
        <v>8.1375000000000011</v>
      </c>
      <c r="BM70" s="16">
        <f>Weather!M82</f>
        <v>145.54583333333335</v>
      </c>
      <c r="BN70" s="16">
        <f>Weather!N82</f>
        <v>0.26250000000000107</v>
      </c>
      <c r="BO70" s="16">
        <f>Weather!O82</f>
        <v>197.67083333333335</v>
      </c>
      <c r="BP70" s="16">
        <f>Weather!P82</f>
        <v>0</v>
      </c>
      <c r="BQ70" s="16">
        <f>Weather!Q82</f>
        <v>257.40833333333336</v>
      </c>
      <c r="BR70">
        <f t="shared" si="128"/>
        <v>0</v>
      </c>
      <c r="BS70">
        <f t="shared" si="128"/>
        <v>0</v>
      </c>
      <c r="BT70">
        <f t="shared" si="128"/>
        <v>0</v>
      </c>
      <c r="BU70">
        <f t="shared" si="128"/>
        <v>0</v>
      </c>
      <c r="BV70">
        <f t="shared" si="128"/>
        <v>0</v>
      </c>
      <c r="BW70">
        <f t="shared" si="128"/>
        <v>0</v>
      </c>
      <c r="BX70">
        <f t="shared" si="128"/>
        <v>0</v>
      </c>
      <c r="BY70">
        <f t="shared" si="128"/>
        <v>0</v>
      </c>
      <c r="BZ70">
        <f t="shared" si="128"/>
        <v>1</v>
      </c>
      <c r="CA70">
        <f t="shared" si="128"/>
        <v>0</v>
      </c>
      <c r="CB70">
        <f t="shared" si="128"/>
        <v>0</v>
      </c>
      <c r="CC70">
        <f t="shared" si="128"/>
        <v>0</v>
      </c>
      <c r="CD70" s="1">
        <f t="shared" si="128"/>
        <v>0</v>
      </c>
      <c r="CE70">
        <f t="shared" si="52"/>
        <v>0</v>
      </c>
      <c r="CF70" s="1">
        <f t="shared" si="128"/>
        <v>1</v>
      </c>
      <c r="CG70">
        <f t="shared" si="52"/>
        <v>1</v>
      </c>
      <c r="CH70" s="1">
        <f t="shared" si="128"/>
        <v>1</v>
      </c>
      <c r="CI70">
        <f t="shared" si="139"/>
        <v>1</v>
      </c>
      <c r="CJ70">
        <f t="shared" si="140"/>
        <v>1</v>
      </c>
      <c r="CK70">
        <f t="shared" si="53"/>
        <v>0</v>
      </c>
      <c r="CL70">
        <f t="shared" si="53"/>
        <v>0</v>
      </c>
      <c r="CM70" s="1">
        <f t="shared" si="120"/>
        <v>69</v>
      </c>
      <c r="CN70" s="1">
        <f t="shared" si="117"/>
        <v>21</v>
      </c>
      <c r="CO70" s="1">
        <f t="shared" si="130"/>
        <v>9</v>
      </c>
      <c r="CP70" s="1">
        <v>0</v>
      </c>
      <c r="CQ70" s="1">
        <v>0</v>
      </c>
      <c r="CR70" s="1">
        <f t="shared" si="131"/>
        <v>9</v>
      </c>
      <c r="CS70">
        <f t="shared" si="116"/>
        <v>30</v>
      </c>
      <c r="CT70" s="1">
        <v>20</v>
      </c>
      <c r="CU70" s="1">
        <v>0.5</v>
      </c>
      <c r="CV70" s="1">
        <v>0.25</v>
      </c>
      <c r="CW70" s="1">
        <v>0</v>
      </c>
      <c r="CX70" s="1">
        <v>0.5</v>
      </c>
      <c r="CY70" s="1">
        <v>0</v>
      </c>
      <c r="CZ70" s="10">
        <f t="shared" si="87"/>
        <v>27.477083333333333</v>
      </c>
      <c r="DA70" s="10">
        <f t="shared" si="88"/>
        <v>1.8291666666666657</v>
      </c>
      <c r="DB70" s="10">
        <f t="shared" si="89"/>
        <v>17.201041666666665</v>
      </c>
      <c r="DC70" s="10">
        <f t="shared" si="90"/>
        <v>6.5531249999999996</v>
      </c>
      <c r="DD70" s="10">
        <f t="shared" si="91"/>
        <v>11.330208333333333</v>
      </c>
      <c r="DE70" s="10">
        <f t="shared" si="92"/>
        <v>15.682291666666664</v>
      </c>
      <c r="DF70" s="10">
        <f t="shared" si="93"/>
        <v>6.0874999999999986</v>
      </c>
      <c r="DG70" s="10">
        <f t="shared" si="94"/>
        <v>25.439583333333331</v>
      </c>
      <c r="DH70" s="10">
        <f t="shared" si="95"/>
        <v>2.0343750000000003</v>
      </c>
      <c r="DI70" s="10">
        <f t="shared" si="96"/>
        <v>36.386458333333337</v>
      </c>
      <c r="DJ70" s="10">
        <f t="shared" si="97"/>
        <v>6.5625000000000266E-2</v>
      </c>
      <c r="DK70" s="10">
        <f t="shared" si="98"/>
        <v>49.417708333333337</v>
      </c>
      <c r="DL70" s="10">
        <f t="shared" si="99"/>
        <v>0</v>
      </c>
      <c r="DM70" s="10">
        <f t="shared" si="100"/>
        <v>64.35208333333334</v>
      </c>
      <c r="DN70" s="10">
        <f t="shared" si="101"/>
        <v>54.954166666666666</v>
      </c>
      <c r="DO70" s="10">
        <f t="shared" si="102"/>
        <v>3.6583333333333314</v>
      </c>
      <c r="DP70" s="10">
        <f t="shared" si="103"/>
        <v>34.40208333333333</v>
      </c>
      <c r="DQ70" s="10">
        <f t="shared" si="104"/>
        <v>13.106249999999999</v>
      </c>
      <c r="DR70" s="10">
        <f t="shared" si="105"/>
        <v>22.660416666666666</v>
      </c>
      <c r="DS70" s="10">
        <f t="shared" si="106"/>
        <v>31.364583333333329</v>
      </c>
      <c r="DT70" s="10">
        <f t="shared" si="107"/>
        <v>12.174999999999997</v>
      </c>
      <c r="DU70" s="10">
        <f t="shared" si="108"/>
        <v>50.879166666666663</v>
      </c>
      <c r="DV70" s="10">
        <f t="shared" si="109"/>
        <v>4.0687500000000005</v>
      </c>
      <c r="DW70" s="10">
        <f t="shared" si="110"/>
        <v>72.772916666666674</v>
      </c>
      <c r="DX70" s="10">
        <f t="shared" si="111"/>
        <v>0.13125000000000053</v>
      </c>
      <c r="DY70" s="10">
        <f t="shared" si="112"/>
        <v>98.835416666666674</v>
      </c>
      <c r="DZ70" s="10">
        <f t="shared" si="113"/>
        <v>0</v>
      </c>
      <c r="EA70" s="10">
        <f t="shared" si="114"/>
        <v>128.70416666666668</v>
      </c>
      <c r="EB70" s="44">
        <f t="shared" si="132"/>
        <v>636.50238136924247</v>
      </c>
      <c r="EC70" s="44">
        <f t="shared" si="129"/>
        <v>21.216746045641415</v>
      </c>
      <c r="ED70" s="44">
        <f t="shared" si="133"/>
        <v>3196536.1759823812</v>
      </c>
      <c r="EE70" s="44">
        <f t="shared" si="134"/>
        <v>2559.6537671514857</v>
      </c>
      <c r="EF70" s="44">
        <f t="shared" si="122"/>
        <v>85.321792238382855</v>
      </c>
      <c r="EG70" s="44">
        <f t="shared" si="135"/>
        <v>1121810.9243502577</v>
      </c>
      <c r="EH70" s="44">
        <f t="shared" si="136"/>
        <v>87744.707456013944</v>
      </c>
      <c r="EI70" s="44">
        <f t="shared" si="123"/>
        <v>2924.8235818671315</v>
      </c>
      <c r="EJ70" s="44">
        <f t="shared" si="125"/>
        <v>4178.3194026673309</v>
      </c>
      <c r="EK70" s="44">
        <f t="shared" si="124"/>
        <v>4311189.9596721511</v>
      </c>
      <c r="EL70" s="44">
        <f t="shared" si="126"/>
        <v>6158842.7995316451</v>
      </c>
    </row>
    <row r="71" spans="1:142" x14ac:dyDescent="0.2">
      <c r="A71" s="66">
        <v>44835</v>
      </c>
      <c r="B71" s="4">
        <f t="shared" si="118"/>
        <v>2022</v>
      </c>
      <c r="C71" s="4">
        <f t="shared" si="119"/>
        <v>10</v>
      </c>
      <c r="D71" s="44">
        <v>80207191.380662501</v>
      </c>
      <c r="E71" s="44">
        <f>IFERROR(VLOOKUP($B71-1,CDM!$L$7:$T$18,2,FALSE)/12,0)+IFERROR(VLOOKUP($B71,CDM!$L$37:$O$47,2,FALSE)/24,0)+IFERROR(VLOOKUP($B71,CDM!$L$37:$O$47,2,FALSE)/2*$C71/78,0)</f>
        <v>2200460.4944717484</v>
      </c>
      <c r="F71" s="44">
        <f t="shared" si="79"/>
        <v>82407651.875134245</v>
      </c>
      <c r="G71" s="488">
        <v>150911</v>
      </c>
      <c r="H71" s="44">
        <v>30198531.808878601</v>
      </c>
      <c r="I71" s="44">
        <f>IFERROR(VLOOKUP($B71-1,CDM!$L$7:$T$18,3,FALSE)/12,0)+IFERROR(VLOOKUP($B71,CDM!$L$37:$O$47,3,FALSE)/24,0)+IFERROR(VLOOKUP($B71,CDM!$L$37:$O$47,3,FALSE)/2*$C71/78,0)</f>
        <v>1216775.5588204262</v>
      </c>
      <c r="J71" s="44">
        <f t="shared" si="80"/>
        <v>31415307.367699027</v>
      </c>
      <c r="K71" s="44">
        <v>13175</v>
      </c>
      <c r="L71" s="44">
        <v>111564257.65007301</v>
      </c>
      <c r="M71" s="44">
        <f>IFERROR(VLOOKUP($B71-1,CDM!$L$7:$T$18,4,FALSE)/12,0)+IFERROR(VLOOKUP($B71,CDM!$L$37:$O$47,4,FALSE)/24,0)+IFERROR(VLOOKUP($B71,CDM!$L$37:$O$47,4,FALSE)/2*$C71/78,0)</f>
        <v>7267969.445489563</v>
      </c>
      <c r="N71" s="44">
        <f t="shared" si="81"/>
        <v>118832227.09556258</v>
      </c>
      <c r="O71" s="44">
        <v>284673.25</v>
      </c>
      <c r="P71" s="488">
        <v>1476</v>
      </c>
      <c r="Q71" s="488">
        <v>4126032.15088866</v>
      </c>
      <c r="R71" s="488">
        <f>IFERROR(VLOOKUP($B71-1,CDM!$L$7:$T$18,5,FALSE)/12,0)+IFERROR(VLOOKUP($B71,CDM!$L$37:$T$47,5,FALSE)/24,0)+IFERROR(VLOOKUP($B71,CDM!$L$37:$T$47,5,FALSE)/2*$C71/78,0)</f>
        <v>110707.24626471187</v>
      </c>
      <c r="S71" s="488">
        <f t="shared" si="137"/>
        <v>4236739.3971533719</v>
      </c>
      <c r="T71" s="44">
        <v>3335.860000000001</v>
      </c>
      <c r="U71" s="488">
        <v>7</v>
      </c>
      <c r="V71" s="488">
        <v>11230722.3185411</v>
      </c>
      <c r="W71" s="488">
        <f>IFERROR(VLOOKUP($B71-1,CDM!$L$7:$T$18,6,FALSE)/12,0)+IFERROR(VLOOKUP($B71,CDM!$L$37:$T$47,6,FALSE)/24,0)+IFERROR(VLOOKUP($B71,CDM!$L$37:$T$47,6,FALSE)/2*$C71/78,0)</f>
        <v>1603261.9375816614</v>
      </c>
      <c r="X71" s="488">
        <f t="shared" si="138"/>
        <v>12833984.256122762</v>
      </c>
      <c r="Y71" s="488">
        <v>23082.27</v>
      </c>
      <c r="Z71" s="488">
        <v>2</v>
      </c>
      <c r="AA71" s="44">
        <v>1599023.09</v>
      </c>
      <c r="AB71" s="44">
        <v>3989.28</v>
      </c>
      <c r="AC71" s="488">
        <v>39416</v>
      </c>
      <c r="AD71" s="44">
        <v>461931.35</v>
      </c>
      <c r="AE71" s="44">
        <v>1554</v>
      </c>
      <c r="AF71" s="44">
        <v>44515.570000000007</v>
      </c>
      <c r="AG71" s="44">
        <v>118.93</v>
      </c>
      <c r="AH71" s="44">
        <v>505</v>
      </c>
      <c r="AI71" s="44">
        <v>16400</v>
      </c>
      <c r="AJ71" s="68">
        <f>Economic!H85</f>
        <v>854001.9</v>
      </c>
      <c r="AK71" s="68">
        <f>Economic!I85</f>
        <v>93618.5</v>
      </c>
      <c r="AL71" s="68">
        <f>Economic!J85</f>
        <v>35584.300000000003</v>
      </c>
      <c r="AM71" s="68">
        <f>Economic!K85</f>
        <v>87698.4</v>
      </c>
      <c r="AN71" s="68">
        <f>Economic!L85</f>
        <v>71366.899999999994</v>
      </c>
      <c r="AO71" s="68">
        <f>Economic!M85</f>
        <v>856887</v>
      </c>
      <c r="AP71" s="68">
        <f>Economic!N85</f>
        <v>91622</v>
      </c>
      <c r="AQ71" s="68">
        <f>Economic!O85</f>
        <v>14156</v>
      </c>
      <c r="AR71" s="68">
        <f>Economic!P85</f>
        <v>35629</v>
      </c>
      <c r="AS71" s="68">
        <f>Economic!Q85</f>
        <v>86074</v>
      </c>
      <c r="AT71" s="68">
        <f>Economic!D85</f>
        <v>7776.1</v>
      </c>
      <c r="AU71" s="68">
        <f>Economic!E85</f>
        <v>7778.7</v>
      </c>
      <c r="AV71" s="68">
        <f>Economic!F85</f>
        <v>299.5</v>
      </c>
      <c r="AW71" s="68">
        <f>Economic!G85</f>
        <v>299.10000000000002</v>
      </c>
      <c r="AX71" s="68">
        <f>Economic!W85</f>
        <v>16488</v>
      </c>
      <c r="AY71" s="68">
        <f>Economic!R85</f>
        <v>238.40000000000055</v>
      </c>
      <c r="AZ71" s="68">
        <f>Economic!W85</f>
        <v>16488</v>
      </c>
      <c r="BA71" s="68">
        <f>Economic!X85</f>
        <v>-4001</v>
      </c>
      <c r="BB71" s="68">
        <f>Economic!Y85</f>
        <v>-3218</v>
      </c>
      <c r="BC71" s="236">
        <f>Weather!C83</f>
        <v>9.6606182795698938</v>
      </c>
      <c r="BD71" s="16">
        <f>Weather!D83</f>
        <v>320.52083333333326</v>
      </c>
      <c r="BE71" s="16">
        <f>Weather!E83</f>
        <v>0</v>
      </c>
      <c r="BF71" s="16">
        <f>Weather!F83</f>
        <v>258.52083333333331</v>
      </c>
      <c r="BG71" s="16">
        <f>Weather!G83</f>
        <v>0</v>
      </c>
      <c r="BH71" s="16">
        <f>Weather!H83</f>
        <v>196.92083333333329</v>
      </c>
      <c r="BI71" s="16">
        <f>Weather!I83</f>
        <v>0.40000000000000213</v>
      </c>
      <c r="BJ71" s="16">
        <f>Weather!J83</f>
        <v>138.87083333333328</v>
      </c>
      <c r="BK71" s="16">
        <f>Weather!K83</f>
        <v>4.3500000000000014</v>
      </c>
      <c r="BL71" s="16">
        <f>Weather!L83</f>
        <v>91.854166666666643</v>
      </c>
      <c r="BM71" s="16">
        <f>Weather!M83</f>
        <v>19.333333333333336</v>
      </c>
      <c r="BN71" s="16">
        <f>Weather!N83</f>
        <v>52.683333333333337</v>
      </c>
      <c r="BO71" s="16">
        <f>Weather!O83</f>
        <v>42.162500000000001</v>
      </c>
      <c r="BP71" s="16">
        <f>Weather!P83</f>
        <v>24.558333333333337</v>
      </c>
      <c r="BQ71" s="16">
        <f>Weather!Q83</f>
        <v>76.037500000000023</v>
      </c>
      <c r="BR71">
        <f t="shared" si="128"/>
        <v>0</v>
      </c>
      <c r="BS71">
        <f t="shared" si="128"/>
        <v>0</v>
      </c>
      <c r="BT71">
        <f t="shared" si="128"/>
        <v>0</v>
      </c>
      <c r="BU71">
        <f t="shared" si="128"/>
        <v>0</v>
      </c>
      <c r="BV71">
        <f t="shared" si="128"/>
        <v>0</v>
      </c>
      <c r="BW71">
        <f t="shared" si="128"/>
        <v>0</v>
      </c>
      <c r="BX71">
        <f t="shared" si="128"/>
        <v>0</v>
      </c>
      <c r="BY71">
        <f t="shared" si="128"/>
        <v>0</v>
      </c>
      <c r="BZ71">
        <f t="shared" si="128"/>
        <v>0</v>
      </c>
      <c r="CA71">
        <f t="shared" si="128"/>
        <v>1</v>
      </c>
      <c r="CB71">
        <f t="shared" si="128"/>
        <v>0</v>
      </c>
      <c r="CC71">
        <f t="shared" si="128"/>
        <v>0</v>
      </c>
      <c r="CD71" s="1">
        <f t="shared" si="128"/>
        <v>0</v>
      </c>
      <c r="CE71">
        <f t="shared" si="52"/>
        <v>0</v>
      </c>
      <c r="CF71" s="1">
        <f t="shared" si="128"/>
        <v>1</v>
      </c>
      <c r="CG71">
        <f t="shared" si="52"/>
        <v>1</v>
      </c>
      <c r="CH71" s="1">
        <f t="shared" si="128"/>
        <v>1</v>
      </c>
      <c r="CI71">
        <f t="shared" si="139"/>
        <v>1</v>
      </c>
      <c r="CJ71">
        <f t="shared" si="140"/>
        <v>1</v>
      </c>
      <c r="CK71">
        <f t="shared" si="53"/>
        <v>0</v>
      </c>
      <c r="CL71">
        <f t="shared" si="53"/>
        <v>0</v>
      </c>
      <c r="CM71" s="1">
        <f t="shared" si="120"/>
        <v>70</v>
      </c>
      <c r="CN71" s="1">
        <f t="shared" si="117"/>
        <v>22</v>
      </c>
      <c r="CO71" s="1">
        <f t="shared" si="130"/>
        <v>10</v>
      </c>
      <c r="CP71" s="1">
        <v>0</v>
      </c>
      <c r="CQ71" s="1">
        <v>0</v>
      </c>
      <c r="CR71" s="1">
        <f t="shared" si="131"/>
        <v>10</v>
      </c>
      <c r="CS71">
        <f t="shared" si="116"/>
        <v>31</v>
      </c>
      <c r="CT71" s="1">
        <v>20</v>
      </c>
      <c r="CU71" s="1">
        <v>0.5</v>
      </c>
      <c r="CV71" s="1">
        <v>0.25</v>
      </c>
      <c r="CW71" s="1">
        <v>0</v>
      </c>
      <c r="CX71" s="1">
        <v>0.5</v>
      </c>
      <c r="CY71" s="1">
        <v>0</v>
      </c>
      <c r="CZ71" s="10">
        <f t="shared" si="87"/>
        <v>80.130208333333314</v>
      </c>
      <c r="DA71" s="10">
        <f t="shared" si="88"/>
        <v>0</v>
      </c>
      <c r="DB71" s="10">
        <f t="shared" si="89"/>
        <v>64.630208333333329</v>
      </c>
      <c r="DC71" s="10">
        <f t="shared" si="90"/>
        <v>0</v>
      </c>
      <c r="DD71" s="10">
        <f t="shared" si="91"/>
        <v>49.230208333333323</v>
      </c>
      <c r="DE71" s="10">
        <f t="shared" si="92"/>
        <v>0.10000000000000053</v>
      </c>
      <c r="DF71" s="10">
        <f t="shared" si="93"/>
        <v>34.71770833333332</v>
      </c>
      <c r="DG71" s="10">
        <f t="shared" si="94"/>
        <v>1.0875000000000004</v>
      </c>
      <c r="DH71" s="10">
        <f t="shared" si="95"/>
        <v>22.963541666666661</v>
      </c>
      <c r="DI71" s="10">
        <f t="shared" si="96"/>
        <v>4.8333333333333339</v>
      </c>
      <c r="DJ71" s="10">
        <f t="shared" si="97"/>
        <v>13.170833333333334</v>
      </c>
      <c r="DK71" s="10">
        <f t="shared" si="98"/>
        <v>10.540625</v>
      </c>
      <c r="DL71" s="10">
        <f t="shared" si="99"/>
        <v>6.1395833333333343</v>
      </c>
      <c r="DM71" s="10">
        <f t="shared" si="100"/>
        <v>19.009375000000006</v>
      </c>
      <c r="DN71" s="10">
        <f t="shared" si="101"/>
        <v>160.26041666666663</v>
      </c>
      <c r="DO71" s="10">
        <f t="shared" si="102"/>
        <v>0</v>
      </c>
      <c r="DP71" s="10">
        <f t="shared" si="103"/>
        <v>129.26041666666666</v>
      </c>
      <c r="DQ71" s="10">
        <f t="shared" si="104"/>
        <v>0</v>
      </c>
      <c r="DR71" s="10">
        <f t="shared" si="105"/>
        <v>98.460416666666646</v>
      </c>
      <c r="DS71" s="10">
        <f t="shared" si="106"/>
        <v>0.20000000000000107</v>
      </c>
      <c r="DT71" s="10">
        <f t="shared" si="107"/>
        <v>69.43541666666664</v>
      </c>
      <c r="DU71" s="10">
        <f t="shared" si="108"/>
        <v>2.1750000000000007</v>
      </c>
      <c r="DV71" s="10">
        <f t="shared" si="109"/>
        <v>45.927083333333321</v>
      </c>
      <c r="DW71" s="10">
        <f t="shared" si="110"/>
        <v>9.6666666666666679</v>
      </c>
      <c r="DX71" s="10">
        <f t="shared" si="111"/>
        <v>26.341666666666669</v>
      </c>
      <c r="DY71" s="10">
        <f t="shared" si="112"/>
        <v>21.081250000000001</v>
      </c>
      <c r="DZ71" s="10">
        <f t="shared" si="113"/>
        <v>12.279166666666669</v>
      </c>
      <c r="EA71" s="10">
        <f t="shared" si="114"/>
        <v>38.018750000000011</v>
      </c>
      <c r="EB71" s="44">
        <f t="shared" si="132"/>
        <v>546.06789349440555</v>
      </c>
      <c r="EC71" s="44">
        <f t="shared" si="129"/>
        <v>17.61509333852921</v>
      </c>
      <c r="ED71" s="44">
        <f t="shared" si="133"/>
        <v>2658311.3508107821</v>
      </c>
      <c r="EE71" s="44">
        <f t="shared" si="134"/>
        <v>2384.4635573206092</v>
      </c>
      <c r="EF71" s="44">
        <f t="shared" si="122"/>
        <v>76.918179268406746</v>
      </c>
      <c r="EG71" s="44">
        <f t="shared" si="135"/>
        <v>1013397.0118612589</v>
      </c>
      <c r="EH71" s="44">
        <f t="shared" si="136"/>
        <v>80509.638953633184</v>
      </c>
      <c r="EI71" s="44">
        <f t="shared" si="123"/>
        <v>2597.0851275365544</v>
      </c>
      <c r="EJ71" s="44">
        <f t="shared" si="125"/>
        <v>3833.7923311253899</v>
      </c>
      <c r="EK71" s="44">
        <f t="shared" si="124"/>
        <v>3833297.6482439539</v>
      </c>
      <c r="EL71" s="44">
        <f t="shared" si="126"/>
        <v>5658677.4807410752</v>
      </c>
    </row>
    <row r="72" spans="1:142" x14ac:dyDescent="0.2">
      <c r="A72" s="66">
        <v>44866</v>
      </c>
      <c r="B72" s="4">
        <f t="shared" si="118"/>
        <v>2022</v>
      </c>
      <c r="C72" s="4">
        <f t="shared" si="119"/>
        <v>11</v>
      </c>
      <c r="D72" s="44">
        <v>85482773.178592995</v>
      </c>
      <c r="E72" s="44">
        <f>IFERROR(VLOOKUP($B72-1,CDM!$L$7:$T$18,2,FALSE)/12,0)+IFERROR(VLOOKUP($B72,CDM!$L$37:$O$47,2,FALSE)/24,0)+IFERROR(VLOOKUP($B72,CDM!$L$37:$O$47,2,FALSE)/2*$C72/78,0)</f>
        <v>2202180.8891815511</v>
      </c>
      <c r="F72" s="44">
        <f t="shared" si="79"/>
        <v>87684954.067774549</v>
      </c>
      <c r="G72" s="488">
        <v>151261</v>
      </c>
      <c r="H72" s="44">
        <v>31819540.506490599</v>
      </c>
      <c r="I72" s="44">
        <f>IFERROR(VLOOKUP($B72-1,CDM!$L$7:$T$18,3,FALSE)/12,0)+IFERROR(VLOOKUP($B72,CDM!$L$37:$O$47,3,FALSE)/24,0)+IFERROR(VLOOKUP($B72,CDM!$L$37:$O$47,3,FALSE)/2*$C72/78,0)</f>
        <v>1235357.8934772187</v>
      </c>
      <c r="J72" s="44">
        <f t="shared" si="80"/>
        <v>33054898.399967819</v>
      </c>
      <c r="K72" s="44">
        <v>13187</v>
      </c>
      <c r="L72" s="44">
        <v>113002365.29346099</v>
      </c>
      <c r="M72" s="44">
        <f>IFERROR(VLOOKUP($B72-1,CDM!$L$7:$T$18,4,FALSE)/12,0)+IFERROR(VLOOKUP($B72,CDM!$L$37:$O$47,4,FALSE)/24,0)+IFERROR(VLOOKUP($B72,CDM!$L$37:$O$47,4,FALSE)/2*$C72/78,0)</f>
        <v>7342149.8245555693</v>
      </c>
      <c r="N72" s="44">
        <f t="shared" si="81"/>
        <v>120344515.11801657</v>
      </c>
      <c r="O72" s="44">
        <v>283483.71999999997</v>
      </c>
      <c r="P72" s="488">
        <v>1476</v>
      </c>
      <c r="Q72" s="488">
        <v>5007487.2665236704</v>
      </c>
      <c r="R72" s="488">
        <f>IFERROR(VLOOKUP($B72-1,CDM!$L$7:$T$18,5,FALSE)/12,0)+IFERROR(VLOOKUP($B72,CDM!$L$37:$T$47,5,FALSE)/24,0)+IFERROR(VLOOKUP($B72,CDM!$L$37:$T$47,5,FALSE)/2*$C72/78,0)</f>
        <v>111666.44154981813</v>
      </c>
      <c r="S72" s="488">
        <f t="shared" si="137"/>
        <v>5119153.7080734884</v>
      </c>
      <c r="T72" s="44">
        <v>5534.7100000000009</v>
      </c>
      <c r="U72" s="488">
        <v>7</v>
      </c>
      <c r="V72" s="488">
        <v>11007276.364863301</v>
      </c>
      <c r="W72" s="488">
        <f>IFERROR(VLOOKUP($B72-1,CDM!$L$7:$T$18,6,FALSE)/12,0)+IFERROR(VLOOKUP($B72,CDM!$L$37:$T$47,6,FALSE)/24,0)+IFERROR(VLOOKUP($B72,CDM!$L$37:$T$47,6,FALSE)/2*$C72/78,0)</f>
        <v>1647687.5056265432</v>
      </c>
      <c r="X72" s="488">
        <f t="shared" si="138"/>
        <v>12654963.870489843</v>
      </c>
      <c r="Y72" s="488">
        <v>20934.259999999998</v>
      </c>
      <c r="Z72" s="488">
        <v>2</v>
      </c>
      <c r="AA72" s="44">
        <v>1695322.84</v>
      </c>
      <c r="AB72" s="44">
        <v>3990.87</v>
      </c>
      <c r="AC72" s="488">
        <v>39425</v>
      </c>
      <c r="AD72" s="44">
        <v>447735.44999999995</v>
      </c>
      <c r="AE72" s="44">
        <v>1555</v>
      </c>
      <c r="AF72" s="44">
        <v>43207.839999999989</v>
      </c>
      <c r="AG72" s="44">
        <v>118.87</v>
      </c>
      <c r="AH72" s="44">
        <v>505</v>
      </c>
      <c r="AI72" s="44">
        <v>16400</v>
      </c>
      <c r="AJ72" s="68">
        <f>Economic!H86</f>
        <v>854001.9</v>
      </c>
      <c r="AK72" s="68">
        <f>Economic!I86</f>
        <v>93618.5</v>
      </c>
      <c r="AL72" s="68">
        <f>Economic!J86</f>
        <v>35584.300000000003</v>
      </c>
      <c r="AM72" s="68">
        <f>Economic!K86</f>
        <v>87698.4</v>
      </c>
      <c r="AN72" s="68">
        <f>Economic!L86</f>
        <v>71366.899999999994</v>
      </c>
      <c r="AO72" s="68">
        <f>Economic!M86</f>
        <v>856887</v>
      </c>
      <c r="AP72" s="68">
        <f>Economic!N86</f>
        <v>91622</v>
      </c>
      <c r="AQ72" s="68">
        <f>Economic!O86</f>
        <v>14156</v>
      </c>
      <c r="AR72" s="68">
        <f>Economic!P86</f>
        <v>35629</v>
      </c>
      <c r="AS72" s="68">
        <f>Economic!Q86</f>
        <v>86074</v>
      </c>
      <c r="AT72" s="68">
        <f>Economic!D86</f>
        <v>7791.7</v>
      </c>
      <c r="AU72" s="68">
        <f>Economic!E86</f>
        <v>7783.8</v>
      </c>
      <c r="AV72" s="68">
        <f>Economic!F86</f>
        <v>301.2</v>
      </c>
      <c r="AW72" s="68">
        <f>Economic!G86</f>
        <v>298.8</v>
      </c>
      <c r="AX72" s="68">
        <f>Economic!W86</f>
        <v>16488</v>
      </c>
      <c r="AY72" s="68">
        <f>Economic!R86</f>
        <v>187.69999999999982</v>
      </c>
      <c r="AZ72" s="68">
        <f>Economic!W86</f>
        <v>16488</v>
      </c>
      <c r="BA72" s="68">
        <f>Economic!X86</f>
        <v>-4001</v>
      </c>
      <c r="BB72" s="68">
        <f>Economic!Y86</f>
        <v>-3218</v>
      </c>
      <c r="BC72" s="236">
        <f>Weather!C84</f>
        <v>4.6245833333333328</v>
      </c>
      <c r="BD72" s="16">
        <f>Weather!D84</f>
        <v>461.26249999999993</v>
      </c>
      <c r="BE72" s="16">
        <f>Weather!E84</f>
        <v>0</v>
      </c>
      <c r="BF72" s="16">
        <f>Weather!F84</f>
        <v>401.49583333333328</v>
      </c>
      <c r="BG72" s="16">
        <f>Weather!G84</f>
        <v>0.23333333333333073</v>
      </c>
      <c r="BH72" s="16">
        <f>Weather!H84</f>
        <v>343.49583333333334</v>
      </c>
      <c r="BI72" s="16">
        <f>Weather!I84</f>
        <v>2.2333333333333307</v>
      </c>
      <c r="BJ72" s="16">
        <f>Weather!J84</f>
        <v>285.52916666666664</v>
      </c>
      <c r="BK72" s="16">
        <f>Weather!K84</f>
        <v>4.2666666666666639</v>
      </c>
      <c r="BL72" s="16">
        <f>Weather!L84</f>
        <v>231.7916666666666</v>
      </c>
      <c r="BM72" s="16">
        <f>Weather!M84</f>
        <v>10.529166666666663</v>
      </c>
      <c r="BN72" s="16">
        <f>Weather!N84</f>
        <v>183.33333333333329</v>
      </c>
      <c r="BO72" s="16">
        <f>Weather!O84</f>
        <v>22.070833333333333</v>
      </c>
      <c r="BP72" s="16">
        <f>Weather!P84</f>
        <v>138.65</v>
      </c>
      <c r="BQ72" s="16">
        <f>Weather!Q84</f>
        <v>37.387500000000003</v>
      </c>
      <c r="BR72">
        <f t="shared" si="128"/>
        <v>0</v>
      </c>
      <c r="BS72">
        <f t="shared" si="128"/>
        <v>0</v>
      </c>
      <c r="BT72">
        <f t="shared" si="128"/>
        <v>0</v>
      </c>
      <c r="BU72">
        <f t="shared" si="128"/>
        <v>0</v>
      </c>
      <c r="BV72">
        <f t="shared" si="128"/>
        <v>0</v>
      </c>
      <c r="BW72">
        <f t="shared" si="128"/>
        <v>0</v>
      </c>
      <c r="BX72">
        <f t="shared" si="128"/>
        <v>0</v>
      </c>
      <c r="BY72">
        <f t="shared" si="128"/>
        <v>0</v>
      </c>
      <c r="BZ72">
        <f t="shared" si="128"/>
        <v>0</v>
      </c>
      <c r="CA72">
        <f t="shared" si="128"/>
        <v>0</v>
      </c>
      <c r="CB72">
        <f t="shared" si="128"/>
        <v>1</v>
      </c>
      <c r="CC72">
        <f t="shared" si="128"/>
        <v>0</v>
      </c>
      <c r="CD72" s="1">
        <f t="shared" si="128"/>
        <v>0</v>
      </c>
      <c r="CE72">
        <f t="shared" si="52"/>
        <v>0</v>
      </c>
      <c r="CF72" s="1">
        <f t="shared" si="128"/>
        <v>1</v>
      </c>
      <c r="CG72">
        <f t="shared" si="52"/>
        <v>0</v>
      </c>
      <c r="CH72" s="1">
        <f t="shared" si="128"/>
        <v>1</v>
      </c>
      <c r="CI72">
        <f t="shared" si="139"/>
        <v>0</v>
      </c>
      <c r="CJ72">
        <f t="shared" si="140"/>
        <v>1</v>
      </c>
      <c r="CK72">
        <f t="shared" si="53"/>
        <v>0</v>
      </c>
      <c r="CL72">
        <f t="shared" si="53"/>
        <v>0</v>
      </c>
      <c r="CM72" s="1">
        <f t="shared" si="120"/>
        <v>71</v>
      </c>
      <c r="CN72" s="1">
        <f t="shared" si="117"/>
        <v>23</v>
      </c>
      <c r="CO72" s="1">
        <f t="shared" si="130"/>
        <v>11</v>
      </c>
      <c r="CP72" s="1">
        <v>0</v>
      </c>
      <c r="CQ72" s="1">
        <v>0</v>
      </c>
      <c r="CR72" s="1">
        <f t="shared" si="131"/>
        <v>11</v>
      </c>
      <c r="CS72">
        <f t="shared" si="116"/>
        <v>30</v>
      </c>
      <c r="CT72" s="1">
        <v>22</v>
      </c>
      <c r="CU72" s="1">
        <v>0.5</v>
      </c>
      <c r="CV72" s="1">
        <v>0.25</v>
      </c>
      <c r="CW72" s="1">
        <v>0</v>
      </c>
      <c r="CX72" s="1">
        <v>0.5</v>
      </c>
      <c r="CY72" s="1">
        <v>0</v>
      </c>
      <c r="CZ72" s="10">
        <f t="shared" si="87"/>
        <v>115.31562499999998</v>
      </c>
      <c r="DA72" s="10">
        <f t="shared" si="88"/>
        <v>0</v>
      </c>
      <c r="DB72" s="10">
        <f t="shared" si="89"/>
        <v>100.37395833333332</v>
      </c>
      <c r="DC72" s="10">
        <f t="shared" si="90"/>
        <v>5.8333333333332682E-2</v>
      </c>
      <c r="DD72" s="10">
        <f t="shared" si="91"/>
        <v>85.873958333333334</v>
      </c>
      <c r="DE72" s="10">
        <f t="shared" si="92"/>
        <v>0.55833333333333268</v>
      </c>
      <c r="DF72" s="10">
        <f t="shared" si="93"/>
        <v>71.38229166666666</v>
      </c>
      <c r="DG72" s="10">
        <f t="shared" si="94"/>
        <v>1.066666666666666</v>
      </c>
      <c r="DH72" s="10">
        <f t="shared" si="95"/>
        <v>57.94791666666665</v>
      </c>
      <c r="DI72" s="10">
        <f t="shared" si="96"/>
        <v>2.6322916666666658</v>
      </c>
      <c r="DJ72" s="10">
        <f t="shared" si="97"/>
        <v>45.833333333333321</v>
      </c>
      <c r="DK72" s="10">
        <f t="shared" si="98"/>
        <v>5.5177083333333332</v>
      </c>
      <c r="DL72" s="10">
        <f t="shared" si="99"/>
        <v>34.662500000000001</v>
      </c>
      <c r="DM72" s="10">
        <f t="shared" si="100"/>
        <v>9.3468750000000007</v>
      </c>
      <c r="DN72" s="10">
        <f t="shared" si="101"/>
        <v>230.63124999999997</v>
      </c>
      <c r="DO72" s="10">
        <f t="shared" si="102"/>
        <v>0</v>
      </c>
      <c r="DP72" s="10">
        <f t="shared" si="103"/>
        <v>200.74791666666664</v>
      </c>
      <c r="DQ72" s="10">
        <f t="shared" si="104"/>
        <v>0.11666666666666536</v>
      </c>
      <c r="DR72" s="10">
        <f t="shared" si="105"/>
        <v>171.74791666666667</v>
      </c>
      <c r="DS72" s="10">
        <f t="shared" si="106"/>
        <v>1.1166666666666654</v>
      </c>
      <c r="DT72" s="10">
        <f t="shared" si="107"/>
        <v>142.76458333333332</v>
      </c>
      <c r="DU72" s="10">
        <f t="shared" si="108"/>
        <v>2.133333333333332</v>
      </c>
      <c r="DV72" s="10">
        <f t="shared" si="109"/>
        <v>115.8958333333333</v>
      </c>
      <c r="DW72" s="10">
        <f t="shared" si="110"/>
        <v>5.2645833333333316</v>
      </c>
      <c r="DX72" s="10">
        <f t="shared" si="111"/>
        <v>91.666666666666643</v>
      </c>
      <c r="DY72" s="10">
        <f t="shared" si="112"/>
        <v>11.035416666666666</v>
      </c>
      <c r="DZ72" s="10">
        <f t="shared" si="113"/>
        <v>69.325000000000003</v>
      </c>
      <c r="EA72" s="10">
        <f t="shared" si="114"/>
        <v>18.693750000000001</v>
      </c>
      <c r="EB72" s="44">
        <f t="shared" si="132"/>
        <v>579.69307400965579</v>
      </c>
      <c r="EC72" s="44">
        <f t="shared" si="129"/>
        <v>19.323102466988527</v>
      </c>
      <c r="ED72" s="44">
        <f t="shared" si="133"/>
        <v>2922831.8022591518</v>
      </c>
      <c r="EE72" s="44">
        <f t="shared" si="134"/>
        <v>2506.6276181063031</v>
      </c>
      <c r="EF72" s="44">
        <f t="shared" si="122"/>
        <v>83.554253936876776</v>
      </c>
      <c r="EG72" s="44">
        <f t="shared" si="135"/>
        <v>1101829.9466655939</v>
      </c>
      <c r="EH72" s="44">
        <f t="shared" si="136"/>
        <v>81534.224334699567</v>
      </c>
      <c r="EI72" s="44">
        <f t="shared" si="123"/>
        <v>2717.807477823319</v>
      </c>
      <c r="EJ72" s="44">
        <f t="shared" si="125"/>
        <v>3882.5821111761697</v>
      </c>
      <c r="EK72" s="44">
        <f t="shared" si="124"/>
        <v>4011483.8372672191</v>
      </c>
      <c r="EL72" s="44">
        <f t="shared" si="126"/>
        <v>5730691.1960960273</v>
      </c>
    </row>
    <row r="73" spans="1:142" x14ac:dyDescent="0.2">
      <c r="A73" s="66">
        <v>44896</v>
      </c>
      <c r="B73" s="4">
        <f t="shared" si="118"/>
        <v>2022</v>
      </c>
      <c r="C73" s="4">
        <f t="shared" si="119"/>
        <v>12</v>
      </c>
      <c r="D73" s="44">
        <v>102396424.64368799</v>
      </c>
      <c r="E73" s="44">
        <f>IFERROR(VLOOKUP($B73-1,CDM!$L$7:$T$18,2,FALSE)/12,0)+IFERROR(VLOOKUP($B73,CDM!$L$37:$O$47,2,FALSE)/24,0)+IFERROR(VLOOKUP($B73,CDM!$L$37:$O$47,2,FALSE)/2*$C73/78,0)</f>
        <v>2203901.2838913542</v>
      </c>
      <c r="F73" s="44">
        <f t="shared" si="79"/>
        <v>104600325.92757934</v>
      </c>
      <c r="G73" s="488">
        <v>151365</v>
      </c>
      <c r="H73" s="44">
        <v>34859266.963003904</v>
      </c>
      <c r="I73" s="44">
        <f>IFERROR(VLOOKUP($B73-1,CDM!$L$7:$T$18,3,FALSE)/12,0)+IFERROR(VLOOKUP($B73,CDM!$L$37:$O$47,3,FALSE)/24,0)+IFERROR(VLOOKUP($B73,CDM!$L$37:$O$47,3,FALSE)/2*$C73/78,0)</f>
        <v>1253940.2281340109</v>
      </c>
      <c r="J73" s="44">
        <f t="shared" si="80"/>
        <v>36113207.191137917</v>
      </c>
      <c r="K73" s="44">
        <v>13187</v>
      </c>
      <c r="L73" s="44">
        <v>114826841.470172</v>
      </c>
      <c r="M73" s="44">
        <f>IFERROR(VLOOKUP($B73-1,CDM!$L$7:$T$18,4,FALSE)/12,0)+IFERROR(VLOOKUP($B73,CDM!$L$37:$O$47,4,FALSE)/24,0)+IFERROR(VLOOKUP($B73,CDM!$L$37:$O$47,4,FALSE)/2*$C73/78,0)</f>
        <v>7416330.2036215756</v>
      </c>
      <c r="N73" s="44">
        <f t="shared" si="81"/>
        <v>122243171.67379358</v>
      </c>
      <c r="O73" s="44">
        <v>280237.76</v>
      </c>
      <c r="P73" s="488">
        <v>1483</v>
      </c>
      <c r="Q73" s="488">
        <v>2040374.41436654</v>
      </c>
      <c r="R73" s="488">
        <f>IFERROR(VLOOKUP($B73-1,CDM!$L$7:$T$18,5,FALSE)/12,0)+IFERROR(VLOOKUP($B73,CDM!$L$37:$T$47,5,FALSE)/24,0)+IFERROR(VLOOKUP($B73,CDM!$L$37:$T$47,5,FALSE)/2*$C73/78,0)</f>
        <v>112625.63683492439</v>
      </c>
      <c r="S73" s="488">
        <f t="shared" si="137"/>
        <v>2153000.0512014646</v>
      </c>
      <c r="T73" s="44">
        <v>2480.21</v>
      </c>
      <c r="U73" s="488">
        <v>7</v>
      </c>
      <c r="V73" s="488">
        <v>11189214.5895644</v>
      </c>
      <c r="W73" s="488">
        <f>IFERROR(VLOOKUP($B73-1,CDM!$L$7:$T$18,6,FALSE)/12,0)+IFERROR(VLOOKUP($B73,CDM!$L$37:$T$47,6,FALSE)/24,0)+IFERROR(VLOOKUP($B73,CDM!$L$37:$T$47,6,FALSE)/2*$C73/78,0)</f>
        <v>1692113.073671425</v>
      </c>
      <c r="X73" s="488">
        <f t="shared" si="138"/>
        <v>12881327.663235825</v>
      </c>
      <c r="Y73" s="488">
        <v>20135.32</v>
      </c>
      <c r="Z73" s="488">
        <v>2</v>
      </c>
      <c r="AA73" s="44">
        <v>1845285.15</v>
      </c>
      <c r="AB73" s="44">
        <v>3992.31</v>
      </c>
      <c r="AC73" s="488">
        <v>39477</v>
      </c>
      <c r="AD73" s="44">
        <v>463073.24999999994</v>
      </c>
      <c r="AE73" s="44">
        <v>1564</v>
      </c>
      <c r="AF73" s="44">
        <v>46040.87</v>
      </c>
      <c r="AG73" s="44">
        <v>118.79</v>
      </c>
      <c r="AH73" s="44">
        <v>505</v>
      </c>
      <c r="AI73" s="44">
        <v>16400</v>
      </c>
      <c r="AJ73" s="68">
        <f>Economic!H87</f>
        <v>854001.9</v>
      </c>
      <c r="AK73" s="68">
        <f>Economic!I87</f>
        <v>93618.5</v>
      </c>
      <c r="AL73" s="68">
        <f>Economic!J87</f>
        <v>35584.300000000003</v>
      </c>
      <c r="AM73" s="68">
        <f>Economic!K87</f>
        <v>87698.4</v>
      </c>
      <c r="AN73" s="68">
        <f>Economic!L87</f>
        <v>71366.899999999994</v>
      </c>
      <c r="AO73" s="68">
        <f>Economic!M87</f>
        <v>856887</v>
      </c>
      <c r="AP73" s="68">
        <f>Economic!N87</f>
        <v>91622</v>
      </c>
      <c r="AQ73" s="68">
        <f>Economic!O87</f>
        <v>14156</v>
      </c>
      <c r="AR73" s="68">
        <f>Economic!P87</f>
        <v>35629</v>
      </c>
      <c r="AS73" s="68">
        <f>Economic!Q87</f>
        <v>86074</v>
      </c>
      <c r="AT73" s="68">
        <f>Economic!D87</f>
        <v>7829.3</v>
      </c>
      <c r="AU73" s="68">
        <f>Economic!E87</f>
        <v>7828.5</v>
      </c>
      <c r="AV73" s="68">
        <f>Economic!F87</f>
        <v>301.7</v>
      </c>
      <c r="AW73" s="68">
        <f>Economic!G87</f>
        <v>299.60000000000002</v>
      </c>
      <c r="AX73" s="68">
        <f>Economic!W87</f>
        <v>16488</v>
      </c>
      <c r="AY73" s="68">
        <f>Economic!R87</f>
        <v>170.80000000000018</v>
      </c>
      <c r="AZ73" s="68">
        <f>Economic!W87</f>
        <v>16488</v>
      </c>
      <c r="BA73" s="68">
        <f>Economic!X87</f>
        <v>-4001</v>
      </c>
      <c r="BB73" s="68">
        <f>Economic!Y87</f>
        <v>-3218</v>
      </c>
      <c r="BC73" s="236">
        <f>Weather!C85</f>
        <v>-1.1427419354838708</v>
      </c>
      <c r="BD73" s="16">
        <f>Weather!D85</f>
        <v>655.42499999999984</v>
      </c>
      <c r="BE73" s="16">
        <f>Weather!E85</f>
        <v>0</v>
      </c>
      <c r="BF73" s="16">
        <f>Weather!F85</f>
        <v>593.42499999999984</v>
      </c>
      <c r="BG73" s="16">
        <f>Weather!G85</f>
        <v>0</v>
      </c>
      <c r="BH73" s="16">
        <f>Weather!H85</f>
        <v>531.42499999999995</v>
      </c>
      <c r="BI73" s="16">
        <f>Weather!I85</f>
        <v>0</v>
      </c>
      <c r="BJ73" s="16">
        <f>Weather!J85</f>
        <v>469.42500000000007</v>
      </c>
      <c r="BK73" s="16">
        <f>Weather!K85</f>
        <v>0</v>
      </c>
      <c r="BL73" s="16">
        <f>Weather!L85</f>
        <v>407.42500000000013</v>
      </c>
      <c r="BM73" s="16">
        <f>Weather!M85</f>
        <v>0</v>
      </c>
      <c r="BN73" s="16">
        <f>Weather!N85</f>
        <v>345.42500000000013</v>
      </c>
      <c r="BO73" s="16">
        <f>Weather!O85</f>
        <v>0</v>
      </c>
      <c r="BP73" s="16">
        <f>Weather!P85</f>
        <v>285.38749999999999</v>
      </c>
      <c r="BQ73" s="16">
        <f>Weather!Q85</f>
        <v>1.9625000000000004</v>
      </c>
      <c r="BR73">
        <f t="shared" si="128"/>
        <v>0</v>
      </c>
      <c r="BS73">
        <f t="shared" si="128"/>
        <v>0</v>
      </c>
      <c r="BT73">
        <f t="shared" si="128"/>
        <v>0</v>
      </c>
      <c r="BU73">
        <f t="shared" si="128"/>
        <v>0</v>
      </c>
      <c r="BV73">
        <f t="shared" si="128"/>
        <v>0</v>
      </c>
      <c r="BW73">
        <f t="shared" si="128"/>
        <v>0</v>
      </c>
      <c r="BX73">
        <f t="shared" si="128"/>
        <v>0</v>
      </c>
      <c r="BY73">
        <f t="shared" si="128"/>
        <v>0</v>
      </c>
      <c r="BZ73">
        <f t="shared" si="128"/>
        <v>0</v>
      </c>
      <c r="CA73">
        <f t="shared" si="128"/>
        <v>0</v>
      </c>
      <c r="CB73">
        <f t="shared" si="128"/>
        <v>0</v>
      </c>
      <c r="CC73">
        <f t="shared" si="128"/>
        <v>1</v>
      </c>
      <c r="CD73" s="1">
        <f t="shared" si="128"/>
        <v>0</v>
      </c>
      <c r="CE73">
        <f t="shared" si="52"/>
        <v>0</v>
      </c>
      <c r="CF73" s="1">
        <f t="shared" si="128"/>
        <v>0</v>
      </c>
      <c r="CG73">
        <f t="shared" si="52"/>
        <v>0</v>
      </c>
      <c r="CH73" s="1">
        <f t="shared" si="128"/>
        <v>0</v>
      </c>
      <c r="CI73">
        <f t="shared" si="139"/>
        <v>0</v>
      </c>
      <c r="CJ73">
        <f t="shared" si="140"/>
        <v>0</v>
      </c>
      <c r="CK73">
        <f t="shared" si="53"/>
        <v>0</v>
      </c>
      <c r="CL73">
        <f t="shared" si="53"/>
        <v>0</v>
      </c>
      <c r="CM73" s="1">
        <f t="shared" si="120"/>
        <v>72</v>
      </c>
      <c r="CN73" s="1">
        <f t="shared" si="117"/>
        <v>24</v>
      </c>
      <c r="CO73" s="1">
        <f t="shared" si="130"/>
        <v>12</v>
      </c>
      <c r="CP73" s="1">
        <v>0</v>
      </c>
      <c r="CQ73" s="1">
        <v>0</v>
      </c>
      <c r="CR73" s="1">
        <f t="shared" si="131"/>
        <v>12</v>
      </c>
      <c r="CS73">
        <f t="shared" si="116"/>
        <v>31</v>
      </c>
      <c r="CT73" s="1">
        <v>20</v>
      </c>
      <c r="CU73" s="1">
        <v>0.5</v>
      </c>
      <c r="CV73" s="1">
        <v>0.25</v>
      </c>
      <c r="CW73" s="1">
        <v>0</v>
      </c>
      <c r="CX73" s="1">
        <v>0.5</v>
      </c>
      <c r="CY73" s="1">
        <v>0</v>
      </c>
      <c r="CZ73" s="10">
        <f t="shared" si="87"/>
        <v>163.85624999999996</v>
      </c>
      <c r="DA73" s="10">
        <f t="shared" si="88"/>
        <v>0</v>
      </c>
      <c r="DB73" s="10">
        <f t="shared" si="89"/>
        <v>148.35624999999996</v>
      </c>
      <c r="DC73" s="10">
        <f t="shared" si="90"/>
        <v>0</v>
      </c>
      <c r="DD73" s="10">
        <f t="shared" si="91"/>
        <v>132.85624999999999</v>
      </c>
      <c r="DE73" s="10">
        <f t="shared" si="92"/>
        <v>0</v>
      </c>
      <c r="DF73" s="10">
        <f t="shared" si="93"/>
        <v>117.35625000000002</v>
      </c>
      <c r="DG73" s="10">
        <f t="shared" si="94"/>
        <v>0</v>
      </c>
      <c r="DH73" s="10">
        <f t="shared" si="95"/>
        <v>101.85625000000003</v>
      </c>
      <c r="DI73" s="10">
        <f t="shared" si="96"/>
        <v>0</v>
      </c>
      <c r="DJ73" s="10">
        <f t="shared" si="97"/>
        <v>86.356250000000031</v>
      </c>
      <c r="DK73" s="10">
        <f t="shared" si="98"/>
        <v>0</v>
      </c>
      <c r="DL73" s="10">
        <f t="shared" si="99"/>
        <v>71.346874999999997</v>
      </c>
      <c r="DM73" s="10">
        <f t="shared" si="100"/>
        <v>0.49062500000000009</v>
      </c>
      <c r="DN73" s="10">
        <f t="shared" si="101"/>
        <v>327.71249999999992</v>
      </c>
      <c r="DO73" s="10">
        <f t="shared" si="102"/>
        <v>0</v>
      </c>
      <c r="DP73" s="10">
        <f t="shared" si="103"/>
        <v>296.71249999999992</v>
      </c>
      <c r="DQ73" s="10">
        <f t="shared" si="104"/>
        <v>0</v>
      </c>
      <c r="DR73" s="10">
        <f t="shared" si="105"/>
        <v>265.71249999999998</v>
      </c>
      <c r="DS73" s="10">
        <f t="shared" si="106"/>
        <v>0</v>
      </c>
      <c r="DT73" s="10">
        <f t="shared" si="107"/>
        <v>234.71250000000003</v>
      </c>
      <c r="DU73" s="10">
        <f t="shared" si="108"/>
        <v>0</v>
      </c>
      <c r="DV73" s="10">
        <f t="shared" si="109"/>
        <v>203.71250000000006</v>
      </c>
      <c r="DW73" s="10">
        <f t="shared" si="110"/>
        <v>0</v>
      </c>
      <c r="DX73" s="10">
        <f t="shared" si="111"/>
        <v>172.71250000000006</v>
      </c>
      <c r="DY73" s="10">
        <f t="shared" si="112"/>
        <v>0</v>
      </c>
      <c r="DZ73" s="10">
        <f t="shared" si="113"/>
        <v>142.69374999999999</v>
      </c>
      <c r="EA73" s="10">
        <f t="shared" si="114"/>
        <v>0.98125000000000018</v>
      </c>
      <c r="EB73" s="44">
        <f t="shared" si="132"/>
        <v>691.04697867789343</v>
      </c>
      <c r="EC73" s="44">
        <f t="shared" si="129"/>
        <v>22.29183802186753</v>
      </c>
      <c r="ED73" s="44">
        <f t="shared" si="133"/>
        <v>3374204.0621799789</v>
      </c>
      <c r="EE73" s="44">
        <f t="shared" si="134"/>
        <v>2738.5460825917885</v>
      </c>
      <c r="EF73" s="44">
        <f t="shared" si="122"/>
        <v>88.340196212638332</v>
      </c>
      <c r="EG73" s="44">
        <f t="shared" si="135"/>
        <v>1164942.1674560618</v>
      </c>
      <c r="EH73" s="44">
        <f t="shared" si="136"/>
        <v>82429.650488060404</v>
      </c>
      <c r="EI73" s="44">
        <f t="shared" si="123"/>
        <v>2659.0209834858197</v>
      </c>
      <c r="EJ73" s="44">
        <f t="shared" si="125"/>
        <v>3925.2214518124001</v>
      </c>
      <c r="EK73" s="44">
        <f t="shared" si="124"/>
        <v>3943328.1185094705</v>
      </c>
      <c r="EL73" s="44">
        <f t="shared" si="126"/>
        <v>5821103.41303779</v>
      </c>
    </row>
    <row r="74" spans="1:142" x14ac:dyDescent="0.2">
      <c r="A74" s="66">
        <v>44927</v>
      </c>
      <c r="B74" s="4">
        <f t="shared" si="118"/>
        <v>2023</v>
      </c>
      <c r="C74" s="4">
        <f t="shared" si="119"/>
        <v>1</v>
      </c>
      <c r="D74" s="44">
        <v>98886878.741063893</v>
      </c>
      <c r="E74" s="44">
        <f>IFERROR(VLOOKUP($B74-1,CDM!$L$7:$T$18,2,FALSE)/12,0)+IFERROR(VLOOKUP($B74,CDM!$L$37:$O$47,2,FALSE)/24,0)+IFERROR(VLOOKUP($B74,CDM!$L$37:$O$47,2,FALSE)/2*$C74/78,0)</f>
        <v>2209041.6416354384</v>
      </c>
      <c r="F74" s="44">
        <f t="shared" si="79"/>
        <v>101095920.38269933</v>
      </c>
      <c r="G74" s="488">
        <v>151499</v>
      </c>
      <c r="H74" s="44">
        <v>35352662.206863299</v>
      </c>
      <c r="I74" s="44">
        <f>IFERROR(VLOOKUP($B74-1,CDM!$L$7:$T$18,3,FALSE)/12,0)+IFERROR(VLOOKUP($B74,CDM!$L$37:$O$47,3,FALSE)/24,0)+IFERROR(VLOOKUP($B74,CDM!$L$37:$O$47,3,FALSE)/2*$C74/78,0)</f>
        <v>1291640.7037320649</v>
      </c>
      <c r="J74" s="44">
        <f t="shared" si="80"/>
        <v>36644302.910595365</v>
      </c>
      <c r="K74" s="44">
        <v>13216</v>
      </c>
      <c r="L74" s="44">
        <v>118175264.277916</v>
      </c>
      <c r="M74" s="44">
        <f>IFERROR(VLOOKUP($B74-1,CDM!$L$7:$T$18,4,FALSE)/12,0)+IFERROR(VLOOKUP($B74,CDM!$L$37:$O$47,4,FALSE)/24,0)+IFERROR(VLOOKUP($B74,CDM!$L$37:$O$47,4,FALSE)/2*$C74/78,0)</f>
        <v>7323794.566604129</v>
      </c>
      <c r="N74" s="44">
        <f t="shared" si="81"/>
        <v>125499058.84452012</v>
      </c>
      <c r="O74" s="44">
        <v>276693.15000000002</v>
      </c>
      <c r="P74" s="488">
        <v>1459</v>
      </c>
      <c r="Q74" s="488">
        <v>2356466.3683775198</v>
      </c>
      <c r="R74" s="488">
        <f>IFERROR(VLOOKUP($B74-1,CDM!$L$7:$T$18,5,FALSE)/12,0)+IFERROR(VLOOKUP($B74,CDM!$L$37:$T$47,5,FALSE)/24,0)+IFERROR(VLOOKUP($B74,CDM!$L$37:$T$47,5,FALSE)/2*$C74/78,0)</f>
        <v>119439.84407668322</v>
      </c>
      <c r="S74" s="488">
        <f t="shared" si="137"/>
        <v>2475906.2124542031</v>
      </c>
      <c r="T74" s="44">
        <v>5949.89</v>
      </c>
      <c r="U74" s="488">
        <v>7</v>
      </c>
      <c r="V74" s="488">
        <v>11267234.508522101</v>
      </c>
      <c r="W74" s="488">
        <f>IFERROR(VLOOKUP($B74-1,CDM!$L$7:$T$18,6,FALSE)/12,0)+IFERROR(VLOOKUP($B74,CDM!$L$37:$T$47,6,FALSE)/24,0)+IFERROR(VLOOKUP($B74,CDM!$L$37:$T$47,6,FALSE)/2*$C74/78,0)</f>
        <v>1468544.0761125044</v>
      </c>
      <c r="X74" s="488">
        <f t="shared" si="138"/>
        <v>12735778.584634606</v>
      </c>
      <c r="Y74" s="488">
        <v>19820.32</v>
      </c>
      <c r="Z74" s="488">
        <v>2</v>
      </c>
      <c r="AA74" s="44">
        <v>1785410.07</v>
      </c>
      <c r="AB74" s="44">
        <v>3996.8</v>
      </c>
      <c r="AC74" s="488">
        <v>39521</v>
      </c>
      <c r="AD74" s="44">
        <v>463086.64999999997</v>
      </c>
      <c r="AE74" s="44">
        <v>1564</v>
      </c>
      <c r="AF74" s="44">
        <v>43364.829999999994</v>
      </c>
      <c r="AG74" s="44">
        <v>118.93</v>
      </c>
      <c r="AH74" s="44">
        <v>505</v>
      </c>
      <c r="AI74" s="44">
        <v>16400</v>
      </c>
      <c r="AJ74" s="68">
        <f>Economic!H88</f>
        <v>874424.9</v>
      </c>
      <c r="AK74" s="68">
        <f>Economic!I88</f>
        <v>93813.6</v>
      </c>
      <c r="AL74" s="68">
        <f>Economic!J88</f>
        <v>37591.800000000003</v>
      </c>
      <c r="AM74" s="68">
        <f>Economic!K88</f>
        <v>88409.3</v>
      </c>
      <c r="AN74" s="68">
        <f>Economic!L88</f>
        <v>75049.2</v>
      </c>
      <c r="AO74" s="68">
        <f>Economic!M88</f>
        <v>867096</v>
      </c>
      <c r="AP74" s="68">
        <f>Economic!N88</f>
        <v>93889</v>
      </c>
      <c r="AQ74" s="68">
        <f>Economic!O88</f>
        <v>14154</v>
      </c>
      <c r="AR74" s="68">
        <f>Economic!P88</f>
        <v>36076</v>
      </c>
      <c r="AS74" s="68">
        <f>Economic!Q88</f>
        <v>87084</v>
      </c>
      <c r="AT74" s="68">
        <f>Economic!D88</f>
        <v>7864.6</v>
      </c>
      <c r="AU74" s="68">
        <f>Economic!E88</f>
        <v>7829.1</v>
      </c>
      <c r="AV74" s="68">
        <f>Economic!F88</f>
        <v>303.89999999999998</v>
      </c>
      <c r="AW74" s="68">
        <f>Economic!G88</f>
        <v>301</v>
      </c>
      <c r="AX74" s="68">
        <f>Economic!W88</f>
        <v>19550</v>
      </c>
      <c r="AY74" s="68">
        <f>Economic!R88</f>
        <v>221</v>
      </c>
      <c r="AZ74" s="68">
        <f>Economic!W88</f>
        <v>19550</v>
      </c>
      <c r="BA74" s="68">
        <f>Economic!X88</f>
        <v>-1150</v>
      </c>
      <c r="BB74" s="68">
        <f>Economic!Y88</f>
        <v>-2366</v>
      </c>
      <c r="BC74" s="236">
        <f>Weather!C86</f>
        <v>-1.0178763440860215</v>
      </c>
      <c r="BD74" s="16">
        <f>Weather!D86</f>
        <v>651.55416666666667</v>
      </c>
      <c r="BE74" s="16">
        <f>Weather!E86</f>
        <v>0</v>
      </c>
      <c r="BF74" s="16">
        <f>Weather!F86</f>
        <v>589.55416666666667</v>
      </c>
      <c r="BG74" s="16">
        <f>Weather!G86</f>
        <v>0</v>
      </c>
      <c r="BH74" s="16">
        <f>Weather!H86</f>
        <v>527.55416666666667</v>
      </c>
      <c r="BI74" s="16">
        <f>Weather!I86</f>
        <v>0</v>
      </c>
      <c r="BJ74" s="16">
        <f>Weather!J86</f>
        <v>465.55416666666667</v>
      </c>
      <c r="BK74" s="16">
        <f>Weather!K86</f>
        <v>0</v>
      </c>
      <c r="BL74" s="16">
        <f>Weather!L86</f>
        <v>403.55416666666662</v>
      </c>
      <c r="BM74" s="16">
        <f>Weather!M86</f>
        <v>0</v>
      </c>
      <c r="BN74" s="16">
        <f>Weather!N86</f>
        <v>341.55416666666667</v>
      </c>
      <c r="BO74" s="16">
        <f>Weather!O86</f>
        <v>0</v>
      </c>
      <c r="BP74" s="16">
        <f>Weather!P86</f>
        <v>279.55416666666667</v>
      </c>
      <c r="BQ74" s="16">
        <f>Weather!Q86</f>
        <v>0</v>
      </c>
      <c r="BR74">
        <f t="shared" si="128"/>
        <v>1</v>
      </c>
      <c r="BS74">
        <f t="shared" si="128"/>
        <v>0</v>
      </c>
      <c r="BT74">
        <f t="shared" si="128"/>
        <v>0</v>
      </c>
      <c r="BU74">
        <f t="shared" si="128"/>
        <v>0</v>
      </c>
      <c r="BV74">
        <f t="shared" si="128"/>
        <v>0</v>
      </c>
      <c r="BW74">
        <f t="shared" si="128"/>
        <v>0</v>
      </c>
      <c r="BX74">
        <f t="shared" si="128"/>
        <v>0</v>
      </c>
      <c r="BY74">
        <f t="shared" si="128"/>
        <v>0</v>
      </c>
      <c r="BZ74">
        <f t="shared" si="128"/>
        <v>0</v>
      </c>
      <c r="CA74">
        <f t="shared" si="128"/>
        <v>0</v>
      </c>
      <c r="CB74">
        <f t="shared" si="128"/>
        <v>0</v>
      </c>
      <c r="CC74">
        <f t="shared" si="128"/>
        <v>0</v>
      </c>
      <c r="CD74" s="1">
        <f t="shared" si="128"/>
        <v>0</v>
      </c>
      <c r="CE74">
        <f t="shared" si="52"/>
        <v>0</v>
      </c>
      <c r="CF74" s="1">
        <f t="shared" si="128"/>
        <v>0</v>
      </c>
      <c r="CG74">
        <f t="shared" si="52"/>
        <v>0</v>
      </c>
      <c r="CH74" s="1">
        <f t="shared" si="128"/>
        <v>0</v>
      </c>
      <c r="CI74">
        <f t="shared" si="139"/>
        <v>0</v>
      </c>
      <c r="CJ74">
        <f t="shared" si="140"/>
        <v>0</v>
      </c>
      <c r="CK74">
        <f t="shared" si="53"/>
        <v>0</v>
      </c>
      <c r="CL74">
        <f t="shared" si="53"/>
        <v>0</v>
      </c>
      <c r="CM74" s="1">
        <f t="shared" si="120"/>
        <v>73</v>
      </c>
      <c r="CN74" s="1">
        <f t="shared" si="117"/>
        <v>25</v>
      </c>
      <c r="CO74" s="1">
        <f t="shared" si="130"/>
        <v>13</v>
      </c>
      <c r="CP74" s="1">
        <f t="shared" ref="CP74:CP109" si="141">CP73+1</f>
        <v>1</v>
      </c>
      <c r="CQ74" s="1">
        <v>0</v>
      </c>
      <c r="CR74" s="1">
        <f t="shared" si="131"/>
        <v>13</v>
      </c>
      <c r="CS74">
        <f t="shared" si="116"/>
        <v>31</v>
      </c>
      <c r="CT74" s="1">
        <v>21</v>
      </c>
      <c r="CU74" s="1">
        <v>0</v>
      </c>
      <c r="CV74" s="1">
        <v>0</v>
      </c>
      <c r="CW74" s="1">
        <v>0</v>
      </c>
      <c r="CX74" s="1">
        <v>0.25</v>
      </c>
      <c r="CY74" s="1">
        <v>0</v>
      </c>
      <c r="CZ74" s="10">
        <f t="shared" si="87"/>
        <v>0</v>
      </c>
      <c r="DA74" s="10">
        <f t="shared" si="88"/>
        <v>0</v>
      </c>
      <c r="DB74" s="10">
        <f t="shared" si="89"/>
        <v>0</v>
      </c>
      <c r="DC74" s="10">
        <f t="shared" si="90"/>
        <v>0</v>
      </c>
      <c r="DD74" s="10">
        <f t="shared" si="91"/>
        <v>0</v>
      </c>
      <c r="DE74" s="10">
        <f t="shared" si="92"/>
        <v>0</v>
      </c>
      <c r="DF74" s="10">
        <f t="shared" si="93"/>
        <v>0</v>
      </c>
      <c r="DG74" s="10">
        <f t="shared" si="94"/>
        <v>0</v>
      </c>
      <c r="DH74" s="10">
        <f t="shared" si="95"/>
        <v>0</v>
      </c>
      <c r="DI74" s="10">
        <f t="shared" si="96"/>
        <v>0</v>
      </c>
      <c r="DJ74" s="10">
        <f t="shared" si="97"/>
        <v>0</v>
      </c>
      <c r="DK74" s="10">
        <f t="shared" si="98"/>
        <v>0</v>
      </c>
      <c r="DL74" s="10">
        <f t="shared" si="99"/>
        <v>0</v>
      </c>
      <c r="DM74" s="10">
        <f t="shared" si="100"/>
        <v>0</v>
      </c>
      <c r="DN74" s="10">
        <f t="shared" si="101"/>
        <v>162.88854166666667</v>
      </c>
      <c r="DO74" s="10">
        <f t="shared" si="102"/>
        <v>0</v>
      </c>
      <c r="DP74" s="10">
        <f t="shared" si="103"/>
        <v>147.38854166666667</v>
      </c>
      <c r="DQ74" s="10">
        <f t="shared" si="104"/>
        <v>0</v>
      </c>
      <c r="DR74" s="10">
        <f t="shared" si="105"/>
        <v>131.88854166666667</v>
      </c>
      <c r="DS74" s="10">
        <f t="shared" si="106"/>
        <v>0</v>
      </c>
      <c r="DT74" s="10">
        <f t="shared" si="107"/>
        <v>116.38854166666667</v>
      </c>
      <c r="DU74" s="10">
        <f t="shared" si="108"/>
        <v>0</v>
      </c>
      <c r="DV74" s="10">
        <f t="shared" si="109"/>
        <v>100.88854166666665</v>
      </c>
      <c r="DW74" s="10">
        <f t="shared" si="110"/>
        <v>0</v>
      </c>
      <c r="DX74" s="10">
        <f t="shared" si="111"/>
        <v>85.388541666666669</v>
      </c>
      <c r="DY74" s="10">
        <f t="shared" si="112"/>
        <v>0</v>
      </c>
      <c r="DZ74" s="10">
        <f t="shared" si="113"/>
        <v>69.888541666666669</v>
      </c>
      <c r="EA74" s="10">
        <f t="shared" si="114"/>
        <v>0</v>
      </c>
      <c r="EB74" s="44">
        <f t="shared" si="132"/>
        <v>667.30420915451145</v>
      </c>
      <c r="EC74" s="44">
        <f t="shared" si="129"/>
        <v>21.525942230790694</v>
      </c>
      <c r="ED74" s="44">
        <f t="shared" si="133"/>
        <v>3261158.722022559</v>
      </c>
      <c r="EE74" s="44">
        <f t="shared" si="134"/>
        <v>2772.7226778598188</v>
      </c>
      <c r="EF74" s="44">
        <f t="shared" si="122"/>
        <v>89.442667027736093</v>
      </c>
      <c r="EG74" s="44">
        <f t="shared" si="135"/>
        <v>1182074.28743856</v>
      </c>
      <c r="EH74" s="44">
        <f t="shared" si="136"/>
        <v>86017.175356079591</v>
      </c>
      <c r="EI74" s="44">
        <f t="shared" si="123"/>
        <v>2774.7475921315995</v>
      </c>
      <c r="EJ74" s="44">
        <f t="shared" si="125"/>
        <v>4300.8587678039794</v>
      </c>
      <c r="EK74" s="44">
        <f t="shared" si="124"/>
        <v>4048356.7369200038</v>
      </c>
      <c r="EL74" s="44">
        <f t="shared" si="126"/>
        <v>6274952.9422260057</v>
      </c>
    </row>
    <row r="75" spans="1:142" x14ac:dyDescent="0.2">
      <c r="A75" s="66">
        <v>44958</v>
      </c>
      <c r="B75" s="4">
        <f t="shared" si="118"/>
        <v>2023</v>
      </c>
      <c r="C75" s="4">
        <f t="shared" si="119"/>
        <v>2</v>
      </c>
      <c r="D75" s="44">
        <v>88836458.310958207</v>
      </c>
      <c r="E75" s="44">
        <f>IFERROR(VLOOKUP($B75-1,CDM!$L$7:$T$18,2,FALSE)/12,0)+IFERROR(VLOOKUP($B75,CDM!$L$37:$O$47,2,FALSE)/24,0)+IFERROR(VLOOKUP($B75,CDM!$L$37:$O$47,2,FALSE)/2*$C75/78,0)</f>
        <v>2210988.6454551718</v>
      </c>
      <c r="F75" s="44">
        <f t="shared" si="79"/>
        <v>91047446.956413373</v>
      </c>
      <c r="G75" s="488">
        <v>151628</v>
      </c>
      <c r="H75" s="44">
        <v>32387256.032788102</v>
      </c>
      <c r="I75" s="44">
        <f>IFERROR(VLOOKUP($B75-1,CDM!$L$7:$T$18,3,FALSE)/12,0)+IFERROR(VLOOKUP($B75,CDM!$L$37:$O$47,3,FALSE)/24,0)+IFERROR(VLOOKUP($B75,CDM!$L$37:$O$47,3,FALSE)/2*$C75/78,0)</f>
        <v>1310294.4792267866</v>
      </c>
      <c r="J75" s="44">
        <f t="shared" si="80"/>
        <v>33697550.512014888</v>
      </c>
      <c r="K75" s="44">
        <v>13232</v>
      </c>
      <c r="L75" s="44">
        <v>108242135.30440199</v>
      </c>
      <c r="M75" s="44">
        <f>IFERROR(VLOOKUP($B75-1,CDM!$L$7:$T$18,4,FALSE)/12,0)+IFERROR(VLOOKUP($B75,CDM!$L$37:$O$47,4,FALSE)/24,0)+IFERROR(VLOOKUP($B75,CDM!$L$37:$O$47,4,FALSE)/2*$C75/78,0)</f>
        <v>7365855.4263168741</v>
      </c>
      <c r="N75" s="44">
        <f t="shared" si="81"/>
        <v>115607990.73071887</v>
      </c>
      <c r="O75" s="44">
        <v>276524.89</v>
      </c>
      <c r="P75" s="488">
        <v>1458</v>
      </c>
      <c r="Q75" s="488">
        <v>2930341.5602852199</v>
      </c>
      <c r="R75" s="488">
        <f>IFERROR(VLOOKUP($B75-1,CDM!$L$7:$T$18,5,FALSE)/12,0)+IFERROR(VLOOKUP($B75,CDM!$L$37:$T$47,5,FALSE)/24,0)+IFERROR(VLOOKUP($B75,CDM!$L$37:$T$47,5,FALSE)/2*$C75/78,0)</f>
        <v>121051.81491799565</v>
      </c>
      <c r="S75" s="488">
        <f t="shared" si="137"/>
        <v>3051393.3752032155</v>
      </c>
      <c r="T75" s="44">
        <v>5457.11</v>
      </c>
      <c r="U75" s="488">
        <v>7</v>
      </c>
      <c r="V75" s="488">
        <v>10295769.938269701</v>
      </c>
      <c r="W75" s="488">
        <f>IFERROR(VLOOKUP($B75-1,CDM!$L$7:$T$18,6,FALSE)/12,0)+IFERROR(VLOOKUP($B75,CDM!$L$37:$T$47,6,FALSE)/24,0)+IFERROR(VLOOKUP($B75,CDM!$L$37:$T$47,6,FALSE)/2*$C75/78,0)</f>
        <v>1471313.6263375618</v>
      </c>
      <c r="X75" s="488">
        <f t="shared" si="138"/>
        <v>11767083.564607263</v>
      </c>
      <c r="Y75" s="488">
        <v>20702.52</v>
      </c>
      <c r="Z75" s="488">
        <v>2</v>
      </c>
      <c r="AA75" s="44">
        <v>1504439.71</v>
      </c>
      <c r="AB75" s="44">
        <v>4003.72</v>
      </c>
      <c r="AC75" s="488">
        <v>39569</v>
      </c>
      <c r="AD75" s="44">
        <v>418903.38999999996</v>
      </c>
      <c r="AE75" s="44">
        <v>1564</v>
      </c>
      <c r="AF75" s="44">
        <v>40500.359999999993</v>
      </c>
      <c r="AG75" s="44">
        <v>118.86</v>
      </c>
      <c r="AH75" s="44">
        <v>505</v>
      </c>
      <c r="AI75" s="44">
        <v>16400</v>
      </c>
      <c r="AJ75" s="68">
        <f>Economic!H89</f>
        <v>874424.9</v>
      </c>
      <c r="AK75" s="68">
        <f>Economic!I89</f>
        <v>93813.6</v>
      </c>
      <c r="AL75" s="68">
        <f>Economic!J89</f>
        <v>37591.800000000003</v>
      </c>
      <c r="AM75" s="68">
        <f>Economic!K89</f>
        <v>88409.3</v>
      </c>
      <c r="AN75" s="68">
        <f>Economic!L89</f>
        <v>75049.2</v>
      </c>
      <c r="AO75" s="68">
        <f>Economic!M89</f>
        <v>867096</v>
      </c>
      <c r="AP75" s="68">
        <f>Economic!N89</f>
        <v>93889</v>
      </c>
      <c r="AQ75" s="68">
        <f>Economic!O89</f>
        <v>14154</v>
      </c>
      <c r="AR75" s="68">
        <f>Economic!P89</f>
        <v>36076</v>
      </c>
      <c r="AS75" s="68">
        <f>Economic!Q89</f>
        <v>87084</v>
      </c>
      <c r="AT75" s="68">
        <f>Economic!D89</f>
        <v>7904.4</v>
      </c>
      <c r="AU75" s="68">
        <f>Economic!E89</f>
        <v>7839</v>
      </c>
      <c r="AV75" s="68">
        <f>Economic!F89</f>
        <v>305.7</v>
      </c>
      <c r="AW75" s="68">
        <f>Economic!G89</f>
        <v>302.60000000000002</v>
      </c>
      <c r="AX75" s="68">
        <f>Economic!W89</f>
        <v>19550</v>
      </c>
      <c r="AY75" s="68">
        <f>Economic!R89</f>
        <v>235.5</v>
      </c>
      <c r="AZ75" s="68">
        <f>Economic!W89</f>
        <v>19550</v>
      </c>
      <c r="BA75" s="68">
        <f>Economic!X89</f>
        <v>-1150</v>
      </c>
      <c r="BB75" s="68">
        <f>Economic!Y89</f>
        <v>-2366</v>
      </c>
      <c r="BC75" s="236">
        <f>Weather!C87</f>
        <v>-1.4720238095238096</v>
      </c>
      <c r="BD75" s="16">
        <f>Weather!D87</f>
        <v>601.21666666666681</v>
      </c>
      <c r="BE75" s="16">
        <f>Weather!E87</f>
        <v>0</v>
      </c>
      <c r="BF75" s="16">
        <f>Weather!F87</f>
        <v>545.2166666666667</v>
      </c>
      <c r="BG75" s="16">
        <f>Weather!G87</f>
        <v>0</v>
      </c>
      <c r="BH75" s="16">
        <f>Weather!H87</f>
        <v>489.21666666666664</v>
      </c>
      <c r="BI75" s="16">
        <f>Weather!I87</f>
        <v>0</v>
      </c>
      <c r="BJ75" s="16">
        <f>Weather!J87</f>
        <v>433.21666666666664</v>
      </c>
      <c r="BK75" s="16">
        <f>Weather!K87</f>
        <v>0</v>
      </c>
      <c r="BL75" s="16">
        <f>Weather!L87</f>
        <v>377.21666666666658</v>
      </c>
      <c r="BM75" s="16">
        <f>Weather!M87</f>
        <v>0</v>
      </c>
      <c r="BN75" s="16">
        <f>Weather!N87</f>
        <v>321.21666666666658</v>
      </c>
      <c r="BO75" s="16">
        <f>Weather!O87</f>
        <v>0</v>
      </c>
      <c r="BP75" s="16">
        <f>Weather!P87</f>
        <v>266.54583333333329</v>
      </c>
      <c r="BQ75" s="16">
        <f>Weather!Q87</f>
        <v>1.3291666666666657</v>
      </c>
      <c r="BR75">
        <f t="shared" si="128"/>
        <v>0</v>
      </c>
      <c r="BS75">
        <f t="shared" si="128"/>
        <v>1</v>
      </c>
      <c r="BT75">
        <f t="shared" si="128"/>
        <v>0</v>
      </c>
      <c r="BU75">
        <f t="shared" si="128"/>
        <v>0</v>
      </c>
      <c r="BV75">
        <f t="shared" si="128"/>
        <v>0</v>
      </c>
      <c r="BW75">
        <f t="shared" si="128"/>
        <v>0</v>
      </c>
      <c r="BX75">
        <f t="shared" si="128"/>
        <v>0</v>
      </c>
      <c r="BY75">
        <f t="shared" si="128"/>
        <v>0</v>
      </c>
      <c r="BZ75">
        <f t="shared" si="128"/>
        <v>0</v>
      </c>
      <c r="CA75">
        <f t="shared" si="128"/>
        <v>0</v>
      </c>
      <c r="CB75">
        <f t="shared" si="128"/>
        <v>0</v>
      </c>
      <c r="CC75">
        <f t="shared" si="128"/>
        <v>0</v>
      </c>
      <c r="CD75" s="1">
        <f t="shared" si="128"/>
        <v>0</v>
      </c>
      <c r="CE75">
        <f t="shared" si="52"/>
        <v>0</v>
      </c>
      <c r="CF75" s="1">
        <f t="shared" si="128"/>
        <v>0</v>
      </c>
      <c r="CG75">
        <f t="shared" si="52"/>
        <v>0</v>
      </c>
      <c r="CH75" s="1">
        <f t="shared" si="128"/>
        <v>0</v>
      </c>
      <c r="CI75">
        <f t="shared" si="139"/>
        <v>0</v>
      </c>
      <c r="CJ75">
        <f t="shared" si="140"/>
        <v>0</v>
      </c>
      <c r="CK75">
        <f t="shared" si="53"/>
        <v>0</v>
      </c>
      <c r="CL75">
        <f t="shared" si="53"/>
        <v>0</v>
      </c>
      <c r="CM75" s="1">
        <f t="shared" si="120"/>
        <v>74</v>
      </c>
      <c r="CN75" s="1">
        <f t="shared" si="117"/>
        <v>26</v>
      </c>
      <c r="CO75" s="1">
        <f t="shared" si="130"/>
        <v>14</v>
      </c>
      <c r="CP75" s="1">
        <f t="shared" si="141"/>
        <v>2</v>
      </c>
      <c r="CQ75" s="1">
        <v>0</v>
      </c>
      <c r="CR75" s="1">
        <f t="shared" si="131"/>
        <v>14</v>
      </c>
      <c r="CS75">
        <f t="shared" si="116"/>
        <v>28</v>
      </c>
      <c r="CT75" s="1">
        <v>19</v>
      </c>
      <c r="CU75" s="1">
        <v>0</v>
      </c>
      <c r="CV75" s="1">
        <v>0</v>
      </c>
      <c r="CW75" s="1">
        <v>0</v>
      </c>
      <c r="CX75" s="1">
        <v>0.25</v>
      </c>
      <c r="CY75" s="1">
        <v>0</v>
      </c>
      <c r="CZ75" s="10">
        <f t="shared" si="87"/>
        <v>0</v>
      </c>
      <c r="DA75" s="10">
        <f t="shared" si="88"/>
        <v>0</v>
      </c>
      <c r="DB75" s="10">
        <f t="shared" si="89"/>
        <v>0</v>
      </c>
      <c r="DC75" s="10">
        <f t="shared" si="90"/>
        <v>0</v>
      </c>
      <c r="DD75" s="10">
        <f t="shared" si="91"/>
        <v>0</v>
      </c>
      <c r="DE75" s="10">
        <f t="shared" si="92"/>
        <v>0</v>
      </c>
      <c r="DF75" s="10">
        <f t="shared" si="93"/>
        <v>0</v>
      </c>
      <c r="DG75" s="10">
        <f t="shared" si="94"/>
        <v>0</v>
      </c>
      <c r="DH75" s="10">
        <f t="shared" si="95"/>
        <v>0</v>
      </c>
      <c r="DI75" s="10">
        <f t="shared" si="96"/>
        <v>0</v>
      </c>
      <c r="DJ75" s="10">
        <f t="shared" si="97"/>
        <v>0</v>
      </c>
      <c r="DK75" s="10">
        <f t="shared" si="98"/>
        <v>0</v>
      </c>
      <c r="DL75" s="10">
        <f t="shared" si="99"/>
        <v>0</v>
      </c>
      <c r="DM75" s="10">
        <f t="shared" si="100"/>
        <v>0</v>
      </c>
      <c r="DN75" s="10">
        <f t="shared" si="101"/>
        <v>150.3041666666667</v>
      </c>
      <c r="DO75" s="10">
        <f t="shared" si="102"/>
        <v>0</v>
      </c>
      <c r="DP75" s="10">
        <f t="shared" si="103"/>
        <v>136.30416666666667</v>
      </c>
      <c r="DQ75" s="10">
        <f t="shared" si="104"/>
        <v>0</v>
      </c>
      <c r="DR75" s="10">
        <f t="shared" si="105"/>
        <v>122.30416666666666</v>
      </c>
      <c r="DS75" s="10">
        <f t="shared" si="106"/>
        <v>0</v>
      </c>
      <c r="DT75" s="10">
        <f t="shared" si="107"/>
        <v>108.30416666666666</v>
      </c>
      <c r="DU75" s="10">
        <f t="shared" si="108"/>
        <v>0</v>
      </c>
      <c r="DV75" s="10">
        <f t="shared" si="109"/>
        <v>94.304166666666646</v>
      </c>
      <c r="DW75" s="10">
        <f t="shared" si="110"/>
        <v>0</v>
      </c>
      <c r="DX75" s="10">
        <f t="shared" si="111"/>
        <v>80.304166666666646</v>
      </c>
      <c r="DY75" s="10">
        <f t="shared" si="112"/>
        <v>0</v>
      </c>
      <c r="DZ75" s="10">
        <f t="shared" si="113"/>
        <v>66.636458333333323</v>
      </c>
      <c r="EA75" s="10">
        <f t="shared" si="114"/>
        <v>0.33229166666666643</v>
      </c>
      <c r="EB75" s="44">
        <f t="shared" si="132"/>
        <v>600.46592289295756</v>
      </c>
      <c r="EC75" s="44">
        <f t="shared" si="129"/>
        <v>21.445211531891342</v>
      </c>
      <c r="ED75" s="44">
        <f t="shared" si="133"/>
        <v>3251694.5341576203</v>
      </c>
      <c r="EE75" s="44">
        <f t="shared" si="134"/>
        <v>2546.6709879092268</v>
      </c>
      <c r="EF75" s="44">
        <f t="shared" si="122"/>
        <v>90.952535282472383</v>
      </c>
      <c r="EG75" s="44">
        <f t="shared" si="135"/>
        <v>1203483.9468576745</v>
      </c>
      <c r="EH75" s="44">
        <f t="shared" si="136"/>
        <v>79292.174712427208</v>
      </c>
      <c r="EI75" s="44">
        <f t="shared" si="123"/>
        <v>2831.8633825866859</v>
      </c>
      <c r="EJ75" s="44">
        <f t="shared" si="125"/>
        <v>4173.2723532856426</v>
      </c>
      <c r="EK75" s="44">
        <f t="shared" si="124"/>
        <v>4128856.811811388</v>
      </c>
      <c r="EL75" s="44">
        <f t="shared" si="126"/>
        <v>6084631.0910904668</v>
      </c>
    </row>
    <row r="76" spans="1:142" x14ac:dyDescent="0.2">
      <c r="A76" s="66">
        <v>44986</v>
      </c>
      <c r="B76" s="4">
        <f t="shared" si="118"/>
        <v>2023</v>
      </c>
      <c r="C76" s="4">
        <f t="shared" si="119"/>
        <v>3</v>
      </c>
      <c r="D76" s="44">
        <v>93636362.944843695</v>
      </c>
      <c r="E76" s="44">
        <f>IFERROR(VLOOKUP($B76-1,CDM!$L$7:$T$18,2,FALSE)/12,0)+IFERROR(VLOOKUP($B76,CDM!$L$37:$O$47,2,FALSE)/24,0)+IFERROR(VLOOKUP($B76,CDM!$L$37:$O$47,2,FALSE)/2*$C76/78,0)</f>
        <v>2212935.6492749052</v>
      </c>
      <c r="F76" s="44">
        <f t="shared" si="79"/>
        <v>95849298.594118595</v>
      </c>
      <c r="G76" s="488">
        <v>151662</v>
      </c>
      <c r="H76" s="44">
        <v>35026644.027121298</v>
      </c>
      <c r="I76" s="44">
        <f>IFERROR(VLOOKUP($B76-1,CDM!$L$7:$T$18,3,FALSE)/12,0)+IFERROR(VLOOKUP($B76,CDM!$L$37:$O$47,3,FALSE)/24,0)+IFERROR(VLOOKUP($B76,CDM!$L$37:$O$47,3,FALSE)/2*$C76/78,0)</f>
        <v>1328948.2547215081</v>
      </c>
      <c r="J76" s="44">
        <f t="shared" si="80"/>
        <v>36355592.281842805</v>
      </c>
      <c r="K76" s="44">
        <v>13230</v>
      </c>
      <c r="L76" s="44">
        <v>118058621.86044601</v>
      </c>
      <c r="M76" s="44">
        <f>IFERROR(VLOOKUP($B76-1,CDM!$L$7:$T$18,4,FALSE)/12,0)+IFERROR(VLOOKUP($B76,CDM!$L$37:$O$47,4,FALSE)/24,0)+IFERROR(VLOOKUP($B76,CDM!$L$37:$O$47,4,FALSE)/2*$C76/78,0)</f>
        <v>7407916.2860296192</v>
      </c>
      <c r="N76" s="44">
        <f t="shared" si="81"/>
        <v>125466538.14647563</v>
      </c>
      <c r="O76" s="44">
        <v>272869.84000000003</v>
      </c>
      <c r="P76" s="488">
        <v>1461</v>
      </c>
      <c r="Q76" s="488">
        <v>4238220.8884628704</v>
      </c>
      <c r="R76" s="488">
        <f>IFERROR(VLOOKUP($B76-1,CDM!$L$7:$T$18,5,FALSE)/12,0)+IFERROR(VLOOKUP($B76,CDM!$L$37:$T$47,5,FALSE)/24,0)+IFERROR(VLOOKUP($B76,CDM!$L$37:$T$47,5,FALSE)/2*$C76/78,0)</f>
        <v>122663.78575930808</v>
      </c>
      <c r="S76" s="488">
        <f t="shared" si="137"/>
        <v>4360884.6742221788</v>
      </c>
      <c r="T76" s="44">
        <v>5656.19</v>
      </c>
      <c r="U76" s="488">
        <v>7</v>
      </c>
      <c r="V76" s="488">
        <v>11984965.8793697</v>
      </c>
      <c r="W76" s="488">
        <f>IFERROR(VLOOKUP($B76-1,CDM!$L$7:$T$18,6,FALSE)/12,0)+IFERROR(VLOOKUP($B76,CDM!$L$37:$T$47,6,FALSE)/24,0)+IFERROR(VLOOKUP($B76,CDM!$L$37:$T$47,6,FALSE)/2*$C76/78,0)</f>
        <v>1474083.1765626189</v>
      </c>
      <c r="X76" s="488">
        <f t="shared" si="138"/>
        <v>13459049.055932319</v>
      </c>
      <c r="Y76" s="488">
        <v>21080.98</v>
      </c>
      <c r="Z76" s="488">
        <v>2</v>
      </c>
      <c r="AA76" s="44">
        <v>1479953.34</v>
      </c>
      <c r="AB76" s="44">
        <v>3998.36</v>
      </c>
      <c r="AC76" s="488">
        <v>39496</v>
      </c>
      <c r="AD76" s="44">
        <v>462835.33999999997</v>
      </c>
      <c r="AE76" s="44">
        <v>1564</v>
      </c>
      <c r="AF76" s="44">
        <v>45054.090000000004</v>
      </c>
      <c r="AG76" s="44">
        <v>118.87</v>
      </c>
      <c r="AH76" s="44">
        <v>505</v>
      </c>
      <c r="AI76" s="44">
        <v>16400</v>
      </c>
      <c r="AJ76" s="68">
        <f>Economic!H90</f>
        <v>874424.9</v>
      </c>
      <c r="AK76" s="68">
        <f>Economic!I90</f>
        <v>93813.6</v>
      </c>
      <c r="AL76" s="68">
        <f>Economic!J90</f>
        <v>37591.800000000003</v>
      </c>
      <c r="AM76" s="68">
        <f>Economic!K90</f>
        <v>88409.3</v>
      </c>
      <c r="AN76" s="68">
        <f>Economic!L90</f>
        <v>75049.2</v>
      </c>
      <c r="AO76" s="68">
        <f>Economic!M90</f>
        <v>867096</v>
      </c>
      <c r="AP76" s="68">
        <f>Economic!N90</f>
        <v>93889</v>
      </c>
      <c r="AQ76" s="68">
        <f>Economic!O90</f>
        <v>14154</v>
      </c>
      <c r="AR76" s="68">
        <f>Economic!P90</f>
        <v>36076</v>
      </c>
      <c r="AS76" s="68">
        <f>Economic!Q90</f>
        <v>87084</v>
      </c>
      <c r="AT76" s="68">
        <f>Economic!D90</f>
        <v>7936.8</v>
      </c>
      <c r="AU76" s="68">
        <f>Economic!E90</f>
        <v>7848.5</v>
      </c>
      <c r="AV76" s="68">
        <f>Economic!F90</f>
        <v>304.89999999999998</v>
      </c>
      <c r="AW76" s="68">
        <f>Economic!G90</f>
        <v>301.10000000000002</v>
      </c>
      <c r="AX76" s="68">
        <f>Economic!W90</f>
        <v>19550</v>
      </c>
      <c r="AY76" s="68">
        <f>Economic!R90</f>
        <v>255.69999999999982</v>
      </c>
      <c r="AZ76" s="68">
        <f>Economic!W90</f>
        <v>19550</v>
      </c>
      <c r="BA76" s="68">
        <f>Economic!X90</f>
        <v>-1150</v>
      </c>
      <c r="BB76" s="68">
        <f>Economic!Y90</f>
        <v>-2366</v>
      </c>
      <c r="BC76" s="236">
        <f>Weather!C88</f>
        <v>0.19206989247311826</v>
      </c>
      <c r="BD76" s="16">
        <f>Weather!D88</f>
        <v>614.04583333333323</v>
      </c>
      <c r="BE76" s="16">
        <f>Weather!E88</f>
        <v>0</v>
      </c>
      <c r="BF76" s="16">
        <f>Weather!F88</f>
        <v>552.04583333333323</v>
      </c>
      <c r="BG76" s="16">
        <f>Weather!G88</f>
        <v>0</v>
      </c>
      <c r="BH76" s="16">
        <f>Weather!H88</f>
        <v>490.04583333333318</v>
      </c>
      <c r="BI76" s="16">
        <f>Weather!I88</f>
        <v>0</v>
      </c>
      <c r="BJ76" s="16">
        <f>Weather!J88</f>
        <v>428.04583333333323</v>
      </c>
      <c r="BK76" s="16">
        <f>Weather!K88</f>
        <v>0</v>
      </c>
      <c r="BL76" s="16">
        <f>Weather!L88</f>
        <v>366.04583333333329</v>
      </c>
      <c r="BM76" s="16">
        <f>Weather!M88</f>
        <v>0</v>
      </c>
      <c r="BN76" s="16">
        <f>Weather!N88</f>
        <v>304.04583333333341</v>
      </c>
      <c r="BO76" s="16">
        <f>Weather!O88</f>
        <v>0</v>
      </c>
      <c r="BP76" s="16">
        <f>Weather!P88</f>
        <v>242.04583333333335</v>
      </c>
      <c r="BQ76" s="16">
        <f>Weather!Q88</f>
        <v>0</v>
      </c>
      <c r="BR76">
        <f t="shared" si="128"/>
        <v>0</v>
      </c>
      <c r="BS76">
        <f t="shared" si="128"/>
        <v>0</v>
      </c>
      <c r="BT76">
        <f t="shared" si="128"/>
        <v>1</v>
      </c>
      <c r="BU76">
        <f t="shared" si="128"/>
        <v>0</v>
      </c>
      <c r="BV76">
        <f t="shared" si="128"/>
        <v>0</v>
      </c>
      <c r="BW76">
        <f t="shared" si="128"/>
        <v>0</v>
      </c>
      <c r="BX76">
        <f t="shared" si="128"/>
        <v>0</v>
      </c>
      <c r="BY76">
        <f t="shared" si="128"/>
        <v>0</v>
      </c>
      <c r="BZ76">
        <f t="shared" si="128"/>
        <v>0</v>
      </c>
      <c r="CA76">
        <f t="shared" si="128"/>
        <v>0</v>
      </c>
      <c r="CB76">
        <f t="shared" si="128"/>
        <v>0</v>
      </c>
      <c r="CC76">
        <f t="shared" si="128"/>
        <v>0</v>
      </c>
      <c r="CD76" s="1">
        <f t="shared" si="128"/>
        <v>1</v>
      </c>
      <c r="CE76">
        <f t="shared" si="52"/>
        <v>1</v>
      </c>
      <c r="CF76" s="1">
        <f t="shared" si="128"/>
        <v>0</v>
      </c>
      <c r="CG76">
        <f t="shared" si="52"/>
        <v>0</v>
      </c>
      <c r="CH76" s="1">
        <f t="shared" si="128"/>
        <v>1</v>
      </c>
      <c r="CI76">
        <f t="shared" si="139"/>
        <v>1</v>
      </c>
      <c r="CJ76">
        <f t="shared" si="140"/>
        <v>1</v>
      </c>
      <c r="CK76">
        <f t="shared" si="53"/>
        <v>0</v>
      </c>
      <c r="CL76">
        <f t="shared" si="53"/>
        <v>0</v>
      </c>
      <c r="CM76" s="1">
        <f t="shared" si="120"/>
        <v>75</v>
      </c>
      <c r="CN76" s="1">
        <f t="shared" si="117"/>
        <v>27</v>
      </c>
      <c r="CO76" s="1">
        <f t="shared" si="130"/>
        <v>15</v>
      </c>
      <c r="CP76" s="1">
        <f t="shared" si="141"/>
        <v>3</v>
      </c>
      <c r="CQ76" s="1">
        <v>0</v>
      </c>
      <c r="CR76" s="1">
        <f t="shared" si="131"/>
        <v>15</v>
      </c>
      <c r="CS76">
        <f t="shared" si="116"/>
        <v>31</v>
      </c>
      <c r="CT76" s="1">
        <v>23</v>
      </c>
      <c r="CU76" s="1">
        <v>0</v>
      </c>
      <c r="CV76" s="1">
        <v>0</v>
      </c>
      <c r="CW76" s="1">
        <v>0</v>
      </c>
      <c r="CX76" s="1">
        <v>0.25</v>
      </c>
      <c r="CY76" s="1">
        <v>0</v>
      </c>
      <c r="CZ76" s="10">
        <f t="shared" si="87"/>
        <v>0</v>
      </c>
      <c r="DA76" s="10">
        <f t="shared" si="88"/>
        <v>0</v>
      </c>
      <c r="DB76" s="10">
        <f t="shared" si="89"/>
        <v>0</v>
      </c>
      <c r="DC76" s="10">
        <f t="shared" si="90"/>
        <v>0</v>
      </c>
      <c r="DD76" s="10">
        <f t="shared" si="91"/>
        <v>0</v>
      </c>
      <c r="DE76" s="10">
        <f t="shared" si="92"/>
        <v>0</v>
      </c>
      <c r="DF76" s="10">
        <f t="shared" si="93"/>
        <v>0</v>
      </c>
      <c r="DG76" s="10">
        <f t="shared" si="94"/>
        <v>0</v>
      </c>
      <c r="DH76" s="10">
        <f t="shared" si="95"/>
        <v>0</v>
      </c>
      <c r="DI76" s="10">
        <f t="shared" si="96"/>
        <v>0</v>
      </c>
      <c r="DJ76" s="10">
        <f t="shared" si="97"/>
        <v>0</v>
      </c>
      <c r="DK76" s="10">
        <f t="shared" si="98"/>
        <v>0</v>
      </c>
      <c r="DL76" s="10">
        <f t="shared" si="99"/>
        <v>0</v>
      </c>
      <c r="DM76" s="10">
        <f t="shared" si="100"/>
        <v>0</v>
      </c>
      <c r="DN76" s="10">
        <f t="shared" si="101"/>
        <v>153.51145833333331</v>
      </c>
      <c r="DO76" s="10">
        <f t="shared" si="102"/>
        <v>0</v>
      </c>
      <c r="DP76" s="10">
        <f t="shared" si="103"/>
        <v>138.01145833333331</v>
      </c>
      <c r="DQ76" s="10">
        <f t="shared" si="104"/>
        <v>0</v>
      </c>
      <c r="DR76" s="10">
        <f t="shared" si="105"/>
        <v>122.51145833333329</v>
      </c>
      <c r="DS76" s="10">
        <f t="shared" si="106"/>
        <v>0</v>
      </c>
      <c r="DT76" s="10">
        <f t="shared" si="107"/>
        <v>107.01145833333331</v>
      </c>
      <c r="DU76" s="10">
        <f t="shared" si="108"/>
        <v>0</v>
      </c>
      <c r="DV76" s="10">
        <f t="shared" si="109"/>
        <v>91.511458333333323</v>
      </c>
      <c r="DW76" s="10">
        <f t="shared" si="110"/>
        <v>0</v>
      </c>
      <c r="DX76" s="10">
        <f t="shared" si="111"/>
        <v>76.011458333333351</v>
      </c>
      <c r="DY76" s="10">
        <f t="shared" si="112"/>
        <v>0</v>
      </c>
      <c r="DZ76" s="10">
        <f t="shared" si="113"/>
        <v>60.511458333333337</v>
      </c>
      <c r="EA76" s="10">
        <f t="shared" si="114"/>
        <v>0</v>
      </c>
      <c r="EB76" s="44">
        <f t="shared" si="132"/>
        <v>631.99284325749761</v>
      </c>
      <c r="EC76" s="44">
        <f t="shared" si="129"/>
        <v>20.38686591153218</v>
      </c>
      <c r="ED76" s="44">
        <f t="shared" si="133"/>
        <v>3091912.8578747935</v>
      </c>
      <c r="EE76" s="44">
        <f t="shared" si="134"/>
        <v>2747.9661588694485</v>
      </c>
      <c r="EF76" s="44">
        <f t="shared" si="122"/>
        <v>88.644069640949951</v>
      </c>
      <c r="EG76" s="44">
        <f t="shared" si="135"/>
        <v>1172761.0413497679</v>
      </c>
      <c r="EH76" s="44">
        <f t="shared" si="136"/>
        <v>85877.165055767022</v>
      </c>
      <c r="EI76" s="44">
        <f t="shared" si="123"/>
        <v>2770.2311308311942</v>
      </c>
      <c r="EJ76" s="44">
        <f t="shared" si="125"/>
        <v>3733.7897850333488</v>
      </c>
      <c r="EK76" s="44">
        <f t="shared" si="124"/>
        <v>4047307.6821443751</v>
      </c>
      <c r="EL76" s="44">
        <f t="shared" si="126"/>
        <v>5455066.8759337226</v>
      </c>
    </row>
    <row r="77" spans="1:142" x14ac:dyDescent="0.2">
      <c r="A77" s="66">
        <v>45017</v>
      </c>
      <c r="B77" s="4">
        <f t="shared" si="118"/>
        <v>2023</v>
      </c>
      <c r="C77" s="4">
        <f t="shared" si="119"/>
        <v>4</v>
      </c>
      <c r="D77" s="44">
        <v>81883625.509528399</v>
      </c>
      <c r="E77" s="44">
        <f>IFERROR(VLOOKUP($B77-1,CDM!$L$7:$T$18,2,FALSE)/12,0)+IFERROR(VLOOKUP($B77,CDM!$L$37:$O$47,2,FALSE)/24,0)+IFERROR(VLOOKUP($B77,CDM!$L$37:$O$47,2,FALSE)/2*$C77/78,0)</f>
        <v>2214882.6530946386</v>
      </c>
      <c r="F77" s="44">
        <f t="shared" si="79"/>
        <v>84098508.162623033</v>
      </c>
      <c r="G77" s="488">
        <v>151651</v>
      </c>
      <c r="H77" s="44">
        <v>30625400.815648101</v>
      </c>
      <c r="I77" s="44">
        <f>IFERROR(VLOOKUP($B77-1,CDM!$L$7:$T$18,3,FALSE)/12,0)+IFERROR(VLOOKUP($B77,CDM!$L$37:$O$47,3,FALSE)/24,0)+IFERROR(VLOOKUP($B77,CDM!$L$37:$O$47,3,FALSE)/2*$C77/78,0)</f>
        <v>1347602.0302162298</v>
      </c>
      <c r="J77" s="44">
        <f t="shared" si="80"/>
        <v>31973002.845864329</v>
      </c>
      <c r="K77" s="44">
        <v>13224</v>
      </c>
      <c r="L77" s="44">
        <v>106941980.84376</v>
      </c>
      <c r="M77" s="44">
        <f>IFERROR(VLOOKUP($B77-1,CDM!$L$7:$T$18,4,FALSE)/12,0)+IFERROR(VLOOKUP($B77,CDM!$L$37:$O$47,4,FALSE)/24,0)+IFERROR(VLOOKUP($B77,CDM!$L$37:$O$47,4,FALSE)/2*$C77/78,0)</f>
        <v>7449977.1457423642</v>
      </c>
      <c r="N77" s="44">
        <f t="shared" si="81"/>
        <v>114391957.98950237</v>
      </c>
      <c r="O77" s="44">
        <v>288834.77</v>
      </c>
      <c r="P77" s="488">
        <v>1461</v>
      </c>
      <c r="Q77" s="488">
        <v>1858265.5040712601</v>
      </c>
      <c r="R77" s="488">
        <f>IFERROR(VLOOKUP($B77-1,CDM!$L$7:$T$18,5,FALSE)/12,0)+IFERROR(VLOOKUP($B77,CDM!$L$37:$T$47,5,FALSE)/24,0)+IFERROR(VLOOKUP($B77,CDM!$L$37:$T$47,5,FALSE)/2*$C77/78,0)</f>
        <v>124275.75660062052</v>
      </c>
      <c r="S77" s="488">
        <f t="shared" si="137"/>
        <v>1982541.2606718806</v>
      </c>
      <c r="T77" s="44">
        <v>5754.85</v>
      </c>
      <c r="U77" s="488">
        <v>7</v>
      </c>
      <c r="V77" s="488">
        <v>11684053.1926641</v>
      </c>
      <c r="W77" s="488">
        <f>IFERROR(VLOOKUP($B77-1,CDM!$L$7:$T$18,6,FALSE)/12,0)+IFERROR(VLOOKUP($B77,CDM!$L$37:$T$47,6,FALSE)/24,0)+IFERROR(VLOOKUP($B77,CDM!$L$37:$T$47,6,FALSE)/2*$C77/78,0)</f>
        <v>1476852.7267876763</v>
      </c>
      <c r="X77" s="488">
        <f t="shared" si="138"/>
        <v>13160905.919451777</v>
      </c>
      <c r="Y77" s="488">
        <v>23861.599999999999</v>
      </c>
      <c r="Z77" s="488">
        <v>2</v>
      </c>
      <c r="AA77" s="44">
        <v>1283909.1599999999</v>
      </c>
      <c r="AB77" s="44">
        <v>3999.72</v>
      </c>
      <c r="AC77" s="488">
        <v>39514</v>
      </c>
      <c r="AD77" s="44">
        <v>448392.88</v>
      </c>
      <c r="AE77" s="44">
        <v>1564</v>
      </c>
      <c r="AF77" s="44">
        <v>43016.44</v>
      </c>
      <c r="AG77" s="44">
        <v>118.87</v>
      </c>
      <c r="AH77" s="44">
        <v>505</v>
      </c>
      <c r="AI77" s="44">
        <v>16400</v>
      </c>
      <c r="AJ77" s="68">
        <f>Economic!H91</f>
        <v>874424.9</v>
      </c>
      <c r="AK77" s="68">
        <f>Economic!I91</f>
        <v>93813.6</v>
      </c>
      <c r="AL77" s="68">
        <f>Economic!J91</f>
        <v>37591.800000000003</v>
      </c>
      <c r="AM77" s="68">
        <f>Economic!K91</f>
        <v>88409.3</v>
      </c>
      <c r="AN77" s="68">
        <f>Economic!L91</f>
        <v>75049.2</v>
      </c>
      <c r="AO77" s="68">
        <f>Economic!M91</f>
        <v>873385</v>
      </c>
      <c r="AP77" s="68">
        <f>Economic!N91</f>
        <v>96473</v>
      </c>
      <c r="AQ77" s="68">
        <f>Economic!O91</f>
        <v>14540</v>
      </c>
      <c r="AR77" s="68">
        <f>Economic!P91</f>
        <v>37514</v>
      </c>
      <c r="AS77" s="68">
        <f>Economic!Q91</f>
        <v>87493</v>
      </c>
      <c r="AT77" s="68">
        <f>Economic!D91</f>
        <v>7963.7</v>
      </c>
      <c r="AU77" s="68">
        <f>Economic!E91</f>
        <v>7899.3</v>
      </c>
      <c r="AV77" s="68">
        <f>Economic!F91</f>
        <v>306.7</v>
      </c>
      <c r="AW77" s="68">
        <f>Economic!G91</f>
        <v>304.39999999999998</v>
      </c>
      <c r="AX77" s="68">
        <f>Economic!W91</f>
        <v>18630</v>
      </c>
      <c r="AY77" s="68">
        <f>Economic!R91</f>
        <v>205.30000000000018</v>
      </c>
      <c r="AZ77" s="68">
        <f>Economic!W91</f>
        <v>18630</v>
      </c>
      <c r="BA77" s="68">
        <f>Economic!X91</f>
        <v>2216</v>
      </c>
      <c r="BB77" s="68">
        <f>Economic!Y91</f>
        <v>-933</v>
      </c>
      <c r="BC77" s="236">
        <f>Weather!C89</f>
        <v>8.3259722222222177</v>
      </c>
      <c r="BD77" s="16">
        <f>Weather!D89</f>
        <v>350.69166666666666</v>
      </c>
      <c r="BE77" s="16">
        <f>Weather!E89</f>
        <v>0.47083333333333499</v>
      </c>
      <c r="BF77" s="16">
        <f>Weather!F89</f>
        <v>294.47500000000002</v>
      </c>
      <c r="BG77" s="16">
        <f>Weather!G89</f>
        <v>4.2541666666666806</v>
      </c>
      <c r="BH77" s="16">
        <f>Weather!H89</f>
        <v>242.47500000000005</v>
      </c>
      <c r="BI77" s="16">
        <f>Weather!I89</f>
        <v>12.254166666666681</v>
      </c>
      <c r="BJ77" s="16">
        <f>Weather!J89</f>
        <v>192.73750000000004</v>
      </c>
      <c r="BK77" s="16">
        <f>Weather!K89</f>
        <v>22.516666666666687</v>
      </c>
      <c r="BL77" s="16">
        <f>Weather!L89</f>
        <v>144.73750000000001</v>
      </c>
      <c r="BM77" s="16">
        <f>Weather!M89</f>
        <v>34.51666666666668</v>
      </c>
      <c r="BN77" s="16">
        <f>Weather!N89</f>
        <v>97.987499999999983</v>
      </c>
      <c r="BO77" s="16">
        <f>Weather!O89</f>
        <v>47.766666666666687</v>
      </c>
      <c r="BP77" s="16">
        <f>Weather!P89</f>
        <v>57.670833333333334</v>
      </c>
      <c r="BQ77" s="16">
        <f>Weather!Q89</f>
        <v>67.450000000000017</v>
      </c>
      <c r="BR77">
        <f t="shared" si="128"/>
        <v>0</v>
      </c>
      <c r="BS77">
        <f t="shared" si="128"/>
        <v>0</v>
      </c>
      <c r="BT77">
        <f t="shared" si="128"/>
        <v>0</v>
      </c>
      <c r="BU77">
        <f t="shared" si="128"/>
        <v>1</v>
      </c>
      <c r="BV77">
        <f t="shared" si="128"/>
        <v>0</v>
      </c>
      <c r="BW77">
        <f t="shared" si="128"/>
        <v>0</v>
      </c>
      <c r="BX77">
        <f t="shared" si="128"/>
        <v>0</v>
      </c>
      <c r="BY77">
        <f t="shared" si="128"/>
        <v>0</v>
      </c>
      <c r="BZ77">
        <f t="shared" si="128"/>
        <v>0</v>
      </c>
      <c r="CA77">
        <f t="shared" si="128"/>
        <v>0</v>
      </c>
      <c r="CB77">
        <f t="shared" si="128"/>
        <v>0</v>
      </c>
      <c r="CC77">
        <f t="shared" si="128"/>
        <v>0</v>
      </c>
      <c r="CD77" s="1">
        <f t="shared" si="128"/>
        <v>1</v>
      </c>
      <c r="CE77">
        <f t="shared" si="52"/>
        <v>1</v>
      </c>
      <c r="CF77" s="1">
        <f t="shared" si="128"/>
        <v>0</v>
      </c>
      <c r="CG77">
        <f t="shared" si="52"/>
        <v>0</v>
      </c>
      <c r="CH77" s="1">
        <f t="shared" si="128"/>
        <v>1</v>
      </c>
      <c r="CI77">
        <f t="shared" si="139"/>
        <v>1</v>
      </c>
      <c r="CJ77">
        <f t="shared" si="140"/>
        <v>1</v>
      </c>
      <c r="CK77">
        <f t="shared" si="53"/>
        <v>0</v>
      </c>
      <c r="CL77">
        <f t="shared" si="53"/>
        <v>0</v>
      </c>
      <c r="CM77" s="1">
        <f t="shared" si="120"/>
        <v>76</v>
      </c>
      <c r="CN77" s="1">
        <f t="shared" si="117"/>
        <v>28</v>
      </c>
      <c r="CO77" s="1">
        <f t="shared" si="130"/>
        <v>16</v>
      </c>
      <c r="CP77" s="1">
        <f t="shared" si="141"/>
        <v>4</v>
      </c>
      <c r="CQ77" s="1">
        <v>0</v>
      </c>
      <c r="CR77" s="1">
        <f t="shared" si="131"/>
        <v>16</v>
      </c>
      <c r="CS77">
        <f t="shared" si="116"/>
        <v>30</v>
      </c>
      <c r="CT77" s="1">
        <v>19</v>
      </c>
      <c r="CU77" s="1">
        <v>0</v>
      </c>
      <c r="CV77" s="1">
        <v>0</v>
      </c>
      <c r="CW77" s="1">
        <v>0</v>
      </c>
      <c r="CX77" s="1">
        <v>0.25</v>
      </c>
      <c r="CY77" s="1">
        <v>0</v>
      </c>
      <c r="CZ77" s="10">
        <f t="shared" si="87"/>
        <v>0</v>
      </c>
      <c r="DA77" s="10">
        <f t="shared" si="88"/>
        <v>0</v>
      </c>
      <c r="DB77" s="10">
        <f t="shared" si="89"/>
        <v>0</v>
      </c>
      <c r="DC77" s="10">
        <f t="shared" si="90"/>
        <v>0</v>
      </c>
      <c r="DD77" s="10">
        <f t="shared" si="91"/>
        <v>0</v>
      </c>
      <c r="DE77" s="10">
        <f t="shared" si="92"/>
        <v>0</v>
      </c>
      <c r="DF77" s="10">
        <f t="shared" si="93"/>
        <v>0</v>
      </c>
      <c r="DG77" s="10">
        <f t="shared" si="94"/>
        <v>0</v>
      </c>
      <c r="DH77" s="10">
        <f t="shared" si="95"/>
        <v>0</v>
      </c>
      <c r="DI77" s="10">
        <f t="shared" si="96"/>
        <v>0</v>
      </c>
      <c r="DJ77" s="10">
        <f t="shared" si="97"/>
        <v>0</v>
      </c>
      <c r="DK77" s="10">
        <f t="shared" si="98"/>
        <v>0</v>
      </c>
      <c r="DL77" s="10">
        <f t="shared" si="99"/>
        <v>0</v>
      </c>
      <c r="DM77" s="10">
        <f t="shared" si="100"/>
        <v>0</v>
      </c>
      <c r="DN77" s="10">
        <f t="shared" si="101"/>
        <v>87.672916666666666</v>
      </c>
      <c r="DO77" s="10">
        <f t="shared" si="102"/>
        <v>0.11770833333333375</v>
      </c>
      <c r="DP77" s="10">
        <f t="shared" si="103"/>
        <v>73.618750000000006</v>
      </c>
      <c r="DQ77" s="10">
        <f t="shared" si="104"/>
        <v>1.0635416666666702</v>
      </c>
      <c r="DR77" s="10">
        <f t="shared" si="105"/>
        <v>60.618750000000013</v>
      </c>
      <c r="DS77" s="10">
        <f t="shared" si="106"/>
        <v>3.0635416666666702</v>
      </c>
      <c r="DT77" s="10">
        <f t="shared" si="107"/>
        <v>48.18437500000001</v>
      </c>
      <c r="DU77" s="10">
        <f t="shared" si="108"/>
        <v>5.6291666666666718</v>
      </c>
      <c r="DV77" s="10">
        <f t="shared" si="109"/>
        <v>36.184375000000003</v>
      </c>
      <c r="DW77" s="10">
        <f t="shared" si="110"/>
        <v>8.62916666666667</v>
      </c>
      <c r="DX77" s="10">
        <f t="shared" si="111"/>
        <v>24.496874999999996</v>
      </c>
      <c r="DY77" s="10">
        <f t="shared" si="112"/>
        <v>11.941666666666672</v>
      </c>
      <c r="DZ77" s="10">
        <f t="shared" si="113"/>
        <v>14.417708333333334</v>
      </c>
      <c r="EA77" s="10">
        <f t="shared" si="114"/>
        <v>16.862500000000004</v>
      </c>
      <c r="EB77" s="44">
        <f t="shared" si="132"/>
        <v>554.55294170577861</v>
      </c>
      <c r="EC77" s="44">
        <f t="shared" si="129"/>
        <v>18.485098056859286</v>
      </c>
      <c r="ED77" s="44">
        <f t="shared" si="133"/>
        <v>2803283.6054207678</v>
      </c>
      <c r="EE77" s="44">
        <f t="shared" si="134"/>
        <v>2417.8011831415856</v>
      </c>
      <c r="EF77" s="44">
        <f t="shared" si="122"/>
        <v>80.593372771386186</v>
      </c>
      <c r="EG77" s="44">
        <f t="shared" si="135"/>
        <v>1065766.761528811</v>
      </c>
      <c r="EH77" s="44">
        <f t="shared" si="136"/>
        <v>78297.028055785326</v>
      </c>
      <c r="EI77" s="44">
        <f t="shared" si="123"/>
        <v>2609.9009351928444</v>
      </c>
      <c r="EJ77" s="44">
        <f t="shared" si="125"/>
        <v>3728.4299074183486</v>
      </c>
      <c r="EK77" s="44">
        <f t="shared" si="124"/>
        <v>3813065.2663167459</v>
      </c>
      <c r="EL77" s="44">
        <f t="shared" si="126"/>
        <v>5447236.0947382078</v>
      </c>
    </row>
    <row r="78" spans="1:142" x14ac:dyDescent="0.2">
      <c r="A78" s="66">
        <v>45047</v>
      </c>
      <c r="B78" s="4">
        <f t="shared" si="118"/>
        <v>2023</v>
      </c>
      <c r="C78" s="4">
        <f t="shared" si="119"/>
        <v>5</v>
      </c>
      <c r="D78" s="44">
        <v>82221504.205156907</v>
      </c>
      <c r="E78" s="44">
        <f>IFERROR(VLOOKUP($B78-1,CDM!$L$7:$T$18,2,FALSE)/12,0)+IFERROR(VLOOKUP($B78,CDM!$L$37:$O$47,2,FALSE)/24,0)+IFERROR(VLOOKUP($B78,CDM!$L$37:$O$47,2,FALSE)/2*$C78/78,0)</f>
        <v>2216829.656914372</v>
      </c>
      <c r="F78" s="44">
        <f t="shared" si="79"/>
        <v>84438333.862071276</v>
      </c>
      <c r="G78" s="488">
        <v>151748</v>
      </c>
      <c r="H78" s="44">
        <v>31733015.794757102</v>
      </c>
      <c r="I78" s="44">
        <f>IFERROR(VLOOKUP($B78-1,CDM!$L$7:$T$18,3,FALSE)/12,0)+IFERROR(VLOOKUP($B78,CDM!$L$37:$O$47,3,FALSE)/24,0)+IFERROR(VLOOKUP($B78,CDM!$L$37:$O$47,3,FALSE)/2*$C78/78,0)</f>
        <v>1366255.8057109513</v>
      </c>
      <c r="J78" s="44">
        <f t="shared" si="80"/>
        <v>33099271.600468054</v>
      </c>
      <c r="K78" s="44">
        <v>13226</v>
      </c>
      <c r="L78" s="44">
        <v>115991443.68851499</v>
      </c>
      <c r="M78" s="44">
        <f>IFERROR(VLOOKUP($B78-1,CDM!$L$7:$T$18,4,FALSE)/12,0)+IFERROR(VLOOKUP($B78,CDM!$L$37:$O$47,4,FALSE)/24,0)+IFERROR(VLOOKUP($B78,CDM!$L$37:$O$47,4,FALSE)/2*$C78/78,0)</f>
        <v>7492038.0054551093</v>
      </c>
      <c r="N78" s="44">
        <f t="shared" si="81"/>
        <v>123483481.6939701</v>
      </c>
      <c r="O78" s="44">
        <v>302255.73</v>
      </c>
      <c r="P78" s="488">
        <v>1465</v>
      </c>
      <c r="Q78" s="488">
        <v>5123291.8155937297</v>
      </c>
      <c r="R78" s="488">
        <f>IFERROR(VLOOKUP($B78-1,CDM!$L$7:$T$18,5,FALSE)/12,0)+IFERROR(VLOOKUP($B78,CDM!$L$37:$T$47,5,FALSE)/24,0)+IFERROR(VLOOKUP($B78,CDM!$L$37:$T$47,5,FALSE)/2*$C78/78,0)</f>
        <v>125887.72744193295</v>
      </c>
      <c r="S78" s="488">
        <f t="shared" si="137"/>
        <v>5249179.5430356627</v>
      </c>
      <c r="T78" s="44">
        <v>9442.3799999999992</v>
      </c>
      <c r="U78" s="488">
        <v>7</v>
      </c>
      <c r="V78" s="488">
        <v>12308832.3672018</v>
      </c>
      <c r="W78" s="488">
        <f>IFERROR(VLOOKUP($B78-1,CDM!$L$7:$T$18,6,FALSE)/12,0)+IFERROR(VLOOKUP($B78,CDM!$L$37:$T$47,6,FALSE)/24,0)+IFERROR(VLOOKUP($B78,CDM!$L$37:$T$47,6,FALSE)/2*$C78/78,0)</f>
        <v>1479622.2770127335</v>
      </c>
      <c r="X78" s="488">
        <f t="shared" si="138"/>
        <v>13788454.644214533</v>
      </c>
      <c r="Y78" s="488">
        <v>25783.81</v>
      </c>
      <c r="Z78" s="488">
        <v>2</v>
      </c>
      <c r="AA78" s="44">
        <v>1141959.2</v>
      </c>
      <c r="AB78" s="44">
        <v>3999.72</v>
      </c>
      <c r="AC78" s="488">
        <v>39514</v>
      </c>
      <c r="AD78" s="44">
        <v>462861.12999999995</v>
      </c>
      <c r="AE78" s="44">
        <v>1564</v>
      </c>
      <c r="AF78" s="44">
        <v>44442.79</v>
      </c>
      <c r="AG78" s="44">
        <v>118.58</v>
      </c>
      <c r="AH78" s="44">
        <v>505</v>
      </c>
      <c r="AI78" s="44">
        <v>16400</v>
      </c>
      <c r="AJ78" s="68">
        <f>Economic!H92</f>
        <v>874424.9</v>
      </c>
      <c r="AK78" s="68">
        <f>Economic!I92</f>
        <v>93813.6</v>
      </c>
      <c r="AL78" s="68">
        <f>Economic!J92</f>
        <v>37591.800000000003</v>
      </c>
      <c r="AM78" s="68">
        <f>Economic!K92</f>
        <v>88409.3</v>
      </c>
      <c r="AN78" s="68">
        <f>Economic!L92</f>
        <v>75049.2</v>
      </c>
      <c r="AO78" s="68">
        <f>Economic!M92</f>
        <v>873385</v>
      </c>
      <c r="AP78" s="68">
        <f>Economic!N92</f>
        <v>96473</v>
      </c>
      <c r="AQ78" s="68">
        <f>Economic!O92</f>
        <v>14540</v>
      </c>
      <c r="AR78" s="68">
        <f>Economic!P92</f>
        <v>37514</v>
      </c>
      <c r="AS78" s="68">
        <f>Economic!Q92</f>
        <v>87493</v>
      </c>
      <c r="AT78" s="68">
        <f>Economic!D92</f>
        <v>7975.3</v>
      </c>
      <c r="AU78" s="68">
        <f>Economic!E92</f>
        <v>7966.2</v>
      </c>
      <c r="AV78" s="68">
        <f>Economic!F92</f>
        <v>308.7</v>
      </c>
      <c r="AW78" s="68">
        <f>Economic!G92</f>
        <v>309.39999999999998</v>
      </c>
      <c r="AX78" s="68">
        <f>Economic!W92</f>
        <v>18630</v>
      </c>
      <c r="AY78" s="68">
        <f>Economic!R92</f>
        <v>199.19999999999982</v>
      </c>
      <c r="AZ78" s="68">
        <f>Economic!W92</f>
        <v>18630</v>
      </c>
      <c r="BA78" s="68">
        <f>Economic!X92</f>
        <v>2216</v>
      </c>
      <c r="BB78" s="68">
        <f>Economic!Y92</f>
        <v>-933</v>
      </c>
      <c r="BC78" s="236">
        <f>Weather!C90</f>
        <v>13.576209677419355</v>
      </c>
      <c r="BD78" s="16">
        <f>Weather!D90</f>
        <v>203.40416666666667</v>
      </c>
      <c r="BE78" s="16">
        <f>Weather!E90</f>
        <v>4.2666666666666586</v>
      </c>
      <c r="BF78" s="16">
        <f>Weather!F90</f>
        <v>150.63750000000002</v>
      </c>
      <c r="BG78" s="16">
        <f>Weather!G90</f>
        <v>13.499999999999986</v>
      </c>
      <c r="BH78" s="16">
        <f>Weather!H90</f>
        <v>102.83333333333331</v>
      </c>
      <c r="BI78" s="16">
        <f>Weather!I90</f>
        <v>27.695833333333315</v>
      </c>
      <c r="BJ78" s="16">
        <f>Weather!J90</f>
        <v>62.808333333333323</v>
      </c>
      <c r="BK78" s="16">
        <f>Weather!K90</f>
        <v>49.670833333333306</v>
      </c>
      <c r="BL78" s="16">
        <f>Weather!L90</f>
        <v>39.608333333333327</v>
      </c>
      <c r="BM78" s="16">
        <f>Weather!M90</f>
        <v>88.470833333333317</v>
      </c>
      <c r="BN78" s="16">
        <f>Weather!N90</f>
        <v>23.162499999999994</v>
      </c>
      <c r="BO78" s="16">
        <f>Weather!O90</f>
        <v>134.02499999999998</v>
      </c>
      <c r="BP78" s="16">
        <f>Weather!P90</f>
        <v>12.425000000000001</v>
      </c>
      <c r="BQ78" s="16">
        <f>Weather!Q90</f>
        <v>185.28749999999999</v>
      </c>
      <c r="BR78">
        <f t="shared" si="128"/>
        <v>0</v>
      </c>
      <c r="BS78">
        <f t="shared" si="128"/>
        <v>0</v>
      </c>
      <c r="BT78">
        <f t="shared" si="128"/>
        <v>0</v>
      </c>
      <c r="BU78">
        <f t="shared" si="128"/>
        <v>0</v>
      </c>
      <c r="BV78">
        <f t="shared" si="128"/>
        <v>1</v>
      </c>
      <c r="BW78">
        <f t="shared" si="128"/>
        <v>0</v>
      </c>
      <c r="BX78">
        <f t="shared" si="128"/>
        <v>0</v>
      </c>
      <c r="BY78">
        <f t="shared" si="128"/>
        <v>0</v>
      </c>
      <c r="BZ78">
        <f t="shared" si="128"/>
        <v>0</v>
      </c>
      <c r="CA78">
        <f t="shared" si="128"/>
        <v>0</v>
      </c>
      <c r="CB78">
        <f t="shared" si="128"/>
        <v>0</v>
      </c>
      <c r="CC78">
        <f t="shared" si="128"/>
        <v>0</v>
      </c>
      <c r="CD78" s="1">
        <f t="shared" si="128"/>
        <v>1</v>
      </c>
      <c r="CE78">
        <f t="shared" si="52"/>
        <v>0</v>
      </c>
      <c r="CF78" s="1">
        <f t="shared" si="128"/>
        <v>0</v>
      </c>
      <c r="CG78">
        <f t="shared" si="52"/>
        <v>0</v>
      </c>
      <c r="CH78" s="1">
        <f t="shared" si="128"/>
        <v>1</v>
      </c>
      <c r="CI78">
        <f t="shared" si="139"/>
        <v>0</v>
      </c>
      <c r="CJ78">
        <f t="shared" si="140"/>
        <v>0</v>
      </c>
      <c r="CK78">
        <f t="shared" si="53"/>
        <v>1</v>
      </c>
      <c r="CL78">
        <f t="shared" si="53"/>
        <v>0</v>
      </c>
      <c r="CM78" s="1">
        <f t="shared" si="120"/>
        <v>77</v>
      </c>
      <c r="CN78" s="1">
        <f t="shared" si="117"/>
        <v>29</v>
      </c>
      <c r="CO78" s="1">
        <f t="shared" si="130"/>
        <v>17</v>
      </c>
      <c r="CP78" s="1">
        <f t="shared" si="141"/>
        <v>5</v>
      </c>
      <c r="CQ78" s="1">
        <v>0</v>
      </c>
      <c r="CR78" s="1">
        <f t="shared" si="131"/>
        <v>17</v>
      </c>
      <c r="CS78">
        <f t="shared" si="116"/>
        <v>31</v>
      </c>
      <c r="CT78" s="1">
        <v>22</v>
      </c>
      <c r="CU78" s="1">
        <v>0</v>
      </c>
      <c r="CV78" s="1">
        <v>0</v>
      </c>
      <c r="CW78" s="1">
        <v>0</v>
      </c>
      <c r="CX78" s="1">
        <v>0.25</v>
      </c>
      <c r="CY78" s="1">
        <v>0</v>
      </c>
      <c r="CZ78" s="10">
        <f t="shared" si="87"/>
        <v>0</v>
      </c>
      <c r="DA78" s="10">
        <f t="shared" si="88"/>
        <v>0</v>
      </c>
      <c r="DB78" s="10">
        <f t="shared" si="89"/>
        <v>0</v>
      </c>
      <c r="DC78" s="10">
        <f t="shared" si="90"/>
        <v>0</v>
      </c>
      <c r="DD78" s="10">
        <f t="shared" si="91"/>
        <v>0</v>
      </c>
      <c r="DE78" s="10">
        <f t="shared" si="92"/>
        <v>0</v>
      </c>
      <c r="DF78" s="10">
        <f t="shared" si="93"/>
        <v>0</v>
      </c>
      <c r="DG78" s="10">
        <f t="shared" si="94"/>
        <v>0</v>
      </c>
      <c r="DH78" s="10">
        <f t="shared" si="95"/>
        <v>0</v>
      </c>
      <c r="DI78" s="10">
        <f t="shared" si="96"/>
        <v>0</v>
      </c>
      <c r="DJ78" s="10">
        <f t="shared" si="97"/>
        <v>0</v>
      </c>
      <c r="DK78" s="10">
        <f t="shared" si="98"/>
        <v>0</v>
      </c>
      <c r="DL78" s="10">
        <f t="shared" si="99"/>
        <v>0</v>
      </c>
      <c r="DM78" s="10">
        <f t="shared" si="100"/>
        <v>0</v>
      </c>
      <c r="DN78" s="10">
        <f t="shared" si="101"/>
        <v>50.851041666666667</v>
      </c>
      <c r="DO78" s="10">
        <f t="shared" si="102"/>
        <v>1.0666666666666647</v>
      </c>
      <c r="DP78" s="10">
        <f t="shared" si="103"/>
        <v>37.659375000000004</v>
      </c>
      <c r="DQ78" s="10">
        <f t="shared" si="104"/>
        <v>3.3749999999999964</v>
      </c>
      <c r="DR78" s="10">
        <f t="shared" si="105"/>
        <v>25.708333333333329</v>
      </c>
      <c r="DS78" s="10">
        <f t="shared" si="106"/>
        <v>6.9239583333333288</v>
      </c>
      <c r="DT78" s="10">
        <f t="shared" si="107"/>
        <v>15.702083333333331</v>
      </c>
      <c r="DU78" s="10">
        <f t="shared" si="108"/>
        <v>12.417708333333326</v>
      </c>
      <c r="DV78" s="10">
        <f t="shared" si="109"/>
        <v>9.9020833333333318</v>
      </c>
      <c r="DW78" s="10">
        <f t="shared" si="110"/>
        <v>22.117708333333329</v>
      </c>
      <c r="DX78" s="10">
        <f t="shared" si="111"/>
        <v>5.7906249999999986</v>
      </c>
      <c r="DY78" s="10">
        <f t="shared" si="112"/>
        <v>33.506249999999994</v>
      </c>
      <c r="DZ78" s="10">
        <f t="shared" si="113"/>
        <v>3.1062500000000002</v>
      </c>
      <c r="EA78" s="10">
        <f t="shared" si="114"/>
        <v>46.321874999999999</v>
      </c>
      <c r="EB78" s="44">
        <f t="shared" si="132"/>
        <v>556.43786977140576</v>
      </c>
      <c r="EC78" s="44">
        <f t="shared" si="129"/>
        <v>17.949608702303411</v>
      </c>
      <c r="ED78" s="44">
        <f t="shared" si="133"/>
        <v>2723817.2213571379</v>
      </c>
      <c r="EE78" s="44">
        <f t="shared" si="134"/>
        <v>2502.5912294320319</v>
      </c>
      <c r="EF78" s="44">
        <f t="shared" si="122"/>
        <v>80.728749336517154</v>
      </c>
      <c r="EG78" s="44">
        <f t="shared" si="135"/>
        <v>1067718.438724776</v>
      </c>
      <c r="EH78" s="44">
        <f t="shared" si="136"/>
        <v>84289.066002709966</v>
      </c>
      <c r="EI78" s="44">
        <f t="shared" si="123"/>
        <v>2719.0021291196763</v>
      </c>
      <c r="EJ78" s="44">
        <f t="shared" si="125"/>
        <v>4214.4533001354985</v>
      </c>
      <c r="EK78" s="44">
        <f t="shared" si="124"/>
        <v>3983338.1191603257</v>
      </c>
      <c r="EL78" s="44">
        <f t="shared" si="126"/>
        <v>6174174.0846985048</v>
      </c>
    </row>
    <row r="79" spans="1:142" x14ac:dyDescent="0.2">
      <c r="A79" s="66">
        <v>45078</v>
      </c>
      <c r="B79" s="4">
        <f t="shared" si="118"/>
        <v>2023</v>
      </c>
      <c r="C79" s="4">
        <f t="shared" si="119"/>
        <v>6</v>
      </c>
      <c r="D79" s="44">
        <v>95067727.089955896</v>
      </c>
      <c r="E79" s="44">
        <f>IFERROR(VLOOKUP($B79-1,CDM!$L$7:$T$18,2,FALSE)/12,0)+IFERROR(VLOOKUP($B79,CDM!$L$37:$O$47,2,FALSE)/24,0)+IFERROR(VLOOKUP($B79,CDM!$L$37:$O$47,2,FALSE)/2*$C79/78,0)</f>
        <v>2218776.6607341054</v>
      </c>
      <c r="F79" s="44">
        <f t="shared" si="79"/>
        <v>97286503.750689998</v>
      </c>
      <c r="G79" s="488">
        <v>151811</v>
      </c>
      <c r="H79" s="44">
        <v>33087363.729508501</v>
      </c>
      <c r="I79" s="44">
        <f>IFERROR(VLOOKUP($B79-1,CDM!$L$7:$T$18,3,FALSE)/12,0)+IFERROR(VLOOKUP($B79,CDM!$L$37:$O$47,3,FALSE)/24,0)+IFERROR(VLOOKUP($B79,CDM!$L$37:$O$47,3,FALSE)/2*$C79/78,0)</f>
        <v>1384909.5812056731</v>
      </c>
      <c r="J79" s="44">
        <f t="shared" si="80"/>
        <v>34472273.31071417</v>
      </c>
      <c r="K79" s="44">
        <v>13235</v>
      </c>
      <c r="L79" s="44">
        <v>119713894.35818399</v>
      </c>
      <c r="M79" s="44">
        <f>IFERROR(VLOOKUP($B79-1,CDM!$L$7:$T$18,4,FALSE)/12,0)+IFERROR(VLOOKUP($B79,CDM!$L$37:$O$47,4,FALSE)/24,0)+IFERROR(VLOOKUP($B79,CDM!$L$37:$O$47,4,FALSE)/2*$C79/78,0)</f>
        <v>7534098.8651678544</v>
      </c>
      <c r="N79" s="44">
        <f t="shared" si="81"/>
        <v>127247993.22335185</v>
      </c>
      <c r="O79" s="44">
        <v>313918.31</v>
      </c>
      <c r="P79" s="488">
        <v>1467</v>
      </c>
      <c r="Q79" s="488">
        <v>5520720.6236153198</v>
      </c>
      <c r="R79" s="488">
        <f>IFERROR(VLOOKUP($B79-1,CDM!$L$7:$T$18,5,FALSE)/12,0)+IFERROR(VLOOKUP($B79,CDM!$L$37:$T$47,5,FALSE)/24,0)+IFERROR(VLOOKUP($B79,CDM!$L$37:$T$47,5,FALSE)/2*$C79/78,0)</f>
        <v>127499.69828324539</v>
      </c>
      <c r="S79" s="488">
        <f t="shared" si="137"/>
        <v>5648220.3218985656</v>
      </c>
      <c r="T79" s="44">
        <v>8091.8099999999995</v>
      </c>
      <c r="U79" s="488">
        <v>7</v>
      </c>
      <c r="V79" s="488">
        <v>13220801.0097248</v>
      </c>
      <c r="W79" s="488">
        <f>IFERROR(VLOOKUP($B79-1,CDM!$L$7:$T$18,6,FALSE)/12,0)+IFERROR(VLOOKUP($B79,CDM!$L$37:$T$47,6,FALSE)/24,0)+IFERROR(VLOOKUP($B79,CDM!$L$37:$T$47,6,FALSE)/2*$C79/78,0)</f>
        <v>1482391.8272377909</v>
      </c>
      <c r="X79" s="488">
        <f t="shared" si="138"/>
        <v>14703192.83696259</v>
      </c>
      <c r="Y79" s="488">
        <v>26282.84</v>
      </c>
      <c r="Z79" s="488">
        <v>2</v>
      </c>
      <c r="AA79" s="44">
        <v>1049402.6399999999</v>
      </c>
      <c r="AB79" s="44">
        <v>4011.48</v>
      </c>
      <c r="AC79" s="488">
        <v>39685</v>
      </c>
      <c r="AD79" s="44">
        <v>448725.36</v>
      </c>
      <c r="AE79" s="44">
        <v>1564</v>
      </c>
      <c r="AF79" s="44">
        <v>43086.920000000006</v>
      </c>
      <c r="AG79" s="44">
        <v>117.55</v>
      </c>
      <c r="AH79" s="44">
        <v>503</v>
      </c>
      <c r="AI79" s="44">
        <v>16400</v>
      </c>
      <c r="AJ79" s="68">
        <f>Economic!H93</f>
        <v>874424.9</v>
      </c>
      <c r="AK79" s="68">
        <f>Economic!I93</f>
        <v>93813.6</v>
      </c>
      <c r="AL79" s="68">
        <f>Economic!J93</f>
        <v>37591.800000000003</v>
      </c>
      <c r="AM79" s="68">
        <f>Economic!K93</f>
        <v>88409.3</v>
      </c>
      <c r="AN79" s="68">
        <f>Economic!L93</f>
        <v>75049.2</v>
      </c>
      <c r="AO79" s="68">
        <f>Economic!M93</f>
        <v>873385</v>
      </c>
      <c r="AP79" s="68">
        <f>Economic!N93</f>
        <v>96473</v>
      </c>
      <c r="AQ79" s="68">
        <f>Economic!O93</f>
        <v>14540</v>
      </c>
      <c r="AR79" s="68">
        <f>Economic!P93</f>
        <v>37514</v>
      </c>
      <c r="AS79" s="68">
        <f>Economic!Q93</f>
        <v>87493</v>
      </c>
      <c r="AT79" s="68">
        <f>Economic!D93</f>
        <v>7998.9</v>
      </c>
      <c r="AU79" s="68">
        <f>Economic!E93</f>
        <v>8058.5</v>
      </c>
      <c r="AV79" s="68">
        <f>Economic!F93</f>
        <v>313</v>
      </c>
      <c r="AW79" s="68">
        <f>Economic!G93</f>
        <v>316.2</v>
      </c>
      <c r="AX79" s="68">
        <f>Economic!W93</f>
        <v>18630</v>
      </c>
      <c r="AY79" s="68">
        <f>Economic!R93</f>
        <v>216.09999999999945</v>
      </c>
      <c r="AZ79" s="68">
        <f>Economic!W93</f>
        <v>18630</v>
      </c>
      <c r="BA79" s="68">
        <f>Economic!X93</f>
        <v>2216</v>
      </c>
      <c r="BB79" s="68">
        <f>Economic!Y93</f>
        <v>-933</v>
      </c>
      <c r="BC79" s="236">
        <f>Weather!C91</f>
        <v>18.276805555555555</v>
      </c>
      <c r="BD79" s="16">
        <f>Weather!D91</f>
        <v>68.92083333333332</v>
      </c>
      <c r="BE79" s="16">
        <f>Weather!E91</f>
        <v>17.224999999999994</v>
      </c>
      <c r="BF79" s="16">
        <f>Weather!F91</f>
        <v>30.762499999999971</v>
      </c>
      <c r="BG79" s="16">
        <f>Weather!G91</f>
        <v>39.066666666666649</v>
      </c>
      <c r="BH79" s="16">
        <f>Weather!H91</f>
        <v>9.9166666666666519</v>
      </c>
      <c r="BI79" s="16">
        <f>Weather!I91</f>
        <v>78.220833333333331</v>
      </c>
      <c r="BJ79" s="16">
        <f>Weather!J91</f>
        <v>1.8374999999999932</v>
      </c>
      <c r="BK79" s="16">
        <f>Weather!K91</f>
        <v>130.14166666666665</v>
      </c>
      <c r="BL79" s="16">
        <f>Weather!L91</f>
        <v>0</v>
      </c>
      <c r="BM79" s="16">
        <f>Weather!M91</f>
        <v>188.3041666666667</v>
      </c>
      <c r="BN79" s="16">
        <f>Weather!N91</f>
        <v>0</v>
      </c>
      <c r="BO79" s="16">
        <f>Weather!O91</f>
        <v>248.30416666666665</v>
      </c>
      <c r="BP79" s="16">
        <f>Weather!P91</f>
        <v>0</v>
      </c>
      <c r="BQ79" s="16">
        <f>Weather!Q91</f>
        <v>308.30416666666667</v>
      </c>
      <c r="BR79">
        <f t="shared" ref="BR79:CK94" si="142">BR67</f>
        <v>0</v>
      </c>
      <c r="BS79">
        <f t="shared" si="142"/>
        <v>0</v>
      </c>
      <c r="BT79">
        <f t="shared" si="142"/>
        <v>0</v>
      </c>
      <c r="BU79">
        <f t="shared" si="142"/>
        <v>0</v>
      </c>
      <c r="BV79">
        <f t="shared" si="142"/>
        <v>0</v>
      </c>
      <c r="BW79">
        <f t="shared" si="142"/>
        <v>1</v>
      </c>
      <c r="BX79">
        <f t="shared" si="142"/>
        <v>0</v>
      </c>
      <c r="BY79">
        <f t="shared" si="142"/>
        <v>0</v>
      </c>
      <c r="BZ79">
        <f t="shared" si="142"/>
        <v>0</v>
      </c>
      <c r="CA79">
        <f t="shared" si="142"/>
        <v>0</v>
      </c>
      <c r="CB79">
        <f t="shared" si="142"/>
        <v>0</v>
      </c>
      <c r="CC79">
        <f t="shared" si="142"/>
        <v>0</v>
      </c>
      <c r="CD79" s="1">
        <f t="shared" si="142"/>
        <v>0</v>
      </c>
      <c r="CE79">
        <f t="shared" ref="CE79:CG97" si="143">CE67</f>
        <v>0</v>
      </c>
      <c r="CF79" s="1">
        <f t="shared" si="142"/>
        <v>0</v>
      </c>
      <c r="CG79">
        <f t="shared" si="143"/>
        <v>0</v>
      </c>
      <c r="CH79" s="1">
        <f t="shared" si="142"/>
        <v>0</v>
      </c>
      <c r="CI79">
        <f t="shared" si="139"/>
        <v>0</v>
      </c>
      <c r="CJ79">
        <f t="shared" si="140"/>
        <v>0</v>
      </c>
      <c r="CK79">
        <f t="shared" si="142"/>
        <v>1</v>
      </c>
      <c r="CL79">
        <f t="shared" ref="CL79:CL109" si="144">CL67</f>
        <v>0</v>
      </c>
      <c r="CM79" s="1">
        <f t="shared" si="120"/>
        <v>78</v>
      </c>
      <c r="CN79" s="1">
        <f t="shared" si="117"/>
        <v>30</v>
      </c>
      <c r="CO79" s="1">
        <f t="shared" si="130"/>
        <v>18</v>
      </c>
      <c r="CP79" s="1">
        <f t="shared" si="141"/>
        <v>6</v>
      </c>
      <c r="CQ79" s="1">
        <v>0</v>
      </c>
      <c r="CR79" s="1">
        <f t="shared" si="131"/>
        <v>18</v>
      </c>
      <c r="CS79">
        <f t="shared" si="116"/>
        <v>30</v>
      </c>
      <c r="CT79" s="1">
        <v>22</v>
      </c>
      <c r="CU79" s="1">
        <v>0</v>
      </c>
      <c r="CV79" s="1">
        <v>0</v>
      </c>
      <c r="CW79" s="1">
        <v>0</v>
      </c>
      <c r="CX79" s="1">
        <v>0.25</v>
      </c>
      <c r="CY79" s="1">
        <v>0</v>
      </c>
      <c r="CZ79" s="10">
        <f t="shared" si="87"/>
        <v>0</v>
      </c>
      <c r="DA79" s="10">
        <f t="shared" si="88"/>
        <v>0</v>
      </c>
      <c r="DB79" s="10">
        <f t="shared" si="89"/>
        <v>0</v>
      </c>
      <c r="DC79" s="10">
        <f t="shared" si="90"/>
        <v>0</v>
      </c>
      <c r="DD79" s="10">
        <f t="shared" si="91"/>
        <v>0</v>
      </c>
      <c r="DE79" s="10">
        <f t="shared" si="92"/>
        <v>0</v>
      </c>
      <c r="DF79" s="10">
        <f t="shared" si="93"/>
        <v>0</v>
      </c>
      <c r="DG79" s="10">
        <f t="shared" si="94"/>
        <v>0</v>
      </c>
      <c r="DH79" s="10">
        <f t="shared" si="95"/>
        <v>0</v>
      </c>
      <c r="DI79" s="10">
        <f t="shared" si="96"/>
        <v>0</v>
      </c>
      <c r="DJ79" s="10">
        <f t="shared" si="97"/>
        <v>0</v>
      </c>
      <c r="DK79" s="10">
        <f t="shared" si="98"/>
        <v>0</v>
      </c>
      <c r="DL79" s="10">
        <f t="shared" si="99"/>
        <v>0</v>
      </c>
      <c r="DM79" s="10">
        <f t="shared" si="100"/>
        <v>0</v>
      </c>
      <c r="DN79" s="10">
        <f t="shared" si="101"/>
        <v>17.23020833333333</v>
      </c>
      <c r="DO79" s="10">
        <f t="shared" si="102"/>
        <v>4.3062499999999986</v>
      </c>
      <c r="DP79" s="10">
        <f t="shared" si="103"/>
        <v>7.6906249999999927</v>
      </c>
      <c r="DQ79" s="10">
        <f t="shared" si="104"/>
        <v>9.7666666666666622</v>
      </c>
      <c r="DR79" s="10">
        <f t="shared" si="105"/>
        <v>2.479166666666663</v>
      </c>
      <c r="DS79" s="10">
        <f t="shared" si="106"/>
        <v>19.555208333333333</v>
      </c>
      <c r="DT79" s="10">
        <f t="shared" si="107"/>
        <v>0.45937499999999831</v>
      </c>
      <c r="DU79" s="10">
        <f t="shared" si="108"/>
        <v>32.535416666666663</v>
      </c>
      <c r="DV79" s="10">
        <f t="shared" si="109"/>
        <v>0</v>
      </c>
      <c r="DW79" s="10">
        <f t="shared" si="110"/>
        <v>47.076041666666676</v>
      </c>
      <c r="DX79" s="10">
        <f t="shared" si="111"/>
        <v>0</v>
      </c>
      <c r="DY79" s="10">
        <f t="shared" si="112"/>
        <v>62.076041666666661</v>
      </c>
      <c r="DZ79" s="10">
        <f t="shared" si="113"/>
        <v>0</v>
      </c>
      <c r="EA79" s="10">
        <f t="shared" si="114"/>
        <v>77.076041666666669</v>
      </c>
      <c r="EB79" s="44">
        <f t="shared" si="132"/>
        <v>640.83962130998407</v>
      </c>
      <c r="EC79" s="44">
        <f t="shared" si="129"/>
        <v>21.361320710332802</v>
      </c>
      <c r="ED79" s="44">
        <f t="shared" si="133"/>
        <v>3242883.4583563334</v>
      </c>
      <c r="EE79" s="44">
        <f t="shared" si="134"/>
        <v>2604.6296419126688</v>
      </c>
      <c r="EF79" s="44">
        <f t="shared" si="122"/>
        <v>86.820988063755621</v>
      </c>
      <c r="EG79" s="44">
        <f t="shared" si="135"/>
        <v>1149075.7770238058</v>
      </c>
      <c r="EH79" s="44">
        <f t="shared" si="136"/>
        <v>86740.281679176449</v>
      </c>
      <c r="EI79" s="44">
        <f t="shared" si="123"/>
        <v>2891.342722639215</v>
      </c>
      <c r="EJ79" s="44">
        <f t="shared" si="125"/>
        <v>3942.7400763262021</v>
      </c>
      <c r="EK79" s="44">
        <f t="shared" si="124"/>
        <v>4241599.7741117282</v>
      </c>
      <c r="EL79" s="44">
        <f t="shared" si="126"/>
        <v>5783999.6919705383</v>
      </c>
    </row>
    <row r="80" spans="1:142" x14ac:dyDescent="0.2">
      <c r="A80" s="66">
        <v>45108</v>
      </c>
      <c r="B80" s="4">
        <f t="shared" si="118"/>
        <v>2023</v>
      </c>
      <c r="C80" s="4">
        <f t="shared" si="119"/>
        <v>7</v>
      </c>
      <c r="D80" s="44">
        <v>119260757.06744</v>
      </c>
      <c r="E80" s="44">
        <f>IFERROR(VLOOKUP($B80-1,CDM!$L$7:$T$18,2,FALSE)/12,0)+IFERROR(VLOOKUP($B80,CDM!$L$37:$O$47,2,FALSE)/24,0)+IFERROR(VLOOKUP($B80,CDM!$L$37:$O$47,2,FALSE)/2*$C80/78,0)</f>
        <v>2220723.6645538383</v>
      </c>
      <c r="F80" s="44">
        <f t="shared" si="79"/>
        <v>121481480.73199384</v>
      </c>
      <c r="G80" s="488">
        <v>151829</v>
      </c>
      <c r="H80" s="44">
        <v>36924981.4802396</v>
      </c>
      <c r="I80" s="44">
        <f>IFERROR(VLOOKUP($B80-1,CDM!$L$7:$T$18,3,FALSE)/12,0)+IFERROR(VLOOKUP($B80,CDM!$L$37:$O$47,3,FALSE)/24,0)+IFERROR(VLOOKUP($B80,CDM!$L$37:$O$47,3,FALSE)/2*$C80/78,0)</f>
        <v>1403563.3567003945</v>
      </c>
      <c r="J80" s="44">
        <f t="shared" si="80"/>
        <v>38328544.836939998</v>
      </c>
      <c r="K80" s="44">
        <v>13231</v>
      </c>
      <c r="L80" s="44">
        <v>129920769.195508</v>
      </c>
      <c r="M80" s="44">
        <f>IFERROR(VLOOKUP($B80-1,CDM!$L$7:$T$18,4,FALSE)/12,0)+IFERROR(VLOOKUP($B80,CDM!$L$37:$O$47,4,FALSE)/24,0)+IFERROR(VLOOKUP($B80,CDM!$L$37:$O$47,4,FALSE)/2*$C80/78,0)</f>
        <v>7576159.7248805994</v>
      </c>
      <c r="N80" s="44">
        <f t="shared" si="81"/>
        <v>137496928.92038861</v>
      </c>
      <c r="O80" s="44">
        <v>321145.62</v>
      </c>
      <c r="P80" s="488">
        <v>1467</v>
      </c>
      <c r="Q80" s="488">
        <v>6193791.8310308298</v>
      </c>
      <c r="R80" s="488">
        <f>IFERROR(VLOOKUP($B80-1,CDM!$L$7:$T$18,5,FALSE)/12,0)+IFERROR(VLOOKUP($B80,CDM!$L$37:$T$47,5,FALSE)/24,0)+IFERROR(VLOOKUP($B80,CDM!$L$37:$T$47,5,FALSE)/2*$C80/78,0)</f>
        <v>129111.66912455783</v>
      </c>
      <c r="S80" s="488">
        <f t="shared" si="137"/>
        <v>6322903.5001553874</v>
      </c>
      <c r="T80" s="44">
        <v>9399.23</v>
      </c>
      <c r="U80" s="488">
        <v>7</v>
      </c>
      <c r="V80" s="488">
        <v>15170420.253015701</v>
      </c>
      <c r="W80" s="488">
        <f>IFERROR(VLOOKUP($B80-1,CDM!$L$7:$T$18,6,FALSE)/12,0)+IFERROR(VLOOKUP($B80,CDM!$L$37:$T$47,6,FALSE)/24,0)+IFERROR(VLOOKUP($B80,CDM!$L$37:$T$47,6,FALSE)/2*$C80/78,0)</f>
        <v>1485161.3774628481</v>
      </c>
      <c r="X80" s="488">
        <f t="shared" si="138"/>
        <v>16655581.63047855</v>
      </c>
      <c r="Y80" s="488">
        <v>29097.200000000001</v>
      </c>
      <c r="Z80" s="488">
        <v>2</v>
      </c>
      <c r="AA80" s="44">
        <v>1117763.45</v>
      </c>
      <c r="AB80" s="44">
        <v>4024.21</v>
      </c>
      <c r="AC80" s="488">
        <v>39841</v>
      </c>
      <c r="AD80" s="44">
        <v>463040.83999999997</v>
      </c>
      <c r="AE80" s="44">
        <v>1564</v>
      </c>
      <c r="AF80" s="44">
        <v>43925.930000000008</v>
      </c>
      <c r="AG80" s="44">
        <v>117.47</v>
      </c>
      <c r="AH80" s="44">
        <v>503</v>
      </c>
      <c r="AI80" s="44">
        <v>16400</v>
      </c>
      <c r="AJ80" s="68">
        <f>Economic!H94</f>
        <v>874424.9</v>
      </c>
      <c r="AK80" s="68">
        <f>Economic!I94</f>
        <v>93813.6</v>
      </c>
      <c r="AL80" s="68">
        <f>Economic!J94</f>
        <v>37591.800000000003</v>
      </c>
      <c r="AM80" s="68">
        <f>Economic!K94</f>
        <v>88409.3</v>
      </c>
      <c r="AN80" s="68">
        <f>Economic!L94</f>
        <v>75049.2</v>
      </c>
      <c r="AO80" s="68">
        <f>Economic!M94</f>
        <v>876964</v>
      </c>
      <c r="AP80" s="68">
        <f>Economic!N94</f>
        <v>93549</v>
      </c>
      <c r="AQ80" s="68">
        <f>Economic!O94</f>
        <v>14649</v>
      </c>
      <c r="AR80" s="68">
        <f>Economic!P94</f>
        <v>37910</v>
      </c>
      <c r="AS80" s="68">
        <f>Economic!Q94</f>
        <v>88690</v>
      </c>
      <c r="AT80" s="68">
        <f>Economic!D94</f>
        <v>8014.7</v>
      </c>
      <c r="AU80" s="68">
        <f>Economic!E94</f>
        <v>8107</v>
      </c>
      <c r="AV80" s="68">
        <f>Economic!F94</f>
        <v>314.8</v>
      </c>
      <c r="AW80" s="68">
        <f>Economic!G94</f>
        <v>318.5</v>
      </c>
      <c r="AX80" s="68">
        <f>Economic!W94</f>
        <v>20145</v>
      </c>
      <c r="AY80" s="68">
        <f>Economic!R94</f>
        <v>230.59999999999945</v>
      </c>
      <c r="AZ80" s="68">
        <f>Economic!W94</f>
        <v>20145</v>
      </c>
      <c r="BA80" s="68">
        <f>Economic!X94</f>
        <v>-7</v>
      </c>
      <c r="BB80" s="68">
        <f>Economic!Y94</f>
        <v>1846</v>
      </c>
      <c r="BC80" s="236">
        <f>Weather!C92</f>
        <v>20.554838709677423</v>
      </c>
      <c r="BD80" s="16">
        <f>Weather!D92</f>
        <v>15.633333333333322</v>
      </c>
      <c r="BE80" s="16">
        <f>Weather!E92</f>
        <v>32.833333333333329</v>
      </c>
      <c r="BF80" s="16">
        <f>Weather!F92</f>
        <v>1.87083333333333</v>
      </c>
      <c r="BG80" s="16">
        <f>Weather!G92</f>
        <v>81.070833333333312</v>
      </c>
      <c r="BH80" s="16">
        <f>Weather!H92</f>
        <v>0</v>
      </c>
      <c r="BI80" s="16">
        <f>Weather!I92</f>
        <v>141.20000000000002</v>
      </c>
      <c r="BJ80" s="16">
        <f>Weather!J92</f>
        <v>0</v>
      </c>
      <c r="BK80" s="16">
        <f>Weather!K92</f>
        <v>203.20000000000002</v>
      </c>
      <c r="BL80" s="16">
        <f>Weather!L92</f>
        <v>0</v>
      </c>
      <c r="BM80" s="16">
        <f>Weather!M92</f>
        <v>265.2</v>
      </c>
      <c r="BN80" s="16">
        <f>Weather!N92</f>
        <v>0</v>
      </c>
      <c r="BO80" s="16">
        <f>Weather!O92</f>
        <v>327.19999999999993</v>
      </c>
      <c r="BP80" s="16">
        <f>Weather!P92</f>
        <v>0</v>
      </c>
      <c r="BQ80" s="16">
        <f>Weather!Q92</f>
        <v>389.20000000000005</v>
      </c>
      <c r="BR80">
        <f t="shared" si="142"/>
        <v>0</v>
      </c>
      <c r="BS80">
        <f t="shared" si="142"/>
        <v>0</v>
      </c>
      <c r="BT80">
        <f t="shared" si="142"/>
        <v>0</v>
      </c>
      <c r="BU80">
        <f t="shared" si="142"/>
        <v>0</v>
      </c>
      <c r="BV80">
        <f t="shared" si="142"/>
        <v>0</v>
      </c>
      <c r="BW80">
        <f t="shared" si="142"/>
        <v>0</v>
      </c>
      <c r="BX80">
        <f t="shared" si="142"/>
        <v>1</v>
      </c>
      <c r="BY80">
        <f t="shared" si="142"/>
        <v>0</v>
      </c>
      <c r="BZ80">
        <f t="shared" si="142"/>
        <v>0</v>
      </c>
      <c r="CA80">
        <f t="shared" si="142"/>
        <v>0</v>
      </c>
      <c r="CB80">
        <f t="shared" si="142"/>
        <v>0</v>
      </c>
      <c r="CC80">
        <f t="shared" si="142"/>
        <v>0</v>
      </c>
      <c r="CD80" s="1">
        <f t="shared" si="142"/>
        <v>0</v>
      </c>
      <c r="CE80">
        <f t="shared" si="143"/>
        <v>0</v>
      </c>
      <c r="CF80" s="1">
        <f t="shared" si="142"/>
        <v>0</v>
      </c>
      <c r="CG80">
        <f t="shared" si="143"/>
        <v>0</v>
      </c>
      <c r="CH80" s="1">
        <f t="shared" si="142"/>
        <v>0</v>
      </c>
      <c r="CI80">
        <f t="shared" si="139"/>
        <v>0</v>
      </c>
      <c r="CJ80">
        <f t="shared" si="140"/>
        <v>0</v>
      </c>
      <c r="CK80">
        <f t="shared" si="142"/>
        <v>1</v>
      </c>
      <c r="CL80">
        <f t="shared" si="144"/>
        <v>1</v>
      </c>
      <c r="CM80" s="1">
        <f t="shared" si="120"/>
        <v>79</v>
      </c>
      <c r="CN80" s="1">
        <f t="shared" si="117"/>
        <v>31</v>
      </c>
      <c r="CO80" s="1">
        <f t="shared" si="130"/>
        <v>19</v>
      </c>
      <c r="CP80" s="1">
        <f t="shared" si="141"/>
        <v>7</v>
      </c>
      <c r="CQ80" s="1">
        <v>0</v>
      </c>
      <c r="CR80" s="1">
        <f t="shared" si="131"/>
        <v>19</v>
      </c>
      <c r="CS80">
        <f t="shared" si="116"/>
        <v>31</v>
      </c>
      <c r="CT80" s="1">
        <v>20</v>
      </c>
      <c r="CU80" s="1">
        <v>0</v>
      </c>
      <c r="CV80" s="1">
        <v>0</v>
      </c>
      <c r="CW80" s="1">
        <v>0</v>
      </c>
      <c r="CX80" s="1">
        <v>0.25</v>
      </c>
      <c r="CY80" s="1">
        <v>0</v>
      </c>
      <c r="CZ80" s="10">
        <f t="shared" si="87"/>
        <v>0</v>
      </c>
      <c r="DA80" s="10">
        <f t="shared" si="88"/>
        <v>0</v>
      </c>
      <c r="DB80" s="10">
        <f t="shared" si="89"/>
        <v>0</v>
      </c>
      <c r="DC80" s="10">
        <f t="shared" si="90"/>
        <v>0</v>
      </c>
      <c r="DD80" s="10">
        <f t="shared" si="91"/>
        <v>0</v>
      </c>
      <c r="DE80" s="10">
        <f t="shared" si="92"/>
        <v>0</v>
      </c>
      <c r="DF80" s="10">
        <f t="shared" si="93"/>
        <v>0</v>
      </c>
      <c r="DG80" s="10">
        <f t="shared" si="94"/>
        <v>0</v>
      </c>
      <c r="DH80" s="10">
        <f t="shared" si="95"/>
        <v>0</v>
      </c>
      <c r="DI80" s="10">
        <f t="shared" si="96"/>
        <v>0</v>
      </c>
      <c r="DJ80" s="10">
        <f t="shared" si="97"/>
        <v>0</v>
      </c>
      <c r="DK80" s="10">
        <f t="shared" si="98"/>
        <v>0</v>
      </c>
      <c r="DL80" s="10">
        <f t="shared" si="99"/>
        <v>0</v>
      </c>
      <c r="DM80" s="10">
        <f t="shared" si="100"/>
        <v>0</v>
      </c>
      <c r="DN80" s="10">
        <f t="shared" si="101"/>
        <v>3.9083333333333306</v>
      </c>
      <c r="DO80" s="10">
        <f t="shared" si="102"/>
        <v>8.2083333333333321</v>
      </c>
      <c r="DP80" s="10">
        <f t="shared" si="103"/>
        <v>0.4677083333333325</v>
      </c>
      <c r="DQ80" s="10">
        <f t="shared" si="104"/>
        <v>20.267708333333328</v>
      </c>
      <c r="DR80" s="10">
        <f t="shared" si="105"/>
        <v>0</v>
      </c>
      <c r="DS80" s="10">
        <f t="shared" si="106"/>
        <v>35.300000000000004</v>
      </c>
      <c r="DT80" s="10">
        <f t="shared" si="107"/>
        <v>0</v>
      </c>
      <c r="DU80" s="10">
        <f t="shared" si="108"/>
        <v>50.800000000000004</v>
      </c>
      <c r="DV80" s="10">
        <f t="shared" si="109"/>
        <v>0</v>
      </c>
      <c r="DW80" s="10">
        <f t="shared" si="110"/>
        <v>66.3</v>
      </c>
      <c r="DX80" s="10">
        <f t="shared" si="111"/>
        <v>0</v>
      </c>
      <c r="DY80" s="10">
        <f t="shared" si="112"/>
        <v>81.799999999999983</v>
      </c>
      <c r="DZ80" s="10">
        <f t="shared" si="113"/>
        <v>0</v>
      </c>
      <c r="EA80" s="10">
        <f t="shared" si="114"/>
        <v>97.300000000000011</v>
      </c>
      <c r="EB80" s="44">
        <f t="shared" si="132"/>
        <v>800.12040342749958</v>
      </c>
      <c r="EC80" s="44">
        <f t="shared" si="129"/>
        <v>25.810335594435472</v>
      </c>
      <c r="ED80" s="44">
        <f t="shared" si="133"/>
        <v>3918757.4429675434</v>
      </c>
      <c r="EE80" s="44">
        <f t="shared" si="134"/>
        <v>2896.8743735877861</v>
      </c>
      <c r="EF80" s="44">
        <f t="shared" si="122"/>
        <v>93.447560438315676</v>
      </c>
      <c r="EG80" s="44">
        <f t="shared" si="135"/>
        <v>1236404.6721593547</v>
      </c>
      <c r="EH80" s="44">
        <f t="shared" si="136"/>
        <v>93726.604581042004</v>
      </c>
      <c r="EI80" s="44">
        <f t="shared" si="123"/>
        <v>3023.438857452968</v>
      </c>
      <c r="EJ80" s="44">
        <f t="shared" si="125"/>
        <v>4463.171646716286</v>
      </c>
      <c r="EK80" s="44">
        <f t="shared" si="124"/>
        <v>4435384.8038835032</v>
      </c>
      <c r="EL80" s="44">
        <f t="shared" si="126"/>
        <v>6547472.8057327913</v>
      </c>
    </row>
    <row r="81" spans="1:142" x14ac:dyDescent="0.2">
      <c r="A81" s="66">
        <v>45139</v>
      </c>
      <c r="B81" s="4">
        <f t="shared" si="118"/>
        <v>2023</v>
      </c>
      <c r="C81" s="4">
        <f t="shared" si="119"/>
        <v>8</v>
      </c>
      <c r="D81" s="44">
        <v>104368685.01291101</v>
      </c>
      <c r="E81" s="44">
        <f>IFERROR(VLOOKUP($B81-1,CDM!$L$7:$T$18,2,FALSE)/12,0)+IFERROR(VLOOKUP($B81,CDM!$L$37:$O$47,2,FALSE)/24,0)+IFERROR(VLOOKUP($B81,CDM!$L$37:$O$47,2,FALSE)/2*$C81/78,0)</f>
        <v>2222670.6683735717</v>
      </c>
      <c r="F81" s="44">
        <f t="shared" si="79"/>
        <v>106591355.68128458</v>
      </c>
      <c r="G81" s="488">
        <v>151891</v>
      </c>
      <c r="H81" s="44">
        <v>35006367.728451602</v>
      </c>
      <c r="I81" s="44">
        <f>IFERROR(VLOOKUP($B81-1,CDM!$L$7:$T$18,3,FALSE)/12,0)+IFERROR(VLOOKUP($B81,CDM!$L$37:$O$47,3,FALSE)/24,0)+IFERROR(VLOOKUP($B81,CDM!$L$37:$O$47,3,FALSE)/2*$C81/78,0)</f>
        <v>1422217.1321951163</v>
      </c>
      <c r="J81" s="44">
        <f t="shared" si="80"/>
        <v>36428584.860646717</v>
      </c>
      <c r="K81" s="44">
        <v>13231</v>
      </c>
      <c r="L81" s="44">
        <v>126355949.996811</v>
      </c>
      <c r="M81" s="44">
        <f>IFERROR(VLOOKUP($B81-1,CDM!$L$7:$T$18,4,FALSE)/12,0)+IFERROR(VLOOKUP($B81,CDM!$L$37:$O$47,4,FALSE)/24,0)+IFERROR(VLOOKUP($B81,CDM!$L$37:$O$47,4,FALSE)/2*$C81/78,0)</f>
        <v>7618220.5845933445</v>
      </c>
      <c r="N81" s="44">
        <f t="shared" si="81"/>
        <v>133974170.58140434</v>
      </c>
      <c r="O81" s="44">
        <v>313699.24</v>
      </c>
      <c r="P81" s="488">
        <v>1468</v>
      </c>
      <c r="Q81" s="488">
        <v>6861647.6023578402</v>
      </c>
      <c r="R81" s="488">
        <f>IFERROR(VLOOKUP($B81-1,CDM!$L$7:$T$18,5,FALSE)/12,0)+IFERROR(VLOOKUP($B81,CDM!$L$37:$T$47,5,FALSE)/24,0)+IFERROR(VLOOKUP($B81,CDM!$L$37:$T$47,5,FALSE)/2*$C81/78,0)</f>
        <v>130723.63996587026</v>
      </c>
      <c r="S81" s="488">
        <f t="shared" si="137"/>
        <v>6992371.2423237106</v>
      </c>
      <c r="T81" s="44">
        <v>8748.2999999999993</v>
      </c>
      <c r="U81" s="488">
        <v>7</v>
      </c>
      <c r="V81" s="488">
        <v>15218660.5007354</v>
      </c>
      <c r="W81" s="488">
        <f>IFERROR(VLOOKUP($B81-1,CDM!$L$7:$T$18,6,FALSE)/12,0)+IFERROR(VLOOKUP($B81,CDM!$L$37:$T$47,6,FALSE)/24,0)+IFERROR(VLOOKUP($B81,CDM!$L$37:$T$47,6,FALSE)/2*$C81/78,0)</f>
        <v>1487930.9276879055</v>
      </c>
      <c r="X81" s="488">
        <f t="shared" si="138"/>
        <v>16706591.428423306</v>
      </c>
      <c r="Y81" s="488">
        <v>28707.69</v>
      </c>
      <c r="Z81" s="488">
        <v>2</v>
      </c>
      <c r="AA81" s="44">
        <v>1242513.8400000001</v>
      </c>
      <c r="AB81" s="44">
        <v>4024.21</v>
      </c>
      <c r="AC81" s="488">
        <v>39841</v>
      </c>
      <c r="AD81" s="44">
        <v>463216.19999999995</v>
      </c>
      <c r="AE81" s="44">
        <v>1564</v>
      </c>
      <c r="AF81" s="44">
        <v>44503.729999999974</v>
      </c>
      <c r="AG81" s="44">
        <v>117.41</v>
      </c>
      <c r="AH81" s="44">
        <v>495</v>
      </c>
      <c r="AI81" s="44">
        <v>16400</v>
      </c>
      <c r="AJ81" s="68">
        <f>Economic!H95</f>
        <v>874424.9</v>
      </c>
      <c r="AK81" s="68">
        <f>Economic!I95</f>
        <v>93813.6</v>
      </c>
      <c r="AL81" s="68">
        <f>Economic!J95</f>
        <v>37591.800000000003</v>
      </c>
      <c r="AM81" s="68">
        <f>Economic!K95</f>
        <v>88409.3</v>
      </c>
      <c r="AN81" s="68">
        <f>Economic!L95</f>
        <v>75049.2</v>
      </c>
      <c r="AO81" s="68">
        <f>Economic!M95</f>
        <v>876964</v>
      </c>
      <c r="AP81" s="68">
        <f>Economic!N95</f>
        <v>93549</v>
      </c>
      <c r="AQ81" s="68">
        <f>Economic!O95</f>
        <v>14649</v>
      </c>
      <c r="AR81" s="68">
        <f>Economic!P95</f>
        <v>37910</v>
      </c>
      <c r="AS81" s="68">
        <f>Economic!Q95</f>
        <v>88690</v>
      </c>
      <c r="AT81" s="68">
        <f>Economic!D95</f>
        <v>8038.9</v>
      </c>
      <c r="AU81" s="68">
        <f>Economic!E95</f>
        <v>8115.6</v>
      </c>
      <c r="AV81" s="68">
        <f>Economic!F95</f>
        <v>320.2</v>
      </c>
      <c r="AW81" s="68">
        <f>Economic!G95</f>
        <v>322.8</v>
      </c>
      <c r="AX81" s="68">
        <f>Economic!W95</f>
        <v>20145</v>
      </c>
      <c r="AY81" s="68">
        <f>Economic!R95</f>
        <v>260.89999999999964</v>
      </c>
      <c r="AZ81" s="68">
        <f>Economic!W95</f>
        <v>20145</v>
      </c>
      <c r="BA81" s="68">
        <f>Economic!X95</f>
        <v>-7</v>
      </c>
      <c r="BB81" s="68">
        <f>Economic!Y95</f>
        <v>1846</v>
      </c>
      <c r="BC81" s="236">
        <f>Weather!C93</f>
        <v>18.648118279569893</v>
      </c>
      <c r="BD81" s="16">
        <f>Weather!D93</f>
        <v>52.10416666666665</v>
      </c>
      <c r="BE81" s="16">
        <f>Weather!E93</f>
        <v>10.195833333333344</v>
      </c>
      <c r="BF81" s="16">
        <f>Weather!F93</f>
        <v>19.533333333333324</v>
      </c>
      <c r="BG81" s="16">
        <f>Weather!G93</f>
        <v>39.625000000000014</v>
      </c>
      <c r="BH81" s="16">
        <f>Weather!H93</f>
        <v>4.5208333333333321</v>
      </c>
      <c r="BI81" s="16">
        <f>Weather!I93</f>
        <v>86.612500000000011</v>
      </c>
      <c r="BJ81" s="16">
        <f>Weather!J93</f>
        <v>4.1666666666646535E-3</v>
      </c>
      <c r="BK81" s="16">
        <f>Weather!K93</f>
        <v>144.09583333333336</v>
      </c>
      <c r="BL81" s="16">
        <f>Weather!L93</f>
        <v>0</v>
      </c>
      <c r="BM81" s="16">
        <f>Weather!M93</f>
        <v>206.09166666666664</v>
      </c>
      <c r="BN81" s="16">
        <f>Weather!N93</f>
        <v>0</v>
      </c>
      <c r="BO81" s="16">
        <f>Weather!O93</f>
        <v>268.09166666666664</v>
      </c>
      <c r="BP81" s="16">
        <f>Weather!P93</f>
        <v>0</v>
      </c>
      <c r="BQ81" s="16">
        <f>Weather!Q93</f>
        <v>330.09166666666664</v>
      </c>
      <c r="BR81">
        <f t="shared" si="142"/>
        <v>0</v>
      </c>
      <c r="BS81">
        <f t="shared" si="142"/>
        <v>0</v>
      </c>
      <c r="BT81">
        <f t="shared" si="142"/>
        <v>0</v>
      </c>
      <c r="BU81">
        <f t="shared" si="142"/>
        <v>0</v>
      </c>
      <c r="BV81">
        <f t="shared" si="142"/>
        <v>0</v>
      </c>
      <c r="BW81">
        <f t="shared" si="142"/>
        <v>0</v>
      </c>
      <c r="BX81">
        <f t="shared" si="142"/>
        <v>0</v>
      </c>
      <c r="BY81">
        <f t="shared" si="142"/>
        <v>1</v>
      </c>
      <c r="BZ81">
        <f t="shared" si="142"/>
        <v>0</v>
      </c>
      <c r="CA81">
        <f t="shared" si="142"/>
        <v>0</v>
      </c>
      <c r="CB81">
        <f t="shared" si="142"/>
        <v>0</v>
      </c>
      <c r="CC81">
        <f t="shared" si="142"/>
        <v>0</v>
      </c>
      <c r="CD81" s="1">
        <f t="shared" si="142"/>
        <v>0</v>
      </c>
      <c r="CE81">
        <f t="shared" si="143"/>
        <v>0</v>
      </c>
      <c r="CF81" s="1">
        <f t="shared" si="142"/>
        <v>0</v>
      </c>
      <c r="CG81">
        <f t="shared" si="143"/>
        <v>0</v>
      </c>
      <c r="CH81" s="1">
        <f t="shared" si="142"/>
        <v>0</v>
      </c>
      <c r="CI81">
        <f t="shared" si="139"/>
        <v>0</v>
      </c>
      <c r="CJ81">
        <f t="shared" si="140"/>
        <v>0</v>
      </c>
      <c r="CK81">
        <f t="shared" si="142"/>
        <v>1</v>
      </c>
      <c r="CL81">
        <f t="shared" si="144"/>
        <v>1</v>
      </c>
      <c r="CM81" s="1">
        <f t="shared" si="120"/>
        <v>80</v>
      </c>
      <c r="CN81" s="1">
        <f t="shared" si="117"/>
        <v>32</v>
      </c>
      <c r="CO81" s="1">
        <f t="shared" si="130"/>
        <v>20</v>
      </c>
      <c r="CP81" s="1">
        <f t="shared" si="141"/>
        <v>8</v>
      </c>
      <c r="CQ81" s="1">
        <v>0</v>
      </c>
      <c r="CR81" s="1">
        <f t="shared" si="131"/>
        <v>20</v>
      </c>
      <c r="CS81">
        <f t="shared" si="116"/>
        <v>31</v>
      </c>
      <c r="CT81" s="1">
        <v>22</v>
      </c>
      <c r="CU81" s="1">
        <v>0</v>
      </c>
      <c r="CV81" s="1">
        <v>0</v>
      </c>
      <c r="CW81" s="1">
        <v>0</v>
      </c>
      <c r="CX81" s="1">
        <v>0.25</v>
      </c>
      <c r="CY81" s="1">
        <v>0</v>
      </c>
      <c r="CZ81" s="10">
        <f t="shared" si="87"/>
        <v>0</v>
      </c>
      <c r="DA81" s="10">
        <f t="shared" si="88"/>
        <v>0</v>
      </c>
      <c r="DB81" s="10">
        <f t="shared" si="89"/>
        <v>0</v>
      </c>
      <c r="DC81" s="10">
        <f t="shared" si="90"/>
        <v>0</v>
      </c>
      <c r="DD81" s="10">
        <f t="shared" si="91"/>
        <v>0</v>
      </c>
      <c r="DE81" s="10">
        <f t="shared" si="92"/>
        <v>0</v>
      </c>
      <c r="DF81" s="10">
        <f t="shared" si="93"/>
        <v>0</v>
      </c>
      <c r="DG81" s="10">
        <f t="shared" si="94"/>
        <v>0</v>
      </c>
      <c r="DH81" s="10">
        <f t="shared" si="95"/>
        <v>0</v>
      </c>
      <c r="DI81" s="10">
        <f t="shared" si="96"/>
        <v>0</v>
      </c>
      <c r="DJ81" s="10">
        <f t="shared" si="97"/>
        <v>0</v>
      </c>
      <c r="DK81" s="10">
        <f t="shared" si="98"/>
        <v>0</v>
      </c>
      <c r="DL81" s="10">
        <f t="shared" si="99"/>
        <v>0</v>
      </c>
      <c r="DM81" s="10">
        <f t="shared" si="100"/>
        <v>0</v>
      </c>
      <c r="DN81" s="10">
        <f t="shared" si="101"/>
        <v>13.026041666666663</v>
      </c>
      <c r="DO81" s="10">
        <f t="shared" si="102"/>
        <v>2.5489583333333359</v>
      </c>
      <c r="DP81" s="10">
        <f t="shared" si="103"/>
        <v>4.8833333333333311</v>
      </c>
      <c r="DQ81" s="10">
        <f t="shared" si="104"/>
        <v>9.9062500000000036</v>
      </c>
      <c r="DR81" s="10">
        <f t="shared" si="105"/>
        <v>1.130208333333333</v>
      </c>
      <c r="DS81" s="10">
        <f t="shared" si="106"/>
        <v>21.653125000000003</v>
      </c>
      <c r="DT81" s="10">
        <f t="shared" si="107"/>
        <v>1.0416666666661634E-3</v>
      </c>
      <c r="DU81" s="10">
        <f t="shared" si="108"/>
        <v>36.02395833333334</v>
      </c>
      <c r="DV81" s="10">
        <f t="shared" si="109"/>
        <v>0</v>
      </c>
      <c r="DW81" s="10">
        <f t="shared" si="110"/>
        <v>51.52291666666666</v>
      </c>
      <c r="DX81" s="10">
        <f t="shared" si="111"/>
        <v>0</v>
      </c>
      <c r="DY81" s="10">
        <f t="shared" si="112"/>
        <v>67.02291666666666</v>
      </c>
      <c r="DZ81" s="10">
        <f t="shared" si="113"/>
        <v>0</v>
      </c>
      <c r="EA81" s="10">
        <f t="shared" si="114"/>
        <v>82.52291666666666</v>
      </c>
      <c r="EB81" s="44">
        <f t="shared" si="132"/>
        <v>701.76215629158128</v>
      </c>
      <c r="EC81" s="44">
        <f t="shared" si="129"/>
        <v>22.637488912631653</v>
      </c>
      <c r="ED81" s="44">
        <f t="shared" si="133"/>
        <v>3438430.8284285348</v>
      </c>
      <c r="EE81" s="44">
        <f t="shared" si="134"/>
        <v>2753.2752521084362</v>
      </c>
      <c r="EF81" s="44">
        <f t="shared" si="122"/>
        <v>88.815330713175356</v>
      </c>
      <c r="EG81" s="44">
        <f t="shared" si="135"/>
        <v>1175115.6406660231</v>
      </c>
      <c r="EH81" s="44">
        <f t="shared" si="136"/>
        <v>91263.058979158275</v>
      </c>
      <c r="EI81" s="44">
        <f t="shared" si="123"/>
        <v>2943.9696444889764</v>
      </c>
      <c r="EJ81" s="44">
        <f t="shared" si="125"/>
        <v>4563.1529489579134</v>
      </c>
      <c r="EK81" s="44">
        <f t="shared" si="124"/>
        <v>4321747.4381098179</v>
      </c>
      <c r="EL81" s="44">
        <f t="shared" si="126"/>
        <v>6698708.5290702172</v>
      </c>
    </row>
    <row r="82" spans="1:142" x14ac:dyDescent="0.2">
      <c r="A82" s="66">
        <v>45170</v>
      </c>
      <c r="B82" s="4">
        <f t="shared" si="118"/>
        <v>2023</v>
      </c>
      <c r="C82" s="4">
        <f t="shared" si="119"/>
        <v>9</v>
      </c>
      <c r="D82" s="44">
        <v>92327346.813886404</v>
      </c>
      <c r="E82" s="44">
        <f>IFERROR(VLOOKUP($B82-1,CDM!$L$7:$T$18,2,FALSE)/12,0)+IFERROR(VLOOKUP($B82,CDM!$L$37:$O$47,2,FALSE)/24,0)+IFERROR(VLOOKUP($B82,CDM!$L$37:$O$47,2,FALSE)/2*$C82/78,0)</f>
        <v>2224617.6721933051</v>
      </c>
      <c r="F82" s="44">
        <f t="shared" si="79"/>
        <v>94551964.486079708</v>
      </c>
      <c r="G82" s="488">
        <v>151956</v>
      </c>
      <c r="H82" s="44">
        <v>32138894.2577819</v>
      </c>
      <c r="I82" s="44">
        <f>IFERROR(VLOOKUP($B82-1,CDM!$L$7:$T$18,3,FALSE)/12,0)+IFERROR(VLOOKUP($B82,CDM!$L$37:$O$47,3,FALSE)/24,0)+IFERROR(VLOOKUP($B82,CDM!$L$37:$O$47,3,FALSE)/2*$C82/78,0)</f>
        <v>1440870.9076898377</v>
      </c>
      <c r="J82" s="44">
        <f t="shared" si="80"/>
        <v>33579765.16547174</v>
      </c>
      <c r="K82" s="44">
        <v>13224</v>
      </c>
      <c r="L82" s="44">
        <v>117968125.73253401</v>
      </c>
      <c r="M82" s="44">
        <f>IFERROR(VLOOKUP($B82-1,CDM!$L$7:$T$18,4,FALSE)/12,0)+IFERROR(VLOOKUP($B82,CDM!$L$37:$O$47,4,FALSE)/24,0)+IFERROR(VLOOKUP($B82,CDM!$L$37:$O$47,4,FALSE)/2*$C82/78,0)</f>
        <v>7660281.4443060895</v>
      </c>
      <c r="N82" s="44">
        <f t="shared" si="81"/>
        <v>125628407.1768401</v>
      </c>
      <c r="O82" s="44">
        <v>321416.69</v>
      </c>
      <c r="P82" s="488">
        <v>1466</v>
      </c>
      <c r="Q82" s="488">
        <v>5362558.4365498004</v>
      </c>
      <c r="R82" s="488">
        <f>IFERROR(VLOOKUP($B82-1,CDM!$L$7:$T$18,5,FALSE)/12,0)+IFERROR(VLOOKUP($B82,CDM!$L$37:$T$47,5,FALSE)/24,0)+IFERROR(VLOOKUP($B82,CDM!$L$37:$T$47,5,FALSE)/2*$C82/78,0)</f>
        <v>132335.61080718267</v>
      </c>
      <c r="S82" s="488">
        <f t="shared" si="137"/>
        <v>5494894.0473569827</v>
      </c>
      <c r="T82" s="44">
        <v>9830.0399999999991</v>
      </c>
      <c r="U82" s="488">
        <v>7</v>
      </c>
      <c r="V82" s="488">
        <v>14210346.881797301</v>
      </c>
      <c r="W82" s="488">
        <f>IFERROR(VLOOKUP($B82-1,CDM!$L$7:$T$18,6,FALSE)/12,0)+IFERROR(VLOOKUP($B82,CDM!$L$37:$T$47,6,FALSE)/24,0)+IFERROR(VLOOKUP($B82,CDM!$L$37:$T$47,6,FALSE)/2*$C82/78,0)</f>
        <v>1490700.4779129627</v>
      </c>
      <c r="X82" s="488">
        <f t="shared" si="138"/>
        <v>15701047.359710263</v>
      </c>
      <c r="Y82" s="488">
        <v>30831.54</v>
      </c>
      <c r="Z82" s="488">
        <v>2</v>
      </c>
      <c r="AA82" s="44">
        <v>1382572.62</v>
      </c>
      <c r="AB82" s="44">
        <v>4028.47</v>
      </c>
      <c r="AC82" s="488">
        <v>39910</v>
      </c>
      <c r="AD82" s="44">
        <v>449238.08999999997</v>
      </c>
      <c r="AE82" s="44">
        <v>1564</v>
      </c>
      <c r="AF82" s="44">
        <v>43265.24</v>
      </c>
      <c r="AG82" s="44">
        <v>117.26</v>
      </c>
      <c r="AH82" s="44">
        <v>495</v>
      </c>
      <c r="AI82" s="44">
        <v>16400</v>
      </c>
      <c r="AJ82" s="68">
        <f>Economic!H96</f>
        <v>874424.9</v>
      </c>
      <c r="AK82" s="68">
        <f>Economic!I96</f>
        <v>93813.6</v>
      </c>
      <c r="AL82" s="68">
        <f>Economic!J96</f>
        <v>37591.800000000003</v>
      </c>
      <c r="AM82" s="68">
        <f>Economic!K96</f>
        <v>88409.3</v>
      </c>
      <c r="AN82" s="68">
        <f>Economic!L96</f>
        <v>75049.2</v>
      </c>
      <c r="AO82" s="68">
        <f>Economic!M96</f>
        <v>876964</v>
      </c>
      <c r="AP82" s="68">
        <f>Economic!N96</f>
        <v>93549</v>
      </c>
      <c r="AQ82" s="68">
        <f>Economic!O96</f>
        <v>14649</v>
      </c>
      <c r="AR82" s="68">
        <f>Economic!P96</f>
        <v>37910</v>
      </c>
      <c r="AS82" s="68">
        <f>Economic!Q96</f>
        <v>88690</v>
      </c>
      <c r="AT82" s="68">
        <f>Economic!D96</f>
        <v>8049</v>
      </c>
      <c r="AU82" s="68">
        <f>Economic!E96</f>
        <v>8068.5</v>
      </c>
      <c r="AV82" s="68">
        <f>Economic!F96</f>
        <v>322.8</v>
      </c>
      <c r="AW82" s="68">
        <f>Economic!G96</f>
        <v>323.7</v>
      </c>
      <c r="AX82" s="68">
        <f>Economic!W96</f>
        <v>20145</v>
      </c>
      <c r="AY82" s="68">
        <f>Economic!R96</f>
        <v>278.30000000000018</v>
      </c>
      <c r="AZ82" s="68">
        <f>Economic!W96</f>
        <v>20145</v>
      </c>
      <c r="BA82" s="68">
        <f>Economic!X96</f>
        <v>-7</v>
      </c>
      <c r="BB82" s="68">
        <f>Economic!Y96</f>
        <v>1846</v>
      </c>
      <c r="BC82" s="236">
        <f>Weather!C94</f>
        <v>16.901388888888889</v>
      </c>
      <c r="BD82" s="16">
        <f>Weather!D94</f>
        <v>108.74583333333334</v>
      </c>
      <c r="BE82" s="16">
        <f>Weather!E94</f>
        <v>15.787499999999994</v>
      </c>
      <c r="BF82" s="16">
        <f>Weather!F94</f>
        <v>59.375</v>
      </c>
      <c r="BG82" s="16">
        <f>Weather!G94</f>
        <v>26.416666666666657</v>
      </c>
      <c r="BH82" s="16">
        <f>Weather!H94</f>
        <v>21.199999999999996</v>
      </c>
      <c r="BI82" s="16">
        <f>Weather!I94</f>
        <v>48.241666666666646</v>
      </c>
      <c r="BJ82" s="16">
        <f>Weather!J94</f>
        <v>3.8624999999999901</v>
      </c>
      <c r="BK82" s="16">
        <f>Weather!K94</f>
        <v>90.90416666666664</v>
      </c>
      <c r="BL82" s="16">
        <f>Weather!L94</f>
        <v>0</v>
      </c>
      <c r="BM82" s="16">
        <f>Weather!M94</f>
        <v>147.04166666666669</v>
      </c>
      <c r="BN82" s="16">
        <f>Weather!N94</f>
        <v>0</v>
      </c>
      <c r="BO82" s="16">
        <f>Weather!O94</f>
        <v>207.04166666666669</v>
      </c>
      <c r="BP82" s="16">
        <f>Weather!P94</f>
        <v>0</v>
      </c>
      <c r="BQ82" s="16">
        <f>Weather!Q94</f>
        <v>267.04166666666663</v>
      </c>
      <c r="BR82">
        <f t="shared" si="142"/>
        <v>0</v>
      </c>
      <c r="BS82">
        <f t="shared" si="142"/>
        <v>0</v>
      </c>
      <c r="BT82">
        <f t="shared" si="142"/>
        <v>0</v>
      </c>
      <c r="BU82">
        <f t="shared" si="142"/>
        <v>0</v>
      </c>
      <c r="BV82">
        <f t="shared" si="142"/>
        <v>0</v>
      </c>
      <c r="BW82">
        <f t="shared" si="142"/>
        <v>0</v>
      </c>
      <c r="BX82">
        <f t="shared" si="142"/>
        <v>0</v>
      </c>
      <c r="BY82">
        <f t="shared" si="142"/>
        <v>0</v>
      </c>
      <c r="BZ82">
        <f t="shared" si="142"/>
        <v>1</v>
      </c>
      <c r="CA82">
        <f t="shared" si="142"/>
        <v>0</v>
      </c>
      <c r="CB82">
        <f t="shared" si="142"/>
        <v>0</v>
      </c>
      <c r="CC82">
        <f t="shared" si="142"/>
        <v>0</v>
      </c>
      <c r="CD82" s="1">
        <f t="shared" si="142"/>
        <v>0</v>
      </c>
      <c r="CE82">
        <f t="shared" si="143"/>
        <v>0</v>
      </c>
      <c r="CF82" s="1">
        <f t="shared" si="142"/>
        <v>1</v>
      </c>
      <c r="CG82">
        <f t="shared" si="143"/>
        <v>1</v>
      </c>
      <c r="CH82" s="1">
        <f t="shared" si="142"/>
        <v>1</v>
      </c>
      <c r="CI82">
        <f t="shared" si="139"/>
        <v>1</v>
      </c>
      <c r="CJ82">
        <f t="shared" si="140"/>
        <v>1</v>
      </c>
      <c r="CK82">
        <f t="shared" si="142"/>
        <v>0</v>
      </c>
      <c r="CL82">
        <f t="shared" si="144"/>
        <v>0</v>
      </c>
      <c r="CM82" s="1">
        <f t="shared" si="120"/>
        <v>81</v>
      </c>
      <c r="CN82" s="1">
        <f t="shared" si="117"/>
        <v>33</v>
      </c>
      <c r="CO82" s="1">
        <f t="shared" si="130"/>
        <v>21</v>
      </c>
      <c r="CP82" s="1">
        <f t="shared" si="141"/>
        <v>9</v>
      </c>
      <c r="CQ82" s="1">
        <v>0</v>
      </c>
      <c r="CR82" s="1">
        <f t="shared" si="131"/>
        <v>21</v>
      </c>
      <c r="CS82">
        <f t="shared" si="116"/>
        <v>30</v>
      </c>
      <c r="CT82" s="1">
        <v>20</v>
      </c>
      <c r="CU82" s="1">
        <v>0</v>
      </c>
      <c r="CV82" s="1">
        <v>0</v>
      </c>
      <c r="CW82" s="1">
        <v>0</v>
      </c>
      <c r="CX82" s="1">
        <v>0.25</v>
      </c>
      <c r="CY82" s="1">
        <v>0</v>
      </c>
      <c r="CZ82" s="10">
        <f t="shared" si="87"/>
        <v>0</v>
      </c>
      <c r="DA82" s="10">
        <f t="shared" si="88"/>
        <v>0</v>
      </c>
      <c r="DB82" s="10">
        <f t="shared" si="89"/>
        <v>0</v>
      </c>
      <c r="DC82" s="10">
        <f t="shared" si="90"/>
        <v>0</v>
      </c>
      <c r="DD82" s="10">
        <f t="shared" si="91"/>
        <v>0</v>
      </c>
      <c r="DE82" s="10">
        <f t="shared" si="92"/>
        <v>0</v>
      </c>
      <c r="DF82" s="10">
        <f t="shared" si="93"/>
        <v>0</v>
      </c>
      <c r="DG82" s="10">
        <f t="shared" si="94"/>
        <v>0</v>
      </c>
      <c r="DH82" s="10">
        <f t="shared" si="95"/>
        <v>0</v>
      </c>
      <c r="DI82" s="10">
        <f t="shared" si="96"/>
        <v>0</v>
      </c>
      <c r="DJ82" s="10">
        <f t="shared" si="97"/>
        <v>0</v>
      </c>
      <c r="DK82" s="10">
        <f t="shared" si="98"/>
        <v>0</v>
      </c>
      <c r="DL82" s="10">
        <f t="shared" si="99"/>
        <v>0</v>
      </c>
      <c r="DM82" s="10">
        <f t="shared" si="100"/>
        <v>0</v>
      </c>
      <c r="DN82" s="10">
        <f t="shared" si="101"/>
        <v>27.186458333333334</v>
      </c>
      <c r="DO82" s="10">
        <f t="shared" si="102"/>
        <v>3.9468749999999986</v>
      </c>
      <c r="DP82" s="10">
        <f t="shared" si="103"/>
        <v>14.84375</v>
      </c>
      <c r="DQ82" s="10">
        <f t="shared" si="104"/>
        <v>6.6041666666666643</v>
      </c>
      <c r="DR82" s="10">
        <f t="shared" si="105"/>
        <v>5.2999999999999989</v>
      </c>
      <c r="DS82" s="10">
        <f t="shared" si="106"/>
        <v>12.060416666666661</v>
      </c>
      <c r="DT82" s="10">
        <f t="shared" si="107"/>
        <v>0.96562499999999751</v>
      </c>
      <c r="DU82" s="10">
        <f t="shared" si="108"/>
        <v>22.72604166666666</v>
      </c>
      <c r="DV82" s="10">
        <f t="shared" si="109"/>
        <v>0</v>
      </c>
      <c r="DW82" s="10">
        <f t="shared" si="110"/>
        <v>36.760416666666671</v>
      </c>
      <c r="DX82" s="10">
        <f t="shared" si="111"/>
        <v>0</v>
      </c>
      <c r="DY82" s="10">
        <f t="shared" si="112"/>
        <v>51.760416666666671</v>
      </c>
      <c r="DZ82" s="10">
        <f t="shared" si="113"/>
        <v>0</v>
      </c>
      <c r="EA82" s="10">
        <f t="shared" si="114"/>
        <v>66.760416666666657</v>
      </c>
      <c r="EB82" s="44">
        <f t="shared" si="132"/>
        <v>622.23251787411948</v>
      </c>
      <c r="EC82" s="44">
        <f t="shared" si="129"/>
        <v>20.741083929137314</v>
      </c>
      <c r="ED82" s="44">
        <f t="shared" si="133"/>
        <v>3151732.1495359903</v>
      </c>
      <c r="EE82" s="44">
        <f t="shared" si="134"/>
        <v>2539.3046858342213</v>
      </c>
      <c r="EF82" s="44">
        <f t="shared" si="122"/>
        <v>84.643489527807375</v>
      </c>
      <c r="EG82" s="44">
        <f t="shared" si="135"/>
        <v>1119325.5055157247</v>
      </c>
      <c r="EH82" s="44">
        <f t="shared" si="136"/>
        <v>85694.68429525246</v>
      </c>
      <c r="EI82" s="44">
        <f t="shared" si="123"/>
        <v>2856.4894765084155</v>
      </c>
      <c r="EJ82" s="44">
        <f t="shared" si="125"/>
        <v>4284.7342147626232</v>
      </c>
      <c r="EK82" s="44">
        <f t="shared" si="124"/>
        <v>4187613.5725613367</v>
      </c>
      <c r="EL82" s="44">
        <f t="shared" si="126"/>
        <v>6281420.358842005</v>
      </c>
    </row>
    <row r="83" spans="1:142" x14ac:dyDescent="0.2">
      <c r="A83" s="66">
        <v>45200</v>
      </c>
      <c r="B83" s="4">
        <f t="shared" si="118"/>
        <v>2023</v>
      </c>
      <c r="C83" s="4">
        <f t="shared" si="119"/>
        <v>10</v>
      </c>
      <c r="D83" s="44">
        <v>85168113.7240697</v>
      </c>
      <c r="E83" s="44">
        <f>IFERROR(VLOOKUP($B83-1,CDM!$L$7:$T$18,2,FALSE)/12,0)+IFERROR(VLOOKUP($B83,CDM!$L$37:$O$47,2,FALSE)/24,0)+IFERROR(VLOOKUP($B83,CDM!$L$37:$O$47,2,FALSE)/2*$C83/78,0)</f>
        <v>2226564.6760130385</v>
      </c>
      <c r="F83" s="44">
        <f t="shared" si="79"/>
        <v>87394678.400082737</v>
      </c>
      <c r="G83" s="488">
        <v>152084</v>
      </c>
      <c r="H83" s="44">
        <v>31334395.610699899</v>
      </c>
      <c r="I83" s="44">
        <f>IFERROR(VLOOKUP($B83-1,CDM!$L$7:$T$18,3,FALSE)/12,0)+IFERROR(VLOOKUP($B83,CDM!$L$37:$O$47,3,FALSE)/24,0)+IFERROR(VLOOKUP($B83,CDM!$L$37:$O$47,3,FALSE)/2*$C83/78,0)</f>
        <v>1459524.6831845595</v>
      </c>
      <c r="J83" s="44">
        <f t="shared" si="80"/>
        <v>32793920.29388446</v>
      </c>
      <c r="K83" s="44">
        <v>13231</v>
      </c>
      <c r="L83" s="44">
        <v>114802842.549125</v>
      </c>
      <c r="M83" s="44">
        <f>IFERROR(VLOOKUP($B83-1,CDM!$L$7:$T$18,4,FALSE)/12,0)+IFERROR(VLOOKUP($B83,CDM!$L$37:$O$47,4,FALSE)/24,0)+IFERROR(VLOOKUP($B83,CDM!$L$37:$O$47,4,FALSE)/2*$C83/78,0)</f>
        <v>7702342.3040188346</v>
      </c>
      <c r="N83" s="44">
        <f t="shared" si="81"/>
        <v>122505184.85314384</v>
      </c>
      <c r="O83" s="44">
        <v>298774.39</v>
      </c>
      <c r="P83" s="488">
        <v>1464</v>
      </c>
      <c r="Q83" s="488">
        <v>4106379.58567684</v>
      </c>
      <c r="R83" s="488">
        <f>IFERROR(VLOOKUP($B83-1,CDM!$L$7:$T$18,5,FALSE)/12,0)+IFERROR(VLOOKUP($B83,CDM!$L$37:$T$47,5,FALSE)/24,0)+IFERROR(VLOOKUP($B83,CDM!$L$37:$T$47,5,FALSE)/2*$C83/78,0)</f>
        <v>133947.58164849511</v>
      </c>
      <c r="S83" s="488">
        <f t="shared" si="137"/>
        <v>4240327.1673253356</v>
      </c>
      <c r="T83" s="44">
        <v>5461.46</v>
      </c>
      <c r="U83" s="488">
        <v>7</v>
      </c>
      <c r="V83" s="488">
        <v>13249586.976486901</v>
      </c>
      <c r="W83" s="488">
        <f>IFERROR(VLOOKUP($B83-1,CDM!$L$7:$T$18,6,FALSE)/12,0)+IFERROR(VLOOKUP($B83,CDM!$L$37:$T$47,6,FALSE)/24,0)+IFERROR(VLOOKUP($B83,CDM!$L$37:$T$47,6,FALSE)/2*$C83/78,0)</f>
        <v>1493470.0281380201</v>
      </c>
      <c r="X83" s="488">
        <f t="shared" si="138"/>
        <v>14743057.004624922</v>
      </c>
      <c r="Y83" s="488">
        <v>28261.67</v>
      </c>
      <c r="Z83" s="488">
        <v>2</v>
      </c>
      <c r="AA83" s="44">
        <v>1616494.89</v>
      </c>
      <c r="AB83" s="44">
        <v>4032.87</v>
      </c>
      <c r="AC83" s="488">
        <v>39943</v>
      </c>
      <c r="AD83" s="44">
        <v>461601.1</v>
      </c>
      <c r="AE83" s="44">
        <v>1564</v>
      </c>
      <c r="AF83" s="44">
        <v>43124.80999999999</v>
      </c>
      <c r="AG83" s="44">
        <v>117.47</v>
      </c>
      <c r="AH83" s="44">
        <v>495</v>
      </c>
      <c r="AI83" s="44">
        <v>16400</v>
      </c>
      <c r="AJ83" s="68">
        <f>Economic!H97</f>
        <v>874424.9</v>
      </c>
      <c r="AK83" s="68">
        <f>Economic!I97</f>
        <v>93813.6</v>
      </c>
      <c r="AL83" s="68">
        <f>Economic!J97</f>
        <v>37591.800000000003</v>
      </c>
      <c r="AM83" s="68">
        <f>Economic!K97</f>
        <v>88409.3</v>
      </c>
      <c r="AN83" s="68">
        <f>Economic!L97</f>
        <v>75049.2</v>
      </c>
      <c r="AO83" s="68">
        <f>Economic!M97</f>
        <v>880255</v>
      </c>
      <c r="AP83" s="68">
        <f>Economic!N97</f>
        <v>91343</v>
      </c>
      <c r="AQ83" s="68">
        <f>Economic!O97</f>
        <v>14208</v>
      </c>
      <c r="AR83" s="68">
        <f>Economic!P97</f>
        <v>38867</v>
      </c>
      <c r="AS83" s="68">
        <f>Economic!Q97</f>
        <v>90370</v>
      </c>
      <c r="AT83" s="68">
        <f>Economic!D97</f>
        <v>8054.4</v>
      </c>
      <c r="AU83" s="68">
        <f>Economic!E97</f>
        <v>8050.1</v>
      </c>
      <c r="AV83" s="68">
        <f>Economic!F97</f>
        <v>324.89999999999998</v>
      </c>
      <c r="AW83" s="68">
        <f>Economic!G97</f>
        <v>324.3</v>
      </c>
      <c r="AX83" s="68">
        <f>Economic!W97</f>
        <v>23368</v>
      </c>
      <c r="AY83" s="68">
        <f>Economic!R97</f>
        <v>278.29999999999927</v>
      </c>
      <c r="AZ83" s="68">
        <f>Economic!W97</f>
        <v>23368</v>
      </c>
      <c r="BA83" s="68">
        <f>Economic!X97</f>
        <v>-279</v>
      </c>
      <c r="BB83" s="68">
        <f>Economic!Y97</f>
        <v>4296</v>
      </c>
      <c r="BC83" s="236">
        <f>Weather!C95</f>
        <v>11.11478494623656</v>
      </c>
      <c r="BD83" s="16">
        <f>Weather!D95</f>
        <v>275.44166666666666</v>
      </c>
      <c r="BE83" s="16">
        <f>Weather!E95</f>
        <v>0</v>
      </c>
      <c r="BF83" s="16">
        <f>Weather!F95</f>
        <v>219.74166666666665</v>
      </c>
      <c r="BG83" s="16">
        <f>Weather!G95</f>
        <v>6.2999999999999936</v>
      </c>
      <c r="BH83" s="16">
        <f>Weather!H95</f>
        <v>170.82499999999999</v>
      </c>
      <c r="BI83" s="16">
        <f>Weather!I95</f>
        <v>19.383333333333326</v>
      </c>
      <c r="BJ83" s="16">
        <f>Weather!J95</f>
        <v>126.92083333333335</v>
      </c>
      <c r="BK83" s="16">
        <f>Weather!K95</f>
        <v>37.479166666666657</v>
      </c>
      <c r="BL83" s="16">
        <f>Weather!L95</f>
        <v>85.066666666666677</v>
      </c>
      <c r="BM83" s="16">
        <f>Weather!M95</f>
        <v>57.625</v>
      </c>
      <c r="BN83" s="16">
        <f>Weather!N95</f>
        <v>46.991666666666667</v>
      </c>
      <c r="BO83" s="16">
        <f>Weather!O95</f>
        <v>81.55</v>
      </c>
      <c r="BP83" s="16">
        <f>Weather!P95</f>
        <v>19.479166666666671</v>
      </c>
      <c r="BQ83" s="16">
        <f>Weather!Q95</f>
        <v>116.03750000000001</v>
      </c>
      <c r="BR83">
        <f t="shared" si="142"/>
        <v>0</v>
      </c>
      <c r="BS83">
        <f t="shared" si="142"/>
        <v>0</v>
      </c>
      <c r="BT83">
        <f t="shared" si="142"/>
        <v>0</v>
      </c>
      <c r="BU83">
        <f t="shared" si="142"/>
        <v>0</v>
      </c>
      <c r="BV83">
        <f t="shared" si="142"/>
        <v>0</v>
      </c>
      <c r="BW83">
        <f t="shared" si="142"/>
        <v>0</v>
      </c>
      <c r="BX83">
        <f t="shared" si="142"/>
        <v>0</v>
      </c>
      <c r="BY83">
        <f t="shared" si="142"/>
        <v>0</v>
      </c>
      <c r="BZ83">
        <f t="shared" si="142"/>
        <v>0</v>
      </c>
      <c r="CA83">
        <f t="shared" si="142"/>
        <v>1</v>
      </c>
      <c r="CB83">
        <f t="shared" si="142"/>
        <v>0</v>
      </c>
      <c r="CC83">
        <f t="shared" si="142"/>
        <v>0</v>
      </c>
      <c r="CD83" s="1">
        <f t="shared" si="142"/>
        <v>0</v>
      </c>
      <c r="CE83">
        <f t="shared" si="143"/>
        <v>0</v>
      </c>
      <c r="CF83" s="1">
        <f t="shared" si="142"/>
        <v>1</v>
      </c>
      <c r="CG83">
        <f t="shared" si="143"/>
        <v>1</v>
      </c>
      <c r="CH83" s="1">
        <f t="shared" si="142"/>
        <v>1</v>
      </c>
      <c r="CI83">
        <f t="shared" si="139"/>
        <v>1</v>
      </c>
      <c r="CJ83">
        <f t="shared" si="140"/>
        <v>1</v>
      </c>
      <c r="CK83">
        <f t="shared" si="142"/>
        <v>0</v>
      </c>
      <c r="CL83">
        <f t="shared" si="144"/>
        <v>0</v>
      </c>
      <c r="CM83" s="1">
        <f t="shared" si="120"/>
        <v>82</v>
      </c>
      <c r="CN83" s="1">
        <f t="shared" si="117"/>
        <v>34</v>
      </c>
      <c r="CO83" s="1">
        <f t="shared" si="130"/>
        <v>22</v>
      </c>
      <c r="CP83" s="1">
        <f t="shared" si="141"/>
        <v>10</v>
      </c>
      <c r="CQ83" s="1">
        <v>0</v>
      </c>
      <c r="CR83" s="1">
        <f t="shared" si="131"/>
        <v>22</v>
      </c>
      <c r="CS83">
        <f t="shared" si="116"/>
        <v>31</v>
      </c>
      <c r="CT83" s="1">
        <v>21</v>
      </c>
      <c r="CU83" s="1">
        <v>0</v>
      </c>
      <c r="CV83" s="1">
        <v>0</v>
      </c>
      <c r="CW83" s="1">
        <v>0</v>
      </c>
      <c r="CX83" s="1">
        <v>0.25</v>
      </c>
      <c r="CY83" s="1">
        <v>0</v>
      </c>
      <c r="CZ83" s="10">
        <f t="shared" si="87"/>
        <v>0</v>
      </c>
      <c r="DA83" s="10">
        <f t="shared" si="88"/>
        <v>0</v>
      </c>
      <c r="DB83" s="10">
        <f t="shared" si="89"/>
        <v>0</v>
      </c>
      <c r="DC83" s="10">
        <f t="shared" si="90"/>
        <v>0</v>
      </c>
      <c r="DD83" s="10">
        <f t="shared" si="91"/>
        <v>0</v>
      </c>
      <c r="DE83" s="10">
        <f t="shared" si="92"/>
        <v>0</v>
      </c>
      <c r="DF83" s="10">
        <f t="shared" si="93"/>
        <v>0</v>
      </c>
      <c r="DG83" s="10">
        <f t="shared" si="94"/>
        <v>0</v>
      </c>
      <c r="DH83" s="10">
        <f t="shared" si="95"/>
        <v>0</v>
      </c>
      <c r="DI83" s="10">
        <f t="shared" si="96"/>
        <v>0</v>
      </c>
      <c r="DJ83" s="10">
        <f t="shared" si="97"/>
        <v>0</v>
      </c>
      <c r="DK83" s="10">
        <f t="shared" si="98"/>
        <v>0</v>
      </c>
      <c r="DL83" s="10">
        <f t="shared" si="99"/>
        <v>0</v>
      </c>
      <c r="DM83" s="10">
        <f t="shared" si="100"/>
        <v>0</v>
      </c>
      <c r="DN83" s="10">
        <f t="shared" si="101"/>
        <v>68.860416666666666</v>
      </c>
      <c r="DO83" s="10">
        <f t="shared" si="102"/>
        <v>0</v>
      </c>
      <c r="DP83" s="10">
        <f t="shared" si="103"/>
        <v>54.935416666666661</v>
      </c>
      <c r="DQ83" s="10">
        <f t="shared" si="104"/>
        <v>1.5749999999999984</v>
      </c>
      <c r="DR83" s="10">
        <f t="shared" si="105"/>
        <v>42.706249999999997</v>
      </c>
      <c r="DS83" s="10">
        <f t="shared" si="106"/>
        <v>4.8458333333333314</v>
      </c>
      <c r="DT83" s="10">
        <f t="shared" si="107"/>
        <v>31.730208333333337</v>
      </c>
      <c r="DU83" s="10">
        <f t="shared" si="108"/>
        <v>9.3697916666666643</v>
      </c>
      <c r="DV83" s="10">
        <f t="shared" si="109"/>
        <v>21.266666666666669</v>
      </c>
      <c r="DW83" s="10">
        <f t="shared" si="110"/>
        <v>14.40625</v>
      </c>
      <c r="DX83" s="10">
        <f t="shared" si="111"/>
        <v>11.747916666666667</v>
      </c>
      <c r="DY83" s="10">
        <f t="shared" si="112"/>
        <v>20.387499999999999</v>
      </c>
      <c r="DZ83" s="10">
        <f t="shared" si="113"/>
        <v>4.8697916666666679</v>
      </c>
      <c r="EA83" s="10">
        <f t="shared" si="114"/>
        <v>29.009375000000002</v>
      </c>
      <c r="EB83" s="44">
        <f t="shared" si="132"/>
        <v>574.64742116253342</v>
      </c>
      <c r="EC83" s="44">
        <f t="shared" si="129"/>
        <v>18.537013585888175</v>
      </c>
      <c r="ED83" s="44">
        <f t="shared" si="133"/>
        <v>2819183.1741962172</v>
      </c>
      <c r="EE83" s="44">
        <f t="shared" si="134"/>
        <v>2478.5670239501519</v>
      </c>
      <c r="EF83" s="44">
        <f t="shared" si="122"/>
        <v>79.953774966133935</v>
      </c>
      <c r="EG83" s="44">
        <f t="shared" si="135"/>
        <v>1057868.396576918</v>
      </c>
      <c r="EH83" s="44">
        <f t="shared" si="136"/>
        <v>83678.404954333222</v>
      </c>
      <c r="EI83" s="44">
        <f t="shared" si="123"/>
        <v>2699.3033856236525</v>
      </c>
      <c r="EJ83" s="44">
        <f t="shared" si="125"/>
        <v>4183.9202477166609</v>
      </c>
      <c r="EK83" s="44">
        <f t="shared" si="124"/>
        <v>3951780.1565530272</v>
      </c>
      <c r="EL83" s="44">
        <f t="shared" si="126"/>
        <v>6125259.2426571921</v>
      </c>
    </row>
    <row r="84" spans="1:142" x14ac:dyDescent="0.2">
      <c r="A84" s="66">
        <v>45231</v>
      </c>
      <c r="B84" s="4">
        <f t="shared" si="118"/>
        <v>2023</v>
      </c>
      <c r="C84" s="4">
        <f t="shared" si="119"/>
        <v>11</v>
      </c>
      <c r="D84" s="44">
        <v>88496222.738212198</v>
      </c>
      <c r="E84" s="44">
        <f>IFERROR(VLOOKUP($B84-1,CDM!$L$7:$T$18,2,FALSE)/12,0)+IFERROR(VLOOKUP($B84,CDM!$L$37:$O$47,2,FALSE)/24,0)+IFERROR(VLOOKUP($B84,CDM!$L$37:$O$47,2,FALSE)/2*$C84/78,0)</f>
        <v>2228511.6798327719</v>
      </c>
      <c r="F84" s="44">
        <f t="shared" si="79"/>
        <v>90724734.418044969</v>
      </c>
      <c r="G84" s="488">
        <v>152199</v>
      </c>
      <c r="H84" s="44">
        <v>32510816.6185546</v>
      </c>
      <c r="I84" s="44">
        <f>IFERROR(VLOOKUP($B84-1,CDM!$L$7:$T$18,3,FALSE)/12,0)+IFERROR(VLOOKUP($B84,CDM!$L$37:$O$47,3,FALSE)/24,0)+IFERROR(VLOOKUP($B84,CDM!$L$37:$O$47,3,FALSE)/2*$C84/78,0)</f>
        <v>1478178.4586792809</v>
      </c>
      <c r="J84" s="44">
        <f t="shared" si="80"/>
        <v>33988995.077233881</v>
      </c>
      <c r="K84" s="44">
        <v>13255</v>
      </c>
      <c r="L84" s="44">
        <v>113240568.025389</v>
      </c>
      <c r="M84" s="44">
        <f>IFERROR(VLOOKUP($B84-1,CDM!$L$7:$T$18,4,FALSE)/12,0)+IFERROR(VLOOKUP($B84,CDM!$L$37:$O$47,4,FALSE)/24,0)+IFERROR(VLOOKUP($B84,CDM!$L$37:$O$47,4,FALSE)/2*$C84/78,0)</f>
        <v>7744403.1637315797</v>
      </c>
      <c r="N84" s="44">
        <f t="shared" si="81"/>
        <v>120984971.18912058</v>
      </c>
      <c r="O84" s="44">
        <v>278577.87</v>
      </c>
      <c r="P84" s="488">
        <v>1466</v>
      </c>
      <c r="Q84" s="488">
        <v>3738880.5065448601</v>
      </c>
      <c r="R84" s="488">
        <f>IFERROR(VLOOKUP($B84-1,CDM!$L$7:$T$18,5,FALSE)/12,0)+IFERROR(VLOOKUP($B84,CDM!$L$37:$T$47,5,FALSE)/24,0)+IFERROR(VLOOKUP($B84,CDM!$L$37:$T$47,5,FALSE)/2*$C84/78,0)</f>
        <v>135559.55248980754</v>
      </c>
      <c r="S84" s="488">
        <f t="shared" si="137"/>
        <v>3874440.0590346674</v>
      </c>
      <c r="T84" s="44">
        <v>2499.39</v>
      </c>
      <c r="U84" s="488">
        <v>7</v>
      </c>
      <c r="V84" s="488">
        <v>12269697.031106699</v>
      </c>
      <c r="W84" s="488">
        <f>IFERROR(VLOOKUP($B84-1,CDM!$L$7:$T$18,6,FALSE)/12,0)+IFERROR(VLOOKUP($B84,CDM!$L$37:$T$47,6,FALSE)/24,0)+IFERROR(VLOOKUP($B84,CDM!$L$37:$T$47,6,FALSE)/2*$C84/78,0)</f>
        <v>1496239.5783630772</v>
      </c>
      <c r="X84" s="488">
        <f t="shared" si="138"/>
        <v>13765936.609469777</v>
      </c>
      <c r="Y84" s="488">
        <v>22256.26</v>
      </c>
      <c r="Z84" s="488">
        <v>2</v>
      </c>
      <c r="AA84" s="44">
        <v>1713794</v>
      </c>
      <c r="AB84" s="44">
        <v>4034.35</v>
      </c>
      <c r="AC84" s="488">
        <v>39952</v>
      </c>
      <c r="AD84" s="44">
        <v>447101.56</v>
      </c>
      <c r="AE84" s="44">
        <v>1563</v>
      </c>
      <c r="AF84" s="44">
        <v>43030.639999999978</v>
      </c>
      <c r="AG84" s="44">
        <v>117.41</v>
      </c>
      <c r="AH84" s="44">
        <v>497</v>
      </c>
      <c r="AI84" s="44">
        <v>16400</v>
      </c>
      <c r="AJ84" s="68">
        <f>Economic!H98</f>
        <v>874424.9</v>
      </c>
      <c r="AK84" s="68">
        <f>Economic!I98</f>
        <v>93813.6</v>
      </c>
      <c r="AL84" s="68">
        <f>Economic!J98</f>
        <v>37591.800000000003</v>
      </c>
      <c r="AM84" s="68">
        <f>Economic!K98</f>
        <v>88409.3</v>
      </c>
      <c r="AN84" s="68">
        <f>Economic!L98</f>
        <v>75049.2</v>
      </c>
      <c r="AO84" s="68">
        <f>Economic!M98</f>
        <v>880255</v>
      </c>
      <c r="AP84" s="68">
        <f>Economic!N98</f>
        <v>91343</v>
      </c>
      <c r="AQ84" s="68">
        <f>Economic!O98</f>
        <v>14208</v>
      </c>
      <c r="AR84" s="68">
        <f>Economic!P98</f>
        <v>38867</v>
      </c>
      <c r="AS84" s="68">
        <f>Economic!Q98</f>
        <v>90370</v>
      </c>
      <c r="AT84" s="68">
        <f>Economic!D98</f>
        <v>8061.4</v>
      </c>
      <c r="AU84" s="68">
        <f>Economic!E98</f>
        <v>8046.2</v>
      </c>
      <c r="AV84" s="68">
        <f>Economic!F98</f>
        <v>323.3</v>
      </c>
      <c r="AW84" s="68">
        <f>Economic!G98</f>
        <v>320.39999999999998</v>
      </c>
      <c r="AX84" s="68">
        <f>Economic!W98</f>
        <v>23368</v>
      </c>
      <c r="AY84" s="68">
        <f>Economic!R98</f>
        <v>269.69999999999982</v>
      </c>
      <c r="AZ84" s="68">
        <f>Economic!W98</f>
        <v>23368</v>
      </c>
      <c r="BA84" s="68">
        <f>Economic!X98</f>
        <v>-279</v>
      </c>
      <c r="BB84" s="68">
        <f>Economic!Y98</f>
        <v>4296</v>
      </c>
      <c r="BC84" s="236">
        <f>Weather!C96</f>
        <v>3.2294444444444448</v>
      </c>
      <c r="BD84" s="16">
        <f>Weather!D96</f>
        <v>503.11666666666662</v>
      </c>
      <c r="BE84" s="16">
        <f>Weather!E96</f>
        <v>0</v>
      </c>
      <c r="BF84" s="16">
        <f>Weather!F96</f>
        <v>443.11666666666662</v>
      </c>
      <c r="BG84" s="16">
        <f>Weather!G96</f>
        <v>0</v>
      </c>
      <c r="BH84" s="16">
        <f>Weather!H96</f>
        <v>383.11666666666667</v>
      </c>
      <c r="BI84" s="16">
        <f>Weather!I96</f>
        <v>0</v>
      </c>
      <c r="BJ84" s="16">
        <f>Weather!J96</f>
        <v>323.11666666666673</v>
      </c>
      <c r="BK84" s="16">
        <f>Weather!K96</f>
        <v>0</v>
      </c>
      <c r="BL84" s="16">
        <f>Weather!L96</f>
        <v>263.11666666666667</v>
      </c>
      <c r="BM84" s="16">
        <f>Weather!M96</f>
        <v>0</v>
      </c>
      <c r="BN84" s="16">
        <f>Weather!N96</f>
        <v>203.11666666666667</v>
      </c>
      <c r="BO84" s="16">
        <f>Weather!O96</f>
        <v>0</v>
      </c>
      <c r="BP84" s="16">
        <f>Weather!P96</f>
        <v>146.61666666666667</v>
      </c>
      <c r="BQ84" s="16">
        <f>Weather!Q96</f>
        <v>3.5</v>
      </c>
      <c r="BR84">
        <f t="shared" si="142"/>
        <v>0</v>
      </c>
      <c r="BS84">
        <f t="shared" si="142"/>
        <v>0</v>
      </c>
      <c r="BT84">
        <f t="shared" si="142"/>
        <v>0</v>
      </c>
      <c r="BU84">
        <f t="shared" si="142"/>
        <v>0</v>
      </c>
      <c r="BV84">
        <f t="shared" si="142"/>
        <v>0</v>
      </c>
      <c r="BW84">
        <f t="shared" si="142"/>
        <v>0</v>
      </c>
      <c r="BX84">
        <f t="shared" si="142"/>
        <v>0</v>
      </c>
      <c r="BY84">
        <f t="shared" si="142"/>
        <v>0</v>
      </c>
      <c r="BZ84">
        <f t="shared" si="142"/>
        <v>0</v>
      </c>
      <c r="CA84">
        <f t="shared" si="142"/>
        <v>0</v>
      </c>
      <c r="CB84">
        <f t="shared" si="142"/>
        <v>1</v>
      </c>
      <c r="CC84">
        <f t="shared" si="142"/>
        <v>0</v>
      </c>
      <c r="CD84" s="1">
        <f t="shared" si="142"/>
        <v>0</v>
      </c>
      <c r="CE84">
        <f t="shared" si="143"/>
        <v>0</v>
      </c>
      <c r="CF84" s="1">
        <f t="shared" si="142"/>
        <v>1</v>
      </c>
      <c r="CG84">
        <f t="shared" si="143"/>
        <v>0</v>
      </c>
      <c r="CH84" s="1">
        <f t="shared" si="142"/>
        <v>1</v>
      </c>
      <c r="CI84">
        <f t="shared" si="139"/>
        <v>0</v>
      </c>
      <c r="CJ84">
        <f t="shared" si="140"/>
        <v>1</v>
      </c>
      <c r="CK84">
        <f t="shared" si="142"/>
        <v>0</v>
      </c>
      <c r="CL84">
        <f t="shared" si="144"/>
        <v>0</v>
      </c>
      <c r="CM84" s="1">
        <f t="shared" si="120"/>
        <v>83</v>
      </c>
      <c r="CN84" s="1">
        <f t="shared" si="117"/>
        <v>35</v>
      </c>
      <c r="CO84" s="1">
        <f t="shared" si="130"/>
        <v>23</v>
      </c>
      <c r="CP84" s="1">
        <f t="shared" si="141"/>
        <v>11</v>
      </c>
      <c r="CQ84" s="1">
        <v>0</v>
      </c>
      <c r="CR84" s="1">
        <f t="shared" si="131"/>
        <v>23</v>
      </c>
      <c r="CS84">
        <f t="shared" si="116"/>
        <v>30</v>
      </c>
      <c r="CT84" s="1">
        <v>22</v>
      </c>
      <c r="CU84" s="1">
        <v>0</v>
      </c>
      <c r="CV84" s="1">
        <v>0</v>
      </c>
      <c r="CW84" s="1">
        <v>0</v>
      </c>
      <c r="CX84" s="1">
        <v>0.25</v>
      </c>
      <c r="CY84" s="1">
        <v>0</v>
      </c>
      <c r="CZ84" s="10">
        <f t="shared" si="87"/>
        <v>0</v>
      </c>
      <c r="DA84" s="10">
        <f t="shared" si="88"/>
        <v>0</v>
      </c>
      <c r="DB84" s="10">
        <f t="shared" si="89"/>
        <v>0</v>
      </c>
      <c r="DC84" s="10">
        <f t="shared" si="90"/>
        <v>0</v>
      </c>
      <c r="DD84" s="10">
        <f t="shared" si="91"/>
        <v>0</v>
      </c>
      <c r="DE84" s="10">
        <f t="shared" si="92"/>
        <v>0</v>
      </c>
      <c r="DF84" s="10">
        <f t="shared" si="93"/>
        <v>0</v>
      </c>
      <c r="DG84" s="10">
        <f t="shared" si="94"/>
        <v>0</v>
      </c>
      <c r="DH84" s="10">
        <f t="shared" si="95"/>
        <v>0</v>
      </c>
      <c r="DI84" s="10">
        <f t="shared" si="96"/>
        <v>0</v>
      </c>
      <c r="DJ84" s="10">
        <f t="shared" si="97"/>
        <v>0</v>
      </c>
      <c r="DK84" s="10">
        <f t="shared" si="98"/>
        <v>0</v>
      </c>
      <c r="DL84" s="10">
        <f t="shared" si="99"/>
        <v>0</v>
      </c>
      <c r="DM84" s="10">
        <f t="shared" si="100"/>
        <v>0</v>
      </c>
      <c r="DN84" s="10">
        <f t="shared" si="101"/>
        <v>125.77916666666665</v>
      </c>
      <c r="DO84" s="10">
        <f t="shared" si="102"/>
        <v>0</v>
      </c>
      <c r="DP84" s="10">
        <f t="shared" si="103"/>
        <v>110.77916666666665</v>
      </c>
      <c r="DQ84" s="10">
        <f t="shared" si="104"/>
        <v>0</v>
      </c>
      <c r="DR84" s="10">
        <f t="shared" si="105"/>
        <v>95.779166666666669</v>
      </c>
      <c r="DS84" s="10">
        <f t="shared" si="106"/>
        <v>0</v>
      </c>
      <c r="DT84" s="10">
        <f t="shared" si="107"/>
        <v>80.779166666666683</v>
      </c>
      <c r="DU84" s="10">
        <f t="shared" si="108"/>
        <v>0</v>
      </c>
      <c r="DV84" s="10">
        <f t="shared" si="109"/>
        <v>65.779166666666669</v>
      </c>
      <c r="DW84" s="10">
        <f t="shared" si="110"/>
        <v>0</v>
      </c>
      <c r="DX84" s="10">
        <f t="shared" si="111"/>
        <v>50.779166666666669</v>
      </c>
      <c r="DY84" s="10">
        <f t="shared" si="112"/>
        <v>0</v>
      </c>
      <c r="DZ84" s="10">
        <f t="shared" si="113"/>
        <v>36.654166666666669</v>
      </c>
      <c r="EA84" s="10">
        <f t="shared" si="114"/>
        <v>0.875</v>
      </c>
      <c r="EB84" s="44">
        <f t="shared" si="132"/>
        <v>596.09284172724506</v>
      </c>
      <c r="EC84" s="44">
        <f t="shared" si="129"/>
        <v>19.86976139090817</v>
      </c>
      <c r="ED84" s="44">
        <f t="shared" si="133"/>
        <v>3024157.8139348323</v>
      </c>
      <c r="EE84" s="44">
        <f t="shared" si="134"/>
        <v>2564.2395380787539</v>
      </c>
      <c r="EF84" s="44">
        <f t="shared" si="122"/>
        <v>85.474651269291797</v>
      </c>
      <c r="EG84" s="44">
        <f t="shared" si="135"/>
        <v>1132966.5025744627</v>
      </c>
      <c r="EH84" s="44">
        <f t="shared" si="136"/>
        <v>82527.265476889894</v>
      </c>
      <c r="EI84" s="44">
        <f t="shared" si="123"/>
        <v>2750.9088492296632</v>
      </c>
      <c r="EJ84" s="44">
        <f t="shared" si="125"/>
        <v>3751.2393398586314</v>
      </c>
      <c r="EK84" s="44">
        <f t="shared" si="124"/>
        <v>4032832.3729706858</v>
      </c>
      <c r="EL84" s="44">
        <f t="shared" si="126"/>
        <v>5499316.8722327538</v>
      </c>
    </row>
    <row r="85" spans="1:142" x14ac:dyDescent="0.2">
      <c r="A85" s="66">
        <v>45261</v>
      </c>
      <c r="B85" s="4">
        <f t="shared" si="118"/>
        <v>2023</v>
      </c>
      <c r="C85" s="4">
        <f t="shared" si="119"/>
        <v>12</v>
      </c>
      <c r="D85" s="44">
        <v>97796808.695929006</v>
      </c>
      <c r="E85" s="44">
        <f>IFERROR(VLOOKUP($B85-1,CDM!$L$7:$T$18,2,FALSE)/12,0)+IFERROR(VLOOKUP($B85,CDM!$L$37:$O$47,2,FALSE)/24,0)+IFERROR(VLOOKUP($B85,CDM!$L$37:$O$47,2,FALSE)/2*$C85/78,0)</f>
        <v>2230458.6836525053</v>
      </c>
      <c r="F85" s="44">
        <f t="shared" si="79"/>
        <v>100027267.37958151</v>
      </c>
      <c r="G85" s="488">
        <v>152344</v>
      </c>
      <c r="H85" s="44">
        <v>33790645.895287201</v>
      </c>
      <c r="I85" s="44">
        <f>IFERROR(VLOOKUP($B85-1,CDM!$L$7:$T$18,3,FALSE)/12,0)+IFERROR(VLOOKUP($B85,CDM!$L$37:$O$47,3,FALSE)/24,0)+IFERROR(VLOOKUP($B85,CDM!$L$37:$O$47,3,FALSE)/2*$C85/78,0)</f>
        <v>1496832.2341740027</v>
      </c>
      <c r="J85" s="44">
        <f t="shared" si="80"/>
        <v>35287478.129461206</v>
      </c>
      <c r="K85" s="44">
        <v>13261</v>
      </c>
      <c r="L85" s="44">
        <v>110981634.230655</v>
      </c>
      <c r="M85" s="44">
        <f>IFERROR(VLOOKUP($B85-1,CDM!$L$7:$T$18,4,FALSE)/12,0)+IFERROR(VLOOKUP($B85,CDM!$L$37:$O$47,4,FALSE)/24,0)+IFERROR(VLOOKUP($B85,CDM!$L$37:$O$47,4,FALSE)/2*$C85/78,0)</f>
        <v>7786464.0234443247</v>
      </c>
      <c r="N85" s="44">
        <f t="shared" si="81"/>
        <v>118768098.25409932</v>
      </c>
      <c r="O85" s="44">
        <v>276309.8</v>
      </c>
      <c r="P85" s="488">
        <v>1467</v>
      </c>
      <c r="Q85" s="488">
        <v>3483121.20527313</v>
      </c>
      <c r="R85" s="488">
        <f>IFERROR(VLOOKUP($B85-1,CDM!$L$7:$T$18,5,FALSE)/12,0)+IFERROR(VLOOKUP($B85,CDM!$L$37:$T$47,5,FALSE)/24,0)+IFERROR(VLOOKUP($B85,CDM!$L$37:$T$47,5,FALSE)/2*$C85/78,0)</f>
        <v>137171.52333112</v>
      </c>
      <c r="S85" s="488">
        <f t="shared" si="137"/>
        <v>3620292.7286042501</v>
      </c>
      <c r="T85" s="44">
        <v>4726.2299999999996</v>
      </c>
      <c r="U85" s="488">
        <v>7</v>
      </c>
      <c r="V85" s="488">
        <v>12280381.2558234</v>
      </c>
      <c r="W85" s="488">
        <f>IFERROR(VLOOKUP($B85-1,CDM!$L$7:$T$18,6,FALSE)/12,0)+IFERROR(VLOOKUP($B85,CDM!$L$37:$T$47,6,FALSE)/24,0)+IFERROR(VLOOKUP($B85,CDM!$L$37:$T$47,6,FALSE)/2*$C85/78,0)</f>
        <v>1499009.1285881347</v>
      </c>
      <c r="X85" s="488">
        <f t="shared" si="138"/>
        <v>13779390.384411534</v>
      </c>
      <c r="Y85" s="488">
        <v>21955.31</v>
      </c>
      <c r="Z85" s="488">
        <v>2</v>
      </c>
      <c r="AA85" s="44">
        <v>1866310.61</v>
      </c>
      <c r="AB85" s="44">
        <v>4037.8</v>
      </c>
      <c r="AC85" s="488">
        <v>40014</v>
      </c>
      <c r="AD85" s="44">
        <v>461498.10000000003</v>
      </c>
      <c r="AE85" s="44">
        <v>1563</v>
      </c>
      <c r="AF85" s="44">
        <v>44995.169999999991</v>
      </c>
      <c r="AG85" s="44">
        <v>117.35</v>
      </c>
      <c r="AH85" s="44">
        <v>497</v>
      </c>
      <c r="AI85" s="44">
        <v>16400</v>
      </c>
      <c r="AJ85" s="68">
        <f>Economic!H99</f>
        <v>874424.9</v>
      </c>
      <c r="AK85" s="68">
        <f>Economic!I99</f>
        <v>93813.6</v>
      </c>
      <c r="AL85" s="68">
        <f>Economic!J99</f>
        <v>37591.800000000003</v>
      </c>
      <c r="AM85" s="68">
        <f>Economic!K99</f>
        <v>88409.3</v>
      </c>
      <c r="AN85" s="68">
        <f>Economic!L99</f>
        <v>75049.2</v>
      </c>
      <c r="AO85" s="68">
        <f>Economic!M99</f>
        <v>880255</v>
      </c>
      <c r="AP85" s="68">
        <f>Economic!N99</f>
        <v>91343</v>
      </c>
      <c r="AQ85" s="68">
        <f>Economic!O99</f>
        <v>14208</v>
      </c>
      <c r="AR85" s="68">
        <f>Economic!P99</f>
        <v>38867</v>
      </c>
      <c r="AS85" s="68">
        <f>Economic!Q99</f>
        <v>90370</v>
      </c>
      <c r="AT85" s="68">
        <f>Economic!D99</f>
        <v>8052.9</v>
      </c>
      <c r="AU85" s="68">
        <f>Economic!E99</f>
        <v>8049</v>
      </c>
      <c r="AV85" s="68">
        <f>Economic!F99</f>
        <v>323.5</v>
      </c>
      <c r="AW85" s="68">
        <f>Economic!G99</f>
        <v>321</v>
      </c>
      <c r="AX85" s="68">
        <f>Economic!W99</f>
        <v>23368</v>
      </c>
      <c r="AY85" s="68">
        <f>Economic!R99</f>
        <v>223.59999999999945</v>
      </c>
      <c r="AZ85" s="68">
        <f>Economic!W99</f>
        <v>23368</v>
      </c>
      <c r="BA85" s="68">
        <f>Economic!X99</f>
        <v>-279</v>
      </c>
      <c r="BB85" s="68">
        <f>Economic!Y99</f>
        <v>4296</v>
      </c>
      <c r="BC85" s="236">
        <f>Weather!C97</f>
        <v>2.512768817204301</v>
      </c>
      <c r="BD85" s="16">
        <f>Weather!D97</f>
        <v>542.10416666666663</v>
      </c>
      <c r="BE85" s="16">
        <f>Weather!E97</f>
        <v>0</v>
      </c>
      <c r="BF85" s="16">
        <f>Weather!F97</f>
        <v>480.10416666666674</v>
      </c>
      <c r="BG85" s="16">
        <f>Weather!G97</f>
        <v>0</v>
      </c>
      <c r="BH85" s="16">
        <f>Weather!H97</f>
        <v>418.10416666666674</v>
      </c>
      <c r="BI85" s="16">
        <f>Weather!I97</f>
        <v>0</v>
      </c>
      <c r="BJ85" s="16">
        <f>Weather!J97</f>
        <v>356.10416666666674</v>
      </c>
      <c r="BK85" s="16">
        <f>Weather!K97</f>
        <v>0</v>
      </c>
      <c r="BL85" s="16">
        <f>Weather!L97</f>
        <v>294.10416666666669</v>
      </c>
      <c r="BM85" s="16">
        <f>Weather!M97</f>
        <v>0</v>
      </c>
      <c r="BN85" s="16">
        <f>Weather!N97</f>
        <v>232.7166666666667</v>
      </c>
      <c r="BO85" s="16">
        <f>Weather!O97</f>
        <v>0.61250000000000071</v>
      </c>
      <c r="BP85" s="16">
        <f>Weather!P97</f>
        <v>172.71666666666673</v>
      </c>
      <c r="BQ85" s="16">
        <f>Weather!Q97</f>
        <v>2.6125000000000007</v>
      </c>
      <c r="BR85">
        <f t="shared" si="142"/>
        <v>0</v>
      </c>
      <c r="BS85">
        <f t="shared" si="142"/>
        <v>0</v>
      </c>
      <c r="BT85">
        <f t="shared" si="142"/>
        <v>0</v>
      </c>
      <c r="BU85">
        <f t="shared" si="142"/>
        <v>0</v>
      </c>
      <c r="BV85">
        <f t="shared" si="142"/>
        <v>0</v>
      </c>
      <c r="BW85">
        <f t="shared" si="142"/>
        <v>0</v>
      </c>
      <c r="BX85">
        <f t="shared" si="142"/>
        <v>0</v>
      </c>
      <c r="BY85">
        <f t="shared" si="142"/>
        <v>0</v>
      </c>
      <c r="BZ85">
        <f t="shared" si="142"/>
        <v>0</v>
      </c>
      <c r="CA85">
        <f t="shared" si="142"/>
        <v>0</v>
      </c>
      <c r="CB85">
        <f t="shared" si="142"/>
        <v>0</v>
      </c>
      <c r="CC85">
        <f t="shared" si="142"/>
        <v>1</v>
      </c>
      <c r="CD85" s="1">
        <f t="shared" si="142"/>
        <v>0</v>
      </c>
      <c r="CE85">
        <f t="shared" si="143"/>
        <v>0</v>
      </c>
      <c r="CF85" s="1">
        <f t="shared" si="142"/>
        <v>0</v>
      </c>
      <c r="CG85">
        <f t="shared" si="143"/>
        <v>0</v>
      </c>
      <c r="CH85" s="1">
        <f t="shared" si="142"/>
        <v>0</v>
      </c>
      <c r="CI85">
        <f t="shared" si="139"/>
        <v>0</v>
      </c>
      <c r="CJ85">
        <f t="shared" si="140"/>
        <v>0</v>
      </c>
      <c r="CK85">
        <f t="shared" si="142"/>
        <v>0</v>
      </c>
      <c r="CL85">
        <f t="shared" si="144"/>
        <v>0</v>
      </c>
      <c r="CM85" s="1">
        <f t="shared" si="120"/>
        <v>84</v>
      </c>
      <c r="CN85" s="1">
        <f t="shared" si="117"/>
        <v>36</v>
      </c>
      <c r="CO85" s="1">
        <f t="shared" si="130"/>
        <v>24</v>
      </c>
      <c r="CP85" s="1">
        <f t="shared" si="141"/>
        <v>12</v>
      </c>
      <c r="CQ85" s="1">
        <v>0</v>
      </c>
      <c r="CR85" s="1">
        <f t="shared" si="131"/>
        <v>24</v>
      </c>
      <c r="CS85">
        <f t="shared" si="116"/>
        <v>31</v>
      </c>
      <c r="CT85" s="1">
        <v>19</v>
      </c>
      <c r="CU85" s="1">
        <v>0</v>
      </c>
      <c r="CV85" s="1">
        <v>0</v>
      </c>
      <c r="CW85" s="1">
        <v>0</v>
      </c>
      <c r="CX85" s="1">
        <v>0.25</v>
      </c>
      <c r="CY85" s="1">
        <v>0</v>
      </c>
      <c r="CZ85" s="10">
        <f t="shared" si="87"/>
        <v>0</v>
      </c>
      <c r="DA85" s="10">
        <f t="shared" si="88"/>
        <v>0</v>
      </c>
      <c r="DB85" s="10">
        <f t="shared" si="89"/>
        <v>0</v>
      </c>
      <c r="DC85" s="10">
        <f t="shared" si="90"/>
        <v>0</v>
      </c>
      <c r="DD85" s="10">
        <f t="shared" si="91"/>
        <v>0</v>
      </c>
      <c r="DE85" s="10">
        <f t="shared" si="92"/>
        <v>0</v>
      </c>
      <c r="DF85" s="10">
        <f t="shared" si="93"/>
        <v>0</v>
      </c>
      <c r="DG85" s="10">
        <f t="shared" si="94"/>
        <v>0</v>
      </c>
      <c r="DH85" s="10">
        <f t="shared" si="95"/>
        <v>0</v>
      </c>
      <c r="DI85" s="10">
        <f t="shared" si="96"/>
        <v>0</v>
      </c>
      <c r="DJ85" s="10">
        <f t="shared" si="97"/>
        <v>0</v>
      </c>
      <c r="DK85" s="10">
        <f t="shared" si="98"/>
        <v>0</v>
      </c>
      <c r="DL85" s="10">
        <f t="shared" si="99"/>
        <v>0</v>
      </c>
      <c r="DM85" s="10">
        <f t="shared" si="100"/>
        <v>0</v>
      </c>
      <c r="DN85" s="10">
        <f t="shared" si="101"/>
        <v>135.52604166666666</v>
      </c>
      <c r="DO85" s="10">
        <f t="shared" si="102"/>
        <v>0</v>
      </c>
      <c r="DP85" s="10">
        <f t="shared" si="103"/>
        <v>120.02604166666669</v>
      </c>
      <c r="DQ85" s="10">
        <f t="shared" si="104"/>
        <v>0</v>
      </c>
      <c r="DR85" s="10">
        <f t="shared" si="105"/>
        <v>104.52604166666669</v>
      </c>
      <c r="DS85" s="10">
        <f t="shared" si="106"/>
        <v>0</v>
      </c>
      <c r="DT85" s="10">
        <f t="shared" si="107"/>
        <v>89.026041666666686</v>
      </c>
      <c r="DU85" s="10">
        <f t="shared" si="108"/>
        <v>0</v>
      </c>
      <c r="DV85" s="10">
        <f t="shared" si="109"/>
        <v>73.526041666666671</v>
      </c>
      <c r="DW85" s="10">
        <f t="shared" si="110"/>
        <v>0</v>
      </c>
      <c r="DX85" s="10">
        <f t="shared" si="111"/>
        <v>58.179166666666674</v>
      </c>
      <c r="DY85" s="10">
        <f t="shared" si="112"/>
        <v>0.15312500000000018</v>
      </c>
      <c r="DZ85" s="10">
        <f t="shared" si="113"/>
        <v>43.179166666666681</v>
      </c>
      <c r="EA85" s="10">
        <f t="shared" si="114"/>
        <v>0.65312500000000018</v>
      </c>
      <c r="EB85" s="44">
        <f t="shared" si="132"/>
        <v>656.58816480846974</v>
      </c>
      <c r="EC85" s="44">
        <f t="shared" si="129"/>
        <v>21.18026338091838</v>
      </c>
      <c r="ED85" s="44">
        <f t="shared" si="133"/>
        <v>3226686.0445026294</v>
      </c>
      <c r="EE85" s="44">
        <f t="shared" si="134"/>
        <v>2660.9967671714958</v>
      </c>
      <c r="EF85" s="44">
        <f t="shared" si="122"/>
        <v>85.838605392628892</v>
      </c>
      <c r="EG85" s="44">
        <f t="shared" si="135"/>
        <v>1138305.7461116519</v>
      </c>
      <c r="EH85" s="44">
        <f t="shared" si="136"/>
        <v>80959.848843966814</v>
      </c>
      <c r="EI85" s="44">
        <f t="shared" si="123"/>
        <v>2611.6080272247359</v>
      </c>
      <c r="EJ85" s="44">
        <f t="shared" si="125"/>
        <v>3855.2308973317531</v>
      </c>
      <c r="EK85" s="44">
        <f t="shared" si="124"/>
        <v>3831228.975938688</v>
      </c>
      <c r="EL85" s="44">
        <f t="shared" si="126"/>
        <v>5655623.7263856819</v>
      </c>
    </row>
    <row r="86" spans="1:142" x14ac:dyDescent="0.2">
      <c r="A86" s="66">
        <v>45292</v>
      </c>
      <c r="B86" s="4">
        <f t="shared" si="118"/>
        <v>2024</v>
      </c>
      <c r="C86" s="4">
        <f t="shared" si="119"/>
        <v>1</v>
      </c>
      <c r="D86" s="44">
        <v>105724237.50793099</v>
      </c>
      <c r="E86" s="44">
        <f>IFERROR(VLOOKUP($B86-1,CDM!$L$7:$T$18,2,FALSE)/12,0)+IFERROR(VLOOKUP($B86,CDM!$L$37:$O$47,2,FALSE)/24,0)+IFERROR(VLOOKUP($B86,CDM!$L$37:$O$47,2,FALSE)/2*$C86/78,0)</f>
        <v>2263033.6421564235</v>
      </c>
      <c r="F86" s="44">
        <f t="shared" si="79"/>
        <v>107987271.15008742</v>
      </c>
      <c r="G86" s="488">
        <v>152450</v>
      </c>
      <c r="H86" s="44">
        <v>36669923.6372291</v>
      </c>
      <c r="I86" s="44">
        <f>IFERROR(VLOOKUP($B86-1,CDM!$L$7:$T$18,3,FALSE)/12,0)+IFERROR(VLOOKUP($B86,CDM!$L$37:$O$47,3,FALSE)/24,0)+IFERROR(VLOOKUP($B86,CDM!$L$37:$O$47,3,FALSE)/2*$C86/78,0)</f>
        <v>1549952.0441583144</v>
      </c>
      <c r="J86" s="44">
        <f t="shared" si="80"/>
        <v>38219875.681387417</v>
      </c>
      <c r="K86" s="44">
        <v>13260</v>
      </c>
      <c r="L86" s="44">
        <v>122233563.013834</v>
      </c>
      <c r="M86" s="44">
        <f>IFERROR(VLOOKUP($B86-1,CDM!$L$7:$T$18,4,FALSE)/12,0)+IFERROR(VLOOKUP($B86,CDM!$L$37:$O$47,4,FALSE)/24,0)+IFERROR(VLOOKUP($B86,CDM!$L$37:$O$47,4,FALSE)/2*$C86/78,0)</f>
        <v>7925545.6531992136</v>
      </c>
      <c r="N86" s="44">
        <f t="shared" si="81"/>
        <v>130159108.66703321</v>
      </c>
      <c r="O86" s="44">
        <v>286493.26</v>
      </c>
      <c r="P86" s="488">
        <v>1481</v>
      </c>
      <c r="Q86" s="488">
        <v>3995000.3450821098</v>
      </c>
      <c r="R86" s="488">
        <f>IFERROR(VLOOKUP($B86-1,CDM!$L$7:$T$18,5,FALSE)/12,0)+IFERROR(VLOOKUP($B86,CDM!$L$37:$T$47,5,FALSE)/24,0)+IFERROR(VLOOKUP($B86,CDM!$L$37:$T$47,5,FALSE)/2*$C86/78,0)</f>
        <v>139836.14967347216</v>
      </c>
      <c r="S86" s="488">
        <f t="shared" si="137"/>
        <v>4134836.494755582</v>
      </c>
      <c r="T86" s="44">
        <v>4887.53</v>
      </c>
      <c r="U86" s="488">
        <v>7</v>
      </c>
      <c r="V86" s="488">
        <v>12765532.0283396</v>
      </c>
      <c r="W86" s="488">
        <f>IFERROR(VLOOKUP($B86-1,CDM!$L$7:$T$18,6,FALSE)/12,0)+IFERROR(VLOOKUP($B86,CDM!$L$37:$T$47,6,FALSE)/24,0)+IFERROR(VLOOKUP($B86,CDM!$L$37:$T$47,6,FALSE)/2*$C86/78,0)</f>
        <v>1495057.696145924</v>
      </c>
      <c r="X86" s="488">
        <f t="shared" si="138"/>
        <v>14260589.724485524</v>
      </c>
      <c r="Y86" s="488">
        <v>21866.6</v>
      </c>
      <c r="Z86" s="488">
        <v>2</v>
      </c>
      <c r="AA86" s="44">
        <v>1805132.33</v>
      </c>
      <c r="AB86" s="44">
        <v>4040.95</v>
      </c>
      <c r="AC86" s="488">
        <v>40063</v>
      </c>
      <c r="AD86" s="44">
        <v>457719.18999999994</v>
      </c>
      <c r="AE86" s="44">
        <v>1564</v>
      </c>
      <c r="AF86" s="44">
        <v>42810.649999999987</v>
      </c>
      <c r="AG86" s="44">
        <v>117.17</v>
      </c>
      <c r="AH86" s="44">
        <v>496</v>
      </c>
      <c r="AI86" s="44">
        <v>16400</v>
      </c>
      <c r="AJ86" s="68">
        <f>Economic!H100</f>
        <v>889453.6</v>
      </c>
      <c r="AK86" s="68">
        <f>Economic!I100</f>
        <v>89520.3</v>
      </c>
      <c r="AL86" s="68">
        <f>Economic!J100</f>
        <v>38651.800000000003</v>
      </c>
      <c r="AM86" s="68">
        <f>Economic!K100</f>
        <v>92987.6</v>
      </c>
      <c r="AN86" s="68">
        <f>Economic!L100</f>
        <v>77142.5</v>
      </c>
      <c r="AO86" s="68">
        <f>Economic!M100</f>
        <v>885802</v>
      </c>
      <c r="AP86" s="68">
        <f>Economic!N100</f>
        <v>90917</v>
      </c>
      <c r="AQ86" s="68">
        <f>Economic!O100</f>
        <v>14070</v>
      </c>
      <c r="AR86" s="68">
        <f>Economic!P100</f>
        <v>39509</v>
      </c>
      <c r="AS86" s="68">
        <f>Economic!Q100</f>
        <v>91331</v>
      </c>
      <c r="AT86" s="68">
        <f>Economic!D100</f>
        <v>8056</v>
      </c>
      <c r="AU86" s="68">
        <f>Economic!E100</f>
        <v>8019.7</v>
      </c>
      <c r="AV86" s="68">
        <f>Economic!F100</f>
        <v>322.2</v>
      </c>
      <c r="AW86" s="68">
        <f>Economic!G100</f>
        <v>319.2</v>
      </c>
      <c r="AX86" s="68">
        <f>Economic!W100</f>
        <v>18706</v>
      </c>
      <c r="AY86" s="68">
        <f>Economic!R100</f>
        <v>191.39999999999964</v>
      </c>
      <c r="AZ86" s="68">
        <f>Economic!W100</f>
        <v>18706</v>
      </c>
      <c r="BA86" s="68">
        <f>Economic!X100</f>
        <v>-2972</v>
      </c>
      <c r="BB86" s="68">
        <f>Economic!Y100</f>
        <v>4247</v>
      </c>
      <c r="BC86" s="236">
        <f>Weather!C98</f>
        <v>-3.1178091397849466</v>
      </c>
      <c r="BD86" s="16">
        <f>Weather!D98</f>
        <v>716.65208333333339</v>
      </c>
      <c r="BE86" s="16">
        <f>Weather!E98</f>
        <v>0</v>
      </c>
      <c r="BF86" s="16">
        <f>Weather!F98</f>
        <v>654.65208333333351</v>
      </c>
      <c r="BG86" s="16">
        <f>Weather!G98</f>
        <v>0</v>
      </c>
      <c r="BH86" s="16">
        <f>Weather!H98</f>
        <v>592.65208333333339</v>
      </c>
      <c r="BI86" s="16">
        <f>Weather!I98</f>
        <v>0</v>
      </c>
      <c r="BJ86" s="16">
        <f>Weather!J98</f>
        <v>530.65208333333339</v>
      </c>
      <c r="BK86" s="16">
        <f>Weather!K98</f>
        <v>0</v>
      </c>
      <c r="BL86" s="16">
        <f>Weather!L98</f>
        <v>468.65208333333322</v>
      </c>
      <c r="BM86" s="16">
        <f>Weather!M98</f>
        <v>0</v>
      </c>
      <c r="BN86" s="16">
        <f>Weather!N98</f>
        <v>406.65208333333334</v>
      </c>
      <c r="BO86" s="16">
        <f>Weather!O98</f>
        <v>0</v>
      </c>
      <c r="BP86" s="16">
        <f>Weather!P98</f>
        <v>344.65208333333334</v>
      </c>
      <c r="BQ86" s="16">
        <f>Weather!Q98</f>
        <v>0</v>
      </c>
      <c r="BR86">
        <f t="shared" si="142"/>
        <v>1</v>
      </c>
      <c r="BS86">
        <f t="shared" si="142"/>
        <v>0</v>
      </c>
      <c r="BT86">
        <f t="shared" si="142"/>
        <v>0</v>
      </c>
      <c r="BU86">
        <f t="shared" si="142"/>
        <v>0</v>
      </c>
      <c r="BV86">
        <f t="shared" si="142"/>
        <v>0</v>
      </c>
      <c r="BW86">
        <f t="shared" si="142"/>
        <v>0</v>
      </c>
      <c r="BX86">
        <f t="shared" si="142"/>
        <v>0</v>
      </c>
      <c r="BY86">
        <f t="shared" si="142"/>
        <v>0</v>
      </c>
      <c r="BZ86">
        <f t="shared" si="142"/>
        <v>0</v>
      </c>
      <c r="CA86">
        <f t="shared" si="142"/>
        <v>0</v>
      </c>
      <c r="CB86">
        <f t="shared" si="142"/>
        <v>0</v>
      </c>
      <c r="CC86">
        <f t="shared" si="142"/>
        <v>0</v>
      </c>
      <c r="CD86" s="1">
        <f t="shared" si="142"/>
        <v>0</v>
      </c>
      <c r="CE86">
        <f t="shared" si="143"/>
        <v>0</v>
      </c>
      <c r="CF86" s="1">
        <f t="shared" si="142"/>
        <v>0</v>
      </c>
      <c r="CG86">
        <f t="shared" si="143"/>
        <v>0</v>
      </c>
      <c r="CH86" s="1">
        <f t="shared" si="142"/>
        <v>0</v>
      </c>
      <c r="CI86">
        <f t="shared" si="139"/>
        <v>0</v>
      </c>
      <c r="CJ86">
        <f t="shared" si="140"/>
        <v>0</v>
      </c>
      <c r="CK86">
        <f t="shared" si="142"/>
        <v>0</v>
      </c>
      <c r="CL86">
        <f t="shared" si="144"/>
        <v>0</v>
      </c>
      <c r="CM86" s="1">
        <f t="shared" si="120"/>
        <v>85</v>
      </c>
      <c r="CN86" s="1">
        <f t="shared" si="117"/>
        <v>37</v>
      </c>
      <c r="CO86" s="1">
        <f t="shared" si="130"/>
        <v>25</v>
      </c>
      <c r="CP86" s="1">
        <f t="shared" si="141"/>
        <v>13</v>
      </c>
      <c r="CQ86" s="1">
        <f t="shared" si="131"/>
        <v>1</v>
      </c>
      <c r="CR86" s="1">
        <f t="shared" si="131"/>
        <v>25</v>
      </c>
      <c r="CS86">
        <f t="shared" si="116"/>
        <v>31</v>
      </c>
      <c r="CT86" s="1">
        <v>22</v>
      </c>
      <c r="CU86" s="1">
        <v>0</v>
      </c>
      <c r="CV86" s="1">
        <v>0</v>
      </c>
      <c r="CW86" s="1">
        <v>0</v>
      </c>
      <c r="CX86" s="1">
        <v>0.25</v>
      </c>
      <c r="CY86" s="1">
        <v>0</v>
      </c>
      <c r="CZ86" s="10">
        <f t="shared" si="87"/>
        <v>0</v>
      </c>
      <c r="DA86" s="10">
        <f t="shared" si="88"/>
        <v>0</v>
      </c>
      <c r="DB86" s="10">
        <f t="shared" si="89"/>
        <v>0</v>
      </c>
      <c r="DC86" s="10">
        <f t="shared" si="90"/>
        <v>0</v>
      </c>
      <c r="DD86" s="10">
        <f t="shared" si="91"/>
        <v>0</v>
      </c>
      <c r="DE86" s="10">
        <f t="shared" si="92"/>
        <v>0</v>
      </c>
      <c r="DF86" s="10">
        <f t="shared" si="93"/>
        <v>0</v>
      </c>
      <c r="DG86" s="10">
        <f t="shared" si="94"/>
        <v>0</v>
      </c>
      <c r="DH86" s="10">
        <f t="shared" si="95"/>
        <v>0</v>
      </c>
      <c r="DI86" s="10">
        <f t="shared" si="96"/>
        <v>0</v>
      </c>
      <c r="DJ86" s="10">
        <f t="shared" si="97"/>
        <v>0</v>
      </c>
      <c r="DK86" s="10">
        <f t="shared" si="98"/>
        <v>0</v>
      </c>
      <c r="DL86" s="10">
        <f t="shared" si="99"/>
        <v>0</v>
      </c>
      <c r="DM86" s="10">
        <f t="shared" si="100"/>
        <v>0</v>
      </c>
      <c r="DN86" s="10">
        <f t="shared" si="101"/>
        <v>179.16302083333335</v>
      </c>
      <c r="DO86" s="10">
        <f t="shared" si="102"/>
        <v>0</v>
      </c>
      <c r="DP86" s="10">
        <f t="shared" si="103"/>
        <v>163.66302083333338</v>
      </c>
      <c r="DQ86" s="10">
        <f t="shared" si="104"/>
        <v>0</v>
      </c>
      <c r="DR86" s="10">
        <f t="shared" si="105"/>
        <v>148.16302083333335</v>
      </c>
      <c r="DS86" s="10">
        <f t="shared" si="106"/>
        <v>0</v>
      </c>
      <c r="DT86" s="10">
        <f t="shared" si="107"/>
        <v>132.66302083333335</v>
      </c>
      <c r="DU86" s="10">
        <f t="shared" si="108"/>
        <v>0</v>
      </c>
      <c r="DV86" s="10">
        <f t="shared" si="109"/>
        <v>117.16302083333331</v>
      </c>
      <c r="DW86" s="10">
        <f t="shared" si="110"/>
        <v>0</v>
      </c>
      <c r="DX86" s="10">
        <f t="shared" si="111"/>
        <v>101.66302083333333</v>
      </c>
      <c r="DY86" s="10">
        <f t="shared" si="112"/>
        <v>0</v>
      </c>
      <c r="DZ86" s="10">
        <f t="shared" si="113"/>
        <v>86.163020833333334</v>
      </c>
      <c r="EA86" s="10">
        <f t="shared" si="114"/>
        <v>0</v>
      </c>
      <c r="EB86" s="44">
        <f t="shared" si="132"/>
        <v>708.34549786872685</v>
      </c>
      <c r="EC86" s="44">
        <f t="shared" si="129"/>
        <v>22.849854769958931</v>
      </c>
      <c r="ED86" s="44">
        <f t="shared" si="133"/>
        <v>3483460.3596802391</v>
      </c>
      <c r="EE86" s="44">
        <f t="shared" si="134"/>
        <v>2882.3435657154914</v>
      </c>
      <c r="EF86" s="44">
        <f t="shared" si="122"/>
        <v>92.978824700499729</v>
      </c>
      <c r="EG86" s="44">
        <f t="shared" si="135"/>
        <v>1232899.2155286265</v>
      </c>
      <c r="EH86" s="44">
        <f t="shared" si="136"/>
        <v>87885.961287665908</v>
      </c>
      <c r="EI86" s="44">
        <f t="shared" si="123"/>
        <v>2835.0310092795453</v>
      </c>
      <c r="EJ86" s="44">
        <f t="shared" si="125"/>
        <v>4394.2980643832952</v>
      </c>
      <c r="EK86" s="44">
        <f t="shared" si="124"/>
        <v>4198680.9247430069</v>
      </c>
      <c r="EL86" s="44">
        <f t="shared" si="126"/>
        <v>6507955.4333516601</v>
      </c>
    </row>
    <row r="87" spans="1:142" x14ac:dyDescent="0.2">
      <c r="A87" s="66">
        <v>45323</v>
      </c>
      <c r="B87" s="4">
        <f t="shared" si="118"/>
        <v>2024</v>
      </c>
      <c r="C87" s="4">
        <f t="shared" si="119"/>
        <v>2</v>
      </c>
      <c r="D87" s="44">
        <v>90968259.111988902</v>
      </c>
      <c r="E87" s="44">
        <f>IFERROR(VLOOKUP($B87-1,CDM!$L$7:$T$18,2,FALSE)/12,0)+IFERROR(VLOOKUP($B87,CDM!$L$37:$O$47,2,FALSE)/24,0)+IFERROR(VLOOKUP($B87,CDM!$L$37:$O$47,2,FALSE)/2*$C87/78,0)</f>
        <v>2268804.7727580834</v>
      </c>
      <c r="F87" s="44">
        <f t="shared" si="79"/>
        <v>93237063.884746984</v>
      </c>
      <c r="G87" s="488">
        <v>152507</v>
      </c>
      <c r="H87" s="44">
        <v>32687265.0364866</v>
      </c>
      <c r="I87" s="44">
        <f>IFERROR(VLOOKUP($B87-1,CDM!$L$7:$T$18,3,FALSE)/12,0)+IFERROR(VLOOKUP($B87,CDM!$L$37:$O$47,3,FALSE)/24,0)+IFERROR(VLOOKUP($B87,CDM!$L$37:$O$47,3,FALSE)/2*$C87/78,0)</f>
        <v>1570714.1208523517</v>
      </c>
      <c r="J87" s="44">
        <f t="shared" si="80"/>
        <v>34257979.157338955</v>
      </c>
      <c r="K87" s="44">
        <v>13273</v>
      </c>
      <c r="L87" s="44">
        <v>111865548.38297801</v>
      </c>
      <c r="M87" s="44">
        <f>IFERROR(VLOOKUP($B87-1,CDM!$L$7:$T$18,4,FALSE)/12,0)+IFERROR(VLOOKUP($B87,CDM!$L$37:$O$47,4,FALSE)/24,0)+IFERROR(VLOOKUP($B87,CDM!$L$37:$O$47,4,FALSE)/2*$C87/78,0)</f>
        <v>7974934.5009558778</v>
      </c>
      <c r="N87" s="44">
        <f t="shared" si="81"/>
        <v>119840482.88393389</v>
      </c>
      <c r="O87" s="44">
        <v>278728.90000000002</v>
      </c>
      <c r="P87" s="488">
        <v>1482</v>
      </c>
      <c r="Q87" s="488">
        <v>3198998.33371225</v>
      </c>
      <c r="R87" s="488">
        <f>IFERROR(VLOOKUP($B87-1,CDM!$L$7:$T$18,5,FALSE)/12,0)+IFERROR(VLOOKUP($B87,CDM!$L$37:$T$47,5,FALSE)/24,0)+IFERROR(VLOOKUP($B87,CDM!$L$37:$T$47,5,FALSE)/2*$C87/78,0)</f>
        <v>141373.54513608155</v>
      </c>
      <c r="S87" s="488">
        <f t="shared" si="137"/>
        <v>3340371.8788483315</v>
      </c>
      <c r="T87" s="44">
        <v>4891.16</v>
      </c>
      <c r="U87" s="488">
        <v>7</v>
      </c>
      <c r="V87" s="488">
        <v>11787232.285973901</v>
      </c>
      <c r="W87" s="488">
        <f>IFERROR(VLOOKUP($B87-1,CDM!$L$7:$T$18,6,FALSE)/12,0)+IFERROR(VLOOKUP($B87,CDM!$L$37:$T$47,6,FALSE)/24,0)+IFERROR(VLOOKUP($B87,CDM!$L$37:$T$47,6,FALSE)/2*$C87/78,0)</f>
        <v>1496561.8419853381</v>
      </c>
      <c r="X87" s="488">
        <f t="shared" si="138"/>
        <v>13283794.127959238</v>
      </c>
      <c r="Y87" s="488">
        <v>21962.32</v>
      </c>
      <c r="Z87" s="488">
        <v>2</v>
      </c>
      <c r="AA87" s="44">
        <v>1572491.13</v>
      </c>
      <c r="AB87" s="44">
        <v>4040.52</v>
      </c>
      <c r="AC87" s="488">
        <v>40049</v>
      </c>
      <c r="AD87" s="44">
        <v>418353.00999999995</v>
      </c>
      <c r="AE87" s="44">
        <v>1568</v>
      </c>
      <c r="AF87" s="44">
        <v>40465.459999999992</v>
      </c>
      <c r="AG87" s="44">
        <v>116.96</v>
      </c>
      <c r="AH87" s="44">
        <v>496</v>
      </c>
      <c r="AI87" s="44">
        <v>16400</v>
      </c>
      <c r="AJ87" s="68">
        <f>Economic!H101</f>
        <v>889453.6</v>
      </c>
      <c r="AK87" s="68">
        <f>Economic!I101</f>
        <v>89520.3</v>
      </c>
      <c r="AL87" s="68">
        <f>Economic!J101</f>
        <v>38651.800000000003</v>
      </c>
      <c r="AM87" s="68">
        <f>Economic!K101</f>
        <v>92987.6</v>
      </c>
      <c r="AN87" s="68">
        <f>Economic!L101</f>
        <v>77142.5</v>
      </c>
      <c r="AO87" s="68">
        <f>Economic!M101</f>
        <v>885802</v>
      </c>
      <c r="AP87" s="68">
        <f>Economic!N101</f>
        <v>90917</v>
      </c>
      <c r="AQ87" s="68">
        <f>Economic!O101</f>
        <v>14070</v>
      </c>
      <c r="AR87" s="68">
        <f>Economic!P101</f>
        <v>39509</v>
      </c>
      <c r="AS87" s="68">
        <f>Economic!Q101</f>
        <v>91331</v>
      </c>
      <c r="AT87" s="68">
        <f>Economic!D101</f>
        <v>8055.7</v>
      </c>
      <c r="AU87" s="68">
        <f>Economic!E101</f>
        <v>7991.4</v>
      </c>
      <c r="AV87" s="68">
        <f>Economic!F101</f>
        <v>321</v>
      </c>
      <c r="AW87" s="68">
        <f>Economic!G101</f>
        <v>318</v>
      </c>
      <c r="AX87" s="68">
        <f>Economic!W101</f>
        <v>18706</v>
      </c>
      <c r="AY87" s="68">
        <f>Economic!R101</f>
        <v>151.30000000000018</v>
      </c>
      <c r="AZ87" s="68">
        <f>Economic!W101</f>
        <v>18706</v>
      </c>
      <c r="BA87" s="68">
        <f>Economic!X101</f>
        <v>-2972</v>
      </c>
      <c r="BB87" s="68">
        <f>Economic!Y101</f>
        <v>4247</v>
      </c>
      <c r="BC87" s="236">
        <f>Weather!C99</f>
        <v>-4.0014367816091842E-2</v>
      </c>
      <c r="BD87" s="16">
        <f>Weather!D99</f>
        <v>581.16041666666661</v>
      </c>
      <c r="BE87" s="16">
        <f>Weather!E99</f>
        <v>0</v>
      </c>
      <c r="BF87" s="16">
        <f>Weather!F99</f>
        <v>523.16041666666661</v>
      </c>
      <c r="BG87" s="16">
        <f>Weather!G99</f>
        <v>0</v>
      </c>
      <c r="BH87" s="16">
        <f>Weather!H99</f>
        <v>465.16041666666661</v>
      </c>
      <c r="BI87" s="16">
        <f>Weather!I99</f>
        <v>0</v>
      </c>
      <c r="BJ87" s="16">
        <f>Weather!J99</f>
        <v>407.16041666666661</v>
      </c>
      <c r="BK87" s="16">
        <f>Weather!K99</f>
        <v>0</v>
      </c>
      <c r="BL87" s="16">
        <f>Weather!L99</f>
        <v>349.16041666666655</v>
      </c>
      <c r="BM87" s="16">
        <f>Weather!M99</f>
        <v>0</v>
      </c>
      <c r="BN87" s="16">
        <f>Weather!N99</f>
        <v>291.51874999999995</v>
      </c>
      <c r="BO87" s="16">
        <f>Weather!O99</f>
        <v>0.35833333333333428</v>
      </c>
      <c r="BP87" s="16">
        <f>Weather!P99</f>
        <v>235.97916666666674</v>
      </c>
      <c r="BQ87" s="16">
        <f>Weather!Q99</f>
        <v>2.8187500000000014</v>
      </c>
      <c r="BR87">
        <f t="shared" si="142"/>
        <v>0</v>
      </c>
      <c r="BS87">
        <f t="shared" si="142"/>
        <v>1</v>
      </c>
      <c r="BT87">
        <f t="shared" si="142"/>
        <v>0</v>
      </c>
      <c r="BU87">
        <f t="shared" si="142"/>
        <v>0</v>
      </c>
      <c r="BV87">
        <f t="shared" si="142"/>
        <v>0</v>
      </c>
      <c r="BW87">
        <f t="shared" si="142"/>
        <v>0</v>
      </c>
      <c r="BX87">
        <f t="shared" si="142"/>
        <v>0</v>
      </c>
      <c r="BY87">
        <f t="shared" si="142"/>
        <v>0</v>
      </c>
      <c r="BZ87">
        <f t="shared" si="142"/>
        <v>0</v>
      </c>
      <c r="CA87">
        <f t="shared" si="142"/>
        <v>0</v>
      </c>
      <c r="CB87">
        <f t="shared" si="142"/>
        <v>0</v>
      </c>
      <c r="CC87">
        <f t="shared" si="142"/>
        <v>0</v>
      </c>
      <c r="CD87" s="1">
        <f t="shared" si="142"/>
        <v>0</v>
      </c>
      <c r="CE87">
        <f t="shared" si="143"/>
        <v>0</v>
      </c>
      <c r="CF87" s="1">
        <f t="shared" si="142"/>
        <v>0</v>
      </c>
      <c r="CG87">
        <f t="shared" si="143"/>
        <v>0</v>
      </c>
      <c r="CH87" s="1">
        <f t="shared" si="142"/>
        <v>0</v>
      </c>
      <c r="CI87">
        <f t="shared" si="139"/>
        <v>0</v>
      </c>
      <c r="CJ87">
        <f t="shared" si="140"/>
        <v>0</v>
      </c>
      <c r="CK87">
        <f t="shared" si="142"/>
        <v>0</v>
      </c>
      <c r="CL87">
        <f t="shared" si="144"/>
        <v>0</v>
      </c>
      <c r="CM87" s="1">
        <f t="shared" si="120"/>
        <v>86</v>
      </c>
      <c r="CN87" s="1">
        <f t="shared" si="117"/>
        <v>38</v>
      </c>
      <c r="CO87" s="1">
        <f t="shared" si="130"/>
        <v>26</v>
      </c>
      <c r="CP87" s="1">
        <f t="shared" si="141"/>
        <v>14</v>
      </c>
      <c r="CQ87" s="1">
        <f t="shared" si="131"/>
        <v>2</v>
      </c>
      <c r="CR87" s="1">
        <f t="shared" si="131"/>
        <v>26</v>
      </c>
      <c r="CS87">
        <f t="shared" si="116"/>
        <v>29</v>
      </c>
      <c r="CT87" s="1">
        <v>20</v>
      </c>
      <c r="CU87" s="1">
        <v>0</v>
      </c>
      <c r="CV87" s="1">
        <v>0</v>
      </c>
      <c r="CW87" s="1">
        <v>0</v>
      </c>
      <c r="CX87" s="1">
        <v>0.25</v>
      </c>
      <c r="CY87" s="1">
        <v>0</v>
      </c>
      <c r="CZ87" s="10">
        <f t="shared" si="87"/>
        <v>0</v>
      </c>
      <c r="DA87" s="10">
        <f t="shared" si="88"/>
        <v>0</v>
      </c>
      <c r="DB87" s="10">
        <f t="shared" si="89"/>
        <v>0</v>
      </c>
      <c r="DC87" s="10">
        <f t="shared" si="90"/>
        <v>0</v>
      </c>
      <c r="DD87" s="10">
        <f t="shared" si="91"/>
        <v>0</v>
      </c>
      <c r="DE87" s="10">
        <f t="shared" si="92"/>
        <v>0</v>
      </c>
      <c r="DF87" s="10">
        <f t="shared" si="93"/>
        <v>0</v>
      </c>
      <c r="DG87" s="10">
        <f t="shared" si="94"/>
        <v>0</v>
      </c>
      <c r="DH87" s="10">
        <f t="shared" si="95"/>
        <v>0</v>
      </c>
      <c r="DI87" s="10">
        <f t="shared" si="96"/>
        <v>0</v>
      </c>
      <c r="DJ87" s="10">
        <f t="shared" si="97"/>
        <v>0</v>
      </c>
      <c r="DK87" s="10">
        <f t="shared" si="98"/>
        <v>0</v>
      </c>
      <c r="DL87" s="10">
        <f t="shared" si="99"/>
        <v>0</v>
      </c>
      <c r="DM87" s="10">
        <f t="shared" si="100"/>
        <v>0</v>
      </c>
      <c r="DN87" s="10">
        <f t="shared" si="101"/>
        <v>145.29010416666665</v>
      </c>
      <c r="DO87" s="10">
        <f t="shared" si="102"/>
        <v>0</v>
      </c>
      <c r="DP87" s="10">
        <f t="shared" si="103"/>
        <v>130.79010416666665</v>
      </c>
      <c r="DQ87" s="10">
        <f t="shared" si="104"/>
        <v>0</v>
      </c>
      <c r="DR87" s="10">
        <f t="shared" si="105"/>
        <v>116.29010416666665</v>
      </c>
      <c r="DS87" s="10">
        <f t="shared" si="106"/>
        <v>0</v>
      </c>
      <c r="DT87" s="10">
        <f t="shared" si="107"/>
        <v>101.79010416666665</v>
      </c>
      <c r="DU87" s="10">
        <f t="shared" si="108"/>
        <v>0</v>
      </c>
      <c r="DV87" s="10">
        <f t="shared" si="109"/>
        <v>87.290104166666637</v>
      </c>
      <c r="DW87" s="10">
        <f t="shared" si="110"/>
        <v>0</v>
      </c>
      <c r="DX87" s="10">
        <f t="shared" si="111"/>
        <v>72.879687499999989</v>
      </c>
      <c r="DY87" s="10">
        <f t="shared" si="112"/>
        <v>8.958333333333357E-2</v>
      </c>
      <c r="DZ87" s="10">
        <f t="shared" si="113"/>
        <v>58.994791666666686</v>
      </c>
      <c r="EA87" s="10">
        <f t="shared" si="114"/>
        <v>0.70468750000000036</v>
      </c>
      <c r="EB87" s="44">
        <f t="shared" si="132"/>
        <v>611.36252030888409</v>
      </c>
      <c r="EC87" s="44">
        <f t="shared" si="129"/>
        <v>21.081466217547728</v>
      </c>
      <c r="ED87" s="44">
        <f t="shared" si="133"/>
        <v>3215071.1684395513</v>
      </c>
      <c r="EE87" s="44">
        <f t="shared" si="134"/>
        <v>2581.0275866299221</v>
      </c>
      <c r="EF87" s="44">
        <f t="shared" si="122"/>
        <v>89.00095126310076</v>
      </c>
      <c r="EG87" s="44">
        <f t="shared" si="135"/>
        <v>1181309.6261151363</v>
      </c>
      <c r="EH87" s="44">
        <f t="shared" si="136"/>
        <v>80864.023538416921</v>
      </c>
      <c r="EI87" s="44">
        <f t="shared" si="123"/>
        <v>2788.4146047729973</v>
      </c>
      <c r="EJ87" s="44">
        <f t="shared" si="125"/>
        <v>4256.0012388640489</v>
      </c>
      <c r="EK87" s="44">
        <f t="shared" si="124"/>
        <v>4132430.4442735822</v>
      </c>
      <c r="EL87" s="44">
        <f t="shared" si="126"/>
        <v>6307393.8359965207</v>
      </c>
    </row>
    <row r="88" spans="1:142" x14ac:dyDescent="0.2">
      <c r="A88" s="66">
        <v>45352</v>
      </c>
      <c r="B88" s="4">
        <f t="shared" si="118"/>
        <v>2024</v>
      </c>
      <c r="C88" s="4">
        <f t="shared" si="119"/>
        <v>3</v>
      </c>
      <c r="D88" s="44">
        <v>91770999.985792905</v>
      </c>
      <c r="E88" s="44">
        <f>IFERROR(VLOOKUP($B88-1,CDM!$L$7:$T$18,2,FALSE)/12,0)+IFERROR(VLOOKUP($B88,CDM!$L$37:$O$47,2,FALSE)/24,0)+IFERROR(VLOOKUP($B88,CDM!$L$37:$O$47,2,FALSE)/2*$C88/78,0)</f>
        <v>2274575.9033597438</v>
      </c>
      <c r="F88" s="44">
        <f t="shared" si="79"/>
        <v>94045575.889152646</v>
      </c>
      <c r="G88" s="488">
        <v>152573</v>
      </c>
      <c r="H88" s="44">
        <v>32935884.987821799</v>
      </c>
      <c r="I88" s="44">
        <f>IFERROR(VLOOKUP($B88-1,CDM!$L$7:$T$18,3,FALSE)/12,0)+IFERROR(VLOOKUP($B88,CDM!$L$37:$O$47,3,FALSE)/24,0)+IFERROR(VLOOKUP($B88,CDM!$L$37:$O$47,3,FALSE)/2*$C88/78,0)</f>
        <v>1591476.1975463892</v>
      </c>
      <c r="J88" s="44">
        <f t="shared" si="80"/>
        <v>34527361.185368188</v>
      </c>
      <c r="K88" s="44">
        <v>13289</v>
      </c>
      <c r="L88" s="44">
        <v>115237747.82445399</v>
      </c>
      <c r="M88" s="44">
        <f>IFERROR(VLOOKUP($B88-1,CDM!$L$7:$T$18,4,FALSE)/12,0)+IFERROR(VLOOKUP($B88,CDM!$L$37:$O$47,4,FALSE)/24,0)+IFERROR(VLOOKUP($B88,CDM!$L$37:$O$47,4,FALSE)/2*$C88/78,0)</f>
        <v>8024323.348712543</v>
      </c>
      <c r="N88" s="44">
        <f t="shared" si="81"/>
        <v>123262071.17316654</v>
      </c>
      <c r="O88" s="44">
        <v>279281.46999999997</v>
      </c>
      <c r="P88" s="488">
        <v>1485</v>
      </c>
      <c r="Q88" s="488">
        <v>3428526.4997894899</v>
      </c>
      <c r="R88" s="488">
        <f>IFERROR(VLOOKUP($B88-1,CDM!$L$7:$T$18,5,FALSE)/12,0)+IFERROR(VLOOKUP($B88,CDM!$L$37:$T$47,5,FALSE)/24,0)+IFERROR(VLOOKUP($B88,CDM!$L$37:$T$47,5,FALSE)/2*$C88/78,0)</f>
        <v>142910.94059869097</v>
      </c>
      <c r="S88" s="488">
        <f t="shared" si="137"/>
        <v>3571437.4403881808</v>
      </c>
      <c r="T88" s="44">
        <v>5188.43</v>
      </c>
      <c r="U88" s="488">
        <v>7</v>
      </c>
      <c r="V88" s="488">
        <v>12505230.4207063</v>
      </c>
      <c r="W88" s="488">
        <f>IFERROR(VLOOKUP($B88-1,CDM!$L$7:$T$18,6,FALSE)/12,0)+IFERROR(VLOOKUP($B88,CDM!$L$37:$T$47,6,FALSE)/24,0)+IFERROR(VLOOKUP($B88,CDM!$L$37:$T$47,6,FALSE)/2*$C88/78,0)</f>
        <v>1498065.987824752</v>
      </c>
      <c r="X88" s="488">
        <f t="shared" si="138"/>
        <v>14003296.408531051</v>
      </c>
      <c r="Y88" s="488">
        <v>22005.81</v>
      </c>
      <c r="Z88" s="488">
        <v>2</v>
      </c>
      <c r="AA88" s="44">
        <v>1496965.72</v>
      </c>
      <c r="AB88" s="44">
        <v>4044.32</v>
      </c>
      <c r="AC88" s="488">
        <v>40116</v>
      </c>
      <c r="AD88" s="44">
        <v>462080.66</v>
      </c>
      <c r="AE88" s="44">
        <v>1568</v>
      </c>
      <c r="AF88" s="44">
        <v>44311.969999999987</v>
      </c>
      <c r="AG88" s="44">
        <v>116.9</v>
      </c>
      <c r="AH88" s="44">
        <v>496</v>
      </c>
      <c r="AI88" s="44">
        <v>16400</v>
      </c>
      <c r="AJ88" s="68">
        <f>Economic!H102</f>
        <v>889453.6</v>
      </c>
      <c r="AK88" s="68">
        <f>Economic!I102</f>
        <v>89520.3</v>
      </c>
      <c r="AL88" s="68">
        <f>Economic!J102</f>
        <v>38651.800000000003</v>
      </c>
      <c r="AM88" s="68">
        <f>Economic!K102</f>
        <v>92987.6</v>
      </c>
      <c r="AN88" s="68">
        <f>Economic!L102</f>
        <v>77142.5</v>
      </c>
      <c r="AO88" s="68">
        <f>Economic!M102</f>
        <v>885802</v>
      </c>
      <c r="AP88" s="68">
        <f>Economic!N102</f>
        <v>90917</v>
      </c>
      <c r="AQ88" s="68">
        <f>Economic!O102</f>
        <v>14070</v>
      </c>
      <c r="AR88" s="68">
        <f>Economic!P102</f>
        <v>39509</v>
      </c>
      <c r="AS88" s="68">
        <f>Economic!Q102</f>
        <v>91331</v>
      </c>
      <c r="AT88" s="68">
        <f>Economic!D102</f>
        <v>8075.3</v>
      </c>
      <c r="AU88" s="68">
        <f>Economic!E102</f>
        <v>7988.6</v>
      </c>
      <c r="AV88" s="68">
        <f>Economic!F102</f>
        <v>320.89999999999998</v>
      </c>
      <c r="AW88" s="68">
        <f>Economic!G102</f>
        <v>316.7</v>
      </c>
      <c r="AX88" s="68">
        <f>Economic!W102</f>
        <v>18706</v>
      </c>
      <c r="AY88" s="68">
        <f>Economic!R102</f>
        <v>138.5</v>
      </c>
      <c r="AZ88" s="68">
        <f>Economic!W102</f>
        <v>18706</v>
      </c>
      <c r="BA88" s="68">
        <f>Economic!X102</f>
        <v>-2972</v>
      </c>
      <c r="BB88" s="68">
        <f>Economic!Y102</f>
        <v>4247</v>
      </c>
      <c r="BC88" s="236">
        <f>Weather!C100</f>
        <v>3.2760080645161289</v>
      </c>
      <c r="BD88" s="16">
        <f>Weather!D100</f>
        <v>518.44375000000002</v>
      </c>
      <c r="BE88" s="16">
        <f>Weather!E100</f>
        <v>0</v>
      </c>
      <c r="BF88" s="16">
        <f>Weather!F100</f>
        <v>456.44375000000002</v>
      </c>
      <c r="BG88" s="16">
        <f>Weather!G100</f>
        <v>0</v>
      </c>
      <c r="BH88" s="16">
        <f>Weather!H100</f>
        <v>394.44375000000008</v>
      </c>
      <c r="BI88" s="16">
        <f>Weather!I100</f>
        <v>0</v>
      </c>
      <c r="BJ88" s="16">
        <f>Weather!J100</f>
        <v>332.44375000000008</v>
      </c>
      <c r="BK88" s="16">
        <f>Weather!K100</f>
        <v>0</v>
      </c>
      <c r="BL88" s="16">
        <f>Weather!L100</f>
        <v>270.44375000000002</v>
      </c>
      <c r="BM88" s="16">
        <f>Weather!M100</f>
        <v>0</v>
      </c>
      <c r="BN88" s="16">
        <f>Weather!N100</f>
        <v>211.31666666666666</v>
      </c>
      <c r="BO88" s="16">
        <f>Weather!O100</f>
        <v>2.8729166666666597</v>
      </c>
      <c r="BP88" s="16">
        <f>Weather!P100</f>
        <v>156.82083333333335</v>
      </c>
      <c r="BQ88" s="16">
        <f>Weather!Q100</f>
        <v>10.377083333333326</v>
      </c>
      <c r="BR88">
        <f t="shared" si="142"/>
        <v>0</v>
      </c>
      <c r="BS88">
        <f t="shared" si="142"/>
        <v>0</v>
      </c>
      <c r="BT88">
        <f t="shared" si="142"/>
        <v>1</v>
      </c>
      <c r="BU88">
        <f t="shared" si="142"/>
        <v>0</v>
      </c>
      <c r="BV88">
        <f t="shared" si="142"/>
        <v>0</v>
      </c>
      <c r="BW88">
        <f t="shared" si="142"/>
        <v>0</v>
      </c>
      <c r="BX88">
        <f t="shared" si="142"/>
        <v>0</v>
      </c>
      <c r="BY88">
        <f t="shared" si="142"/>
        <v>0</v>
      </c>
      <c r="BZ88">
        <f t="shared" si="142"/>
        <v>0</v>
      </c>
      <c r="CA88">
        <f t="shared" si="142"/>
        <v>0</v>
      </c>
      <c r="CB88">
        <f t="shared" si="142"/>
        <v>0</v>
      </c>
      <c r="CC88">
        <f t="shared" si="142"/>
        <v>0</v>
      </c>
      <c r="CD88" s="1">
        <f t="shared" si="142"/>
        <v>1</v>
      </c>
      <c r="CE88">
        <f t="shared" si="143"/>
        <v>1</v>
      </c>
      <c r="CF88" s="1">
        <f t="shared" si="142"/>
        <v>0</v>
      </c>
      <c r="CG88">
        <f t="shared" si="143"/>
        <v>0</v>
      </c>
      <c r="CH88" s="1">
        <f t="shared" si="142"/>
        <v>1</v>
      </c>
      <c r="CI88">
        <f t="shared" si="139"/>
        <v>1</v>
      </c>
      <c r="CJ88">
        <f t="shared" si="140"/>
        <v>1</v>
      </c>
      <c r="CK88">
        <f t="shared" si="142"/>
        <v>0</v>
      </c>
      <c r="CL88">
        <f t="shared" si="144"/>
        <v>0</v>
      </c>
      <c r="CM88" s="1">
        <f t="shared" si="120"/>
        <v>87</v>
      </c>
      <c r="CN88" s="1">
        <f t="shared" si="117"/>
        <v>39</v>
      </c>
      <c r="CO88" s="1">
        <f t="shared" si="130"/>
        <v>27</v>
      </c>
      <c r="CP88" s="1">
        <f t="shared" si="141"/>
        <v>15</v>
      </c>
      <c r="CQ88" s="1">
        <f t="shared" si="131"/>
        <v>3</v>
      </c>
      <c r="CR88" s="1">
        <f t="shared" si="131"/>
        <v>27</v>
      </c>
      <c r="CS88">
        <f t="shared" si="116"/>
        <v>31</v>
      </c>
      <c r="CT88" s="1">
        <v>20</v>
      </c>
      <c r="CU88" s="1">
        <v>0</v>
      </c>
      <c r="CV88" s="1">
        <v>0</v>
      </c>
      <c r="CW88" s="1">
        <v>0</v>
      </c>
      <c r="CX88" s="1">
        <v>0.25</v>
      </c>
      <c r="CY88" s="1">
        <v>0</v>
      </c>
      <c r="CZ88" s="10">
        <f t="shared" si="87"/>
        <v>0</v>
      </c>
      <c r="DA88" s="10">
        <f t="shared" si="88"/>
        <v>0</v>
      </c>
      <c r="DB88" s="10">
        <f t="shared" si="89"/>
        <v>0</v>
      </c>
      <c r="DC88" s="10">
        <f t="shared" si="90"/>
        <v>0</v>
      </c>
      <c r="DD88" s="10">
        <f t="shared" si="91"/>
        <v>0</v>
      </c>
      <c r="DE88" s="10">
        <f t="shared" si="92"/>
        <v>0</v>
      </c>
      <c r="DF88" s="10">
        <f t="shared" si="93"/>
        <v>0</v>
      </c>
      <c r="DG88" s="10">
        <f t="shared" si="94"/>
        <v>0</v>
      </c>
      <c r="DH88" s="10">
        <f t="shared" si="95"/>
        <v>0</v>
      </c>
      <c r="DI88" s="10">
        <f t="shared" si="96"/>
        <v>0</v>
      </c>
      <c r="DJ88" s="10">
        <f t="shared" si="97"/>
        <v>0</v>
      </c>
      <c r="DK88" s="10">
        <f t="shared" si="98"/>
        <v>0</v>
      </c>
      <c r="DL88" s="10">
        <f t="shared" si="99"/>
        <v>0</v>
      </c>
      <c r="DM88" s="10">
        <f t="shared" si="100"/>
        <v>0</v>
      </c>
      <c r="DN88" s="10">
        <f t="shared" si="101"/>
        <v>129.61093750000001</v>
      </c>
      <c r="DO88" s="10">
        <f t="shared" si="102"/>
        <v>0</v>
      </c>
      <c r="DP88" s="10">
        <f t="shared" si="103"/>
        <v>114.11093750000001</v>
      </c>
      <c r="DQ88" s="10">
        <f t="shared" si="104"/>
        <v>0</v>
      </c>
      <c r="DR88" s="10">
        <f t="shared" si="105"/>
        <v>98.61093750000002</v>
      </c>
      <c r="DS88" s="10">
        <f t="shared" si="106"/>
        <v>0</v>
      </c>
      <c r="DT88" s="10">
        <f t="shared" si="107"/>
        <v>83.11093750000002</v>
      </c>
      <c r="DU88" s="10">
        <f t="shared" si="108"/>
        <v>0</v>
      </c>
      <c r="DV88" s="10">
        <f t="shared" si="109"/>
        <v>67.610937500000006</v>
      </c>
      <c r="DW88" s="10">
        <f t="shared" si="110"/>
        <v>0</v>
      </c>
      <c r="DX88" s="10">
        <f t="shared" si="111"/>
        <v>52.829166666666666</v>
      </c>
      <c r="DY88" s="10">
        <f t="shared" si="112"/>
        <v>0.71822916666666492</v>
      </c>
      <c r="DZ88" s="10">
        <f t="shared" si="113"/>
        <v>39.205208333333339</v>
      </c>
      <c r="EA88" s="10">
        <f t="shared" si="114"/>
        <v>2.5942708333333315</v>
      </c>
      <c r="EB88" s="44">
        <f t="shared" si="132"/>
        <v>616.39723862775622</v>
      </c>
      <c r="EC88" s="44">
        <f t="shared" si="129"/>
        <v>19.883781891217943</v>
      </c>
      <c r="ED88" s="44">
        <f t="shared" si="133"/>
        <v>3033728.2544887951</v>
      </c>
      <c r="EE88" s="44">
        <f t="shared" si="134"/>
        <v>2598.1910742244104</v>
      </c>
      <c r="EF88" s="44">
        <f t="shared" si="122"/>
        <v>83.812615297561621</v>
      </c>
      <c r="EG88" s="44">
        <f t="shared" si="135"/>
        <v>1113785.8446892963</v>
      </c>
      <c r="EH88" s="44">
        <f t="shared" si="136"/>
        <v>83004.76173277208</v>
      </c>
      <c r="EI88" s="44">
        <f t="shared" si="123"/>
        <v>2677.57295912168</v>
      </c>
      <c r="EJ88" s="44">
        <f t="shared" si="125"/>
        <v>3608.9026840335687</v>
      </c>
      <c r="EK88" s="44">
        <f t="shared" si="124"/>
        <v>3976195.844295695</v>
      </c>
      <c r="EL88" s="44">
        <f t="shared" si="126"/>
        <v>5359220.4857898494</v>
      </c>
    </row>
    <row r="89" spans="1:142" x14ac:dyDescent="0.2">
      <c r="A89" s="66">
        <v>45383</v>
      </c>
      <c r="B89" s="4">
        <f t="shared" si="118"/>
        <v>2024</v>
      </c>
      <c r="C89" s="4">
        <f t="shared" si="119"/>
        <v>4</v>
      </c>
      <c r="D89" s="44">
        <v>80255081.2138661</v>
      </c>
      <c r="E89" s="44">
        <f>IFERROR(VLOOKUP($B89-1,CDM!$L$7:$T$18,2,FALSE)/12,0)+IFERROR(VLOOKUP($B89,CDM!$L$37:$O$47,2,FALSE)/24,0)+IFERROR(VLOOKUP($B89,CDM!$L$37:$O$47,2,FALSE)/2*$C89/78,0)</f>
        <v>2280347.0339614041</v>
      </c>
      <c r="F89" s="44">
        <f t="shared" si="79"/>
        <v>82535428.2478275</v>
      </c>
      <c r="G89" s="488">
        <v>152751</v>
      </c>
      <c r="H89" s="44">
        <v>30350930.555813</v>
      </c>
      <c r="I89" s="44">
        <f>IFERROR(VLOOKUP($B89-1,CDM!$L$7:$T$18,3,FALSE)/12,0)+IFERROR(VLOOKUP($B89,CDM!$L$37:$O$47,3,FALSE)/24,0)+IFERROR(VLOOKUP($B89,CDM!$L$37:$O$47,3,FALSE)/2*$C89/78,0)</f>
        <v>1612238.2742404265</v>
      </c>
      <c r="J89" s="44">
        <f t="shared" si="80"/>
        <v>31963168.830053426</v>
      </c>
      <c r="K89" s="44">
        <v>13304</v>
      </c>
      <c r="L89" s="44">
        <v>111131518.60703699</v>
      </c>
      <c r="M89" s="44">
        <f>IFERROR(VLOOKUP($B89-1,CDM!$L$7:$T$18,4,FALSE)/12,0)+IFERROR(VLOOKUP($B89,CDM!$L$37:$O$47,4,FALSE)/24,0)+IFERROR(VLOOKUP($B89,CDM!$L$37:$O$47,4,FALSE)/2*$C89/78,0)</f>
        <v>8073712.1964692073</v>
      </c>
      <c r="N89" s="44">
        <f t="shared" si="81"/>
        <v>119205230.8035062</v>
      </c>
      <c r="O89" s="44">
        <v>290407.12</v>
      </c>
      <c r="P89" s="488">
        <v>1487</v>
      </c>
      <c r="Q89" s="488">
        <v>3414848.30663577</v>
      </c>
      <c r="R89" s="488">
        <f>IFERROR(VLOOKUP($B89-1,CDM!$L$7:$T$18,5,FALSE)/12,0)+IFERROR(VLOOKUP($B89,CDM!$L$37:$T$47,5,FALSE)/24,0)+IFERROR(VLOOKUP($B89,CDM!$L$37:$T$47,5,FALSE)/2*$C89/78,0)</f>
        <v>144448.33606130036</v>
      </c>
      <c r="S89" s="488">
        <f t="shared" si="137"/>
        <v>3559296.6426970703</v>
      </c>
      <c r="T89" s="44">
        <v>9542.6200000000008</v>
      </c>
      <c r="U89" s="488">
        <v>7</v>
      </c>
      <c r="V89" s="488">
        <v>12377753.245484799</v>
      </c>
      <c r="W89" s="488">
        <f>IFERROR(VLOOKUP($B89-1,CDM!$L$7:$T$18,6,FALSE)/12,0)+IFERROR(VLOOKUP($B89,CDM!$L$37:$T$47,6,FALSE)/24,0)+IFERROR(VLOOKUP($B89,CDM!$L$37:$T$47,6,FALSE)/2*$C89/78,0)</f>
        <v>1499570.1336641661</v>
      </c>
      <c r="X89" s="488">
        <f t="shared" si="138"/>
        <v>13877323.379148966</v>
      </c>
      <c r="Y89" s="488">
        <v>24590.22</v>
      </c>
      <c r="Z89" s="488">
        <v>2</v>
      </c>
      <c r="AA89" s="44">
        <v>1299264.51</v>
      </c>
      <c r="AB89" s="44">
        <v>4047.55</v>
      </c>
      <c r="AC89" s="488">
        <v>40178</v>
      </c>
      <c r="AD89" s="44">
        <v>447292.98</v>
      </c>
      <c r="AE89" s="44">
        <v>1565</v>
      </c>
      <c r="AF89" s="44">
        <v>41593.82</v>
      </c>
      <c r="AG89" s="44">
        <v>116.83</v>
      </c>
      <c r="AH89" s="44">
        <v>494</v>
      </c>
      <c r="AI89" s="44">
        <v>16400</v>
      </c>
      <c r="AJ89" s="68">
        <f>Economic!H103</f>
        <v>889453.6</v>
      </c>
      <c r="AK89" s="68">
        <f>Economic!I103</f>
        <v>89520.3</v>
      </c>
      <c r="AL89" s="68">
        <f>Economic!J103</f>
        <v>38651.800000000003</v>
      </c>
      <c r="AM89" s="68">
        <f>Economic!K103</f>
        <v>92987.6</v>
      </c>
      <c r="AN89" s="68">
        <f>Economic!L103</f>
        <v>77142.5</v>
      </c>
      <c r="AO89" s="68">
        <f>Economic!M103</f>
        <v>888733</v>
      </c>
      <c r="AP89" s="68">
        <f>Economic!N103</f>
        <v>90108</v>
      </c>
      <c r="AQ89" s="68">
        <f>Economic!O103</f>
        <v>14116</v>
      </c>
      <c r="AR89" s="68">
        <f>Economic!P103</f>
        <v>39316</v>
      </c>
      <c r="AS89" s="68">
        <f>Economic!Q103</f>
        <v>92266</v>
      </c>
      <c r="AT89" s="68">
        <f>Economic!D103</f>
        <v>8093.4</v>
      </c>
      <c r="AU89" s="68">
        <f>Economic!E103</f>
        <v>8033.3</v>
      </c>
      <c r="AV89" s="68">
        <f>Economic!F103</f>
        <v>322</v>
      </c>
      <c r="AW89" s="68">
        <f>Economic!G103</f>
        <v>320.3</v>
      </c>
      <c r="AX89" s="68">
        <f>Economic!W103</f>
        <v>15348</v>
      </c>
      <c r="AY89" s="68">
        <f>Economic!R103</f>
        <v>129.69999999999982</v>
      </c>
      <c r="AZ89" s="68">
        <f>Economic!W103</f>
        <v>15348</v>
      </c>
      <c r="BA89" s="68">
        <f>Economic!X103</f>
        <v>-6365</v>
      </c>
      <c r="BB89" s="68">
        <f>Economic!Y103</f>
        <v>4773</v>
      </c>
      <c r="BC89" s="236">
        <f>Weather!C101</f>
        <v>9.0080555555555559</v>
      </c>
      <c r="BD89" s="16">
        <f>Weather!D101</f>
        <v>329.75833333333321</v>
      </c>
      <c r="BE89" s="16">
        <f>Weather!E101</f>
        <v>0</v>
      </c>
      <c r="BF89" s="16">
        <f>Weather!F101</f>
        <v>269.75833333333333</v>
      </c>
      <c r="BG89" s="16">
        <f>Weather!G101</f>
        <v>0</v>
      </c>
      <c r="BH89" s="16">
        <f>Weather!H101</f>
        <v>212.34583333333333</v>
      </c>
      <c r="BI89" s="16">
        <f>Weather!I101</f>
        <v>2.5875000000000021</v>
      </c>
      <c r="BJ89" s="16">
        <f>Weather!J101</f>
        <v>158.17500000000004</v>
      </c>
      <c r="BK89" s="16">
        <f>Weather!K101</f>
        <v>8.4166666666666679</v>
      </c>
      <c r="BL89" s="16">
        <f>Weather!L101</f>
        <v>109.35833333333333</v>
      </c>
      <c r="BM89" s="16">
        <f>Weather!M101</f>
        <v>19.600000000000001</v>
      </c>
      <c r="BN89" s="16">
        <f>Weather!N101</f>
        <v>67.545833333333334</v>
      </c>
      <c r="BO89" s="16">
        <f>Weather!O101</f>
        <v>37.787500000000009</v>
      </c>
      <c r="BP89" s="16">
        <f>Weather!P101</f>
        <v>36.341666666666669</v>
      </c>
      <c r="BQ89" s="16">
        <f>Weather!Q101</f>
        <v>66.583333333333329</v>
      </c>
      <c r="BR89">
        <f t="shared" si="142"/>
        <v>0</v>
      </c>
      <c r="BS89">
        <f t="shared" si="142"/>
        <v>0</v>
      </c>
      <c r="BT89">
        <f t="shared" si="142"/>
        <v>0</v>
      </c>
      <c r="BU89">
        <f t="shared" si="142"/>
        <v>1</v>
      </c>
      <c r="BV89">
        <f t="shared" si="142"/>
        <v>0</v>
      </c>
      <c r="BW89">
        <f t="shared" si="142"/>
        <v>0</v>
      </c>
      <c r="BX89">
        <f t="shared" si="142"/>
        <v>0</v>
      </c>
      <c r="BY89">
        <f t="shared" si="142"/>
        <v>0</v>
      </c>
      <c r="BZ89">
        <f t="shared" si="142"/>
        <v>0</v>
      </c>
      <c r="CA89">
        <f t="shared" si="142"/>
        <v>0</v>
      </c>
      <c r="CB89">
        <f t="shared" si="142"/>
        <v>0</v>
      </c>
      <c r="CC89">
        <f t="shared" si="142"/>
        <v>0</v>
      </c>
      <c r="CD89" s="1">
        <f t="shared" si="142"/>
        <v>1</v>
      </c>
      <c r="CE89">
        <f t="shared" si="143"/>
        <v>1</v>
      </c>
      <c r="CF89" s="1">
        <f t="shared" si="142"/>
        <v>0</v>
      </c>
      <c r="CG89">
        <f t="shared" si="143"/>
        <v>0</v>
      </c>
      <c r="CH89" s="1">
        <f t="shared" si="142"/>
        <v>1</v>
      </c>
      <c r="CI89">
        <f t="shared" si="139"/>
        <v>1</v>
      </c>
      <c r="CJ89">
        <f t="shared" si="140"/>
        <v>1</v>
      </c>
      <c r="CK89">
        <f t="shared" si="142"/>
        <v>0</v>
      </c>
      <c r="CL89">
        <f t="shared" si="144"/>
        <v>0</v>
      </c>
      <c r="CM89" s="1">
        <f t="shared" si="120"/>
        <v>88</v>
      </c>
      <c r="CN89" s="1">
        <f t="shared" si="117"/>
        <v>40</v>
      </c>
      <c r="CO89" s="1">
        <f t="shared" si="130"/>
        <v>28</v>
      </c>
      <c r="CP89" s="1">
        <f t="shared" si="141"/>
        <v>16</v>
      </c>
      <c r="CQ89" s="1">
        <f t="shared" si="131"/>
        <v>4</v>
      </c>
      <c r="CR89" s="1">
        <f t="shared" si="131"/>
        <v>28</v>
      </c>
      <c r="CS89">
        <f t="shared" si="116"/>
        <v>30</v>
      </c>
      <c r="CT89" s="1">
        <v>22</v>
      </c>
      <c r="CU89" s="1">
        <v>0</v>
      </c>
      <c r="CV89" s="1">
        <v>0</v>
      </c>
      <c r="CW89" s="1">
        <v>0</v>
      </c>
      <c r="CX89" s="1">
        <v>0.25</v>
      </c>
      <c r="CY89" s="1">
        <v>0</v>
      </c>
      <c r="CZ89" s="10">
        <f t="shared" si="87"/>
        <v>0</v>
      </c>
      <c r="DA89" s="10">
        <f t="shared" si="88"/>
        <v>0</v>
      </c>
      <c r="DB89" s="10">
        <f t="shared" si="89"/>
        <v>0</v>
      </c>
      <c r="DC89" s="10">
        <f t="shared" si="90"/>
        <v>0</v>
      </c>
      <c r="DD89" s="10">
        <f t="shared" si="91"/>
        <v>0</v>
      </c>
      <c r="DE89" s="10">
        <f t="shared" si="92"/>
        <v>0</v>
      </c>
      <c r="DF89" s="10">
        <f t="shared" si="93"/>
        <v>0</v>
      </c>
      <c r="DG89" s="10">
        <f t="shared" si="94"/>
        <v>0</v>
      </c>
      <c r="DH89" s="10">
        <f t="shared" si="95"/>
        <v>0</v>
      </c>
      <c r="DI89" s="10">
        <f t="shared" si="96"/>
        <v>0</v>
      </c>
      <c r="DJ89" s="10">
        <f t="shared" si="97"/>
        <v>0</v>
      </c>
      <c r="DK89" s="10">
        <f t="shared" si="98"/>
        <v>0</v>
      </c>
      <c r="DL89" s="10">
        <f t="shared" si="99"/>
        <v>0</v>
      </c>
      <c r="DM89" s="10">
        <f t="shared" si="100"/>
        <v>0</v>
      </c>
      <c r="DN89" s="10">
        <f t="shared" si="101"/>
        <v>82.439583333333303</v>
      </c>
      <c r="DO89" s="10">
        <f t="shared" si="102"/>
        <v>0</v>
      </c>
      <c r="DP89" s="10">
        <f t="shared" si="103"/>
        <v>67.439583333333331</v>
      </c>
      <c r="DQ89" s="10">
        <f t="shared" si="104"/>
        <v>0</v>
      </c>
      <c r="DR89" s="10">
        <f t="shared" si="105"/>
        <v>53.086458333333333</v>
      </c>
      <c r="DS89" s="10">
        <f t="shared" si="106"/>
        <v>0.64687500000000053</v>
      </c>
      <c r="DT89" s="10">
        <f t="shared" si="107"/>
        <v>39.54375000000001</v>
      </c>
      <c r="DU89" s="10">
        <f t="shared" si="108"/>
        <v>2.104166666666667</v>
      </c>
      <c r="DV89" s="10">
        <f t="shared" si="109"/>
        <v>27.339583333333334</v>
      </c>
      <c r="DW89" s="10">
        <f t="shared" si="110"/>
        <v>4.9000000000000004</v>
      </c>
      <c r="DX89" s="10">
        <f t="shared" si="111"/>
        <v>16.886458333333334</v>
      </c>
      <c r="DY89" s="10">
        <f t="shared" si="112"/>
        <v>9.4468750000000021</v>
      </c>
      <c r="DZ89" s="10">
        <f t="shared" si="113"/>
        <v>9.0854166666666671</v>
      </c>
      <c r="EA89" s="10">
        <f t="shared" si="114"/>
        <v>16.645833333333332</v>
      </c>
      <c r="EB89" s="44">
        <f t="shared" si="132"/>
        <v>540.32659850231755</v>
      </c>
      <c r="EC89" s="44">
        <f t="shared" si="129"/>
        <v>18.010886616743917</v>
      </c>
      <c r="ED89" s="44">
        <f t="shared" si="133"/>
        <v>2751180.94159425</v>
      </c>
      <c r="EE89" s="44">
        <f t="shared" si="134"/>
        <v>2402.5232133233185</v>
      </c>
      <c r="EF89" s="44">
        <f t="shared" si="122"/>
        <v>80.084107110777282</v>
      </c>
      <c r="EG89" s="44">
        <f t="shared" si="135"/>
        <v>1065438.9610017808</v>
      </c>
      <c r="EH89" s="44">
        <f t="shared" si="136"/>
        <v>80164.916478484331</v>
      </c>
      <c r="EI89" s="44">
        <f t="shared" si="123"/>
        <v>2672.1638826161443</v>
      </c>
      <c r="EJ89" s="44">
        <f t="shared" si="125"/>
        <v>4008.2458239242164</v>
      </c>
      <c r="EK89" s="44">
        <f t="shared" si="124"/>
        <v>3973507.6934502064</v>
      </c>
      <c r="EL89" s="44">
        <f t="shared" si="126"/>
        <v>5960261.5401753094</v>
      </c>
    </row>
    <row r="90" spans="1:142" x14ac:dyDescent="0.2">
      <c r="A90" s="66">
        <v>45413</v>
      </c>
      <c r="B90" s="4">
        <f t="shared" si="118"/>
        <v>2024</v>
      </c>
      <c r="C90" s="4">
        <f t="shared" si="119"/>
        <v>5</v>
      </c>
      <c r="D90" s="44">
        <v>87859422.309165597</v>
      </c>
      <c r="E90" s="44">
        <f>IFERROR(VLOOKUP($B90-1,CDM!$L$7:$T$18,2,FALSE)/12,0)+IFERROR(VLOOKUP($B90,CDM!$L$37:$O$47,2,FALSE)/24,0)+IFERROR(VLOOKUP($B90,CDM!$L$37:$O$47,2,FALSE)/2*$C90/78,0)</f>
        <v>2286118.164563064</v>
      </c>
      <c r="F90" s="44">
        <f t="shared" si="79"/>
        <v>90145540.473728657</v>
      </c>
      <c r="G90" s="488">
        <v>152743</v>
      </c>
      <c r="H90" s="44">
        <v>32069077.993511099</v>
      </c>
      <c r="I90" s="44">
        <f>IFERROR(VLOOKUP($B90-1,CDM!$L$7:$T$18,3,FALSE)/12,0)+IFERROR(VLOOKUP($B90,CDM!$L$37:$O$47,3,FALSE)/24,0)+IFERROR(VLOOKUP($B90,CDM!$L$37:$O$47,3,FALSE)/2*$C90/78,0)</f>
        <v>1633000.350934464</v>
      </c>
      <c r="J90" s="44">
        <f t="shared" si="80"/>
        <v>33702078.344445564</v>
      </c>
      <c r="K90" s="44">
        <v>13362</v>
      </c>
      <c r="L90" s="44">
        <v>119714913.091445</v>
      </c>
      <c r="M90" s="44">
        <f>IFERROR(VLOOKUP($B90-1,CDM!$L$7:$T$18,4,FALSE)/12,0)+IFERROR(VLOOKUP($B90,CDM!$L$37:$O$47,4,FALSE)/24,0)+IFERROR(VLOOKUP($B90,CDM!$L$37:$O$47,4,FALSE)/2*$C90/78,0)</f>
        <v>8123101.0442258725</v>
      </c>
      <c r="N90" s="44">
        <f t="shared" si="81"/>
        <v>127838014.13567087</v>
      </c>
      <c r="O90" s="44">
        <v>311887</v>
      </c>
      <c r="P90" s="488">
        <v>1493</v>
      </c>
      <c r="Q90" s="488">
        <v>3540008.8724471</v>
      </c>
      <c r="R90" s="488">
        <f>IFERROR(VLOOKUP($B90-1,CDM!$L$7:$T$18,5,FALSE)/12,0)+IFERROR(VLOOKUP($B90,CDM!$L$37:$T$47,5,FALSE)/24,0)+IFERROR(VLOOKUP($B90,CDM!$L$37:$T$47,5,FALSE)/2*$C90/78,0)</f>
        <v>145985.73152390978</v>
      </c>
      <c r="S90" s="488">
        <f t="shared" si="137"/>
        <v>3685994.6039710096</v>
      </c>
      <c r="T90" s="44">
        <v>10306.380000000001</v>
      </c>
      <c r="U90" s="488">
        <v>7</v>
      </c>
      <c r="V90" s="488">
        <v>13903634.035658</v>
      </c>
      <c r="W90" s="488">
        <f>IFERROR(VLOOKUP($B90-1,CDM!$L$7:$T$18,6,FALSE)/12,0)+IFERROR(VLOOKUP($B90,CDM!$L$37:$T$47,6,FALSE)/24,0)+IFERROR(VLOOKUP($B90,CDM!$L$37:$T$47,6,FALSE)/2*$C90/78,0)</f>
        <v>1501074.2795035799</v>
      </c>
      <c r="X90" s="488">
        <f t="shared" si="138"/>
        <v>15404708.31516158</v>
      </c>
      <c r="Y90" s="488">
        <v>27544.48</v>
      </c>
      <c r="Z90" s="488">
        <v>2</v>
      </c>
      <c r="AA90" s="44">
        <v>1155616.8500000001</v>
      </c>
      <c r="AB90" s="44">
        <v>4047.55</v>
      </c>
      <c r="AC90" s="488">
        <v>40178</v>
      </c>
      <c r="AD90" s="44">
        <v>463574.87</v>
      </c>
      <c r="AE90" s="44">
        <v>1566</v>
      </c>
      <c r="AF90" s="44">
        <v>44054.970000000008</v>
      </c>
      <c r="AG90" s="44">
        <v>116.61</v>
      </c>
      <c r="AH90" s="44">
        <v>494</v>
      </c>
      <c r="AI90" s="44">
        <v>16400</v>
      </c>
      <c r="AJ90" s="68">
        <f>Economic!H104</f>
        <v>889453.6</v>
      </c>
      <c r="AK90" s="68">
        <f>Economic!I104</f>
        <v>89520.3</v>
      </c>
      <c r="AL90" s="68">
        <f>Economic!J104</f>
        <v>38651.800000000003</v>
      </c>
      <c r="AM90" s="68">
        <f>Economic!K104</f>
        <v>92987.6</v>
      </c>
      <c r="AN90" s="68">
        <f>Economic!L104</f>
        <v>77142.5</v>
      </c>
      <c r="AO90" s="68">
        <f>Economic!M104</f>
        <v>888733</v>
      </c>
      <c r="AP90" s="68">
        <f>Economic!N104</f>
        <v>90108</v>
      </c>
      <c r="AQ90" s="68">
        <f>Economic!O104</f>
        <v>14116</v>
      </c>
      <c r="AR90" s="68">
        <f>Economic!P104</f>
        <v>39316</v>
      </c>
      <c r="AS90" s="68">
        <f>Economic!Q104</f>
        <v>92266</v>
      </c>
      <c r="AT90" s="68">
        <f>Economic!D104</f>
        <v>8119.3</v>
      </c>
      <c r="AU90" s="68">
        <f>Economic!E104</f>
        <v>8113.6</v>
      </c>
      <c r="AV90" s="68">
        <f>Economic!F104</f>
        <v>324.10000000000002</v>
      </c>
      <c r="AW90" s="68">
        <f>Economic!G104</f>
        <v>325.2</v>
      </c>
      <c r="AX90" s="68">
        <f>Economic!W104</f>
        <v>15348</v>
      </c>
      <c r="AY90" s="68">
        <f>Economic!R104</f>
        <v>144</v>
      </c>
      <c r="AZ90" s="68">
        <f>Economic!W104</f>
        <v>15348</v>
      </c>
      <c r="BA90" s="68">
        <f>Economic!X104</f>
        <v>-6365</v>
      </c>
      <c r="BB90" s="68">
        <f>Economic!Y104</f>
        <v>4773</v>
      </c>
      <c r="BC90" s="236">
        <f>Weather!C102</f>
        <v>15.888172043010751</v>
      </c>
      <c r="BD90" s="16">
        <f>Weather!D102</f>
        <v>132.82083333333333</v>
      </c>
      <c r="BE90" s="16">
        <f>Weather!E102</f>
        <v>5.3541666666666607</v>
      </c>
      <c r="BF90" s="16">
        <f>Weather!F102</f>
        <v>79.26666666666668</v>
      </c>
      <c r="BG90" s="16">
        <f>Weather!G102</f>
        <v>13.8</v>
      </c>
      <c r="BH90" s="16">
        <f>Weather!H102</f>
        <v>40.391666666666666</v>
      </c>
      <c r="BI90" s="16">
        <f>Weather!I102</f>
        <v>36.924999999999997</v>
      </c>
      <c r="BJ90" s="16">
        <f>Weather!J102</f>
        <v>14.683333333333328</v>
      </c>
      <c r="BK90" s="16">
        <f>Weather!K102</f>
        <v>73.216666666666654</v>
      </c>
      <c r="BL90" s="16">
        <f>Weather!L102</f>
        <v>3.9333333333333318</v>
      </c>
      <c r="BM90" s="16">
        <f>Weather!M102</f>
        <v>124.46666666666667</v>
      </c>
      <c r="BN90" s="16">
        <f>Weather!N102</f>
        <v>1.1541666666666668</v>
      </c>
      <c r="BO90" s="16">
        <f>Weather!O102</f>
        <v>183.6875</v>
      </c>
      <c r="BP90" s="16">
        <f>Weather!P102</f>
        <v>0</v>
      </c>
      <c r="BQ90" s="16">
        <f>Weather!Q102</f>
        <v>244.5333333333333</v>
      </c>
      <c r="BR90">
        <f t="shared" si="142"/>
        <v>0</v>
      </c>
      <c r="BS90">
        <f t="shared" si="142"/>
        <v>0</v>
      </c>
      <c r="BT90">
        <f t="shared" si="142"/>
        <v>0</v>
      </c>
      <c r="BU90">
        <f t="shared" si="142"/>
        <v>0</v>
      </c>
      <c r="BV90">
        <f t="shared" si="142"/>
        <v>1</v>
      </c>
      <c r="BW90">
        <f t="shared" si="142"/>
        <v>0</v>
      </c>
      <c r="BX90">
        <f t="shared" si="142"/>
        <v>0</v>
      </c>
      <c r="BY90">
        <f t="shared" si="142"/>
        <v>0</v>
      </c>
      <c r="BZ90">
        <f t="shared" si="142"/>
        <v>0</v>
      </c>
      <c r="CA90">
        <f t="shared" si="142"/>
        <v>0</v>
      </c>
      <c r="CB90">
        <f t="shared" si="142"/>
        <v>0</v>
      </c>
      <c r="CC90">
        <f t="shared" si="142"/>
        <v>0</v>
      </c>
      <c r="CD90" s="1">
        <f t="shared" si="142"/>
        <v>1</v>
      </c>
      <c r="CE90">
        <f t="shared" si="143"/>
        <v>0</v>
      </c>
      <c r="CF90" s="1">
        <f t="shared" si="142"/>
        <v>0</v>
      </c>
      <c r="CG90">
        <f t="shared" si="143"/>
        <v>0</v>
      </c>
      <c r="CH90" s="1">
        <f t="shared" si="142"/>
        <v>1</v>
      </c>
      <c r="CI90">
        <f t="shared" si="139"/>
        <v>0</v>
      </c>
      <c r="CJ90">
        <f t="shared" si="140"/>
        <v>0</v>
      </c>
      <c r="CK90">
        <f t="shared" si="142"/>
        <v>1</v>
      </c>
      <c r="CL90">
        <f t="shared" si="144"/>
        <v>0</v>
      </c>
      <c r="CM90" s="1">
        <f t="shared" si="120"/>
        <v>89</v>
      </c>
      <c r="CN90" s="1">
        <f t="shared" si="117"/>
        <v>41</v>
      </c>
      <c r="CO90" s="1">
        <f t="shared" si="130"/>
        <v>29</v>
      </c>
      <c r="CP90" s="1">
        <f t="shared" si="141"/>
        <v>17</v>
      </c>
      <c r="CQ90" s="1">
        <f t="shared" si="131"/>
        <v>5</v>
      </c>
      <c r="CR90" s="1">
        <f t="shared" si="131"/>
        <v>29</v>
      </c>
      <c r="CS90">
        <f t="shared" si="116"/>
        <v>31</v>
      </c>
      <c r="CT90" s="1">
        <v>22</v>
      </c>
      <c r="CU90" s="1">
        <v>0</v>
      </c>
      <c r="CV90" s="1">
        <v>0</v>
      </c>
      <c r="CW90" s="1">
        <v>0</v>
      </c>
      <c r="CX90" s="1">
        <v>0.25</v>
      </c>
      <c r="CY90" s="1">
        <v>0</v>
      </c>
      <c r="CZ90" s="10">
        <f t="shared" si="87"/>
        <v>0</v>
      </c>
      <c r="DA90" s="10">
        <f t="shared" si="88"/>
        <v>0</v>
      </c>
      <c r="DB90" s="10">
        <f t="shared" si="89"/>
        <v>0</v>
      </c>
      <c r="DC90" s="10">
        <f t="shared" si="90"/>
        <v>0</v>
      </c>
      <c r="DD90" s="10">
        <f t="shared" si="91"/>
        <v>0</v>
      </c>
      <c r="DE90" s="10">
        <f t="shared" si="92"/>
        <v>0</v>
      </c>
      <c r="DF90" s="10">
        <f t="shared" si="93"/>
        <v>0</v>
      </c>
      <c r="DG90" s="10">
        <f t="shared" si="94"/>
        <v>0</v>
      </c>
      <c r="DH90" s="10">
        <f t="shared" si="95"/>
        <v>0</v>
      </c>
      <c r="DI90" s="10">
        <f t="shared" si="96"/>
        <v>0</v>
      </c>
      <c r="DJ90" s="10">
        <f t="shared" si="97"/>
        <v>0</v>
      </c>
      <c r="DK90" s="10">
        <f t="shared" si="98"/>
        <v>0</v>
      </c>
      <c r="DL90" s="10">
        <f t="shared" si="99"/>
        <v>0</v>
      </c>
      <c r="DM90" s="10">
        <f t="shared" si="100"/>
        <v>0</v>
      </c>
      <c r="DN90" s="10">
        <f t="shared" si="101"/>
        <v>33.205208333333331</v>
      </c>
      <c r="DO90" s="10">
        <f t="shared" si="102"/>
        <v>1.3385416666666652</v>
      </c>
      <c r="DP90" s="10">
        <f t="shared" si="103"/>
        <v>19.81666666666667</v>
      </c>
      <c r="DQ90" s="10">
        <f t="shared" si="104"/>
        <v>3.45</v>
      </c>
      <c r="DR90" s="10">
        <f t="shared" si="105"/>
        <v>10.097916666666666</v>
      </c>
      <c r="DS90" s="10">
        <f t="shared" si="106"/>
        <v>9.2312499999999993</v>
      </c>
      <c r="DT90" s="10">
        <f t="shared" si="107"/>
        <v>3.6708333333333321</v>
      </c>
      <c r="DU90" s="10">
        <f t="shared" si="108"/>
        <v>18.304166666666664</v>
      </c>
      <c r="DV90" s="10">
        <f t="shared" si="109"/>
        <v>0.98333333333333295</v>
      </c>
      <c r="DW90" s="10">
        <f t="shared" si="110"/>
        <v>31.116666666666667</v>
      </c>
      <c r="DX90" s="10">
        <f t="shared" si="111"/>
        <v>0.2885416666666667</v>
      </c>
      <c r="DY90" s="10">
        <f t="shared" si="112"/>
        <v>45.921875</v>
      </c>
      <c r="DZ90" s="10">
        <f t="shared" si="113"/>
        <v>0</v>
      </c>
      <c r="EA90" s="10">
        <f t="shared" si="114"/>
        <v>61.133333333333326</v>
      </c>
      <c r="EB90" s="44">
        <f t="shared" si="132"/>
        <v>590.17788359354381</v>
      </c>
      <c r="EC90" s="44">
        <f t="shared" si="129"/>
        <v>19.037996244953025</v>
      </c>
      <c r="ED90" s="44">
        <f t="shared" si="133"/>
        <v>2907920.6604428599</v>
      </c>
      <c r="EE90" s="44">
        <f t="shared" si="134"/>
        <v>2522.2330747227634</v>
      </c>
      <c r="EF90" s="44">
        <f t="shared" si="122"/>
        <v>81.362357249121402</v>
      </c>
      <c r="EG90" s="44">
        <f t="shared" si="135"/>
        <v>1087163.8175627601</v>
      </c>
      <c r="EH90" s="44">
        <f t="shared" si="136"/>
        <v>85624.925743918866</v>
      </c>
      <c r="EI90" s="44">
        <f t="shared" si="123"/>
        <v>2762.0943788360923</v>
      </c>
      <c r="EJ90" s="44">
        <f t="shared" si="125"/>
        <v>4077.377416377089</v>
      </c>
      <c r="EK90" s="44">
        <f t="shared" ref="EK90:EK97" si="145">N90/CS90</f>
        <v>4123806.907602286</v>
      </c>
      <c r="EL90" s="44">
        <f t="shared" si="126"/>
        <v>6087524.4826509934</v>
      </c>
    </row>
    <row r="91" spans="1:142" x14ac:dyDescent="0.2">
      <c r="A91" s="66">
        <v>45444</v>
      </c>
      <c r="B91" s="4">
        <f t="shared" si="118"/>
        <v>2024</v>
      </c>
      <c r="C91" s="4">
        <f t="shared" si="119"/>
        <v>6</v>
      </c>
      <c r="D91" s="44">
        <v>109143174.42695899</v>
      </c>
      <c r="E91" s="44">
        <f>IFERROR(VLOOKUP($B91-1,CDM!$L$7:$T$18,2,FALSE)/12,0)+IFERROR(VLOOKUP($B91,CDM!$L$37:$O$47,2,FALSE)/24,0)+IFERROR(VLOOKUP($B91,CDM!$L$37:$O$47,2,FALSE)/2*$C91/78,0)</f>
        <v>2291889.2951647243</v>
      </c>
      <c r="F91" s="44">
        <f t="shared" si="79"/>
        <v>111435063.72212371</v>
      </c>
      <c r="G91" s="488">
        <v>152735</v>
      </c>
      <c r="H91" s="44">
        <v>34737162.413600497</v>
      </c>
      <c r="I91" s="44">
        <f>IFERROR(VLOOKUP($B91-1,CDM!$L$7:$T$18,3,FALSE)/12,0)+IFERROR(VLOOKUP($B91,CDM!$L$37:$O$47,3,FALSE)/24,0)+IFERROR(VLOOKUP($B91,CDM!$L$37:$O$47,3,FALSE)/2*$C91/78,0)</f>
        <v>1653762.4276285013</v>
      </c>
      <c r="J91" s="44">
        <f t="shared" si="80"/>
        <v>36390924.841228999</v>
      </c>
      <c r="K91" s="44">
        <v>13372</v>
      </c>
      <c r="L91" s="44">
        <v>125661122.739806</v>
      </c>
      <c r="M91" s="44">
        <f>IFERROR(VLOOKUP($B91-1,CDM!$L$7:$T$18,4,FALSE)/12,0)+IFERROR(VLOOKUP($B91,CDM!$L$37:$O$47,4,FALSE)/24,0)+IFERROR(VLOOKUP($B91,CDM!$L$37:$O$47,4,FALSE)/2*$C91/78,0)</f>
        <v>8172489.8919825377</v>
      </c>
      <c r="N91" s="44">
        <f t="shared" si="81"/>
        <v>133833612.63178854</v>
      </c>
      <c r="O91" s="44">
        <v>342629.15</v>
      </c>
      <c r="P91" s="488">
        <v>1494</v>
      </c>
      <c r="Q91" s="488">
        <v>4259577.0736948997</v>
      </c>
      <c r="R91" s="488">
        <f>IFERROR(VLOOKUP($B91-1,CDM!$L$7:$T$18,5,FALSE)/12,0)+IFERROR(VLOOKUP($B91,CDM!$L$37:$T$47,5,FALSE)/24,0)+IFERROR(VLOOKUP($B91,CDM!$L$37:$T$47,5,FALSE)/2*$C91/78,0)</f>
        <v>147523.12698651917</v>
      </c>
      <c r="S91" s="488">
        <f t="shared" si="137"/>
        <v>4407100.2006814191</v>
      </c>
      <c r="T91" s="44">
        <v>12448.69</v>
      </c>
      <c r="U91" s="488">
        <v>7</v>
      </c>
      <c r="V91" s="488">
        <v>14664097.2599441</v>
      </c>
      <c r="W91" s="488">
        <f>IFERROR(VLOOKUP($B91-1,CDM!$L$7:$T$18,6,FALSE)/12,0)+IFERROR(VLOOKUP($B91,CDM!$L$37:$T$47,6,FALSE)/24,0)+IFERROR(VLOOKUP($B91,CDM!$L$37:$T$47,6,FALSE)/2*$C91/78,0)</f>
        <v>1502578.425342994</v>
      </c>
      <c r="X91" s="488">
        <f t="shared" si="138"/>
        <v>16166675.685287094</v>
      </c>
      <c r="Y91" s="488">
        <v>30328.16</v>
      </c>
      <c r="Z91" s="488">
        <v>2</v>
      </c>
      <c r="AA91" s="44">
        <v>1060715.28</v>
      </c>
      <c r="AB91" s="44">
        <v>4054.72</v>
      </c>
      <c r="AC91" s="488">
        <v>40247</v>
      </c>
      <c r="AD91" s="44">
        <v>447649.26999999996</v>
      </c>
      <c r="AE91" s="44">
        <v>1566</v>
      </c>
      <c r="AF91" s="44">
        <v>42830.840000000011</v>
      </c>
      <c r="AG91" s="44">
        <v>116.66</v>
      </c>
      <c r="AH91" s="44">
        <v>494</v>
      </c>
      <c r="AI91" s="44">
        <v>16400</v>
      </c>
      <c r="AJ91" s="68">
        <f>Economic!H105</f>
        <v>889453.6</v>
      </c>
      <c r="AK91" s="68">
        <f>Economic!I105</f>
        <v>89520.3</v>
      </c>
      <c r="AL91" s="68">
        <f>Economic!J105</f>
        <v>38651.800000000003</v>
      </c>
      <c r="AM91" s="68">
        <f>Economic!K105</f>
        <v>92987.6</v>
      </c>
      <c r="AN91" s="68">
        <f>Economic!L105</f>
        <v>77142.5</v>
      </c>
      <c r="AO91" s="68">
        <f>Economic!M105</f>
        <v>888733</v>
      </c>
      <c r="AP91" s="68">
        <f>Economic!N105</f>
        <v>90108</v>
      </c>
      <c r="AQ91" s="68">
        <f>Economic!O105</f>
        <v>14116</v>
      </c>
      <c r="AR91" s="68">
        <f>Economic!P105</f>
        <v>39316</v>
      </c>
      <c r="AS91" s="68">
        <f>Economic!Q105</f>
        <v>92266</v>
      </c>
      <c r="AT91" s="68">
        <f>Economic!D105</f>
        <v>8139.9</v>
      </c>
      <c r="AU91" s="68">
        <f>Economic!E105</f>
        <v>8202.2000000000007</v>
      </c>
      <c r="AV91" s="68">
        <f>Economic!F105</f>
        <v>323.2</v>
      </c>
      <c r="AW91" s="68">
        <f>Economic!G105</f>
        <v>326.2</v>
      </c>
      <c r="AX91" s="68">
        <f>Economic!W105</f>
        <v>15348</v>
      </c>
      <c r="AY91" s="68">
        <f>Economic!R105</f>
        <v>141</v>
      </c>
      <c r="AZ91" s="68">
        <f>Economic!W105</f>
        <v>15348</v>
      </c>
      <c r="BA91" s="68">
        <f>Economic!X105</f>
        <v>-6365</v>
      </c>
      <c r="BB91" s="68">
        <f>Economic!Y105</f>
        <v>4773</v>
      </c>
      <c r="BC91" s="236">
        <f>Weather!C103</f>
        <v>19.573263888888885</v>
      </c>
      <c r="BD91" s="16">
        <f>Weather!D103</f>
        <v>54.983333333333327</v>
      </c>
      <c r="BE91" s="16">
        <f>Weather!E103</f>
        <v>42.181249999999991</v>
      </c>
      <c r="BF91" s="16">
        <f>Weather!F103</f>
        <v>27.666666666666664</v>
      </c>
      <c r="BG91" s="16">
        <f>Weather!G103</f>
        <v>74.864583333333314</v>
      </c>
      <c r="BH91" s="16">
        <f>Weather!H103</f>
        <v>8.9291666666666707</v>
      </c>
      <c r="BI91" s="16">
        <f>Weather!I103</f>
        <v>116.12708333333335</v>
      </c>
      <c r="BJ91" s="16">
        <f>Weather!J103</f>
        <v>1.9666666666666686</v>
      </c>
      <c r="BK91" s="16">
        <f>Weather!K103</f>
        <v>169.16458333333333</v>
      </c>
      <c r="BL91" s="16">
        <f>Weather!L103</f>
        <v>0</v>
      </c>
      <c r="BM91" s="16">
        <f>Weather!M103</f>
        <v>227.19791666666666</v>
      </c>
      <c r="BN91" s="16">
        <f>Weather!N103</f>
        <v>0</v>
      </c>
      <c r="BO91" s="16">
        <f>Weather!O103</f>
        <v>287.19791666666669</v>
      </c>
      <c r="BP91" s="16">
        <f>Weather!P103</f>
        <v>0</v>
      </c>
      <c r="BQ91" s="16">
        <f>Weather!Q103</f>
        <v>347.19791666666674</v>
      </c>
      <c r="BR91">
        <f t="shared" si="142"/>
        <v>0</v>
      </c>
      <c r="BS91">
        <f t="shared" si="142"/>
        <v>0</v>
      </c>
      <c r="BT91">
        <f t="shared" si="142"/>
        <v>0</v>
      </c>
      <c r="BU91">
        <f t="shared" si="142"/>
        <v>0</v>
      </c>
      <c r="BV91">
        <f t="shared" si="142"/>
        <v>0</v>
      </c>
      <c r="BW91">
        <f t="shared" si="142"/>
        <v>1</v>
      </c>
      <c r="BX91">
        <f t="shared" si="142"/>
        <v>0</v>
      </c>
      <c r="BY91">
        <f t="shared" si="142"/>
        <v>0</v>
      </c>
      <c r="BZ91">
        <f t="shared" si="142"/>
        <v>0</v>
      </c>
      <c r="CA91">
        <f t="shared" si="142"/>
        <v>0</v>
      </c>
      <c r="CB91">
        <f t="shared" si="142"/>
        <v>0</v>
      </c>
      <c r="CC91">
        <f t="shared" si="142"/>
        <v>0</v>
      </c>
      <c r="CD91" s="1">
        <f t="shared" si="142"/>
        <v>0</v>
      </c>
      <c r="CE91">
        <f t="shared" si="143"/>
        <v>0</v>
      </c>
      <c r="CF91" s="1">
        <f t="shared" si="142"/>
        <v>0</v>
      </c>
      <c r="CG91">
        <f t="shared" si="143"/>
        <v>0</v>
      </c>
      <c r="CH91" s="1">
        <f t="shared" si="142"/>
        <v>0</v>
      </c>
      <c r="CI91">
        <f t="shared" si="139"/>
        <v>0</v>
      </c>
      <c r="CJ91">
        <f t="shared" si="140"/>
        <v>0</v>
      </c>
      <c r="CK91">
        <f t="shared" si="142"/>
        <v>1</v>
      </c>
      <c r="CL91">
        <f t="shared" si="144"/>
        <v>0</v>
      </c>
      <c r="CM91" s="1">
        <f t="shared" si="120"/>
        <v>90</v>
      </c>
      <c r="CN91" s="1">
        <f t="shared" si="117"/>
        <v>42</v>
      </c>
      <c r="CO91" s="1">
        <f t="shared" si="130"/>
        <v>30</v>
      </c>
      <c r="CP91" s="1">
        <f t="shared" si="141"/>
        <v>18</v>
      </c>
      <c r="CQ91" s="1">
        <f t="shared" si="131"/>
        <v>6</v>
      </c>
      <c r="CR91" s="1">
        <f t="shared" si="131"/>
        <v>30</v>
      </c>
      <c r="CS91">
        <f t="shared" si="116"/>
        <v>30</v>
      </c>
      <c r="CT91" s="1">
        <v>20</v>
      </c>
      <c r="CU91" s="1">
        <v>0</v>
      </c>
      <c r="CV91" s="1">
        <v>0</v>
      </c>
      <c r="CW91" s="1">
        <v>0</v>
      </c>
      <c r="CX91" s="1">
        <v>0.25</v>
      </c>
      <c r="CY91" s="1">
        <v>0</v>
      </c>
      <c r="CZ91" s="10">
        <f t="shared" si="87"/>
        <v>0</v>
      </c>
      <c r="DA91" s="10">
        <f t="shared" si="88"/>
        <v>0</v>
      </c>
      <c r="DB91" s="10">
        <f t="shared" si="89"/>
        <v>0</v>
      </c>
      <c r="DC91" s="10">
        <f t="shared" si="90"/>
        <v>0</v>
      </c>
      <c r="DD91" s="10">
        <f t="shared" si="91"/>
        <v>0</v>
      </c>
      <c r="DE91" s="10">
        <f t="shared" si="92"/>
        <v>0</v>
      </c>
      <c r="DF91" s="10">
        <f t="shared" si="93"/>
        <v>0</v>
      </c>
      <c r="DG91" s="10">
        <f t="shared" si="94"/>
        <v>0</v>
      </c>
      <c r="DH91" s="10">
        <f t="shared" si="95"/>
        <v>0</v>
      </c>
      <c r="DI91" s="10">
        <f t="shared" si="96"/>
        <v>0</v>
      </c>
      <c r="DJ91" s="10">
        <f t="shared" si="97"/>
        <v>0</v>
      </c>
      <c r="DK91" s="10">
        <f t="shared" si="98"/>
        <v>0</v>
      </c>
      <c r="DL91" s="10">
        <f t="shared" si="99"/>
        <v>0</v>
      </c>
      <c r="DM91" s="10">
        <f t="shared" si="100"/>
        <v>0</v>
      </c>
      <c r="DN91" s="10">
        <f t="shared" si="101"/>
        <v>13.745833333333332</v>
      </c>
      <c r="DO91" s="10">
        <f t="shared" si="102"/>
        <v>10.545312499999998</v>
      </c>
      <c r="DP91" s="10">
        <f t="shared" si="103"/>
        <v>6.9166666666666661</v>
      </c>
      <c r="DQ91" s="10">
        <f t="shared" si="104"/>
        <v>18.716145833333329</v>
      </c>
      <c r="DR91" s="10">
        <f t="shared" si="105"/>
        <v>2.2322916666666677</v>
      </c>
      <c r="DS91" s="10">
        <f t="shared" si="106"/>
        <v>29.031770833333336</v>
      </c>
      <c r="DT91" s="10">
        <f t="shared" si="107"/>
        <v>0.49166666666666714</v>
      </c>
      <c r="DU91" s="10">
        <f t="shared" si="108"/>
        <v>42.291145833333331</v>
      </c>
      <c r="DV91" s="10">
        <f t="shared" si="109"/>
        <v>0</v>
      </c>
      <c r="DW91" s="10">
        <f t="shared" si="110"/>
        <v>56.799479166666664</v>
      </c>
      <c r="DX91" s="10">
        <f t="shared" si="111"/>
        <v>0</v>
      </c>
      <c r="DY91" s="10">
        <f t="shared" si="112"/>
        <v>71.799479166666671</v>
      </c>
      <c r="DZ91" s="10">
        <f t="shared" si="113"/>
        <v>0</v>
      </c>
      <c r="EA91" s="10">
        <f t="shared" si="114"/>
        <v>86.799479166666686</v>
      </c>
      <c r="EB91" s="44">
        <f t="shared" si="132"/>
        <v>729.59743164385191</v>
      </c>
      <c r="EC91" s="44">
        <f t="shared" si="129"/>
        <v>24.319914388128396</v>
      </c>
      <c r="ED91" s="44">
        <f t="shared" si="133"/>
        <v>3714502.1240707906</v>
      </c>
      <c r="EE91" s="44">
        <f t="shared" si="134"/>
        <v>2721.4272241421627</v>
      </c>
      <c r="EF91" s="44">
        <f t="shared" si="122"/>
        <v>90.714240804738751</v>
      </c>
      <c r="EG91" s="44">
        <f t="shared" si="135"/>
        <v>1213030.8280409665</v>
      </c>
      <c r="EH91" s="44">
        <f t="shared" si="136"/>
        <v>89580.731346578672</v>
      </c>
      <c r="EI91" s="44">
        <f t="shared" si="123"/>
        <v>2986.0243782192892</v>
      </c>
      <c r="EJ91" s="44">
        <f t="shared" ref="EJ91:EJ97" si="146">EH91/CT67</f>
        <v>4071.8514248444849</v>
      </c>
      <c r="EK91" s="44">
        <f t="shared" si="145"/>
        <v>4461120.4210596178</v>
      </c>
      <c r="EL91" s="44">
        <f t="shared" ref="EL91:EL97" si="147">N91/CT67</f>
        <v>6083346.0287176603</v>
      </c>
    </row>
    <row r="92" spans="1:142" x14ac:dyDescent="0.2">
      <c r="A92" s="66">
        <v>45474</v>
      </c>
      <c r="B92" s="4">
        <f t="shared" si="118"/>
        <v>2024</v>
      </c>
      <c r="C92" s="4">
        <f t="shared" si="119"/>
        <v>7</v>
      </c>
      <c r="D92" s="44">
        <v>127894200.740376</v>
      </c>
      <c r="E92" s="44">
        <f>IFERROR(VLOOKUP($B92-1,CDM!$L$7:$T$18,2,FALSE)/12,0)+IFERROR(VLOOKUP($B92,CDM!$L$37:$O$47,2,FALSE)/24,0)+IFERROR(VLOOKUP($B92,CDM!$L$37:$O$47,2,FALSE)/2*$C92/78,0)</f>
        <v>2297660.4257663847</v>
      </c>
      <c r="F92" s="44">
        <f t="shared" si="79"/>
        <v>130191861.16614237</v>
      </c>
      <c r="G92" s="488">
        <v>152859</v>
      </c>
      <c r="H92" s="44">
        <v>38412602.548126303</v>
      </c>
      <c r="I92" s="44">
        <f>IFERROR(VLOOKUP($B92-1,CDM!$L$7:$T$18,3,FALSE)/12,0)+IFERROR(VLOOKUP($B92,CDM!$L$37:$O$47,3,FALSE)/24,0)+IFERROR(VLOOKUP($B92,CDM!$L$37:$O$47,3,FALSE)/2*$C92/78,0)</f>
        <v>1674524.5043225386</v>
      </c>
      <c r="J92" s="44">
        <f t="shared" si="80"/>
        <v>40087127.052448839</v>
      </c>
      <c r="K92" s="44">
        <v>13392</v>
      </c>
      <c r="L92" s="44">
        <v>135958141.32336801</v>
      </c>
      <c r="M92" s="44">
        <f>IFERROR(VLOOKUP($B92-1,CDM!$L$7:$T$18,4,FALSE)/12,0)+IFERROR(VLOOKUP($B92,CDM!$L$37:$O$47,4,FALSE)/24,0)+IFERROR(VLOOKUP($B92,CDM!$L$37:$O$47,4,FALSE)/2*$C92/78,0)</f>
        <v>8221878.739739202</v>
      </c>
      <c r="N92" s="44">
        <f t="shared" si="81"/>
        <v>144180020.06310722</v>
      </c>
      <c r="O92" s="44">
        <v>334696.40999999997</v>
      </c>
      <c r="P92" s="488">
        <v>1496</v>
      </c>
      <c r="Q92" s="488">
        <v>2580009.84884782</v>
      </c>
      <c r="R92" s="488">
        <f>IFERROR(VLOOKUP($B92-1,CDM!$L$7:$T$18,5,FALSE)/12,0)+IFERROR(VLOOKUP($B92,CDM!$L$37:$T$47,5,FALSE)/24,0)+IFERROR(VLOOKUP($B92,CDM!$L$37:$T$47,5,FALSE)/2*$C92/78,0)</f>
        <v>149060.52244912859</v>
      </c>
      <c r="S92" s="488">
        <f t="shared" si="137"/>
        <v>2729070.3712969488</v>
      </c>
      <c r="T92" s="44">
        <v>3365.7400000000002</v>
      </c>
      <c r="U92" s="488">
        <v>7</v>
      </c>
      <c r="V92" s="488">
        <v>16144243.9600456</v>
      </c>
      <c r="W92" s="488">
        <f>IFERROR(VLOOKUP($B92-1,CDM!$L$7:$T$18,6,FALSE)/12,0)+IFERROR(VLOOKUP($B92,CDM!$L$37:$T$47,6,FALSE)/24,0)+IFERROR(VLOOKUP($B92,CDM!$L$37:$T$47,6,FALSE)/2*$C92/78,0)</f>
        <v>1504082.5711824079</v>
      </c>
      <c r="X92" s="488">
        <f t="shared" si="138"/>
        <v>17648326.53122801</v>
      </c>
      <c r="Y92" s="488">
        <v>30104.06</v>
      </c>
      <c r="Z92" s="488">
        <v>2</v>
      </c>
      <c r="AA92" s="44">
        <v>1127527.8400000001</v>
      </c>
      <c r="AB92" s="44">
        <v>4059.36</v>
      </c>
      <c r="AC92" s="488">
        <v>40308</v>
      </c>
      <c r="AD92" s="44">
        <v>459736</v>
      </c>
      <c r="AE92" s="44">
        <v>1566</v>
      </c>
      <c r="AF92" s="44">
        <v>42688.969999999994</v>
      </c>
      <c r="AG92" s="44">
        <v>116.66</v>
      </c>
      <c r="AH92" s="44">
        <v>494</v>
      </c>
      <c r="AI92" s="44">
        <v>16400</v>
      </c>
      <c r="AJ92" s="68">
        <f>Economic!H106</f>
        <v>889453.6</v>
      </c>
      <c r="AK92" s="68">
        <f>Economic!I106</f>
        <v>89520.3</v>
      </c>
      <c r="AL92" s="68">
        <f>Economic!J106</f>
        <v>38651.800000000003</v>
      </c>
      <c r="AM92" s="68">
        <f>Economic!K106</f>
        <v>92987.6</v>
      </c>
      <c r="AN92" s="68">
        <f>Economic!L106</f>
        <v>77142.5</v>
      </c>
      <c r="AO92" s="68">
        <f>Economic!M106</f>
        <v>890079</v>
      </c>
      <c r="AP92" s="68">
        <f>Economic!N106</f>
        <v>88612</v>
      </c>
      <c r="AQ92" s="68">
        <f>Economic!O106</f>
        <v>14039</v>
      </c>
      <c r="AR92" s="68">
        <f>Economic!P106</f>
        <v>38363</v>
      </c>
      <c r="AS92" s="68">
        <f>Economic!Q106</f>
        <v>93955</v>
      </c>
      <c r="AT92" s="68">
        <f>Economic!D106</f>
        <v>8157.9</v>
      </c>
      <c r="AU92" s="68">
        <f>Economic!E106</f>
        <v>8253.1</v>
      </c>
      <c r="AV92" s="68">
        <f>Economic!F106</f>
        <v>321.8</v>
      </c>
      <c r="AW92" s="68">
        <f>Economic!G106</f>
        <v>325.10000000000002</v>
      </c>
      <c r="AX92" s="68">
        <f>Economic!W106</f>
        <v>13115</v>
      </c>
      <c r="AY92" s="68">
        <f>Economic!R106</f>
        <v>143.19999999999982</v>
      </c>
      <c r="AZ92" s="68">
        <f>Economic!W106</f>
        <v>13115</v>
      </c>
      <c r="BA92" s="68">
        <f>Economic!X106</f>
        <v>-4937</v>
      </c>
      <c r="BB92" s="68">
        <f>Economic!Y106</f>
        <v>5265</v>
      </c>
      <c r="BC92" s="236">
        <f>Weather!C104</f>
        <v>21.143682795698926</v>
      </c>
      <c r="BD92" s="16">
        <f>Weather!D104</f>
        <v>12.45416666666668</v>
      </c>
      <c r="BE92" s="16">
        <f>Weather!E104</f>
        <v>47.908333333333346</v>
      </c>
      <c r="BF92" s="16">
        <f>Weather!F104</f>
        <v>2.591666666666665</v>
      </c>
      <c r="BG92" s="16">
        <f>Weather!G104</f>
        <v>100.04583333333335</v>
      </c>
      <c r="BH92" s="16">
        <f>Weather!H104</f>
        <v>0</v>
      </c>
      <c r="BI92" s="16">
        <f>Weather!I104</f>
        <v>159.45416666666665</v>
      </c>
      <c r="BJ92" s="16">
        <f>Weather!J104</f>
        <v>0</v>
      </c>
      <c r="BK92" s="16">
        <f>Weather!K104</f>
        <v>221.45416666666657</v>
      </c>
      <c r="BL92" s="16">
        <f>Weather!L104</f>
        <v>0</v>
      </c>
      <c r="BM92" s="16">
        <f>Weather!M104</f>
        <v>283.45416666666665</v>
      </c>
      <c r="BN92" s="16">
        <f>Weather!N104</f>
        <v>0</v>
      </c>
      <c r="BO92" s="16">
        <f>Weather!O104</f>
        <v>345.45416666666659</v>
      </c>
      <c r="BP92" s="16">
        <f>Weather!P104</f>
        <v>0</v>
      </c>
      <c r="BQ92" s="16">
        <f>Weather!Q104</f>
        <v>407.45416666666659</v>
      </c>
      <c r="BR92">
        <f t="shared" si="142"/>
        <v>0</v>
      </c>
      <c r="BS92">
        <f t="shared" si="142"/>
        <v>0</v>
      </c>
      <c r="BT92">
        <f t="shared" si="142"/>
        <v>0</v>
      </c>
      <c r="BU92">
        <f t="shared" si="142"/>
        <v>0</v>
      </c>
      <c r="BV92">
        <f t="shared" si="142"/>
        <v>0</v>
      </c>
      <c r="BW92">
        <f t="shared" si="142"/>
        <v>0</v>
      </c>
      <c r="BX92">
        <f t="shared" si="142"/>
        <v>1</v>
      </c>
      <c r="BY92">
        <f t="shared" si="142"/>
        <v>0</v>
      </c>
      <c r="BZ92">
        <f t="shared" si="142"/>
        <v>0</v>
      </c>
      <c r="CA92">
        <f t="shared" si="142"/>
        <v>0</v>
      </c>
      <c r="CB92">
        <f t="shared" si="142"/>
        <v>0</v>
      </c>
      <c r="CC92">
        <f t="shared" si="142"/>
        <v>0</v>
      </c>
      <c r="CD92" s="1">
        <f t="shared" si="142"/>
        <v>0</v>
      </c>
      <c r="CE92">
        <f t="shared" si="143"/>
        <v>0</v>
      </c>
      <c r="CF92" s="1">
        <f t="shared" si="142"/>
        <v>0</v>
      </c>
      <c r="CG92">
        <f t="shared" si="143"/>
        <v>0</v>
      </c>
      <c r="CH92" s="1">
        <f t="shared" si="142"/>
        <v>0</v>
      </c>
      <c r="CI92">
        <f t="shared" si="139"/>
        <v>0</v>
      </c>
      <c r="CJ92">
        <f t="shared" si="140"/>
        <v>0</v>
      </c>
      <c r="CK92">
        <f t="shared" si="142"/>
        <v>1</v>
      </c>
      <c r="CL92">
        <f t="shared" si="144"/>
        <v>1</v>
      </c>
      <c r="CM92" s="1">
        <f t="shared" si="120"/>
        <v>91</v>
      </c>
      <c r="CN92" s="1">
        <f t="shared" si="117"/>
        <v>43</v>
      </c>
      <c r="CO92" s="1">
        <f t="shared" si="130"/>
        <v>31</v>
      </c>
      <c r="CP92" s="1">
        <f t="shared" si="141"/>
        <v>19</v>
      </c>
      <c r="CQ92" s="1">
        <f t="shared" si="131"/>
        <v>7</v>
      </c>
      <c r="CR92" s="1">
        <f t="shared" si="131"/>
        <v>31</v>
      </c>
      <c r="CS92">
        <f t="shared" si="116"/>
        <v>31</v>
      </c>
      <c r="CT92" s="1">
        <v>22</v>
      </c>
      <c r="CU92" s="1">
        <v>0</v>
      </c>
      <c r="CV92" s="1">
        <v>0</v>
      </c>
      <c r="CW92" s="1">
        <v>0</v>
      </c>
      <c r="CX92" s="1">
        <v>0.25</v>
      </c>
      <c r="CY92" s="1">
        <v>0</v>
      </c>
      <c r="CZ92" s="10">
        <f t="shared" si="87"/>
        <v>0</v>
      </c>
      <c r="DA92" s="10">
        <f t="shared" si="88"/>
        <v>0</v>
      </c>
      <c r="DB92" s="10">
        <f t="shared" si="89"/>
        <v>0</v>
      </c>
      <c r="DC92" s="10">
        <f t="shared" si="90"/>
        <v>0</v>
      </c>
      <c r="DD92" s="10">
        <f t="shared" si="91"/>
        <v>0</v>
      </c>
      <c r="DE92" s="10">
        <f t="shared" si="92"/>
        <v>0</v>
      </c>
      <c r="DF92" s="10">
        <f t="shared" si="93"/>
        <v>0</v>
      </c>
      <c r="DG92" s="10">
        <f t="shared" si="94"/>
        <v>0</v>
      </c>
      <c r="DH92" s="10">
        <f t="shared" si="95"/>
        <v>0</v>
      </c>
      <c r="DI92" s="10">
        <f t="shared" si="96"/>
        <v>0</v>
      </c>
      <c r="DJ92" s="10">
        <f t="shared" si="97"/>
        <v>0</v>
      </c>
      <c r="DK92" s="10">
        <f t="shared" si="98"/>
        <v>0</v>
      </c>
      <c r="DL92" s="10">
        <f t="shared" si="99"/>
        <v>0</v>
      </c>
      <c r="DM92" s="10">
        <f t="shared" si="100"/>
        <v>0</v>
      </c>
      <c r="DN92" s="10">
        <f t="shared" si="101"/>
        <v>3.11354166666667</v>
      </c>
      <c r="DO92" s="10">
        <f t="shared" si="102"/>
        <v>11.977083333333336</v>
      </c>
      <c r="DP92" s="10">
        <f t="shared" si="103"/>
        <v>0.64791666666666625</v>
      </c>
      <c r="DQ92" s="10">
        <f t="shared" si="104"/>
        <v>25.011458333333337</v>
      </c>
      <c r="DR92" s="10">
        <f t="shared" si="105"/>
        <v>0</v>
      </c>
      <c r="DS92" s="10">
        <f t="shared" si="106"/>
        <v>39.863541666666663</v>
      </c>
      <c r="DT92" s="10">
        <f t="shared" si="107"/>
        <v>0</v>
      </c>
      <c r="DU92" s="10">
        <f t="shared" si="108"/>
        <v>55.363541666666642</v>
      </c>
      <c r="DV92" s="10">
        <f t="shared" si="109"/>
        <v>0</v>
      </c>
      <c r="DW92" s="10">
        <f t="shared" si="110"/>
        <v>70.863541666666663</v>
      </c>
      <c r="DX92" s="10">
        <f t="shared" si="111"/>
        <v>0</v>
      </c>
      <c r="DY92" s="10">
        <f t="shared" si="112"/>
        <v>86.363541666666649</v>
      </c>
      <c r="DZ92" s="10">
        <f t="shared" si="113"/>
        <v>0</v>
      </c>
      <c r="EA92" s="10">
        <f t="shared" si="114"/>
        <v>101.86354166666665</v>
      </c>
      <c r="EB92" s="44">
        <f t="shared" si="132"/>
        <v>851.71210832297982</v>
      </c>
      <c r="EC92" s="44">
        <f t="shared" si="129"/>
        <v>27.474584139450961</v>
      </c>
      <c r="ED92" s="44">
        <f t="shared" si="133"/>
        <v>4199737.4569723345</v>
      </c>
      <c r="EE92" s="44">
        <f t="shared" si="134"/>
        <v>2993.3637285281393</v>
      </c>
      <c r="EF92" s="44">
        <f t="shared" si="122"/>
        <v>96.560120275101269</v>
      </c>
      <c r="EG92" s="44">
        <f t="shared" si="135"/>
        <v>1293133.130724156</v>
      </c>
      <c r="EH92" s="44">
        <f t="shared" si="136"/>
        <v>96377.018758761507</v>
      </c>
      <c r="EI92" s="44">
        <f t="shared" si="123"/>
        <v>3108.9360889923068</v>
      </c>
      <c r="EJ92" s="44">
        <f t="shared" si="146"/>
        <v>4818.8509379380757</v>
      </c>
      <c r="EK92" s="44">
        <f t="shared" si="145"/>
        <v>4650968.3891324913</v>
      </c>
      <c r="EL92" s="44">
        <f t="shared" si="147"/>
        <v>7209001.0031553609</v>
      </c>
    </row>
    <row r="93" spans="1:142" x14ac:dyDescent="0.2">
      <c r="A93" s="66">
        <v>45505</v>
      </c>
      <c r="B93" s="4">
        <f t="shared" si="118"/>
        <v>2024</v>
      </c>
      <c r="C93" s="4">
        <f t="shared" si="119"/>
        <v>8</v>
      </c>
      <c r="D93" s="44">
        <v>117867145.101053</v>
      </c>
      <c r="E93" s="44">
        <f>IFERROR(VLOOKUP($B93-1,CDM!$L$7:$T$18,2,FALSE)/12,0)+IFERROR(VLOOKUP($B93,CDM!$L$37:$O$47,2,FALSE)/24,0)+IFERROR(VLOOKUP($B93,CDM!$L$37:$O$47,2,FALSE)/2*$C93/78,0)</f>
        <v>2303431.556368045</v>
      </c>
      <c r="F93" s="44">
        <f t="shared" si="79"/>
        <v>120170576.65742104</v>
      </c>
      <c r="G93" s="488">
        <v>152895</v>
      </c>
      <c r="H93" s="44">
        <v>36716164.299505197</v>
      </c>
      <c r="I93" s="44">
        <f>IFERROR(VLOOKUP($B93-1,CDM!$L$7:$T$18,3,FALSE)/12,0)+IFERROR(VLOOKUP($B93,CDM!$L$37:$O$47,3,FALSE)/24,0)+IFERROR(VLOOKUP($B93,CDM!$L$37:$O$47,3,FALSE)/2*$C93/78,0)</f>
        <v>1695286.5810165762</v>
      </c>
      <c r="J93" s="44">
        <f t="shared" si="80"/>
        <v>38411450.880521774</v>
      </c>
      <c r="K93" s="44">
        <v>13425</v>
      </c>
      <c r="L93" s="44">
        <v>132413449.553367</v>
      </c>
      <c r="M93" s="44">
        <f>IFERROR(VLOOKUP($B93-1,CDM!$L$7:$T$18,4,FALSE)/12,0)+IFERROR(VLOOKUP($B93,CDM!$L$37:$O$47,4,FALSE)/24,0)+IFERROR(VLOOKUP($B93,CDM!$L$37:$O$47,4,FALSE)/2*$C93/78,0)</f>
        <v>8271267.5874958672</v>
      </c>
      <c r="N93" s="44">
        <f t="shared" si="81"/>
        <v>140684717.14086288</v>
      </c>
      <c r="O93" s="44">
        <v>334884.5</v>
      </c>
      <c r="P93" s="488">
        <v>1503</v>
      </c>
      <c r="Q93" s="488">
        <v>2608877.8256432</v>
      </c>
      <c r="R93" s="488">
        <f>IFERROR(VLOOKUP($B93-1,CDM!$L$7:$T$18,5,FALSE)/12,0)+IFERROR(VLOOKUP($B93,CDM!$L$37:$T$47,5,FALSE)/24,0)+IFERROR(VLOOKUP($B93,CDM!$L$37:$T$47,5,FALSE)/2*$C93/78,0)</f>
        <v>150597.91791173798</v>
      </c>
      <c r="S93" s="488">
        <f t="shared" si="137"/>
        <v>2759475.7435549381</v>
      </c>
      <c r="T93" s="44">
        <v>1626.1700000000003</v>
      </c>
      <c r="U93" s="488">
        <v>7</v>
      </c>
      <c r="V93" s="488">
        <v>15857541.566971401</v>
      </c>
      <c r="W93" s="488">
        <f>IFERROR(VLOOKUP($B93-1,CDM!$L$7:$T$18,6,FALSE)/12,0)+IFERROR(VLOOKUP($B93,CDM!$L$37:$T$47,6,FALSE)/24,0)+IFERROR(VLOOKUP($B93,CDM!$L$37:$T$47,6,FALSE)/2*$C93/78,0)</f>
        <v>1505586.7170218218</v>
      </c>
      <c r="X93" s="488">
        <f t="shared" si="138"/>
        <v>17363128.283993222</v>
      </c>
      <c r="Y93" s="488">
        <v>30522.61</v>
      </c>
      <c r="Z93" s="488">
        <v>2</v>
      </c>
      <c r="AA93" s="44">
        <v>1254721.6000000001</v>
      </c>
      <c r="AB93" s="44">
        <v>4063.74</v>
      </c>
      <c r="AC93" s="488">
        <v>40354</v>
      </c>
      <c r="AD93" s="44">
        <v>459738.16</v>
      </c>
      <c r="AE93" s="44">
        <v>1564</v>
      </c>
      <c r="AF93" s="44">
        <v>45034.929999999993</v>
      </c>
      <c r="AG93" s="44">
        <v>116.2</v>
      </c>
      <c r="AH93" s="44">
        <v>494</v>
      </c>
      <c r="AI93" s="44">
        <v>16400</v>
      </c>
      <c r="AJ93" s="68">
        <f>Economic!H107</f>
        <v>889453.6</v>
      </c>
      <c r="AK93" s="68">
        <f>Economic!I107</f>
        <v>89520.3</v>
      </c>
      <c r="AL93" s="68">
        <f>Economic!J107</f>
        <v>38651.800000000003</v>
      </c>
      <c r="AM93" s="68">
        <f>Economic!K107</f>
        <v>92987.6</v>
      </c>
      <c r="AN93" s="68">
        <f>Economic!L107</f>
        <v>77142.5</v>
      </c>
      <c r="AO93" s="68">
        <f>Economic!M107</f>
        <v>890079</v>
      </c>
      <c r="AP93" s="68">
        <f>Economic!N107</f>
        <v>88612</v>
      </c>
      <c r="AQ93" s="68">
        <f>Economic!O107</f>
        <v>14039</v>
      </c>
      <c r="AR93" s="68">
        <f>Economic!P107</f>
        <v>38363</v>
      </c>
      <c r="AS93" s="68">
        <f>Economic!Q107</f>
        <v>93955</v>
      </c>
      <c r="AT93" s="68">
        <f>Economic!D107</f>
        <v>8164.1</v>
      </c>
      <c r="AU93" s="68">
        <f>Economic!E107</f>
        <v>8245.1</v>
      </c>
      <c r="AV93" s="68">
        <f>Economic!F107</f>
        <v>318.39999999999998</v>
      </c>
      <c r="AW93" s="68">
        <f>Economic!G107</f>
        <v>321.39999999999998</v>
      </c>
      <c r="AX93" s="68">
        <f>Economic!W107</f>
        <v>13115</v>
      </c>
      <c r="AY93" s="68">
        <f>Economic!R107</f>
        <v>125.20000000000073</v>
      </c>
      <c r="AZ93" s="68">
        <f>Economic!W107</f>
        <v>13115</v>
      </c>
      <c r="BA93" s="68">
        <f>Economic!X107</f>
        <v>-4937</v>
      </c>
      <c r="BB93" s="68">
        <f>Economic!Y107</f>
        <v>5265</v>
      </c>
      <c r="BC93" s="236">
        <f>Weather!C105</f>
        <v>19.898454301075269</v>
      </c>
      <c r="BD93" s="16">
        <f>Weather!D105</f>
        <v>36.158333333333331</v>
      </c>
      <c r="BE93" s="16">
        <f>Weather!E105</f>
        <v>33.010416666666671</v>
      </c>
      <c r="BF93" s="16">
        <f>Weather!F105</f>
        <v>14.333333333333332</v>
      </c>
      <c r="BG93" s="16">
        <f>Weather!G105</f>
        <v>73.185416666666669</v>
      </c>
      <c r="BH93" s="16">
        <f>Weather!H105</f>
        <v>4.287500000000005</v>
      </c>
      <c r="BI93" s="16">
        <f>Weather!I105</f>
        <v>125.13958333333332</v>
      </c>
      <c r="BJ93" s="16">
        <f>Weather!J105</f>
        <v>0.30000000000000426</v>
      </c>
      <c r="BK93" s="16">
        <f>Weather!K105</f>
        <v>183.15208333333334</v>
      </c>
      <c r="BL93" s="16">
        <f>Weather!L105</f>
        <v>0</v>
      </c>
      <c r="BM93" s="16">
        <f>Weather!M105</f>
        <v>244.8520833333333</v>
      </c>
      <c r="BN93" s="16">
        <f>Weather!N105</f>
        <v>0</v>
      </c>
      <c r="BO93" s="16">
        <f>Weather!O105</f>
        <v>306.85208333333327</v>
      </c>
      <c r="BP93" s="16">
        <f>Weather!P105</f>
        <v>0</v>
      </c>
      <c r="BQ93" s="16">
        <f>Weather!Q105</f>
        <v>368.85208333333327</v>
      </c>
      <c r="BR93">
        <f t="shared" si="142"/>
        <v>0</v>
      </c>
      <c r="BS93">
        <f t="shared" si="142"/>
        <v>0</v>
      </c>
      <c r="BT93">
        <f t="shared" si="142"/>
        <v>0</v>
      </c>
      <c r="BU93">
        <f t="shared" si="142"/>
        <v>0</v>
      </c>
      <c r="BV93">
        <f t="shared" si="142"/>
        <v>0</v>
      </c>
      <c r="BW93">
        <f t="shared" si="142"/>
        <v>0</v>
      </c>
      <c r="BX93">
        <f t="shared" si="142"/>
        <v>0</v>
      </c>
      <c r="BY93">
        <f t="shared" si="142"/>
        <v>1</v>
      </c>
      <c r="BZ93">
        <f t="shared" si="142"/>
        <v>0</v>
      </c>
      <c r="CA93">
        <f t="shared" si="142"/>
        <v>0</v>
      </c>
      <c r="CB93">
        <f t="shared" si="142"/>
        <v>0</v>
      </c>
      <c r="CC93">
        <f t="shared" si="142"/>
        <v>0</v>
      </c>
      <c r="CD93" s="1">
        <f t="shared" si="142"/>
        <v>0</v>
      </c>
      <c r="CE93">
        <f t="shared" si="143"/>
        <v>0</v>
      </c>
      <c r="CF93" s="1">
        <f t="shared" si="142"/>
        <v>0</v>
      </c>
      <c r="CG93">
        <f t="shared" si="143"/>
        <v>0</v>
      </c>
      <c r="CH93" s="1">
        <f t="shared" si="142"/>
        <v>0</v>
      </c>
      <c r="CI93">
        <f t="shared" si="139"/>
        <v>0</v>
      </c>
      <c r="CJ93">
        <f t="shared" si="140"/>
        <v>0</v>
      </c>
      <c r="CK93">
        <f t="shared" si="142"/>
        <v>1</v>
      </c>
      <c r="CL93">
        <f t="shared" si="144"/>
        <v>1</v>
      </c>
      <c r="CM93" s="1">
        <f t="shared" si="120"/>
        <v>92</v>
      </c>
      <c r="CN93" s="1">
        <f t="shared" si="117"/>
        <v>44</v>
      </c>
      <c r="CO93" s="1">
        <f t="shared" si="130"/>
        <v>32</v>
      </c>
      <c r="CP93" s="1">
        <f t="shared" si="141"/>
        <v>20</v>
      </c>
      <c r="CQ93" s="1">
        <f t="shared" si="131"/>
        <v>8</v>
      </c>
      <c r="CR93" s="1">
        <f t="shared" si="131"/>
        <v>32</v>
      </c>
      <c r="CS93">
        <f t="shared" si="116"/>
        <v>31</v>
      </c>
      <c r="CT93" s="1">
        <v>22</v>
      </c>
      <c r="CU93" s="1">
        <v>0</v>
      </c>
      <c r="CV93" s="1">
        <v>0</v>
      </c>
      <c r="CW93" s="1">
        <v>0</v>
      </c>
      <c r="CX93" s="1">
        <v>0.25</v>
      </c>
      <c r="CY93" s="1">
        <v>0</v>
      </c>
      <c r="CZ93" s="10">
        <f t="shared" si="87"/>
        <v>0</v>
      </c>
      <c r="DA93" s="10">
        <f t="shared" si="88"/>
        <v>0</v>
      </c>
      <c r="DB93" s="10">
        <f t="shared" si="89"/>
        <v>0</v>
      </c>
      <c r="DC93" s="10">
        <f t="shared" si="90"/>
        <v>0</v>
      </c>
      <c r="DD93" s="10">
        <f t="shared" si="91"/>
        <v>0</v>
      </c>
      <c r="DE93" s="10">
        <f t="shared" si="92"/>
        <v>0</v>
      </c>
      <c r="DF93" s="10">
        <f t="shared" si="93"/>
        <v>0</v>
      </c>
      <c r="DG93" s="10">
        <f t="shared" si="94"/>
        <v>0</v>
      </c>
      <c r="DH93" s="10">
        <f t="shared" si="95"/>
        <v>0</v>
      </c>
      <c r="DI93" s="10">
        <f t="shared" si="96"/>
        <v>0</v>
      </c>
      <c r="DJ93" s="10">
        <f t="shared" si="97"/>
        <v>0</v>
      </c>
      <c r="DK93" s="10">
        <f t="shared" si="98"/>
        <v>0</v>
      </c>
      <c r="DL93" s="10">
        <f t="shared" si="99"/>
        <v>0</v>
      </c>
      <c r="DM93" s="10">
        <f t="shared" si="100"/>
        <v>0</v>
      </c>
      <c r="DN93" s="10">
        <f t="shared" si="101"/>
        <v>9.0395833333333329</v>
      </c>
      <c r="DO93" s="10">
        <f t="shared" si="102"/>
        <v>8.2526041666666679</v>
      </c>
      <c r="DP93" s="10">
        <f t="shared" si="103"/>
        <v>3.583333333333333</v>
      </c>
      <c r="DQ93" s="10">
        <f t="shared" si="104"/>
        <v>18.296354166666667</v>
      </c>
      <c r="DR93" s="10">
        <f t="shared" si="105"/>
        <v>1.0718750000000012</v>
      </c>
      <c r="DS93" s="10">
        <f t="shared" si="106"/>
        <v>31.28489583333333</v>
      </c>
      <c r="DT93" s="10">
        <f t="shared" si="107"/>
        <v>7.5000000000001066E-2</v>
      </c>
      <c r="DU93" s="10">
        <f t="shared" si="108"/>
        <v>45.788020833333334</v>
      </c>
      <c r="DV93" s="10">
        <f t="shared" si="109"/>
        <v>0</v>
      </c>
      <c r="DW93" s="10">
        <f t="shared" si="110"/>
        <v>61.213020833333324</v>
      </c>
      <c r="DX93" s="10">
        <f t="shared" si="111"/>
        <v>0</v>
      </c>
      <c r="DY93" s="10">
        <f t="shared" si="112"/>
        <v>76.713020833333317</v>
      </c>
      <c r="DZ93" s="10">
        <f t="shared" si="113"/>
        <v>0</v>
      </c>
      <c r="EA93" s="10">
        <f t="shared" si="114"/>
        <v>92.213020833333317</v>
      </c>
      <c r="EB93" s="44">
        <f t="shared" si="132"/>
        <v>785.96799540482709</v>
      </c>
      <c r="EC93" s="44">
        <f t="shared" si="129"/>
        <v>25.353806303381518</v>
      </c>
      <c r="ED93" s="44">
        <f t="shared" si="133"/>
        <v>3876470.2147555174</v>
      </c>
      <c r="EE93" s="44">
        <f t="shared" si="134"/>
        <v>2861.1881475248993</v>
      </c>
      <c r="EF93" s="44">
        <f t="shared" si="122"/>
        <v>92.296391855641915</v>
      </c>
      <c r="EG93" s="44">
        <f t="shared" si="135"/>
        <v>1239079.0606619928</v>
      </c>
      <c r="EH93" s="44">
        <f t="shared" si="136"/>
        <v>93602.606214812302</v>
      </c>
      <c r="EI93" s="44">
        <f t="shared" si="123"/>
        <v>3019.4389101552356</v>
      </c>
      <c r="EJ93" s="44">
        <f t="shared" si="146"/>
        <v>4254.6639188551044</v>
      </c>
      <c r="EK93" s="44">
        <f t="shared" si="145"/>
        <v>4538216.681963319</v>
      </c>
      <c r="EL93" s="44">
        <f t="shared" si="147"/>
        <v>6394759.8700392218</v>
      </c>
    </row>
    <row r="94" spans="1:142" x14ac:dyDescent="0.2">
      <c r="A94" s="66">
        <v>45536</v>
      </c>
      <c r="B94" s="4">
        <f t="shared" si="118"/>
        <v>2024</v>
      </c>
      <c r="C94" s="4">
        <f t="shared" si="119"/>
        <v>9</v>
      </c>
      <c r="D94" s="44">
        <v>97976190.265476003</v>
      </c>
      <c r="E94" s="44">
        <f>IFERROR(VLOOKUP($B94-1,CDM!$L$7:$T$18,2,FALSE)/12,0)+IFERROR(VLOOKUP($B94,CDM!$L$37:$O$47,2,FALSE)/24,0)+IFERROR(VLOOKUP($B94,CDM!$L$37:$O$47,2,FALSE)/2*$C94/78,0)</f>
        <v>2309202.6869697049</v>
      </c>
      <c r="F94" s="44">
        <f t="shared" si="79"/>
        <v>100285392.95244572</v>
      </c>
      <c r="G94" s="488">
        <v>153070</v>
      </c>
      <c r="H94" s="44">
        <v>32890144.920713499</v>
      </c>
      <c r="I94" s="44">
        <f>IFERROR(VLOOKUP($B94-1,CDM!$L$7:$T$18,3,FALSE)/12,0)+IFERROR(VLOOKUP($B94,CDM!$L$37:$O$47,3,FALSE)/24,0)+IFERROR(VLOOKUP($B94,CDM!$L$37:$O$47,3,FALSE)/2*$C94/78,0)</f>
        <v>1716048.6577106137</v>
      </c>
      <c r="J94" s="44">
        <f t="shared" si="80"/>
        <v>34606193.578424111</v>
      </c>
      <c r="K94" s="44">
        <v>13423</v>
      </c>
      <c r="L94" s="44">
        <v>123628217.651605</v>
      </c>
      <c r="M94" s="44">
        <f>IFERROR(VLOOKUP($B94-1,CDM!$L$7:$T$18,4,FALSE)/12,0)+IFERROR(VLOOKUP($B94,CDM!$L$37:$O$47,4,FALSE)/24,0)+IFERROR(VLOOKUP($B94,CDM!$L$37:$O$47,4,FALSE)/2*$C94/78,0)</f>
        <v>8320656.4352525314</v>
      </c>
      <c r="N94" s="44">
        <f t="shared" si="81"/>
        <v>131948874.08685753</v>
      </c>
      <c r="O94" s="44">
        <v>319002.32</v>
      </c>
      <c r="P94" s="488">
        <v>1506</v>
      </c>
      <c r="Q94" s="488">
        <v>2173661.8667043899</v>
      </c>
      <c r="R94" s="488">
        <f>IFERROR(VLOOKUP($B94-1,CDM!$L$7:$T$18,5,FALSE)/12,0)+IFERROR(VLOOKUP($B94,CDM!$L$37:$T$47,5,FALSE)/24,0)+IFERROR(VLOOKUP($B94,CDM!$L$37:$T$47,5,FALSE)/2*$C94/78,0)</f>
        <v>152135.3133743474</v>
      </c>
      <c r="S94" s="488">
        <f t="shared" si="137"/>
        <v>2325797.1800787374</v>
      </c>
      <c r="T94" s="44">
        <v>4669.47</v>
      </c>
      <c r="U94" s="488">
        <v>7</v>
      </c>
      <c r="V94" s="488">
        <v>14857131.185557799</v>
      </c>
      <c r="W94" s="488">
        <f>IFERROR(VLOOKUP($B94-1,CDM!$L$7:$T$18,6,FALSE)/12,0)+IFERROR(VLOOKUP($B94,CDM!$L$37:$T$47,6,FALSE)/24,0)+IFERROR(VLOOKUP($B94,CDM!$L$37:$T$47,6,FALSE)/2*$C94/78,0)</f>
        <v>1507090.8628612359</v>
      </c>
      <c r="X94" s="488">
        <f t="shared" si="138"/>
        <v>16364222.048419036</v>
      </c>
      <c r="Y94" s="488">
        <v>28163.27</v>
      </c>
      <c r="Z94" s="488">
        <v>2</v>
      </c>
      <c r="AA94" s="44">
        <v>1394676.94</v>
      </c>
      <c r="AB94" s="44">
        <v>4063.74</v>
      </c>
      <c r="AC94" s="488">
        <v>40354</v>
      </c>
      <c r="AD94" s="44">
        <v>445428.35000000003</v>
      </c>
      <c r="AE94" s="44">
        <v>1565</v>
      </c>
      <c r="AF94" s="44">
        <v>41310.299999999988</v>
      </c>
      <c r="AG94" s="44">
        <v>116.05</v>
      </c>
      <c r="AH94" s="44">
        <v>488</v>
      </c>
      <c r="AI94" s="44">
        <v>16400</v>
      </c>
      <c r="AJ94" s="68">
        <f>Economic!H108</f>
        <v>889453.6</v>
      </c>
      <c r="AK94" s="68">
        <f>Economic!I108</f>
        <v>89520.3</v>
      </c>
      <c r="AL94" s="68">
        <f>Economic!J108</f>
        <v>38651.800000000003</v>
      </c>
      <c r="AM94" s="68">
        <f>Economic!K108</f>
        <v>92987.6</v>
      </c>
      <c r="AN94" s="68">
        <f>Economic!L108</f>
        <v>77142.5</v>
      </c>
      <c r="AO94" s="68">
        <f>Economic!M108</f>
        <v>890079</v>
      </c>
      <c r="AP94" s="68">
        <f>Economic!N108</f>
        <v>88612</v>
      </c>
      <c r="AQ94" s="68">
        <f>Economic!O108</f>
        <v>14039</v>
      </c>
      <c r="AR94" s="68">
        <f>Economic!P108</f>
        <v>38363</v>
      </c>
      <c r="AS94" s="68">
        <f>Economic!Q108</f>
        <v>93955</v>
      </c>
      <c r="AT94" s="68">
        <f>Economic!D108</f>
        <v>8177.5</v>
      </c>
      <c r="AU94" s="68">
        <f>Economic!E108</f>
        <v>8217.2000000000007</v>
      </c>
      <c r="AV94" s="68">
        <f>Economic!F108</f>
        <v>318.8</v>
      </c>
      <c r="AW94" s="68">
        <f>Economic!G108</f>
        <v>320.7</v>
      </c>
      <c r="AX94" s="68">
        <f>Economic!W108</f>
        <v>13115</v>
      </c>
      <c r="AY94" s="68">
        <f>Economic!R108</f>
        <v>128.5</v>
      </c>
      <c r="AZ94" s="68">
        <f>Economic!W108</f>
        <v>13115</v>
      </c>
      <c r="BA94" s="68">
        <f>Economic!X108</f>
        <v>-4937</v>
      </c>
      <c r="BB94" s="68">
        <f>Economic!Y108</f>
        <v>5265</v>
      </c>
      <c r="BC94" s="236">
        <f>Weather!C106</f>
        <v>17.859930555555554</v>
      </c>
      <c r="BD94" s="16">
        <f>Weather!D106</f>
        <v>65.035416666666649</v>
      </c>
      <c r="BE94" s="16">
        <f>Weather!E106</f>
        <v>0.83333333333333925</v>
      </c>
      <c r="BF94" s="16">
        <f>Weather!F106</f>
        <v>27.772916666666664</v>
      </c>
      <c r="BG94" s="16">
        <f>Weather!G106</f>
        <v>23.57083333333334</v>
      </c>
      <c r="BH94" s="16">
        <f>Weather!H106</f>
        <v>11.983333333333331</v>
      </c>
      <c r="BI94" s="16">
        <f>Weather!I106</f>
        <v>67.78125</v>
      </c>
      <c r="BJ94" s="16">
        <f>Weather!J106</f>
        <v>4.2874999999999979</v>
      </c>
      <c r="BK94" s="16">
        <f>Weather!K106</f>
        <v>120.08541666666667</v>
      </c>
      <c r="BL94" s="16">
        <f>Weather!L106</f>
        <v>0.85416666666666607</v>
      </c>
      <c r="BM94" s="16">
        <f>Weather!M106</f>
        <v>176.65208333333334</v>
      </c>
      <c r="BN94" s="16">
        <f>Weather!N106</f>
        <v>0</v>
      </c>
      <c r="BO94" s="16">
        <f>Weather!O106</f>
        <v>235.79791666666668</v>
      </c>
      <c r="BP94" s="16">
        <f>Weather!P106</f>
        <v>0</v>
      </c>
      <c r="BQ94" s="16">
        <f>Weather!Q106</f>
        <v>295.79791666666677</v>
      </c>
      <c r="BR94">
        <f t="shared" si="142"/>
        <v>0</v>
      </c>
      <c r="BS94">
        <f t="shared" si="142"/>
        <v>0</v>
      </c>
      <c r="BT94">
        <f t="shared" si="142"/>
        <v>0</v>
      </c>
      <c r="BU94">
        <f t="shared" si="142"/>
        <v>0</v>
      </c>
      <c r="BV94">
        <f t="shared" si="142"/>
        <v>0</v>
      </c>
      <c r="BW94">
        <f t="shared" si="142"/>
        <v>0</v>
      </c>
      <c r="BX94">
        <f t="shared" si="142"/>
        <v>0</v>
      </c>
      <c r="BY94">
        <f t="shared" si="142"/>
        <v>0</v>
      </c>
      <c r="BZ94">
        <f t="shared" si="142"/>
        <v>1</v>
      </c>
      <c r="CA94">
        <f t="shared" si="142"/>
        <v>0</v>
      </c>
      <c r="CB94">
        <f t="shared" si="142"/>
        <v>0</v>
      </c>
      <c r="CC94">
        <f t="shared" si="142"/>
        <v>0</v>
      </c>
      <c r="CD94" s="1">
        <f t="shared" si="142"/>
        <v>0</v>
      </c>
      <c r="CE94">
        <f t="shared" si="143"/>
        <v>0</v>
      </c>
      <c r="CF94" s="1">
        <f t="shared" si="142"/>
        <v>1</v>
      </c>
      <c r="CG94">
        <f t="shared" si="143"/>
        <v>1</v>
      </c>
      <c r="CH94" s="1">
        <f t="shared" si="142"/>
        <v>1</v>
      </c>
      <c r="CI94">
        <f t="shared" si="139"/>
        <v>1</v>
      </c>
      <c r="CJ94">
        <f t="shared" si="140"/>
        <v>1</v>
      </c>
      <c r="CK94">
        <f t="shared" ref="CK94:CK109" si="148">CK82</f>
        <v>0</v>
      </c>
      <c r="CL94">
        <f t="shared" si="144"/>
        <v>0</v>
      </c>
      <c r="CM94" s="1">
        <f t="shared" si="120"/>
        <v>93</v>
      </c>
      <c r="CN94" s="1">
        <f t="shared" si="117"/>
        <v>45</v>
      </c>
      <c r="CO94" s="1">
        <f t="shared" si="130"/>
        <v>33</v>
      </c>
      <c r="CP94" s="1">
        <f t="shared" si="141"/>
        <v>21</v>
      </c>
      <c r="CQ94" s="1">
        <f t="shared" si="131"/>
        <v>9</v>
      </c>
      <c r="CR94" s="1">
        <f t="shared" si="131"/>
        <v>33</v>
      </c>
      <c r="CS94">
        <f t="shared" si="116"/>
        <v>30</v>
      </c>
      <c r="CT94" s="1">
        <v>20</v>
      </c>
      <c r="CU94" s="1">
        <v>0</v>
      </c>
      <c r="CV94" s="1">
        <v>0</v>
      </c>
      <c r="CW94" s="1">
        <v>0</v>
      </c>
      <c r="CX94" s="1">
        <v>0.25</v>
      </c>
      <c r="CY94" s="1">
        <v>0</v>
      </c>
      <c r="CZ94" s="10">
        <f t="shared" si="87"/>
        <v>0</v>
      </c>
      <c r="DA94" s="10">
        <f t="shared" si="88"/>
        <v>0</v>
      </c>
      <c r="DB94" s="10">
        <f t="shared" si="89"/>
        <v>0</v>
      </c>
      <c r="DC94" s="10">
        <f t="shared" si="90"/>
        <v>0</v>
      </c>
      <c r="DD94" s="10">
        <f t="shared" si="91"/>
        <v>0</v>
      </c>
      <c r="DE94" s="10">
        <f t="shared" si="92"/>
        <v>0</v>
      </c>
      <c r="DF94" s="10">
        <f t="shared" si="93"/>
        <v>0</v>
      </c>
      <c r="DG94" s="10">
        <f t="shared" si="94"/>
        <v>0</v>
      </c>
      <c r="DH94" s="10">
        <f t="shared" si="95"/>
        <v>0</v>
      </c>
      <c r="DI94" s="10">
        <f t="shared" si="96"/>
        <v>0</v>
      </c>
      <c r="DJ94" s="10">
        <f t="shared" si="97"/>
        <v>0</v>
      </c>
      <c r="DK94" s="10">
        <f t="shared" si="98"/>
        <v>0</v>
      </c>
      <c r="DL94" s="10">
        <f t="shared" si="99"/>
        <v>0</v>
      </c>
      <c r="DM94" s="10">
        <f t="shared" si="100"/>
        <v>0</v>
      </c>
      <c r="DN94" s="10">
        <f t="shared" si="101"/>
        <v>16.258854166666662</v>
      </c>
      <c r="DO94" s="10">
        <f t="shared" si="102"/>
        <v>0.20833333333333481</v>
      </c>
      <c r="DP94" s="10">
        <f t="shared" si="103"/>
        <v>6.9432291666666659</v>
      </c>
      <c r="DQ94" s="10">
        <f t="shared" si="104"/>
        <v>5.892708333333335</v>
      </c>
      <c r="DR94" s="10">
        <f t="shared" si="105"/>
        <v>2.9958333333333327</v>
      </c>
      <c r="DS94" s="10">
        <f t="shared" si="106"/>
        <v>16.9453125</v>
      </c>
      <c r="DT94" s="10">
        <f t="shared" si="107"/>
        <v>1.0718749999999995</v>
      </c>
      <c r="DU94" s="10">
        <f t="shared" si="108"/>
        <v>30.021354166666669</v>
      </c>
      <c r="DV94" s="10">
        <f t="shared" si="109"/>
        <v>0.21354166666666652</v>
      </c>
      <c r="DW94" s="10">
        <f t="shared" si="110"/>
        <v>44.163020833333334</v>
      </c>
      <c r="DX94" s="10">
        <f t="shared" si="111"/>
        <v>0</v>
      </c>
      <c r="DY94" s="10">
        <f t="shared" si="112"/>
        <v>58.94947916666667</v>
      </c>
      <c r="DZ94" s="10">
        <f t="shared" si="113"/>
        <v>0</v>
      </c>
      <c r="EA94" s="10">
        <f t="shared" si="114"/>
        <v>73.949479166666691</v>
      </c>
      <c r="EB94" s="44">
        <f t="shared" si="132"/>
        <v>655.1603380965945</v>
      </c>
      <c r="EC94" s="44">
        <f t="shared" si="129"/>
        <v>21.83867793655315</v>
      </c>
      <c r="ED94" s="44">
        <f t="shared" si="133"/>
        <v>3342846.4317481904</v>
      </c>
      <c r="EE94" s="44">
        <f t="shared" si="134"/>
        <v>2578.1266168832685</v>
      </c>
      <c r="EF94" s="44">
        <f t="shared" si="122"/>
        <v>85.937553896108952</v>
      </c>
      <c r="EG94" s="44">
        <f t="shared" si="135"/>
        <v>1153539.7859474705</v>
      </c>
      <c r="EH94" s="44">
        <f t="shared" si="136"/>
        <v>87615.454240941253</v>
      </c>
      <c r="EI94" s="44">
        <f t="shared" si="123"/>
        <v>2920.5151413647086</v>
      </c>
      <c r="EJ94" s="44">
        <f t="shared" si="146"/>
        <v>4380.7727120470627</v>
      </c>
      <c r="EK94" s="44">
        <f t="shared" si="145"/>
        <v>4398295.8028952507</v>
      </c>
      <c r="EL94" s="44">
        <f t="shared" si="147"/>
        <v>6597443.7043428766</v>
      </c>
    </row>
    <row r="95" spans="1:142" x14ac:dyDescent="0.2">
      <c r="A95" s="66">
        <v>45566</v>
      </c>
      <c r="B95" s="4">
        <f t="shared" si="118"/>
        <v>2024</v>
      </c>
      <c r="C95" s="4">
        <f t="shared" si="119"/>
        <v>10</v>
      </c>
      <c r="D95" s="44">
        <v>81377352.202722698</v>
      </c>
      <c r="E95" s="44">
        <f>IFERROR(VLOOKUP($B95-1,CDM!$L$7:$T$18,2,FALSE)/12,0)+IFERROR(VLOOKUP($B95,CDM!$L$37:$O$47,2,FALSE)/24,0)+IFERROR(VLOOKUP($B95,CDM!$L$37:$O$47,2,FALSE)/2*$C95/78,0)</f>
        <v>2314973.8175713653</v>
      </c>
      <c r="F95" s="44">
        <f t="shared" si="79"/>
        <v>83692326.02029407</v>
      </c>
      <c r="G95" s="488">
        <v>153181</v>
      </c>
      <c r="H95" s="44">
        <v>30746455.1460157</v>
      </c>
      <c r="I95" s="44">
        <f>IFERROR(VLOOKUP($B95-1,CDM!$L$7:$T$18,3,FALSE)/12,0)+IFERROR(VLOOKUP($B95,CDM!$L$37:$O$47,3,FALSE)/24,0)+IFERROR(VLOOKUP($B95,CDM!$L$37:$O$47,3,FALSE)/2*$C95/78,0)</f>
        <v>1736810.734404651</v>
      </c>
      <c r="J95" s="44">
        <f t="shared" si="80"/>
        <v>32483265.88042035</v>
      </c>
      <c r="K95" s="44">
        <v>13416</v>
      </c>
      <c r="L95" s="44">
        <v>117893699.587933</v>
      </c>
      <c r="M95" s="44">
        <f>IFERROR(VLOOKUP($B95-1,CDM!$L$7:$T$18,4,FALSE)/12,0)+IFERROR(VLOOKUP($B95,CDM!$L$37:$O$47,4,FALSE)/24,0)+IFERROR(VLOOKUP($B95,CDM!$L$37:$O$47,4,FALSE)/2*$C95/78,0)</f>
        <v>8370045.2830091966</v>
      </c>
      <c r="N95" s="44">
        <f t="shared" si="81"/>
        <v>126263744.87094221</v>
      </c>
      <c r="O95" s="44">
        <v>300264.18</v>
      </c>
      <c r="P95" s="488">
        <v>1508</v>
      </c>
      <c r="Q95" s="488">
        <v>1832375.87915007</v>
      </c>
      <c r="R95" s="488">
        <f>IFERROR(VLOOKUP($B95-1,CDM!$L$7:$T$18,5,FALSE)/12,0)+IFERROR(VLOOKUP($B95,CDM!$L$37:$T$47,5,FALSE)/24,0)+IFERROR(VLOOKUP($B95,CDM!$L$37:$T$47,5,FALSE)/2*$C95/78,0)</f>
        <v>153672.70883695679</v>
      </c>
      <c r="S95" s="488">
        <f t="shared" si="137"/>
        <v>1986048.5879870269</v>
      </c>
      <c r="T95" s="44">
        <v>4809.1699999999983</v>
      </c>
      <c r="U95" s="488">
        <v>7</v>
      </c>
      <c r="V95" s="488">
        <v>13298695.135918001</v>
      </c>
      <c r="W95" s="488">
        <f>IFERROR(VLOOKUP($B95-1,CDM!$L$7:$T$18,6,FALSE)/12,0)+IFERROR(VLOOKUP($B95,CDM!$L$37:$T$47,6,FALSE)/24,0)+IFERROR(VLOOKUP($B95,CDM!$L$37:$T$47,6,FALSE)/2*$C95/78,0)</f>
        <v>1508595.0087006497</v>
      </c>
      <c r="X95" s="488">
        <f t="shared" si="138"/>
        <v>14807290.144618651</v>
      </c>
      <c r="Y95" s="488">
        <v>27443.119999999999</v>
      </c>
      <c r="Z95" s="488">
        <v>2</v>
      </c>
      <c r="AA95" s="44">
        <v>1628870.51</v>
      </c>
      <c r="AB95" s="44">
        <v>4063.74</v>
      </c>
      <c r="AC95" s="488">
        <v>40354</v>
      </c>
      <c r="AD95" s="44">
        <v>460571.22</v>
      </c>
      <c r="AE95" s="44">
        <v>1565</v>
      </c>
      <c r="AF95" s="44">
        <v>43620.409999999989</v>
      </c>
      <c r="AG95" s="44">
        <v>115.49</v>
      </c>
      <c r="AH95" s="44">
        <v>488</v>
      </c>
      <c r="AI95" s="44">
        <v>16400</v>
      </c>
      <c r="AJ95" s="68">
        <f>Economic!H109</f>
        <v>889453.6</v>
      </c>
      <c r="AK95" s="68">
        <f>Economic!I109</f>
        <v>89520.3</v>
      </c>
      <c r="AL95" s="68">
        <f>Economic!J109</f>
        <v>38651.800000000003</v>
      </c>
      <c r="AM95" s="68">
        <f>Economic!K109</f>
        <v>92987.6</v>
      </c>
      <c r="AN95" s="68">
        <f>Economic!L109</f>
        <v>77142.5</v>
      </c>
      <c r="AO95" s="68">
        <f>Economic!M109</f>
        <v>893201</v>
      </c>
      <c r="AP95" s="68">
        <f>Economic!N109</f>
        <v>88445</v>
      </c>
      <c r="AQ95" s="68">
        <f>Economic!O109</f>
        <v>14021</v>
      </c>
      <c r="AR95" s="68">
        <f>Economic!P109</f>
        <v>37419</v>
      </c>
      <c r="AS95" s="68">
        <f>Economic!Q109</f>
        <v>94398</v>
      </c>
      <c r="AT95" s="68">
        <f>Economic!D109</f>
        <v>8179.8</v>
      </c>
      <c r="AU95" s="68">
        <f>Economic!E109</f>
        <v>8197.6</v>
      </c>
      <c r="AV95" s="68">
        <f>Economic!F109</f>
        <v>319.39999999999998</v>
      </c>
      <c r="AW95" s="68">
        <f>Economic!G109</f>
        <v>320.60000000000002</v>
      </c>
      <c r="AX95" s="68">
        <f>Economic!W109</f>
        <v>12946</v>
      </c>
      <c r="AY95" s="68">
        <f>Economic!R109</f>
        <v>125.40000000000055</v>
      </c>
      <c r="AZ95" s="68">
        <f>Economic!W109</f>
        <v>12946</v>
      </c>
      <c r="BA95" s="68">
        <f>Economic!X109</f>
        <v>-2898</v>
      </c>
      <c r="BB95" s="68">
        <f>Economic!Y109</f>
        <v>4028</v>
      </c>
      <c r="BC95" s="236">
        <f>Weather!C107</f>
        <v>11.089381720430106</v>
      </c>
      <c r="BD95" s="16">
        <f>Weather!D107</f>
        <v>276.22916666666669</v>
      </c>
      <c r="BE95" s="16">
        <f>Weather!E107</f>
        <v>0</v>
      </c>
      <c r="BF95" s="16">
        <f>Weather!F107</f>
        <v>215.50416666666672</v>
      </c>
      <c r="BG95" s="16">
        <f>Weather!G107</f>
        <v>1.2750000000000057</v>
      </c>
      <c r="BH95" s="16">
        <f>Weather!H107</f>
        <v>160.20416666666665</v>
      </c>
      <c r="BI95" s="16">
        <f>Weather!I107</f>
        <v>7.975000000000005</v>
      </c>
      <c r="BJ95" s="16">
        <f>Weather!J107</f>
        <v>109.52916666666667</v>
      </c>
      <c r="BK95" s="16">
        <f>Weather!K107</f>
        <v>19.300000000000008</v>
      </c>
      <c r="BL95" s="16">
        <f>Weather!L107</f>
        <v>69.74166666666666</v>
      </c>
      <c r="BM95" s="16">
        <f>Weather!M107</f>
        <v>41.512500000000003</v>
      </c>
      <c r="BN95" s="16">
        <f>Weather!N107</f>
        <v>39.6</v>
      </c>
      <c r="BO95" s="16">
        <f>Weather!O107</f>
        <v>73.370833333333337</v>
      </c>
      <c r="BP95" s="16">
        <f>Weather!P107</f>
        <v>14.145833333333336</v>
      </c>
      <c r="BQ95" s="16">
        <f>Weather!Q107</f>
        <v>109.9166666666667</v>
      </c>
      <c r="BR95">
        <f t="shared" ref="BR95:CI95" si="149">BR83</f>
        <v>0</v>
      </c>
      <c r="BS95">
        <f t="shared" si="149"/>
        <v>0</v>
      </c>
      <c r="BT95">
        <f t="shared" si="149"/>
        <v>0</v>
      </c>
      <c r="BU95">
        <f t="shared" si="149"/>
        <v>0</v>
      </c>
      <c r="BV95">
        <f t="shared" si="149"/>
        <v>0</v>
      </c>
      <c r="BW95">
        <f t="shared" si="149"/>
        <v>0</v>
      </c>
      <c r="BX95">
        <f t="shared" si="149"/>
        <v>0</v>
      </c>
      <c r="BY95">
        <f t="shared" si="149"/>
        <v>0</v>
      </c>
      <c r="BZ95">
        <f t="shared" si="149"/>
        <v>0</v>
      </c>
      <c r="CA95">
        <f t="shared" si="149"/>
        <v>1</v>
      </c>
      <c r="CB95">
        <f t="shared" si="149"/>
        <v>0</v>
      </c>
      <c r="CC95">
        <f t="shared" si="149"/>
        <v>0</v>
      </c>
      <c r="CD95" s="1">
        <f t="shared" si="149"/>
        <v>0</v>
      </c>
      <c r="CE95">
        <f t="shared" si="143"/>
        <v>0</v>
      </c>
      <c r="CF95" s="1">
        <f t="shared" si="149"/>
        <v>1</v>
      </c>
      <c r="CG95">
        <f t="shared" si="143"/>
        <v>1</v>
      </c>
      <c r="CH95" s="1">
        <f t="shared" si="149"/>
        <v>1</v>
      </c>
      <c r="CI95">
        <f t="shared" si="149"/>
        <v>1</v>
      </c>
      <c r="CJ95">
        <f t="shared" si="140"/>
        <v>1</v>
      </c>
      <c r="CK95">
        <f t="shared" si="148"/>
        <v>0</v>
      </c>
      <c r="CL95">
        <f t="shared" si="144"/>
        <v>0</v>
      </c>
      <c r="CM95" s="1">
        <f t="shared" si="120"/>
        <v>94</v>
      </c>
      <c r="CN95" s="1">
        <f t="shared" si="117"/>
        <v>46</v>
      </c>
      <c r="CO95" s="1">
        <f t="shared" si="130"/>
        <v>34</v>
      </c>
      <c r="CP95" s="1">
        <f t="shared" si="141"/>
        <v>22</v>
      </c>
      <c r="CQ95" s="1">
        <f t="shared" si="131"/>
        <v>10</v>
      </c>
      <c r="CR95" s="1">
        <f t="shared" si="131"/>
        <v>34</v>
      </c>
      <c r="CS95">
        <f t="shared" si="116"/>
        <v>31</v>
      </c>
      <c r="CT95" s="1">
        <v>22</v>
      </c>
      <c r="CU95" s="1">
        <v>0</v>
      </c>
      <c r="CV95" s="1">
        <v>0</v>
      </c>
      <c r="CW95" s="1">
        <v>0</v>
      </c>
      <c r="CX95" s="1">
        <v>0.25</v>
      </c>
      <c r="CY95" s="1">
        <v>0</v>
      </c>
      <c r="CZ95" s="10">
        <f t="shared" si="87"/>
        <v>0</v>
      </c>
      <c r="DA95" s="10">
        <f t="shared" si="88"/>
        <v>0</v>
      </c>
      <c r="DB95" s="10">
        <f t="shared" si="89"/>
        <v>0</v>
      </c>
      <c r="DC95" s="10">
        <f t="shared" si="90"/>
        <v>0</v>
      </c>
      <c r="DD95" s="10">
        <f t="shared" si="91"/>
        <v>0</v>
      </c>
      <c r="DE95" s="10">
        <f t="shared" si="92"/>
        <v>0</v>
      </c>
      <c r="DF95" s="10">
        <f t="shared" si="93"/>
        <v>0</v>
      </c>
      <c r="DG95" s="10">
        <f t="shared" si="94"/>
        <v>0</v>
      </c>
      <c r="DH95" s="10">
        <f t="shared" si="95"/>
        <v>0</v>
      </c>
      <c r="DI95" s="10">
        <f t="shared" si="96"/>
        <v>0</v>
      </c>
      <c r="DJ95" s="10">
        <f t="shared" si="97"/>
        <v>0</v>
      </c>
      <c r="DK95" s="10">
        <f t="shared" si="98"/>
        <v>0</v>
      </c>
      <c r="DL95" s="10">
        <f t="shared" si="99"/>
        <v>0</v>
      </c>
      <c r="DM95" s="10">
        <f t="shared" si="100"/>
        <v>0</v>
      </c>
      <c r="DN95" s="10">
        <f t="shared" si="101"/>
        <v>69.057291666666671</v>
      </c>
      <c r="DO95" s="10">
        <f t="shared" si="102"/>
        <v>0</v>
      </c>
      <c r="DP95" s="10">
        <f t="shared" si="103"/>
        <v>53.87604166666668</v>
      </c>
      <c r="DQ95" s="10">
        <f t="shared" si="104"/>
        <v>0.31875000000000142</v>
      </c>
      <c r="DR95" s="10">
        <f t="shared" si="105"/>
        <v>40.051041666666663</v>
      </c>
      <c r="DS95" s="10">
        <f t="shared" si="106"/>
        <v>1.9937500000000012</v>
      </c>
      <c r="DT95" s="10">
        <f t="shared" si="107"/>
        <v>27.382291666666667</v>
      </c>
      <c r="DU95" s="10">
        <f t="shared" si="108"/>
        <v>4.825000000000002</v>
      </c>
      <c r="DV95" s="10">
        <f t="shared" si="109"/>
        <v>17.435416666666665</v>
      </c>
      <c r="DW95" s="10">
        <f t="shared" si="110"/>
        <v>10.378125000000001</v>
      </c>
      <c r="DX95" s="10">
        <f t="shared" si="111"/>
        <v>9.9</v>
      </c>
      <c r="DY95" s="10">
        <f t="shared" si="112"/>
        <v>18.342708333333334</v>
      </c>
      <c r="DZ95" s="10">
        <f t="shared" si="113"/>
        <v>3.5364583333333339</v>
      </c>
      <c r="EA95" s="10">
        <f t="shared" si="114"/>
        <v>27.479166666666675</v>
      </c>
      <c r="EB95" s="44">
        <f t="shared" si="132"/>
        <v>546.36231660776514</v>
      </c>
      <c r="EC95" s="44">
        <f t="shared" si="129"/>
        <v>17.624590858315006</v>
      </c>
      <c r="ED95" s="44">
        <f t="shared" si="133"/>
        <v>2699752.4522675509</v>
      </c>
      <c r="EE95" s="44">
        <f t="shared" si="134"/>
        <v>2421.2332946049755</v>
      </c>
      <c r="EF95" s="44">
        <f t="shared" si="122"/>
        <v>78.104299825966947</v>
      </c>
      <c r="EG95" s="44">
        <f t="shared" si="135"/>
        <v>1047847.2864651725</v>
      </c>
      <c r="EH95" s="44">
        <f t="shared" si="136"/>
        <v>83729.273787096958</v>
      </c>
      <c r="EI95" s="44">
        <f t="shared" si="123"/>
        <v>2700.9443157128053</v>
      </c>
      <c r="EJ95" s="44">
        <f t="shared" si="146"/>
        <v>4186.4636893548477</v>
      </c>
      <c r="EK95" s="44">
        <f t="shared" si="145"/>
        <v>4073024.0280949096</v>
      </c>
      <c r="EL95" s="44">
        <f t="shared" si="147"/>
        <v>6313187.2435471099</v>
      </c>
    </row>
    <row r="96" spans="1:142" x14ac:dyDescent="0.2">
      <c r="A96" s="66">
        <v>45597</v>
      </c>
      <c r="B96" s="4">
        <f t="shared" si="118"/>
        <v>2024</v>
      </c>
      <c r="C96" s="4">
        <f t="shared" si="119"/>
        <v>11</v>
      </c>
      <c r="D96" s="44">
        <v>85804223.507386401</v>
      </c>
      <c r="E96" s="44">
        <f>IFERROR(VLOOKUP($B96-1,CDM!$L$7:$T$18,2,FALSE)/12,0)+IFERROR(VLOOKUP($B96,CDM!$L$37:$O$47,2,FALSE)/24,0)+IFERROR(VLOOKUP($B96,CDM!$L$37:$O$47,2,FALSE)/2*$C96/78,0)</f>
        <v>2320744.9481730256</v>
      </c>
      <c r="F96" s="44">
        <f>D96+E96</f>
        <v>88124968.455559433</v>
      </c>
      <c r="G96" s="488">
        <v>153239</v>
      </c>
      <c r="H96" s="44">
        <v>31051795.561207999</v>
      </c>
      <c r="I96" s="44">
        <f>IFERROR(VLOOKUP($B96-1,CDM!$L$7:$T$18,3,FALSE)/12,0)+IFERROR(VLOOKUP($B96,CDM!$L$37:$O$47,3,FALSE)/24,0)+IFERROR(VLOOKUP($B96,CDM!$L$37:$O$47,3,FALSE)/2*$C96/78,0)</f>
        <v>1757572.8110986885</v>
      </c>
      <c r="J96" s="44">
        <f>H96+I96</f>
        <v>32809368.372306686</v>
      </c>
      <c r="K96" s="44">
        <v>13418</v>
      </c>
      <c r="L96" s="44">
        <v>113755671.946321</v>
      </c>
      <c r="M96" s="44">
        <f>IFERROR(VLOOKUP($B96-1,CDM!$L$7:$T$18,4,FALSE)/12,0)+IFERROR(VLOOKUP($B96,CDM!$L$37:$O$47,4,FALSE)/24,0)+IFERROR(VLOOKUP($B96,CDM!$L$37:$O$47,4,FALSE)/2*$C96/78,0)</f>
        <v>8419434.1307658609</v>
      </c>
      <c r="N96" s="44">
        <f>L96+M96</f>
        <v>122175106.07708685</v>
      </c>
      <c r="O96" s="44">
        <v>292019.3</v>
      </c>
      <c r="P96" s="488">
        <v>1511</v>
      </c>
      <c r="Q96" s="488">
        <v>2545606.7628938099</v>
      </c>
      <c r="R96" s="488">
        <f>IFERROR(VLOOKUP($B96-1,CDM!$L$7:$T$18,5,FALSE)/12,0)+IFERROR(VLOOKUP($B96,CDM!$L$37:$T$47,5,FALSE)/24,0)+IFERROR(VLOOKUP($B96,CDM!$L$37:$T$47,5,FALSE)/2*$C96/78,0)</f>
        <v>155210.10429956621</v>
      </c>
      <c r="S96" s="488">
        <f t="shared" si="137"/>
        <v>2700816.8671933762</v>
      </c>
      <c r="T96" s="44">
        <v>4823.95</v>
      </c>
      <c r="U96" s="488">
        <v>7</v>
      </c>
      <c r="V96" s="488">
        <v>12482612.307501299</v>
      </c>
      <c r="W96" s="488">
        <f>IFERROR(VLOOKUP($B96-1,CDM!$L$7:$T$18,6,FALSE)/12,0)+IFERROR(VLOOKUP($B96,CDM!$L$37:$T$47,6,FALSE)/24,0)+IFERROR(VLOOKUP($B96,CDM!$L$37:$T$47,6,FALSE)/2*$C96/78,0)</f>
        <v>1510099.1545400638</v>
      </c>
      <c r="X96" s="488">
        <f t="shared" si="138"/>
        <v>13992711.462041363</v>
      </c>
      <c r="Y96" s="488">
        <v>25695.11</v>
      </c>
      <c r="Z96" s="488">
        <v>2</v>
      </c>
      <c r="AA96" s="44">
        <v>1726278.45</v>
      </c>
      <c r="AB96" s="44">
        <v>4063.74</v>
      </c>
      <c r="AC96" s="488">
        <v>40354</v>
      </c>
      <c r="AD96" s="44">
        <v>446014.01</v>
      </c>
      <c r="AE96" s="44">
        <v>1565</v>
      </c>
      <c r="AF96" s="44">
        <v>42005.560000000005</v>
      </c>
      <c r="AG96" s="44">
        <v>114.67</v>
      </c>
      <c r="AH96" s="44">
        <v>488</v>
      </c>
      <c r="AI96" s="44">
        <v>16400</v>
      </c>
      <c r="AJ96" s="68">
        <f>Economic!H110</f>
        <v>889453.6</v>
      </c>
      <c r="AK96" s="68">
        <f>Economic!I110</f>
        <v>89520.3</v>
      </c>
      <c r="AL96" s="68">
        <f>Economic!J110</f>
        <v>38651.800000000003</v>
      </c>
      <c r="AM96" s="68">
        <f>Economic!K110</f>
        <v>92987.6</v>
      </c>
      <c r="AN96" s="68">
        <f>Economic!L110</f>
        <v>77142.5</v>
      </c>
      <c r="AO96" s="68">
        <f>Economic!M110</f>
        <v>893201</v>
      </c>
      <c r="AP96" s="68">
        <f>Economic!N110</f>
        <v>88445</v>
      </c>
      <c r="AQ96" s="68">
        <f>Economic!O110</f>
        <v>14021</v>
      </c>
      <c r="AR96" s="68">
        <f>Economic!P110</f>
        <v>37419</v>
      </c>
      <c r="AS96" s="68">
        <f>Economic!Q110</f>
        <v>94398</v>
      </c>
      <c r="AT96" s="68">
        <f>Economic!D110</f>
        <v>8182</v>
      </c>
      <c r="AU96" s="68">
        <f>Economic!E110</f>
        <v>8185.1</v>
      </c>
      <c r="AV96" s="68">
        <f>Economic!F110</f>
        <v>321.8</v>
      </c>
      <c r="AW96" s="68">
        <f>Economic!G110</f>
        <v>322.10000000000002</v>
      </c>
      <c r="AX96" s="68">
        <f>Economic!W110</f>
        <v>12946</v>
      </c>
      <c r="AY96" s="68">
        <f>Economic!R110</f>
        <v>120.60000000000036</v>
      </c>
      <c r="AZ96" s="68">
        <f>Economic!W110</f>
        <v>12946</v>
      </c>
      <c r="BA96" s="68">
        <f>Economic!X110</f>
        <v>-2898</v>
      </c>
      <c r="BB96" s="68">
        <f>Economic!Y110</f>
        <v>4028</v>
      </c>
      <c r="BC96" s="236">
        <f>Weather!C108</f>
        <v>5.973541666666665</v>
      </c>
      <c r="BD96" s="16">
        <f>Weather!D108</f>
        <v>420.79374999999999</v>
      </c>
      <c r="BE96" s="16">
        <f>Weather!E108</f>
        <v>0</v>
      </c>
      <c r="BF96" s="16">
        <f>Weather!F108</f>
        <v>361.28958333333338</v>
      </c>
      <c r="BG96" s="16">
        <f>Weather!G108</f>
        <v>0.49583333333333357</v>
      </c>
      <c r="BH96" s="16">
        <f>Weather!H108</f>
        <v>304.15208333333339</v>
      </c>
      <c r="BI96" s="16">
        <f>Weather!I108</f>
        <v>3.3583333333333343</v>
      </c>
      <c r="BJ96" s="16">
        <f>Weather!J108</f>
        <v>248.15208333333331</v>
      </c>
      <c r="BK96" s="16">
        <f>Weather!K108</f>
        <v>7.3583333333333343</v>
      </c>
      <c r="BL96" s="16">
        <f>Weather!L108</f>
        <v>193.25624999999999</v>
      </c>
      <c r="BM96" s="16">
        <f>Weather!M108</f>
        <v>12.462500000000004</v>
      </c>
      <c r="BN96" s="16">
        <f>Weather!N108</f>
        <v>139.25624999999999</v>
      </c>
      <c r="BO96" s="16">
        <f>Weather!O108</f>
        <v>18.462500000000006</v>
      </c>
      <c r="BP96" s="16">
        <f>Weather!P108</f>
        <v>89.641666666666652</v>
      </c>
      <c r="BQ96" s="16">
        <f>Weather!Q108</f>
        <v>28.84791666666667</v>
      </c>
      <c r="BR96">
        <f t="shared" ref="BR96:CI96" si="150">BR84</f>
        <v>0</v>
      </c>
      <c r="BS96">
        <f t="shared" si="150"/>
        <v>0</v>
      </c>
      <c r="BT96">
        <f t="shared" si="150"/>
        <v>0</v>
      </c>
      <c r="BU96">
        <f t="shared" si="150"/>
        <v>0</v>
      </c>
      <c r="BV96">
        <f t="shared" si="150"/>
        <v>0</v>
      </c>
      <c r="BW96">
        <f t="shared" si="150"/>
        <v>0</v>
      </c>
      <c r="BX96">
        <f t="shared" si="150"/>
        <v>0</v>
      </c>
      <c r="BY96">
        <f t="shared" si="150"/>
        <v>0</v>
      </c>
      <c r="BZ96">
        <f t="shared" si="150"/>
        <v>0</v>
      </c>
      <c r="CA96">
        <f t="shared" si="150"/>
        <v>0</v>
      </c>
      <c r="CB96">
        <f t="shared" si="150"/>
        <v>1</v>
      </c>
      <c r="CC96">
        <f t="shared" si="150"/>
        <v>0</v>
      </c>
      <c r="CD96" s="1">
        <f t="shared" si="150"/>
        <v>0</v>
      </c>
      <c r="CE96">
        <f t="shared" si="143"/>
        <v>0</v>
      </c>
      <c r="CF96" s="1">
        <f t="shared" si="150"/>
        <v>1</v>
      </c>
      <c r="CG96">
        <f t="shared" si="143"/>
        <v>0</v>
      </c>
      <c r="CH96" s="1">
        <f t="shared" si="150"/>
        <v>1</v>
      </c>
      <c r="CI96">
        <f t="shared" si="150"/>
        <v>0</v>
      </c>
      <c r="CJ96">
        <f t="shared" si="140"/>
        <v>1</v>
      </c>
      <c r="CK96">
        <f t="shared" si="148"/>
        <v>0</v>
      </c>
      <c r="CL96">
        <f t="shared" si="144"/>
        <v>0</v>
      </c>
      <c r="CM96" s="1">
        <f t="shared" si="120"/>
        <v>95</v>
      </c>
      <c r="CN96" s="1">
        <f t="shared" si="117"/>
        <v>47</v>
      </c>
      <c r="CO96" s="1">
        <f t="shared" si="130"/>
        <v>35</v>
      </c>
      <c r="CP96" s="1">
        <f t="shared" si="141"/>
        <v>23</v>
      </c>
      <c r="CQ96" s="1">
        <f t="shared" si="131"/>
        <v>11</v>
      </c>
      <c r="CR96" s="1">
        <f t="shared" si="131"/>
        <v>35</v>
      </c>
      <c r="CS96">
        <f t="shared" si="116"/>
        <v>30</v>
      </c>
      <c r="CT96" s="1">
        <v>21</v>
      </c>
      <c r="CU96" s="1">
        <v>0</v>
      </c>
      <c r="CV96" s="1">
        <v>0</v>
      </c>
      <c r="CW96" s="1">
        <v>0</v>
      </c>
      <c r="CX96" s="1">
        <v>0.25</v>
      </c>
      <c r="CY96" s="1">
        <v>0</v>
      </c>
      <c r="CZ96" s="10">
        <f t="shared" si="87"/>
        <v>0</v>
      </c>
      <c r="DA96" s="10">
        <f t="shared" si="88"/>
        <v>0</v>
      </c>
      <c r="DB96" s="10">
        <f t="shared" si="89"/>
        <v>0</v>
      </c>
      <c r="DC96" s="10">
        <f t="shared" si="90"/>
        <v>0</v>
      </c>
      <c r="DD96" s="10">
        <f t="shared" si="91"/>
        <v>0</v>
      </c>
      <c r="DE96" s="10">
        <f t="shared" si="92"/>
        <v>0</v>
      </c>
      <c r="DF96" s="10">
        <f t="shared" si="93"/>
        <v>0</v>
      </c>
      <c r="DG96" s="10">
        <f t="shared" si="94"/>
        <v>0</v>
      </c>
      <c r="DH96" s="10">
        <f t="shared" si="95"/>
        <v>0</v>
      </c>
      <c r="DI96" s="10">
        <f t="shared" si="96"/>
        <v>0</v>
      </c>
      <c r="DJ96" s="10">
        <f t="shared" si="97"/>
        <v>0</v>
      </c>
      <c r="DK96" s="10">
        <f t="shared" si="98"/>
        <v>0</v>
      </c>
      <c r="DL96" s="10">
        <f t="shared" si="99"/>
        <v>0</v>
      </c>
      <c r="DM96" s="10">
        <f t="shared" si="100"/>
        <v>0</v>
      </c>
      <c r="DN96" s="10">
        <f t="shared" si="101"/>
        <v>105.1984375</v>
      </c>
      <c r="DO96" s="10">
        <f t="shared" si="102"/>
        <v>0</v>
      </c>
      <c r="DP96" s="10">
        <f t="shared" si="103"/>
        <v>90.322395833333346</v>
      </c>
      <c r="DQ96" s="10">
        <f t="shared" si="104"/>
        <v>0.12395833333333339</v>
      </c>
      <c r="DR96" s="10">
        <f t="shared" si="105"/>
        <v>76.038020833333348</v>
      </c>
      <c r="DS96" s="10">
        <f t="shared" si="106"/>
        <v>0.83958333333333357</v>
      </c>
      <c r="DT96" s="10">
        <f t="shared" si="107"/>
        <v>62.038020833333327</v>
      </c>
      <c r="DU96" s="10">
        <f t="shared" si="108"/>
        <v>1.8395833333333336</v>
      </c>
      <c r="DV96" s="10">
        <f t="shared" si="109"/>
        <v>48.314062499999999</v>
      </c>
      <c r="DW96" s="10">
        <f t="shared" si="110"/>
        <v>3.115625000000001</v>
      </c>
      <c r="DX96" s="10">
        <f t="shared" si="111"/>
        <v>34.814062499999999</v>
      </c>
      <c r="DY96" s="10">
        <f t="shared" si="112"/>
        <v>4.6156250000000014</v>
      </c>
      <c r="DZ96" s="10">
        <f t="shared" si="113"/>
        <v>22.410416666666663</v>
      </c>
      <c r="EA96" s="10">
        <f t="shared" si="114"/>
        <v>7.2119791666666675</v>
      </c>
      <c r="EB96" s="44">
        <f t="shared" si="132"/>
        <v>575.08185550388237</v>
      </c>
      <c r="EC96" s="44">
        <f t="shared" si="129"/>
        <v>19.169395183462747</v>
      </c>
      <c r="ED96" s="44">
        <f t="shared" si="133"/>
        <v>2937498.9485186478</v>
      </c>
      <c r="EE96" s="44">
        <f t="shared" si="134"/>
        <v>2445.1757618353472</v>
      </c>
      <c r="EF96" s="44">
        <f t="shared" si="122"/>
        <v>81.50585872784491</v>
      </c>
      <c r="EG96" s="44">
        <f t="shared" si="135"/>
        <v>1093645.6124102229</v>
      </c>
      <c r="EH96" s="44">
        <f t="shared" si="136"/>
        <v>80857.118515610098</v>
      </c>
      <c r="EI96" s="44">
        <f t="shared" si="123"/>
        <v>2695.2372838536699</v>
      </c>
      <c r="EJ96" s="44">
        <f t="shared" si="146"/>
        <v>3675.3235688913683</v>
      </c>
      <c r="EK96" s="44">
        <f t="shared" si="145"/>
        <v>4072503.535902895</v>
      </c>
      <c r="EL96" s="44">
        <f t="shared" si="147"/>
        <v>5553413.9125948567</v>
      </c>
    </row>
    <row r="97" spans="1:142" x14ac:dyDescent="0.2">
      <c r="A97" s="66">
        <v>45627</v>
      </c>
      <c r="B97" s="4">
        <f t="shared" si="118"/>
        <v>2024</v>
      </c>
      <c r="C97" s="4">
        <f t="shared" si="119"/>
        <v>12</v>
      </c>
      <c r="D97" s="44">
        <v>105065825.136022</v>
      </c>
      <c r="E97" s="44">
        <f>IFERROR(VLOOKUP($B97-1,CDM!$L$7:$T$18,2,FALSE)/12,0)+IFERROR(VLOOKUP($B97,CDM!$L$37:$O$47,2,FALSE)/24,0)+IFERROR(VLOOKUP($B97,CDM!$L$37:$O$47,2,FALSE)/2*$C97/78,0)</f>
        <v>2326516.0787746855</v>
      </c>
      <c r="F97" s="44">
        <f>D97+E97</f>
        <v>107392341.21479669</v>
      </c>
      <c r="G97" s="488">
        <v>153271</v>
      </c>
      <c r="H97" s="44">
        <v>34966566.802892603</v>
      </c>
      <c r="I97" s="44">
        <f>IFERROR(VLOOKUP($B97-1,CDM!$L$7:$T$18,3,FALSE)/12,0)+IFERROR(VLOOKUP($B97,CDM!$L$37:$O$47,3,FALSE)/24,0)+IFERROR(VLOOKUP($B97,CDM!$L$37:$O$47,3,FALSE)/2*$C97/78,0)</f>
        <v>1778334.8877927258</v>
      </c>
      <c r="J97" s="44">
        <f>H97+I97</f>
        <v>36744901.690685332</v>
      </c>
      <c r="K97" s="44">
        <v>13429</v>
      </c>
      <c r="L97" s="44">
        <v>116769558.035579</v>
      </c>
      <c r="M97" s="44">
        <f>IFERROR(VLOOKUP($B97-1,CDM!$L$7:$T$18,4,FALSE)/12,0)+IFERROR(VLOOKUP($B97,CDM!$L$37:$O$47,4,FALSE)/24,0)+IFERROR(VLOOKUP($B97,CDM!$L$37:$O$47,4,FALSE)/2*$C97/78,0)</f>
        <v>8468822.9785225261</v>
      </c>
      <c r="N97" s="44">
        <f>L97+M97</f>
        <v>125238381.01410152</v>
      </c>
      <c r="O97" s="44">
        <v>285792.39</v>
      </c>
      <c r="P97" s="488">
        <v>1515</v>
      </c>
      <c r="Q97" s="488">
        <v>1277935.8091956801</v>
      </c>
      <c r="R97" s="488">
        <f>IFERROR(VLOOKUP($B97-1,CDM!$L$7:$T$18,5,FALSE)/12,0)+IFERROR(VLOOKUP($B97,CDM!$L$37:$T$47,5,FALSE)/24,0)+IFERROR(VLOOKUP($B97,CDM!$L$37:$T$47,5,FALSE)/2*$C97/78,0)</f>
        <v>156747.4997621756</v>
      </c>
      <c r="S97" s="488">
        <f t="shared" si="137"/>
        <v>1434683.3089578557</v>
      </c>
      <c r="T97" s="44">
        <v>2476.6900000000005</v>
      </c>
      <c r="U97" s="488">
        <v>7</v>
      </c>
      <c r="V97" s="488">
        <v>12090318.4480929</v>
      </c>
      <c r="W97" s="488">
        <f>IFERROR(VLOOKUP($B97-1,CDM!$L$7:$T$18,6,FALSE)/12,0)+IFERROR(VLOOKUP($B97,CDM!$L$37:$T$47,6,FALSE)/24,0)+IFERROR(VLOOKUP($B97,CDM!$L$37:$T$47,6,FALSE)/2*$C97/78,0)</f>
        <v>1511603.3003794777</v>
      </c>
      <c r="X97" s="488">
        <f t="shared" si="138"/>
        <v>13601921.748472378</v>
      </c>
      <c r="Y97" s="488">
        <v>21609.78</v>
      </c>
      <c r="Z97" s="488">
        <v>2</v>
      </c>
      <c r="AA97" s="44">
        <v>1878922.95</v>
      </c>
      <c r="AB97" s="44">
        <v>4065.08</v>
      </c>
      <c r="AC97" s="488">
        <v>40371</v>
      </c>
      <c r="AD97" s="44">
        <v>460768.95999999996</v>
      </c>
      <c r="AE97" s="44">
        <v>1565</v>
      </c>
      <c r="AF97" s="44">
        <v>42248.149999999987</v>
      </c>
      <c r="AG97" s="44">
        <v>114.59</v>
      </c>
      <c r="AH97" s="44">
        <v>488</v>
      </c>
      <c r="AI97" s="44">
        <v>16400</v>
      </c>
      <c r="AJ97" s="68">
        <f>Economic!H111</f>
        <v>889453.6</v>
      </c>
      <c r="AK97" s="68">
        <f>Economic!I111</f>
        <v>89520.3</v>
      </c>
      <c r="AL97" s="68">
        <f>Economic!J111</f>
        <v>38651.800000000003</v>
      </c>
      <c r="AM97" s="68">
        <f>Economic!K111</f>
        <v>92987.6</v>
      </c>
      <c r="AN97" s="68">
        <f>Economic!L111</f>
        <v>77142.5</v>
      </c>
      <c r="AO97" s="68">
        <f>Economic!M111</f>
        <v>893201</v>
      </c>
      <c r="AP97" s="68">
        <f>Economic!N111</f>
        <v>88445</v>
      </c>
      <c r="AQ97" s="68">
        <f>Economic!O111</f>
        <v>14021</v>
      </c>
      <c r="AR97" s="68">
        <f>Economic!P111</f>
        <v>37419</v>
      </c>
      <c r="AS97" s="68">
        <f>Economic!Q111</f>
        <v>94398</v>
      </c>
      <c r="AT97" s="68">
        <f>Economic!D111</f>
        <v>8183.3</v>
      </c>
      <c r="AU97" s="68">
        <f>Economic!E111</f>
        <v>8176.6</v>
      </c>
      <c r="AV97" s="68">
        <f>Economic!F111</f>
        <v>322.10000000000002</v>
      </c>
      <c r="AW97" s="68">
        <f>Economic!G111</f>
        <v>322.3</v>
      </c>
      <c r="AX97" s="68">
        <f>Economic!W111</f>
        <v>12946</v>
      </c>
      <c r="AY97" s="68">
        <f>Economic!R111</f>
        <v>130.40000000000055</v>
      </c>
      <c r="AZ97" s="68">
        <f>Economic!W111</f>
        <v>12946</v>
      </c>
      <c r="BA97" s="68">
        <f>Economic!X111</f>
        <v>-2898</v>
      </c>
      <c r="BB97" s="68">
        <f>Economic!Y111</f>
        <v>4028</v>
      </c>
      <c r="BC97" s="236">
        <f>Weather!C109</f>
        <v>-1.394758064516129</v>
      </c>
      <c r="BD97" s="16">
        <f>Weather!D109</f>
        <v>663.23749999999995</v>
      </c>
      <c r="BE97" s="16">
        <f>Weather!E109</f>
        <v>0</v>
      </c>
      <c r="BF97" s="16">
        <f>Weather!F109</f>
        <v>601.23750000000007</v>
      </c>
      <c r="BG97" s="16">
        <f>Weather!G109</f>
        <v>0</v>
      </c>
      <c r="BH97" s="16">
        <f>Weather!H109</f>
        <v>539.23749999999995</v>
      </c>
      <c r="BI97" s="16">
        <f>Weather!I109</f>
        <v>0</v>
      </c>
      <c r="BJ97" s="16">
        <f>Weather!J109</f>
        <v>477.23749999999995</v>
      </c>
      <c r="BK97" s="16">
        <f>Weather!K109</f>
        <v>0</v>
      </c>
      <c r="BL97" s="16">
        <f>Weather!L109</f>
        <v>415.23749999999995</v>
      </c>
      <c r="BM97" s="16">
        <f>Weather!M109</f>
        <v>0</v>
      </c>
      <c r="BN97" s="16">
        <f>Weather!N109</f>
        <v>353.23749999999995</v>
      </c>
      <c r="BO97" s="16">
        <f>Weather!O109</f>
        <v>0</v>
      </c>
      <c r="BP97" s="16">
        <f>Weather!P109</f>
        <v>291.23749999999995</v>
      </c>
      <c r="BQ97" s="16">
        <f>Weather!Q109</f>
        <v>0</v>
      </c>
      <c r="BR97">
        <f t="shared" ref="BR97:CI97" si="151">BR85</f>
        <v>0</v>
      </c>
      <c r="BS97">
        <f t="shared" si="151"/>
        <v>0</v>
      </c>
      <c r="BT97">
        <f t="shared" si="151"/>
        <v>0</v>
      </c>
      <c r="BU97">
        <f t="shared" si="151"/>
        <v>0</v>
      </c>
      <c r="BV97">
        <f t="shared" si="151"/>
        <v>0</v>
      </c>
      <c r="BW97">
        <f t="shared" si="151"/>
        <v>0</v>
      </c>
      <c r="BX97">
        <f t="shared" si="151"/>
        <v>0</v>
      </c>
      <c r="BY97">
        <f t="shared" si="151"/>
        <v>0</v>
      </c>
      <c r="BZ97">
        <f t="shared" si="151"/>
        <v>0</v>
      </c>
      <c r="CA97">
        <f t="shared" si="151"/>
        <v>0</v>
      </c>
      <c r="CB97">
        <f t="shared" si="151"/>
        <v>0</v>
      </c>
      <c r="CC97">
        <f t="shared" si="151"/>
        <v>1</v>
      </c>
      <c r="CD97" s="1">
        <f t="shared" si="151"/>
        <v>0</v>
      </c>
      <c r="CE97">
        <f t="shared" si="143"/>
        <v>0</v>
      </c>
      <c r="CF97" s="1">
        <f t="shared" si="151"/>
        <v>0</v>
      </c>
      <c r="CG97">
        <f t="shared" si="143"/>
        <v>0</v>
      </c>
      <c r="CH97" s="1">
        <f t="shared" si="151"/>
        <v>0</v>
      </c>
      <c r="CI97">
        <f t="shared" si="151"/>
        <v>0</v>
      </c>
      <c r="CJ97">
        <f t="shared" si="140"/>
        <v>0</v>
      </c>
      <c r="CK97">
        <f t="shared" si="148"/>
        <v>0</v>
      </c>
      <c r="CL97">
        <f t="shared" si="144"/>
        <v>0</v>
      </c>
      <c r="CM97" s="1">
        <f t="shared" si="120"/>
        <v>96</v>
      </c>
      <c r="CN97" s="1">
        <f t="shared" si="117"/>
        <v>48</v>
      </c>
      <c r="CO97" s="1">
        <f t="shared" si="130"/>
        <v>36</v>
      </c>
      <c r="CP97" s="1">
        <f t="shared" si="141"/>
        <v>24</v>
      </c>
      <c r="CQ97" s="1">
        <f t="shared" si="131"/>
        <v>12</v>
      </c>
      <c r="CR97" s="1">
        <f t="shared" si="131"/>
        <v>36</v>
      </c>
      <c r="CS97">
        <f t="shared" si="116"/>
        <v>31</v>
      </c>
      <c r="CT97" s="1">
        <v>20</v>
      </c>
      <c r="CU97" s="1">
        <v>0</v>
      </c>
      <c r="CV97" s="1">
        <v>0</v>
      </c>
      <c r="CW97" s="1">
        <v>0</v>
      </c>
      <c r="CX97" s="1">
        <v>0.25</v>
      </c>
      <c r="CY97" s="1">
        <v>0</v>
      </c>
      <c r="CZ97" s="10">
        <f t="shared" si="87"/>
        <v>0</v>
      </c>
      <c r="DA97" s="10">
        <f t="shared" si="88"/>
        <v>0</v>
      </c>
      <c r="DB97" s="10">
        <f t="shared" si="89"/>
        <v>0</v>
      </c>
      <c r="DC97" s="10">
        <f t="shared" si="90"/>
        <v>0</v>
      </c>
      <c r="DD97" s="10">
        <f t="shared" si="91"/>
        <v>0</v>
      </c>
      <c r="DE97" s="10">
        <f t="shared" si="92"/>
        <v>0</v>
      </c>
      <c r="DF97" s="10">
        <f t="shared" si="93"/>
        <v>0</v>
      </c>
      <c r="DG97" s="10">
        <f t="shared" si="94"/>
        <v>0</v>
      </c>
      <c r="DH97" s="10">
        <f t="shared" si="95"/>
        <v>0</v>
      </c>
      <c r="DI97" s="10">
        <f t="shared" si="96"/>
        <v>0</v>
      </c>
      <c r="DJ97" s="10">
        <f t="shared" si="97"/>
        <v>0</v>
      </c>
      <c r="DK97" s="10">
        <f t="shared" si="98"/>
        <v>0</v>
      </c>
      <c r="DL97" s="10">
        <f t="shared" si="99"/>
        <v>0</v>
      </c>
      <c r="DM97" s="10">
        <f t="shared" si="100"/>
        <v>0</v>
      </c>
      <c r="DN97" s="10">
        <f t="shared" si="101"/>
        <v>165.80937499999999</v>
      </c>
      <c r="DO97" s="10">
        <f t="shared" si="102"/>
        <v>0</v>
      </c>
      <c r="DP97" s="10">
        <f t="shared" si="103"/>
        <v>150.30937500000002</v>
      </c>
      <c r="DQ97" s="10">
        <f t="shared" si="104"/>
        <v>0</v>
      </c>
      <c r="DR97" s="10">
        <f t="shared" si="105"/>
        <v>134.80937499999999</v>
      </c>
      <c r="DS97" s="10">
        <f t="shared" si="106"/>
        <v>0</v>
      </c>
      <c r="DT97" s="10">
        <f t="shared" si="107"/>
        <v>119.30937499999999</v>
      </c>
      <c r="DU97" s="10">
        <f t="shared" si="108"/>
        <v>0</v>
      </c>
      <c r="DV97" s="10">
        <f t="shared" si="109"/>
        <v>103.80937499999999</v>
      </c>
      <c r="DW97" s="10">
        <f t="shared" si="110"/>
        <v>0</v>
      </c>
      <c r="DX97" s="10">
        <f t="shared" si="111"/>
        <v>88.309374999999989</v>
      </c>
      <c r="DY97" s="10">
        <f t="shared" si="112"/>
        <v>0</v>
      </c>
      <c r="DZ97" s="10">
        <f t="shared" si="113"/>
        <v>72.809374999999989</v>
      </c>
      <c r="EA97" s="10">
        <f t="shared" si="114"/>
        <v>0</v>
      </c>
      <c r="EB97" s="44">
        <f t="shared" si="132"/>
        <v>700.66967146294269</v>
      </c>
      <c r="EC97" s="44">
        <f t="shared" si="129"/>
        <v>22.602247466546537</v>
      </c>
      <c r="ED97" s="44">
        <f t="shared" si="133"/>
        <v>3464269.0714450544</v>
      </c>
      <c r="EE97" s="44">
        <f t="shared" si="134"/>
        <v>2736.2351396742374</v>
      </c>
      <c r="EF97" s="44">
        <f t="shared" si="122"/>
        <v>88.265649666910889</v>
      </c>
      <c r="EG97" s="44">
        <f t="shared" si="135"/>
        <v>1185319.4093769463</v>
      </c>
      <c r="EH97" s="44">
        <f t="shared" si="136"/>
        <v>82665.598029109911</v>
      </c>
      <c r="EI97" s="44">
        <f t="shared" si="123"/>
        <v>2666.6321944874167</v>
      </c>
      <c r="EJ97" s="44">
        <f t="shared" si="146"/>
        <v>4133.2799014554957</v>
      </c>
      <c r="EK97" s="44">
        <f t="shared" si="145"/>
        <v>4039947.7746484363</v>
      </c>
      <c r="EL97" s="44">
        <f t="shared" si="147"/>
        <v>6261919.0507050762</v>
      </c>
    </row>
    <row r="98" spans="1:142" x14ac:dyDescent="0.2">
      <c r="A98" s="66">
        <v>45658</v>
      </c>
      <c r="B98" s="4">
        <f t="shared" ref="B98:B109" si="152">YEAR(A98)</f>
        <v>2025</v>
      </c>
      <c r="C98" s="4">
        <f t="shared" ref="C98:C109" si="153">MONTH(A98)</f>
        <v>1</v>
      </c>
      <c r="D98" s="44">
        <v>111279551.61180601</v>
      </c>
      <c r="E98" s="44">
        <f>IFERROR(VLOOKUP($B98-1,CDM!$L$7:$T$18,2,FALSE)/12,0)+IFERROR(VLOOKUP($B98,CDM!$L$37:$O$47,2,FALSE)/24,0)+IFERROR(VLOOKUP($B98,CDM!$L$37:$O$47,2,FALSE)/2*$C98/78,0)</f>
        <v>2380867.2755024778</v>
      </c>
      <c r="F98" s="44">
        <f t="shared" ref="F98:F109" si="154">D98+E98</f>
        <v>113660418.88730848</v>
      </c>
      <c r="G98" s="488">
        <v>153385</v>
      </c>
      <c r="H98" s="44">
        <v>38337468.0644188</v>
      </c>
      <c r="I98" s="44">
        <f>IFERROR(VLOOKUP($B98-1,CDM!$L$7:$T$18,3,FALSE)/12,0)+IFERROR(VLOOKUP($B98,CDM!$L$37:$O$47,3,FALSE)/24,0)+IFERROR(VLOOKUP($B98,CDM!$L$37:$O$47,3,FALSE)/2*$C98/78,0)</f>
        <v>1846091.2744115735</v>
      </c>
      <c r="J98" s="44">
        <f t="shared" ref="J98:J109" si="155">H98+I98</f>
        <v>40183559.338830374</v>
      </c>
      <c r="K98" s="44">
        <v>13466</v>
      </c>
      <c r="L98" s="44">
        <v>128371694.836796</v>
      </c>
      <c r="M98" s="44">
        <f>IFERROR(VLOOKUP($B98-1,CDM!$L$7:$T$18,4,FALSE)/12,0)+IFERROR(VLOOKUP($B98,CDM!$L$37:$O$47,4,FALSE)/24,0)+IFERROR(VLOOKUP($B98,CDM!$L$37:$O$47,4,FALSE)/2*$C98/78,0)</f>
        <v>8681771.4290192574</v>
      </c>
      <c r="N98" s="44">
        <f t="shared" ref="N98:N109" si="156">L98+M98</f>
        <v>137053466.26581526</v>
      </c>
      <c r="O98" s="44">
        <v>294143.98</v>
      </c>
      <c r="P98" s="488">
        <v>1508</v>
      </c>
      <c r="Q98" s="488">
        <v>581229.87324894895</v>
      </c>
      <c r="R98" s="488">
        <f>IFERROR(VLOOKUP($B98-1,CDM!$L$7:$T$18,5,FALSE)/12,0)+IFERROR(VLOOKUP($B98,CDM!$L$37:$T$47,5,FALSE)/24,0)+IFERROR(VLOOKUP($B98,CDM!$L$37:$T$47,5,FALSE)/2*$C98/78,0)</f>
        <v>163396.99586708899</v>
      </c>
      <c r="S98" s="488">
        <f t="shared" ref="S98:S109" si="157">R98+Q98</f>
        <v>744626.86911603797</v>
      </c>
      <c r="T98" s="44">
        <v>1642.57</v>
      </c>
      <c r="U98" s="488">
        <v>7</v>
      </c>
      <c r="V98" s="488">
        <v>12830485.316100599</v>
      </c>
      <c r="W98" s="488">
        <f>IFERROR(VLOOKUP($B98-1,CDM!$L$7:$T$18,6,FALSE)/12,0)+IFERROR(VLOOKUP($B98,CDM!$L$37:$T$47,6,FALSE)/24,0)+IFERROR(VLOOKUP($B98,CDM!$L$37:$T$47,6,FALSE)/2*$C98/78,0)</f>
        <v>1531419.8502530637</v>
      </c>
      <c r="X98" s="488">
        <f t="shared" ref="X98:X109" si="158">W98+V98</f>
        <v>14361905.166353663</v>
      </c>
      <c r="Y98" s="488">
        <v>21724.58</v>
      </c>
      <c r="Z98" s="488">
        <v>2</v>
      </c>
      <c r="AA98" s="44">
        <v>1818721.7</v>
      </c>
      <c r="AB98" s="44">
        <v>4071.37</v>
      </c>
      <c r="AC98" s="488">
        <v>40437</v>
      </c>
      <c r="AD98" s="44">
        <v>460825.79000000004</v>
      </c>
      <c r="AE98" s="44">
        <v>1565</v>
      </c>
      <c r="AF98" s="44">
        <v>43221.05</v>
      </c>
      <c r="AG98" s="44">
        <v>114.3</v>
      </c>
      <c r="AH98" s="44">
        <v>488</v>
      </c>
      <c r="AI98" s="44">
        <v>16400</v>
      </c>
      <c r="AJ98" s="68">
        <f>Economic!H112</f>
        <v>900844.9</v>
      </c>
      <c r="AK98" s="68">
        <f>Economic!I112</f>
        <v>88046.3</v>
      </c>
      <c r="AL98" s="68">
        <f>Economic!J112</f>
        <v>39702.699999999997</v>
      </c>
      <c r="AM98" s="68">
        <f>Economic!K112</f>
        <v>97656.9</v>
      </c>
      <c r="AN98" s="68">
        <f>Economic!L112</f>
        <v>77016.5</v>
      </c>
      <c r="AO98" s="68">
        <f>Economic!M112</f>
        <v>898185</v>
      </c>
      <c r="AP98" s="68">
        <f>Economic!N112</f>
        <v>89800</v>
      </c>
      <c r="AQ98" s="68">
        <f>Economic!O112</f>
        <v>14304</v>
      </c>
      <c r="AR98" s="68">
        <f>Economic!P112</f>
        <v>38119</v>
      </c>
      <c r="AS98" s="68">
        <f>Economic!Q112</f>
        <v>94816</v>
      </c>
      <c r="AT98" s="68">
        <f>Economic!D112</f>
        <v>8203.9</v>
      </c>
      <c r="AU98" s="68">
        <f>Economic!E112</f>
        <v>8161.4</v>
      </c>
      <c r="AV98" s="68">
        <f>Economic!F112</f>
        <v>324.5</v>
      </c>
      <c r="AW98" s="68">
        <f>Economic!G112</f>
        <v>323.39999999999998</v>
      </c>
      <c r="AX98" s="68">
        <f>Economic!W112</f>
        <v>12383</v>
      </c>
      <c r="AY98" s="68">
        <f>Economic!R112</f>
        <v>147.89999999999964</v>
      </c>
      <c r="AZ98" s="68">
        <f>Economic!W112</f>
        <v>12383</v>
      </c>
      <c r="BA98" s="68">
        <f>Economic!X112</f>
        <v>-1117</v>
      </c>
      <c r="BB98" s="68">
        <f>Economic!Y112</f>
        <v>3485</v>
      </c>
      <c r="BC98" s="236">
        <f>Weather!C110</f>
        <v>-6.3782930107526878</v>
      </c>
      <c r="BD98" s="16">
        <f>Weather!D110</f>
        <v>817.72708333333321</v>
      </c>
      <c r="BE98" s="16">
        <f>Weather!E110</f>
        <v>0</v>
      </c>
      <c r="BF98" s="16">
        <f>Weather!F110</f>
        <v>755.72708333333321</v>
      </c>
      <c r="BG98" s="16">
        <f>Weather!G110</f>
        <v>0</v>
      </c>
      <c r="BH98" s="16">
        <f>Weather!H110</f>
        <v>693.72708333333333</v>
      </c>
      <c r="BI98" s="16">
        <f>Weather!I110</f>
        <v>0</v>
      </c>
      <c r="BJ98" s="16">
        <f>Weather!J110</f>
        <v>631.72708333333333</v>
      </c>
      <c r="BK98" s="16">
        <f>Weather!K110</f>
        <v>0</v>
      </c>
      <c r="BL98" s="16">
        <f>Weather!L110</f>
        <v>569.72708333333333</v>
      </c>
      <c r="BM98" s="16">
        <f>Weather!M110</f>
        <v>0</v>
      </c>
      <c r="BN98" s="16">
        <f>Weather!N110</f>
        <v>507.72708333333344</v>
      </c>
      <c r="BO98" s="16">
        <f>Weather!O110</f>
        <v>0</v>
      </c>
      <c r="BP98" s="16">
        <f>Weather!P110</f>
        <v>445.72708333333333</v>
      </c>
      <c r="BQ98" s="16">
        <f>Weather!Q110</f>
        <v>0</v>
      </c>
      <c r="BR98">
        <f t="shared" ref="BR98:CI98" si="159">BR86</f>
        <v>1</v>
      </c>
      <c r="BS98">
        <f t="shared" si="159"/>
        <v>0</v>
      </c>
      <c r="BT98">
        <f t="shared" si="159"/>
        <v>0</v>
      </c>
      <c r="BU98">
        <f t="shared" si="159"/>
        <v>0</v>
      </c>
      <c r="BV98">
        <f t="shared" si="159"/>
        <v>0</v>
      </c>
      <c r="BW98">
        <f t="shared" si="159"/>
        <v>0</v>
      </c>
      <c r="BX98">
        <f t="shared" si="159"/>
        <v>0</v>
      </c>
      <c r="BY98">
        <f t="shared" si="159"/>
        <v>0</v>
      </c>
      <c r="BZ98">
        <f t="shared" si="159"/>
        <v>0</v>
      </c>
      <c r="CA98">
        <f t="shared" si="159"/>
        <v>0</v>
      </c>
      <c r="CB98">
        <f t="shared" si="159"/>
        <v>0</v>
      </c>
      <c r="CC98">
        <f t="shared" si="159"/>
        <v>0</v>
      </c>
      <c r="CD98" s="1">
        <f t="shared" si="159"/>
        <v>0</v>
      </c>
      <c r="CE98">
        <f t="shared" si="159"/>
        <v>0</v>
      </c>
      <c r="CF98" s="1">
        <f t="shared" si="159"/>
        <v>0</v>
      </c>
      <c r="CG98">
        <f t="shared" si="159"/>
        <v>0</v>
      </c>
      <c r="CH98" s="1">
        <f t="shared" si="159"/>
        <v>0</v>
      </c>
      <c r="CI98">
        <f t="shared" si="159"/>
        <v>0</v>
      </c>
      <c r="CJ98">
        <f t="shared" ref="CJ98:CJ109" si="160">CE98+CF98</f>
        <v>0</v>
      </c>
      <c r="CK98">
        <f t="shared" si="148"/>
        <v>0</v>
      </c>
      <c r="CL98">
        <f t="shared" si="144"/>
        <v>0</v>
      </c>
      <c r="CM98" s="1">
        <f t="shared" si="120"/>
        <v>97</v>
      </c>
      <c r="CN98" s="1">
        <f t="shared" si="117"/>
        <v>49</v>
      </c>
      <c r="CO98" s="1">
        <f t="shared" si="130"/>
        <v>37</v>
      </c>
      <c r="CP98" s="1">
        <f t="shared" si="141"/>
        <v>25</v>
      </c>
      <c r="CQ98" s="1">
        <f t="shared" si="131"/>
        <v>13</v>
      </c>
      <c r="CR98" s="1">
        <f t="shared" si="131"/>
        <v>37</v>
      </c>
      <c r="CS98">
        <f t="shared" si="116"/>
        <v>31</v>
      </c>
      <c r="CT98" s="1">
        <v>22</v>
      </c>
      <c r="CU98" s="1">
        <v>0</v>
      </c>
      <c r="CV98" s="1">
        <v>0</v>
      </c>
      <c r="CW98" s="1">
        <v>0</v>
      </c>
      <c r="CX98" s="1">
        <v>0.25</v>
      </c>
      <c r="CY98" s="1">
        <v>0</v>
      </c>
      <c r="CZ98" s="10">
        <f t="shared" ref="CZ98:CZ109" si="161">$CV98*BD98</f>
        <v>0</v>
      </c>
      <c r="DA98" s="10">
        <f t="shared" ref="DA98:DA109" si="162">$CV98*BE98</f>
        <v>0</v>
      </c>
      <c r="DB98" s="10">
        <f t="shared" ref="DB98:DB109" si="163">$CV98*BF98</f>
        <v>0</v>
      </c>
      <c r="DC98" s="10">
        <f t="shared" ref="DC98:DC109" si="164">$CV98*BG98</f>
        <v>0</v>
      </c>
      <c r="DD98" s="10">
        <f t="shared" ref="DD98:DD109" si="165">$CV98*BH98</f>
        <v>0</v>
      </c>
      <c r="DE98" s="10">
        <f t="shared" ref="DE98:DE109" si="166">$CV98*BI98</f>
        <v>0</v>
      </c>
      <c r="DF98" s="10">
        <f t="shared" ref="DF98:DF109" si="167">$CV98*BJ98</f>
        <v>0</v>
      </c>
      <c r="DG98" s="10">
        <f t="shared" ref="DG98:DG109" si="168">$CV98*BK98</f>
        <v>0</v>
      </c>
      <c r="DH98" s="10">
        <f t="shared" ref="DH98:DH109" si="169">$CV98*BL98</f>
        <v>0</v>
      </c>
      <c r="DI98" s="10">
        <f t="shared" ref="DI98:DI109" si="170">$CV98*BM98</f>
        <v>0</v>
      </c>
      <c r="DJ98" s="10">
        <f t="shared" ref="DJ98:DJ109" si="171">$CV98*BN98</f>
        <v>0</v>
      </c>
      <c r="DK98" s="10">
        <f t="shared" ref="DK98:DK109" si="172">$CV98*BO98</f>
        <v>0</v>
      </c>
      <c r="DL98" s="10">
        <f t="shared" ref="DL98:DL109" si="173">$CV98*BP98</f>
        <v>0</v>
      </c>
      <c r="DM98" s="10">
        <f t="shared" ref="DM98:DM109" si="174">$CV98*BQ98</f>
        <v>0</v>
      </c>
      <c r="DN98" s="10">
        <f t="shared" ref="DN98:DN109" si="175">$CX98*BD98</f>
        <v>204.4317708333333</v>
      </c>
      <c r="DO98" s="10">
        <f t="shared" ref="DO98:DO109" si="176">$CX98*BE98</f>
        <v>0</v>
      </c>
      <c r="DP98" s="10">
        <f t="shared" ref="DP98:DP109" si="177">$CX98*BF98</f>
        <v>188.9317708333333</v>
      </c>
      <c r="DQ98" s="10">
        <f t="shared" ref="DQ98:DQ109" si="178">$CX98*BG98</f>
        <v>0</v>
      </c>
      <c r="DR98" s="10">
        <f t="shared" ref="DR98:DR109" si="179">$CX98*BH98</f>
        <v>173.43177083333333</v>
      </c>
      <c r="DS98" s="10">
        <f t="shared" ref="DS98:DS109" si="180">$CX98*BI98</f>
        <v>0</v>
      </c>
      <c r="DT98" s="10">
        <f t="shared" ref="DT98:DT109" si="181">$CX98*BJ98</f>
        <v>157.93177083333333</v>
      </c>
      <c r="DU98" s="10">
        <f t="shared" ref="DU98:DU109" si="182">$CX98*BK98</f>
        <v>0</v>
      </c>
      <c r="DV98" s="10">
        <f t="shared" ref="DV98:DV109" si="183">$CX98*BL98</f>
        <v>142.43177083333333</v>
      </c>
      <c r="DW98" s="10">
        <f t="shared" ref="DW98:DW109" si="184">$CX98*BM98</f>
        <v>0</v>
      </c>
      <c r="DX98" s="10">
        <f t="shared" ref="DX98:DX109" si="185">$CX98*BN98</f>
        <v>126.93177083333336</v>
      </c>
      <c r="DY98" s="10">
        <f t="shared" ref="DY98:DY109" si="186">$CX98*BO98</f>
        <v>0</v>
      </c>
      <c r="DZ98" s="10">
        <f t="shared" ref="DZ98:DZ109" si="187">$CX98*BP98</f>
        <v>111.43177083333333</v>
      </c>
      <c r="EA98" s="10">
        <f t="shared" ref="EA98:EA109" si="188">$CX98*BQ98</f>
        <v>0</v>
      </c>
      <c r="EB98" s="44">
        <f t="shared" ref="EB98:EB109" si="189">F98/G98</f>
        <v>741.01391196863108</v>
      </c>
      <c r="EC98" s="44">
        <f t="shared" ref="EC98:EC109" si="190">EB98/CS98</f>
        <v>23.903674579633261</v>
      </c>
      <c r="ED98" s="44">
        <f t="shared" ref="ED98:ED109" si="191">F98/CS98</f>
        <v>3666465.1253970475</v>
      </c>
      <c r="EE98" s="44">
        <f t="shared" ref="EE98:EE109" si="192">J98/K98</f>
        <v>2984.0754001804821</v>
      </c>
      <c r="EF98" s="44">
        <f t="shared" ref="EF98:EF109" si="193">EE98/CS98</f>
        <v>96.260496780015558</v>
      </c>
      <c r="EG98" s="44">
        <f t="shared" ref="EG98:EG109" si="194">J98/CS98</f>
        <v>1296243.8496396895</v>
      </c>
      <c r="EH98" s="44">
        <f t="shared" ref="EH98:EH109" si="195">N98/P98</f>
        <v>90884.261449479614</v>
      </c>
      <c r="EI98" s="44">
        <f t="shared" ref="EI98:EI109" si="196">EH98/CS98</f>
        <v>2931.7503693380522</v>
      </c>
      <c r="EJ98" s="44">
        <f t="shared" ref="EJ98:EJ109" si="197">EH98/CT74</f>
        <v>4327.8219737847439</v>
      </c>
      <c r="EK98" s="44">
        <f t="shared" ref="EK98:EK109" si="198">N98/CS98</f>
        <v>4421079.5569617823</v>
      </c>
      <c r="EL98" s="44">
        <f t="shared" ref="EL98:EL109" si="199">N98/CT74</f>
        <v>6526355.5364673929</v>
      </c>
    </row>
    <row r="99" spans="1:142" x14ac:dyDescent="0.2">
      <c r="A99" s="66">
        <v>45689</v>
      </c>
      <c r="B99" s="4">
        <f t="shared" si="152"/>
        <v>2025</v>
      </c>
      <c r="C99" s="4">
        <f t="shared" si="153"/>
        <v>2</v>
      </c>
      <c r="D99" s="44">
        <v>96995642.108522207</v>
      </c>
      <c r="E99" s="44">
        <f>IFERROR(VLOOKUP($B99-1,CDM!$L$7:$T$18,2,FALSE)/12,0)+IFERROR(VLOOKUP($B99,CDM!$L$37:$O$47,2,FALSE)/24,0)+IFERROR(VLOOKUP($B99,CDM!$L$37:$O$47,2,FALSE)/2*$C99/78,0)</f>
        <v>2392346.2641740679</v>
      </c>
      <c r="F99" s="44">
        <f t="shared" si="154"/>
        <v>99387988.37269628</v>
      </c>
      <c r="G99" s="488">
        <v>153441</v>
      </c>
      <c r="H99" s="44">
        <v>34318335.930959001</v>
      </c>
      <c r="I99" s="44">
        <f>IFERROR(VLOOKUP($B99-1,CDM!$L$7:$T$18,3,FALSE)/12,0)+IFERROR(VLOOKUP($B99,CDM!$L$37:$O$47,3,FALSE)/24,0)+IFERROR(VLOOKUP($B99,CDM!$L$37:$O$47,3,FALSE)/2*$C99/78,0)</f>
        <v>1870350.9822030475</v>
      </c>
      <c r="J99" s="44">
        <f t="shared" si="155"/>
        <v>36188686.913162045</v>
      </c>
      <c r="K99" s="44">
        <v>13475</v>
      </c>
      <c r="L99" s="44">
        <v>114014533.090786</v>
      </c>
      <c r="M99" s="44">
        <f>IFERROR(VLOOKUP($B99-1,CDM!$L$7:$T$18,4,FALSE)/12,0)+IFERROR(VLOOKUP($B99,CDM!$L$37:$O$47,4,FALSE)/24,0)+IFERROR(VLOOKUP($B99,CDM!$L$37:$O$47,4,FALSE)/2*$C99/78,0)</f>
        <v>8746383.0441070423</v>
      </c>
      <c r="N99" s="44">
        <f t="shared" si="156"/>
        <v>122760916.13489303</v>
      </c>
      <c r="O99" s="44">
        <v>285590.84000000003</v>
      </c>
      <c r="P99" s="488">
        <v>1509</v>
      </c>
      <c r="Q99" s="488">
        <v>768952.67215519398</v>
      </c>
      <c r="R99" s="488">
        <f>IFERROR(VLOOKUP($B99-1,CDM!$L$7:$T$18,5,FALSE)/12,0)+IFERROR(VLOOKUP($B99,CDM!$L$37:$T$47,5,FALSE)/24,0)+IFERROR(VLOOKUP($B99,CDM!$L$37:$T$47,5,FALSE)/2*$C99/78,0)</f>
        <v>165411.01868699098</v>
      </c>
      <c r="S99" s="488">
        <f t="shared" si="157"/>
        <v>934363.69084218494</v>
      </c>
      <c r="T99" s="44">
        <v>1965.9</v>
      </c>
      <c r="U99" s="488">
        <v>7</v>
      </c>
      <c r="V99" s="488">
        <v>11410427.421016701</v>
      </c>
      <c r="W99" s="488">
        <f>IFERROR(VLOOKUP($B99-1,CDM!$L$7:$T$18,6,FALSE)/12,0)+IFERROR(VLOOKUP($B99,CDM!$L$37:$T$47,6,FALSE)/24,0)+IFERROR(VLOOKUP($B99,CDM!$L$37:$T$47,6,FALSE)/2*$C99/78,0)</f>
        <v>1535165.0971851121</v>
      </c>
      <c r="X99" s="488">
        <f t="shared" si="158"/>
        <v>12945592.518201813</v>
      </c>
      <c r="Y99" s="488">
        <v>21761.66</v>
      </c>
      <c r="Z99" s="488">
        <v>2</v>
      </c>
      <c r="AA99" s="44">
        <v>1529858</v>
      </c>
      <c r="AB99" s="44">
        <v>4071.37</v>
      </c>
      <c r="AC99" s="488">
        <v>40437</v>
      </c>
      <c r="AD99" s="44">
        <v>416283.38</v>
      </c>
      <c r="AE99" s="44">
        <v>1565</v>
      </c>
      <c r="AF99" s="44">
        <v>39000.22</v>
      </c>
      <c r="AG99" s="44">
        <v>114.3</v>
      </c>
      <c r="AH99" s="44">
        <v>487</v>
      </c>
      <c r="AI99" s="44">
        <v>16400</v>
      </c>
      <c r="AJ99" s="68">
        <f>Economic!H113</f>
        <v>900844.9</v>
      </c>
      <c r="AK99" s="68">
        <f>Economic!I113</f>
        <v>88046.3</v>
      </c>
      <c r="AL99" s="68">
        <f>Economic!J113</f>
        <v>39702.699999999997</v>
      </c>
      <c r="AM99" s="68">
        <f>Economic!K113</f>
        <v>97656.9</v>
      </c>
      <c r="AN99" s="68">
        <f>Economic!L113</f>
        <v>77016.5</v>
      </c>
      <c r="AO99" s="68">
        <f>Economic!M113</f>
        <v>898185</v>
      </c>
      <c r="AP99" s="68">
        <f>Economic!N113</f>
        <v>89800</v>
      </c>
      <c r="AQ99" s="68">
        <f>Economic!O113</f>
        <v>14304</v>
      </c>
      <c r="AR99" s="68">
        <f>Economic!P113</f>
        <v>38119</v>
      </c>
      <c r="AS99" s="68">
        <f>Economic!Q113</f>
        <v>94816</v>
      </c>
      <c r="AT99" s="68">
        <f>Economic!D113</f>
        <v>8233</v>
      </c>
      <c r="AU99" s="68">
        <f>Economic!E113</f>
        <v>8165.5</v>
      </c>
      <c r="AV99" s="68">
        <f>Economic!F113</f>
        <v>326.10000000000002</v>
      </c>
      <c r="AW99" s="68">
        <f>Economic!G113</f>
        <v>322.8</v>
      </c>
      <c r="AX99" s="68">
        <f>Economic!W113</f>
        <v>12383</v>
      </c>
      <c r="AY99" s="68">
        <f>Economic!R113</f>
        <v>177.30000000000018</v>
      </c>
      <c r="AZ99" s="68">
        <f>Economic!W113</f>
        <v>12383</v>
      </c>
      <c r="BA99" s="68">
        <f>Economic!X113</f>
        <v>-1117</v>
      </c>
      <c r="BB99" s="68">
        <f>Economic!Y113</f>
        <v>3485</v>
      </c>
      <c r="BC99" s="236">
        <f>Weather!C111</f>
        <v>-5.5424107142857144</v>
      </c>
      <c r="BD99" s="16">
        <f>Weather!D111</f>
        <v>715.1875</v>
      </c>
      <c r="BE99" s="16">
        <f>Weather!E111</f>
        <v>0</v>
      </c>
      <c r="BF99" s="16">
        <f>Weather!F111</f>
        <v>659.18750000000011</v>
      </c>
      <c r="BG99" s="16">
        <f>Weather!G111</f>
        <v>0</v>
      </c>
      <c r="BH99" s="16">
        <f>Weather!H111</f>
        <v>603.1875</v>
      </c>
      <c r="BI99" s="16">
        <f>Weather!I111</f>
        <v>0</v>
      </c>
      <c r="BJ99" s="16">
        <f>Weather!J111</f>
        <v>547.18750000000011</v>
      </c>
      <c r="BK99" s="16">
        <f>Weather!K111</f>
        <v>0</v>
      </c>
      <c r="BL99" s="16">
        <f>Weather!L111</f>
        <v>491.1875</v>
      </c>
      <c r="BM99" s="16">
        <f>Weather!M111</f>
        <v>0</v>
      </c>
      <c r="BN99" s="16">
        <f>Weather!N111</f>
        <v>435.1875</v>
      </c>
      <c r="BO99" s="16">
        <f>Weather!O111</f>
        <v>0</v>
      </c>
      <c r="BP99" s="16">
        <f>Weather!P111</f>
        <v>379.1875</v>
      </c>
      <c r="BQ99" s="16">
        <f>Weather!Q111</f>
        <v>0</v>
      </c>
      <c r="BR99">
        <f t="shared" ref="BR99:CI99" si="200">BR87</f>
        <v>0</v>
      </c>
      <c r="BS99">
        <f t="shared" si="200"/>
        <v>1</v>
      </c>
      <c r="BT99">
        <f t="shared" si="200"/>
        <v>0</v>
      </c>
      <c r="BU99">
        <f t="shared" si="200"/>
        <v>0</v>
      </c>
      <c r="BV99">
        <f t="shared" si="200"/>
        <v>0</v>
      </c>
      <c r="BW99">
        <f t="shared" si="200"/>
        <v>0</v>
      </c>
      <c r="BX99">
        <f t="shared" si="200"/>
        <v>0</v>
      </c>
      <c r="BY99">
        <f t="shared" si="200"/>
        <v>0</v>
      </c>
      <c r="BZ99">
        <f t="shared" si="200"/>
        <v>0</v>
      </c>
      <c r="CA99">
        <f t="shared" si="200"/>
        <v>0</v>
      </c>
      <c r="CB99">
        <f t="shared" si="200"/>
        <v>0</v>
      </c>
      <c r="CC99">
        <f t="shared" si="200"/>
        <v>0</v>
      </c>
      <c r="CD99" s="1">
        <f t="shared" si="200"/>
        <v>0</v>
      </c>
      <c r="CE99">
        <f t="shared" si="200"/>
        <v>0</v>
      </c>
      <c r="CF99" s="1">
        <f t="shared" si="200"/>
        <v>0</v>
      </c>
      <c r="CG99">
        <f t="shared" si="200"/>
        <v>0</v>
      </c>
      <c r="CH99" s="1">
        <f t="shared" si="200"/>
        <v>0</v>
      </c>
      <c r="CI99">
        <f t="shared" si="200"/>
        <v>0</v>
      </c>
      <c r="CJ99">
        <f t="shared" si="160"/>
        <v>0</v>
      </c>
      <c r="CK99">
        <f t="shared" si="148"/>
        <v>0</v>
      </c>
      <c r="CL99">
        <f t="shared" si="144"/>
        <v>0</v>
      </c>
      <c r="CM99" s="1">
        <f t="shared" si="120"/>
        <v>98</v>
      </c>
      <c r="CN99" s="1">
        <f t="shared" si="117"/>
        <v>50</v>
      </c>
      <c r="CO99" s="1">
        <f t="shared" si="130"/>
        <v>38</v>
      </c>
      <c r="CP99" s="1">
        <f t="shared" si="141"/>
        <v>26</v>
      </c>
      <c r="CQ99" s="1">
        <f t="shared" si="131"/>
        <v>14</v>
      </c>
      <c r="CR99" s="1">
        <f t="shared" si="131"/>
        <v>38</v>
      </c>
      <c r="CS99">
        <f t="shared" si="116"/>
        <v>28</v>
      </c>
      <c r="CT99" s="1">
        <v>19</v>
      </c>
      <c r="CU99" s="1">
        <v>0</v>
      </c>
      <c r="CV99" s="1">
        <v>0</v>
      </c>
      <c r="CW99" s="1">
        <v>0</v>
      </c>
      <c r="CX99" s="1">
        <v>0.25</v>
      </c>
      <c r="CY99" s="1">
        <v>0</v>
      </c>
      <c r="CZ99" s="10">
        <f t="shared" si="161"/>
        <v>0</v>
      </c>
      <c r="DA99" s="10">
        <f t="shared" si="162"/>
        <v>0</v>
      </c>
      <c r="DB99" s="10">
        <f t="shared" si="163"/>
        <v>0</v>
      </c>
      <c r="DC99" s="10">
        <f t="shared" si="164"/>
        <v>0</v>
      </c>
      <c r="DD99" s="10">
        <f t="shared" si="165"/>
        <v>0</v>
      </c>
      <c r="DE99" s="10">
        <f t="shared" si="166"/>
        <v>0</v>
      </c>
      <c r="DF99" s="10">
        <f t="shared" si="167"/>
        <v>0</v>
      </c>
      <c r="DG99" s="10">
        <f t="shared" si="168"/>
        <v>0</v>
      </c>
      <c r="DH99" s="10">
        <f t="shared" si="169"/>
        <v>0</v>
      </c>
      <c r="DI99" s="10">
        <f t="shared" si="170"/>
        <v>0</v>
      </c>
      <c r="DJ99" s="10">
        <f t="shared" si="171"/>
        <v>0</v>
      </c>
      <c r="DK99" s="10">
        <f t="shared" si="172"/>
        <v>0</v>
      </c>
      <c r="DL99" s="10">
        <f t="shared" si="173"/>
        <v>0</v>
      </c>
      <c r="DM99" s="10">
        <f t="shared" si="174"/>
        <v>0</v>
      </c>
      <c r="DN99" s="10">
        <f t="shared" si="175"/>
        <v>178.796875</v>
      </c>
      <c r="DO99" s="10">
        <f t="shared" si="176"/>
        <v>0</v>
      </c>
      <c r="DP99" s="10">
        <f t="shared" si="177"/>
        <v>164.79687500000003</v>
      </c>
      <c r="DQ99" s="10">
        <f t="shared" si="178"/>
        <v>0</v>
      </c>
      <c r="DR99" s="10">
        <f t="shared" si="179"/>
        <v>150.796875</v>
      </c>
      <c r="DS99" s="10">
        <f t="shared" si="180"/>
        <v>0</v>
      </c>
      <c r="DT99" s="10">
        <f t="shared" si="181"/>
        <v>136.79687500000003</v>
      </c>
      <c r="DU99" s="10">
        <f t="shared" si="182"/>
        <v>0</v>
      </c>
      <c r="DV99" s="10">
        <f t="shared" si="183"/>
        <v>122.796875</v>
      </c>
      <c r="DW99" s="10">
        <f t="shared" si="184"/>
        <v>0</v>
      </c>
      <c r="DX99" s="10">
        <f t="shared" si="185"/>
        <v>108.796875</v>
      </c>
      <c r="DY99" s="10">
        <f t="shared" si="186"/>
        <v>0</v>
      </c>
      <c r="DZ99" s="10">
        <f t="shared" si="187"/>
        <v>94.796875</v>
      </c>
      <c r="EA99" s="10">
        <f t="shared" si="188"/>
        <v>0</v>
      </c>
      <c r="EB99" s="44">
        <f t="shared" si="189"/>
        <v>647.72771536092887</v>
      </c>
      <c r="EC99" s="44">
        <f t="shared" si="190"/>
        <v>23.133132691461746</v>
      </c>
      <c r="ED99" s="44">
        <f t="shared" si="191"/>
        <v>3549571.0133105814</v>
      </c>
      <c r="EE99" s="44">
        <f t="shared" si="192"/>
        <v>2685.6168395667564</v>
      </c>
      <c r="EF99" s="44">
        <f t="shared" si="193"/>
        <v>95.914887127384162</v>
      </c>
      <c r="EG99" s="44">
        <f t="shared" si="194"/>
        <v>1292453.1040415016</v>
      </c>
      <c r="EH99" s="44">
        <f t="shared" si="195"/>
        <v>81352.495781903926</v>
      </c>
      <c r="EI99" s="44">
        <f t="shared" si="196"/>
        <v>2905.4462779251403</v>
      </c>
      <c r="EJ99" s="44">
        <f t="shared" si="197"/>
        <v>4281.7103043107327</v>
      </c>
      <c r="EK99" s="44">
        <f t="shared" si="198"/>
        <v>4384318.4333890369</v>
      </c>
      <c r="EL99" s="44">
        <f t="shared" si="199"/>
        <v>6461100.849204896</v>
      </c>
    </row>
    <row r="100" spans="1:142" x14ac:dyDescent="0.2">
      <c r="A100" s="66">
        <v>45717</v>
      </c>
      <c r="B100" s="4">
        <f t="shared" si="152"/>
        <v>2025</v>
      </c>
      <c r="C100" s="4">
        <f t="shared" si="153"/>
        <v>3</v>
      </c>
      <c r="D100" s="44">
        <v>94300811.665767401</v>
      </c>
      <c r="E100" s="44">
        <f>IFERROR(VLOOKUP($B100-1,CDM!$L$7:$T$18,2,FALSE)/12,0)+IFERROR(VLOOKUP($B100,CDM!$L$37:$O$47,2,FALSE)/24,0)+IFERROR(VLOOKUP($B100,CDM!$L$37:$O$47,2,FALSE)/2*$C100/78,0)</f>
        <v>2403825.2528456575</v>
      </c>
      <c r="F100" s="44">
        <f t="shared" si="154"/>
        <v>96704636.918613061</v>
      </c>
      <c r="G100" s="488">
        <v>153484</v>
      </c>
      <c r="H100" s="44">
        <v>34299489.649148203</v>
      </c>
      <c r="I100" s="44">
        <f>IFERROR(VLOOKUP($B100-1,CDM!$L$7:$T$18,3,FALSE)/12,0)+IFERROR(VLOOKUP($B100,CDM!$L$37:$O$47,3,FALSE)/24,0)+IFERROR(VLOOKUP($B100,CDM!$L$37:$O$47,3,FALSE)/2*$C100/78,0)</f>
        <v>1894610.6899945212</v>
      </c>
      <c r="J100" s="44">
        <f t="shared" si="155"/>
        <v>36194100.339142725</v>
      </c>
      <c r="K100" s="44">
        <v>13482</v>
      </c>
      <c r="L100" s="44">
        <v>119442084.29538999</v>
      </c>
      <c r="M100" s="44">
        <f>IFERROR(VLOOKUP($B100-1,CDM!$L$7:$T$18,4,FALSE)/12,0)+IFERROR(VLOOKUP($B100,CDM!$L$37:$O$47,4,FALSE)/24,0)+IFERROR(VLOOKUP($B100,CDM!$L$37:$O$47,4,FALSE)/2*$C100/78,0)</f>
        <v>8810994.6591948271</v>
      </c>
      <c r="N100" s="44">
        <f t="shared" si="156"/>
        <v>128253078.95458482</v>
      </c>
      <c r="O100" s="44">
        <v>285969.49</v>
      </c>
      <c r="P100" s="488">
        <v>1509</v>
      </c>
      <c r="Q100" s="488">
        <v>1296279.5786444701</v>
      </c>
      <c r="R100" s="488">
        <f>IFERROR(VLOOKUP($B100-1,CDM!$L$7:$T$18,5,FALSE)/12,0)+IFERROR(VLOOKUP($B100,CDM!$L$37:$T$47,5,FALSE)/24,0)+IFERROR(VLOOKUP($B100,CDM!$L$37:$T$47,5,FALSE)/2*$C100/78,0)</f>
        <v>167425.041506893</v>
      </c>
      <c r="S100" s="488">
        <f t="shared" si="157"/>
        <v>1463704.6201513631</v>
      </c>
      <c r="T100" s="44">
        <v>3386.3600000000006</v>
      </c>
      <c r="U100" s="488">
        <v>7</v>
      </c>
      <c r="V100" s="488">
        <v>12698407.1116398</v>
      </c>
      <c r="W100" s="488">
        <f>IFERROR(VLOOKUP($B100-1,CDM!$L$7:$T$18,6,FALSE)/12,0)+IFERROR(VLOOKUP($B100,CDM!$L$37:$T$47,6,FALSE)/24,0)+IFERROR(VLOOKUP($B100,CDM!$L$37:$T$47,6,FALSE)/2*$C100/78,0)</f>
        <v>1538910.3441171604</v>
      </c>
      <c r="X100" s="488">
        <f t="shared" si="158"/>
        <v>14237317.45575696</v>
      </c>
      <c r="Y100" s="488">
        <v>22294.05</v>
      </c>
      <c r="Z100" s="488">
        <v>2</v>
      </c>
      <c r="AA100" s="44">
        <v>1507385.9</v>
      </c>
      <c r="AB100" s="44">
        <v>4072.47</v>
      </c>
      <c r="AC100" s="488">
        <v>40459</v>
      </c>
      <c r="AD100" s="44">
        <v>460854.16</v>
      </c>
      <c r="AE100" s="44">
        <v>1566</v>
      </c>
      <c r="AF100" s="44">
        <v>42558.829999999994</v>
      </c>
      <c r="AG100" s="44">
        <v>114.3</v>
      </c>
      <c r="AH100" s="44">
        <v>484</v>
      </c>
      <c r="AI100" s="44">
        <v>16400</v>
      </c>
      <c r="AJ100" s="68">
        <f>Economic!H114</f>
        <v>900844.9</v>
      </c>
      <c r="AK100" s="68">
        <f>Economic!I114</f>
        <v>88046.3</v>
      </c>
      <c r="AL100" s="68">
        <f>Economic!J114</f>
        <v>39702.699999999997</v>
      </c>
      <c r="AM100" s="68">
        <f>Economic!K114</f>
        <v>97656.9</v>
      </c>
      <c r="AN100" s="68">
        <f>Economic!L114</f>
        <v>77016.5</v>
      </c>
      <c r="AO100" s="68">
        <f>Economic!M114</f>
        <v>898185</v>
      </c>
      <c r="AP100" s="68">
        <f>Economic!N114</f>
        <v>89800</v>
      </c>
      <c r="AQ100" s="68">
        <f>Economic!O114</f>
        <v>14304</v>
      </c>
      <c r="AR100" s="68">
        <f>Economic!P114</f>
        <v>38119</v>
      </c>
      <c r="AS100" s="68">
        <f>Economic!Q114</f>
        <v>94816</v>
      </c>
      <c r="AT100" s="68">
        <f>Economic!D114</f>
        <v>8242.5</v>
      </c>
      <c r="AU100" s="68">
        <f>Economic!E114</f>
        <v>8155.5</v>
      </c>
      <c r="AV100" s="68">
        <f>Economic!F114</f>
        <v>328.3</v>
      </c>
      <c r="AW100" s="68">
        <f>Economic!G114</f>
        <v>324.2</v>
      </c>
      <c r="AX100" s="68">
        <f>Economic!W114</f>
        <v>12383</v>
      </c>
      <c r="AY100" s="68">
        <f>Economic!R114</f>
        <v>167.19999999999982</v>
      </c>
      <c r="AZ100" s="68">
        <f>Economic!W114</f>
        <v>12383</v>
      </c>
      <c r="BA100" s="68">
        <f>Economic!X114</f>
        <v>-1117</v>
      </c>
      <c r="BB100" s="68">
        <f>Economic!Y114</f>
        <v>3485</v>
      </c>
      <c r="BC100" s="236">
        <f>Weather!C112</f>
        <v>2.6867607526881718</v>
      </c>
      <c r="BD100" s="16">
        <f>Weather!D112</f>
        <v>536.71041666666667</v>
      </c>
      <c r="BE100" s="16">
        <f>Weather!E112</f>
        <v>0</v>
      </c>
      <c r="BF100" s="16">
        <f>Weather!F112</f>
        <v>474.71041666666667</v>
      </c>
      <c r="BG100" s="16">
        <f>Weather!G112</f>
        <v>0</v>
      </c>
      <c r="BH100" s="16">
        <f>Weather!H112</f>
        <v>412.71041666666679</v>
      </c>
      <c r="BI100" s="16">
        <f>Weather!I112</f>
        <v>0</v>
      </c>
      <c r="BJ100" s="16">
        <f>Weather!J112</f>
        <v>350.71041666666673</v>
      </c>
      <c r="BK100" s="16">
        <f>Weather!K112</f>
        <v>0</v>
      </c>
      <c r="BL100" s="16">
        <f>Weather!L112</f>
        <v>291.18125000000003</v>
      </c>
      <c r="BM100" s="16">
        <f>Weather!M112</f>
        <v>2.4708333333333297</v>
      </c>
      <c r="BN100" s="16">
        <f>Weather!N112</f>
        <v>233.18125000000003</v>
      </c>
      <c r="BO100" s="16">
        <f>Weather!O112</f>
        <v>6.4708333333333297</v>
      </c>
      <c r="BP100" s="16">
        <f>Weather!P112</f>
        <v>176.21875000000003</v>
      </c>
      <c r="BQ100" s="16">
        <f>Weather!Q112</f>
        <v>11.508333333333329</v>
      </c>
      <c r="BR100">
        <f t="shared" ref="BR100:CI100" si="201">BR88</f>
        <v>0</v>
      </c>
      <c r="BS100">
        <f t="shared" si="201"/>
        <v>0</v>
      </c>
      <c r="BT100">
        <f t="shared" si="201"/>
        <v>1</v>
      </c>
      <c r="BU100">
        <f t="shared" si="201"/>
        <v>0</v>
      </c>
      <c r="BV100">
        <f t="shared" si="201"/>
        <v>0</v>
      </c>
      <c r="BW100">
        <f t="shared" si="201"/>
        <v>0</v>
      </c>
      <c r="BX100">
        <f t="shared" si="201"/>
        <v>0</v>
      </c>
      <c r="BY100">
        <f t="shared" si="201"/>
        <v>0</v>
      </c>
      <c r="BZ100">
        <f t="shared" si="201"/>
        <v>0</v>
      </c>
      <c r="CA100">
        <f t="shared" si="201"/>
        <v>0</v>
      </c>
      <c r="CB100">
        <f t="shared" si="201"/>
        <v>0</v>
      </c>
      <c r="CC100">
        <f t="shared" si="201"/>
        <v>0</v>
      </c>
      <c r="CD100" s="1">
        <f t="shared" si="201"/>
        <v>1</v>
      </c>
      <c r="CE100">
        <f t="shared" si="201"/>
        <v>1</v>
      </c>
      <c r="CF100" s="1">
        <f t="shared" si="201"/>
        <v>0</v>
      </c>
      <c r="CG100">
        <f t="shared" si="201"/>
        <v>0</v>
      </c>
      <c r="CH100" s="1">
        <f t="shared" si="201"/>
        <v>1</v>
      </c>
      <c r="CI100">
        <f t="shared" si="201"/>
        <v>1</v>
      </c>
      <c r="CJ100">
        <f t="shared" si="160"/>
        <v>1</v>
      </c>
      <c r="CK100">
        <f t="shared" si="148"/>
        <v>0</v>
      </c>
      <c r="CL100">
        <f t="shared" si="144"/>
        <v>0</v>
      </c>
      <c r="CM100" s="1">
        <f t="shared" si="120"/>
        <v>99</v>
      </c>
      <c r="CN100" s="1">
        <f t="shared" si="117"/>
        <v>51</v>
      </c>
      <c r="CO100" s="1">
        <f t="shared" si="130"/>
        <v>39</v>
      </c>
      <c r="CP100" s="1">
        <f t="shared" si="141"/>
        <v>27</v>
      </c>
      <c r="CQ100" s="1">
        <f t="shared" si="131"/>
        <v>15</v>
      </c>
      <c r="CR100" s="1">
        <f t="shared" si="131"/>
        <v>39</v>
      </c>
      <c r="CS100">
        <f t="shared" si="116"/>
        <v>31</v>
      </c>
      <c r="CT100" s="1">
        <v>21</v>
      </c>
      <c r="CU100" s="1">
        <v>0</v>
      </c>
      <c r="CV100" s="1">
        <v>0</v>
      </c>
      <c r="CW100" s="1">
        <v>0</v>
      </c>
      <c r="CX100" s="1">
        <v>0.25</v>
      </c>
      <c r="CY100" s="1">
        <v>0</v>
      </c>
      <c r="CZ100" s="10">
        <f t="shared" si="161"/>
        <v>0</v>
      </c>
      <c r="DA100" s="10">
        <f t="shared" si="162"/>
        <v>0</v>
      </c>
      <c r="DB100" s="10">
        <f t="shared" si="163"/>
        <v>0</v>
      </c>
      <c r="DC100" s="10">
        <f t="shared" si="164"/>
        <v>0</v>
      </c>
      <c r="DD100" s="10">
        <f t="shared" si="165"/>
        <v>0</v>
      </c>
      <c r="DE100" s="10">
        <f t="shared" si="166"/>
        <v>0</v>
      </c>
      <c r="DF100" s="10">
        <f t="shared" si="167"/>
        <v>0</v>
      </c>
      <c r="DG100" s="10">
        <f t="shared" si="168"/>
        <v>0</v>
      </c>
      <c r="DH100" s="10">
        <f t="shared" si="169"/>
        <v>0</v>
      </c>
      <c r="DI100" s="10">
        <f t="shared" si="170"/>
        <v>0</v>
      </c>
      <c r="DJ100" s="10">
        <f t="shared" si="171"/>
        <v>0</v>
      </c>
      <c r="DK100" s="10">
        <f t="shared" si="172"/>
        <v>0</v>
      </c>
      <c r="DL100" s="10">
        <f t="shared" si="173"/>
        <v>0</v>
      </c>
      <c r="DM100" s="10">
        <f t="shared" si="174"/>
        <v>0</v>
      </c>
      <c r="DN100" s="10">
        <f t="shared" si="175"/>
        <v>134.17760416666667</v>
      </c>
      <c r="DO100" s="10">
        <f t="shared" si="176"/>
        <v>0</v>
      </c>
      <c r="DP100" s="10">
        <f t="shared" si="177"/>
        <v>118.67760416666667</v>
      </c>
      <c r="DQ100" s="10">
        <f t="shared" si="178"/>
        <v>0</v>
      </c>
      <c r="DR100" s="10">
        <f t="shared" si="179"/>
        <v>103.1776041666667</v>
      </c>
      <c r="DS100" s="10">
        <f t="shared" si="180"/>
        <v>0</v>
      </c>
      <c r="DT100" s="10">
        <f t="shared" si="181"/>
        <v>87.677604166666683</v>
      </c>
      <c r="DU100" s="10">
        <f t="shared" si="182"/>
        <v>0</v>
      </c>
      <c r="DV100" s="10">
        <f t="shared" si="183"/>
        <v>72.795312500000009</v>
      </c>
      <c r="DW100" s="10">
        <f t="shared" si="184"/>
        <v>0.61770833333333242</v>
      </c>
      <c r="DX100" s="10">
        <f t="shared" si="185"/>
        <v>58.295312500000009</v>
      </c>
      <c r="DY100" s="10">
        <f t="shared" si="186"/>
        <v>1.6177083333333324</v>
      </c>
      <c r="DZ100" s="10">
        <f t="shared" si="187"/>
        <v>44.054687500000007</v>
      </c>
      <c r="EA100" s="10">
        <f t="shared" si="188"/>
        <v>2.8770833333333323</v>
      </c>
      <c r="EB100" s="44">
        <f t="shared" si="189"/>
        <v>630.06330900037176</v>
      </c>
      <c r="EC100" s="44">
        <f t="shared" si="190"/>
        <v>20.324622870979734</v>
      </c>
      <c r="ED100" s="44">
        <f t="shared" si="191"/>
        <v>3119504.4167294535</v>
      </c>
      <c r="EE100" s="44">
        <f t="shared" si="192"/>
        <v>2684.6239681903817</v>
      </c>
      <c r="EF100" s="44">
        <f t="shared" si="193"/>
        <v>86.600773167431669</v>
      </c>
      <c r="EG100" s="44">
        <f t="shared" si="194"/>
        <v>1167551.6238433137</v>
      </c>
      <c r="EH100" s="44">
        <f t="shared" si="195"/>
        <v>84992.100036172851</v>
      </c>
      <c r="EI100" s="44">
        <f t="shared" si="196"/>
        <v>2741.6806463281564</v>
      </c>
      <c r="EJ100" s="44">
        <f t="shared" si="197"/>
        <v>3695.3086972249066</v>
      </c>
      <c r="EK100" s="44">
        <f t="shared" si="198"/>
        <v>4137196.0953091877</v>
      </c>
      <c r="EL100" s="44">
        <f t="shared" si="199"/>
        <v>5576220.8241123836</v>
      </c>
    </row>
    <row r="101" spans="1:142" x14ac:dyDescent="0.2">
      <c r="A101" s="66">
        <v>45748</v>
      </c>
      <c r="B101" s="4">
        <f t="shared" si="152"/>
        <v>2025</v>
      </c>
      <c r="C101" s="4">
        <f t="shared" si="153"/>
        <v>4</v>
      </c>
      <c r="D101" s="44">
        <v>83576917.632241607</v>
      </c>
      <c r="E101" s="44">
        <f>IFERROR(VLOOKUP($B101-1,CDM!$L$7:$T$18,2,FALSE)/12,0)+IFERROR(VLOOKUP($B101,CDM!$L$37:$O$47,2,FALSE)/24,0)+IFERROR(VLOOKUP($B101,CDM!$L$37:$O$47,2,FALSE)/2*$C101/78,0)</f>
        <v>2415304.2415172472</v>
      </c>
      <c r="F101" s="44">
        <f t="shared" si="154"/>
        <v>85992221.873758852</v>
      </c>
      <c r="G101" s="488">
        <v>153534</v>
      </c>
      <c r="H101" s="44">
        <v>31383417.235167</v>
      </c>
      <c r="I101" s="44">
        <f>IFERROR(VLOOKUP($B101-1,CDM!$L$7:$T$18,3,FALSE)/12,0)+IFERROR(VLOOKUP($B101,CDM!$L$37:$O$47,3,FALSE)/24,0)+IFERROR(VLOOKUP($B101,CDM!$L$37:$O$47,3,FALSE)/2*$C101/78,0)</f>
        <v>1918870.3977859949</v>
      </c>
      <c r="J101" s="44">
        <f t="shared" si="155"/>
        <v>33302287.632952996</v>
      </c>
      <c r="K101" s="44">
        <v>13480</v>
      </c>
      <c r="L101" s="44">
        <v>113306928.747279</v>
      </c>
      <c r="M101" s="44">
        <f>IFERROR(VLOOKUP($B101-1,CDM!$L$7:$T$18,4,FALSE)/12,0)+IFERROR(VLOOKUP($B101,CDM!$L$37:$O$47,4,FALSE)/24,0)+IFERROR(VLOOKUP($B101,CDM!$L$37:$O$47,4,FALSE)/2*$C101/78,0)</f>
        <v>8875606.2742826119</v>
      </c>
      <c r="N101" s="44">
        <f t="shared" si="156"/>
        <v>122182535.02156162</v>
      </c>
      <c r="O101" s="44">
        <v>296882.57</v>
      </c>
      <c r="P101" s="488">
        <v>1509</v>
      </c>
      <c r="Q101" s="488">
        <v>2846233.0335867601</v>
      </c>
      <c r="R101" s="488">
        <f>IFERROR(VLOOKUP($B101-1,CDM!$L$7:$T$18,5,FALSE)/12,0)+IFERROR(VLOOKUP($B101,CDM!$L$37:$T$47,5,FALSE)/24,0)+IFERROR(VLOOKUP($B101,CDM!$L$37:$T$47,5,FALSE)/2*$C101/78,0)</f>
        <v>169439.06432679502</v>
      </c>
      <c r="S101" s="488">
        <f t="shared" si="157"/>
        <v>3015672.0979135549</v>
      </c>
      <c r="T101" s="44">
        <v>5184.4299999999994</v>
      </c>
      <c r="U101" s="488">
        <v>7</v>
      </c>
      <c r="V101" s="488">
        <v>12595270.7116137</v>
      </c>
      <c r="W101" s="488">
        <f>IFERROR(VLOOKUP($B101-1,CDM!$L$7:$T$18,6,FALSE)/12,0)+IFERROR(VLOOKUP($B101,CDM!$L$37:$T$47,6,FALSE)/24,0)+IFERROR(VLOOKUP($B101,CDM!$L$37:$T$47,6,FALSE)/2*$C101/78,0)</f>
        <v>1542655.5910492088</v>
      </c>
      <c r="X101" s="488">
        <f t="shared" si="158"/>
        <v>14137926.302662909</v>
      </c>
      <c r="Y101" s="488">
        <v>26066.29</v>
      </c>
      <c r="Z101" s="488">
        <v>2</v>
      </c>
      <c r="AA101" s="44">
        <v>1307264.47</v>
      </c>
      <c r="AB101" s="44">
        <v>4072.47</v>
      </c>
      <c r="AC101" s="488">
        <v>40459</v>
      </c>
      <c r="AD101" s="44">
        <v>446207.38</v>
      </c>
      <c r="AE101" s="44">
        <v>1567</v>
      </c>
      <c r="AF101" s="44">
        <v>41642.159999999989</v>
      </c>
      <c r="AG101" s="44">
        <v>114.25</v>
      </c>
      <c r="AH101" s="44">
        <v>484</v>
      </c>
      <c r="AI101" s="44">
        <v>16400</v>
      </c>
      <c r="AJ101" s="68">
        <f>Economic!H115</f>
        <v>900844.9</v>
      </c>
      <c r="AK101" s="68">
        <f>Economic!I115</f>
        <v>88046.3</v>
      </c>
      <c r="AL101" s="68">
        <f>Economic!J115</f>
        <v>39702.699999999997</v>
      </c>
      <c r="AM101" s="68">
        <f>Economic!K115</f>
        <v>97656.9</v>
      </c>
      <c r="AN101" s="68">
        <f>Economic!L115</f>
        <v>77016.5</v>
      </c>
      <c r="AO101" s="68">
        <f>Economic!M115</f>
        <v>895773</v>
      </c>
      <c r="AP101" s="68">
        <f>Economic!N115</f>
        <v>87573</v>
      </c>
      <c r="AQ101" s="68">
        <f>Economic!O115</f>
        <v>13890</v>
      </c>
      <c r="AR101" s="68">
        <f>Economic!P115</f>
        <v>38216</v>
      </c>
      <c r="AS101" s="68">
        <f>Economic!Q115</f>
        <v>95747</v>
      </c>
      <c r="AT101" s="68">
        <f>Economic!D115</f>
        <v>8227.4</v>
      </c>
      <c r="AU101" s="68">
        <f>Economic!E115</f>
        <v>8165.3</v>
      </c>
      <c r="AV101" s="68">
        <f>Economic!F115</f>
        <v>326.5</v>
      </c>
      <c r="AW101" s="68">
        <f>Economic!G115</f>
        <v>323.7</v>
      </c>
      <c r="AX101" s="68">
        <f>Economic!W115</f>
        <v>7040</v>
      </c>
      <c r="AY101" s="68">
        <f>Economic!R115</f>
        <v>134</v>
      </c>
      <c r="AZ101" s="68">
        <f>Economic!W115</f>
        <v>7040</v>
      </c>
      <c r="BA101" s="68">
        <f>Economic!X115</f>
        <v>-2535</v>
      </c>
      <c r="BB101" s="68">
        <f>Economic!Y115</f>
        <v>3481</v>
      </c>
      <c r="BC101" s="236">
        <f>Weather!C113</f>
        <v>7.3315277777777785</v>
      </c>
      <c r="BD101" s="16">
        <f>Weather!D113</f>
        <v>380.0541666666669</v>
      </c>
      <c r="BE101" s="16">
        <f>Weather!E113</f>
        <v>0</v>
      </c>
      <c r="BF101" s="16">
        <f>Weather!F113</f>
        <v>320.42500000000018</v>
      </c>
      <c r="BG101" s="16">
        <f>Weather!G113</f>
        <v>0.37083333333333357</v>
      </c>
      <c r="BH101" s="16">
        <f>Weather!H113</f>
        <v>263.45416666666659</v>
      </c>
      <c r="BI101" s="16">
        <f>Weather!I113</f>
        <v>3.3999999999999986</v>
      </c>
      <c r="BJ101" s="16">
        <f>Weather!J113</f>
        <v>209.11249999999995</v>
      </c>
      <c r="BK101" s="16">
        <f>Weather!K113</f>
        <v>9.0583333333333371</v>
      </c>
      <c r="BL101" s="16">
        <f>Weather!L113</f>
        <v>161.79583333333332</v>
      </c>
      <c r="BM101" s="16">
        <f>Weather!M113</f>
        <v>21.741666666666667</v>
      </c>
      <c r="BN101" s="16">
        <f>Weather!N113</f>
        <v>121.79583333333335</v>
      </c>
      <c r="BO101" s="16">
        <f>Weather!O113</f>
        <v>41.74166666666666</v>
      </c>
      <c r="BP101" s="16">
        <f>Weather!P113</f>
        <v>84.654166666666669</v>
      </c>
      <c r="BQ101" s="16">
        <f>Weather!Q113</f>
        <v>64.599999999999994</v>
      </c>
      <c r="BR101">
        <f t="shared" ref="BR101:CI101" si="202">BR89</f>
        <v>0</v>
      </c>
      <c r="BS101">
        <f t="shared" si="202"/>
        <v>0</v>
      </c>
      <c r="BT101">
        <f t="shared" si="202"/>
        <v>0</v>
      </c>
      <c r="BU101">
        <f t="shared" si="202"/>
        <v>1</v>
      </c>
      <c r="BV101">
        <f t="shared" si="202"/>
        <v>0</v>
      </c>
      <c r="BW101">
        <f t="shared" si="202"/>
        <v>0</v>
      </c>
      <c r="BX101">
        <f t="shared" si="202"/>
        <v>0</v>
      </c>
      <c r="BY101">
        <f t="shared" si="202"/>
        <v>0</v>
      </c>
      <c r="BZ101">
        <f t="shared" si="202"/>
        <v>0</v>
      </c>
      <c r="CA101">
        <f t="shared" si="202"/>
        <v>0</v>
      </c>
      <c r="CB101">
        <f t="shared" si="202"/>
        <v>0</v>
      </c>
      <c r="CC101">
        <f t="shared" si="202"/>
        <v>0</v>
      </c>
      <c r="CD101" s="1">
        <f t="shared" si="202"/>
        <v>1</v>
      </c>
      <c r="CE101">
        <f t="shared" si="202"/>
        <v>1</v>
      </c>
      <c r="CF101" s="1">
        <f t="shared" si="202"/>
        <v>0</v>
      </c>
      <c r="CG101">
        <f t="shared" si="202"/>
        <v>0</v>
      </c>
      <c r="CH101" s="1">
        <f t="shared" si="202"/>
        <v>1</v>
      </c>
      <c r="CI101">
        <f t="shared" si="202"/>
        <v>1</v>
      </c>
      <c r="CJ101">
        <f t="shared" si="160"/>
        <v>1</v>
      </c>
      <c r="CK101">
        <f t="shared" si="148"/>
        <v>0</v>
      </c>
      <c r="CL101">
        <f t="shared" si="144"/>
        <v>0</v>
      </c>
      <c r="CM101" s="1">
        <f t="shared" si="120"/>
        <v>100</v>
      </c>
      <c r="CN101" s="1">
        <f t="shared" si="117"/>
        <v>52</v>
      </c>
      <c r="CO101" s="1">
        <f t="shared" si="130"/>
        <v>40</v>
      </c>
      <c r="CP101" s="1">
        <f t="shared" si="141"/>
        <v>28</v>
      </c>
      <c r="CQ101" s="1">
        <f t="shared" si="131"/>
        <v>16</v>
      </c>
      <c r="CR101" s="1">
        <f t="shared" si="131"/>
        <v>40</v>
      </c>
      <c r="CS101">
        <f t="shared" si="116"/>
        <v>30</v>
      </c>
      <c r="CT101" s="1">
        <v>21</v>
      </c>
      <c r="CU101" s="1">
        <v>0</v>
      </c>
      <c r="CV101" s="1">
        <v>0</v>
      </c>
      <c r="CW101" s="1">
        <v>0</v>
      </c>
      <c r="CX101" s="1">
        <v>0.25</v>
      </c>
      <c r="CY101" s="1">
        <v>0</v>
      </c>
      <c r="CZ101" s="10">
        <f t="shared" si="161"/>
        <v>0</v>
      </c>
      <c r="DA101" s="10">
        <f t="shared" si="162"/>
        <v>0</v>
      </c>
      <c r="DB101" s="10">
        <f t="shared" si="163"/>
        <v>0</v>
      </c>
      <c r="DC101" s="10">
        <f t="shared" si="164"/>
        <v>0</v>
      </c>
      <c r="DD101" s="10">
        <f t="shared" si="165"/>
        <v>0</v>
      </c>
      <c r="DE101" s="10">
        <f t="shared" si="166"/>
        <v>0</v>
      </c>
      <c r="DF101" s="10">
        <f t="shared" si="167"/>
        <v>0</v>
      </c>
      <c r="DG101" s="10">
        <f t="shared" si="168"/>
        <v>0</v>
      </c>
      <c r="DH101" s="10">
        <f t="shared" si="169"/>
        <v>0</v>
      </c>
      <c r="DI101" s="10">
        <f t="shared" si="170"/>
        <v>0</v>
      </c>
      <c r="DJ101" s="10">
        <f t="shared" si="171"/>
        <v>0</v>
      </c>
      <c r="DK101" s="10">
        <f t="shared" si="172"/>
        <v>0</v>
      </c>
      <c r="DL101" s="10">
        <f t="shared" si="173"/>
        <v>0</v>
      </c>
      <c r="DM101" s="10">
        <f t="shared" si="174"/>
        <v>0</v>
      </c>
      <c r="DN101" s="10">
        <f t="shared" si="175"/>
        <v>95.013541666666725</v>
      </c>
      <c r="DO101" s="10">
        <f t="shared" si="176"/>
        <v>0</v>
      </c>
      <c r="DP101" s="10">
        <f t="shared" si="177"/>
        <v>80.106250000000045</v>
      </c>
      <c r="DQ101" s="10">
        <f t="shared" si="178"/>
        <v>9.2708333333333393E-2</v>
      </c>
      <c r="DR101" s="10">
        <f t="shared" si="179"/>
        <v>65.863541666666649</v>
      </c>
      <c r="DS101" s="10">
        <f t="shared" si="180"/>
        <v>0.84999999999999964</v>
      </c>
      <c r="DT101" s="10">
        <f t="shared" si="181"/>
        <v>52.278124999999989</v>
      </c>
      <c r="DU101" s="10">
        <f t="shared" si="182"/>
        <v>2.2645833333333343</v>
      </c>
      <c r="DV101" s="10">
        <f t="shared" si="183"/>
        <v>40.44895833333333</v>
      </c>
      <c r="DW101" s="10">
        <f t="shared" si="184"/>
        <v>5.4354166666666668</v>
      </c>
      <c r="DX101" s="10">
        <f t="shared" si="185"/>
        <v>30.448958333333337</v>
      </c>
      <c r="DY101" s="10">
        <f t="shared" si="186"/>
        <v>10.435416666666665</v>
      </c>
      <c r="DZ101" s="10">
        <f t="shared" si="187"/>
        <v>21.163541666666667</v>
      </c>
      <c r="EA101" s="10">
        <f t="shared" si="188"/>
        <v>16.149999999999999</v>
      </c>
      <c r="EB101" s="44">
        <f t="shared" si="189"/>
        <v>560.08585638203169</v>
      </c>
      <c r="EC101" s="44">
        <f t="shared" si="190"/>
        <v>18.669528546067724</v>
      </c>
      <c r="ED101" s="44">
        <f t="shared" si="191"/>
        <v>2866407.3957919618</v>
      </c>
      <c r="EE101" s="44">
        <f t="shared" si="192"/>
        <v>2470.4961152042283</v>
      </c>
      <c r="EF101" s="44">
        <f t="shared" si="193"/>
        <v>82.349870506807605</v>
      </c>
      <c r="EG101" s="44">
        <f t="shared" si="194"/>
        <v>1110076.2544317665</v>
      </c>
      <c r="EH101" s="44">
        <f t="shared" si="195"/>
        <v>80969.208099113064</v>
      </c>
      <c r="EI101" s="44">
        <f t="shared" si="196"/>
        <v>2698.9736033037689</v>
      </c>
      <c r="EJ101" s="44">
        <f t="shared" si="197"/>
        <v>4261.5372683743717</v>
      </c>
      <c r="EK101" s="44">
        <f t="shared" si="198"/>
        <v>4072751.1673853872</v>
      </c>
      <c r="EL101" s="44">
        <f t="shared" si="199"/>
        <v>6430659.7379769273</v>
      </c>
    </row>
    <row r="102" spans="1:142" x14ac:dyDescent="0.2">
      <c r="A102" s="66">
        <v>45778</v>
      </c>
      <c r="B102" s="4">
        <f t="shared" si="152"/>
        <v>2025</v>
      </c>
      <c r="C102" s="4">
        <f t="shared" si="153"/>
        <v>5</v>
      </c>
      <c r="D102" s="44">
        <v>82566767.886857301</v>
      </c>
      <c r="E102" s="44">
        <f>IFERROR(VLOOKUP($B102-1,CDM!$L$7:$T$18,2,FALSE)/12,0)+IFERROR(VLOOKUP($B102,CDM!$L$37:$O$47,2,FALSE)/24,0)+IFERROR(VLOOKUP($B102,CDM!$L$37:$O$47,2,FALSE)/2*$C102/78,0)</f>
        <v>2426783.2301888373</v>
      </c>
      <c r="F102" s="44">
        <f t="shared" si="154"/>
        <v>84993551.117046133</v>
      </c>
      <c r="G102" s="488">
        <v>153566</v>
      </c>
      <c r="H102" s="44">
        <v>30876682.938760102</v>
      </c>
      <c r="I102" s="44">
        <f>IFERROR(VLOOKUP($B102-1,CDM!$L$7:$T$18,3,FALSE)/12,0)+IFERROR(VLOOKUP($B102,CDM!$L$37:$O$47,3,FALSE)/24,0)+IFERROR(VLOOKUP($B102,CDM!$L$37:$O$47,3,FALSE)/2*$C102/78,0)</f>
        <v>1943130.1055774689</v>
      </c>
      <c r="J102" s="44">
        <f t="shared" si="155"/>
        <v>32819813.044337571</v>
      </c>
      <c r="K102" s="44">
        <v>13483</v>
      </c>
      <c r="L102" s="44">
        <v>116375098.41533101</v>
      </c>
      <c r="M102" s="44">
        <f>IFERROR(VLOOKUP($B102-1,CDM!$L$7:$T$18,4,FALSE)/12,0)+IFERROR(VLOOKUP($B102,CDM!$L$37:$O$47,4,FALSE)/24,0)+IFERROR(VLOOKUP($B102,CDM!$L$37:$O$47,4,FALSE)/2*$C102/78,0)</f>
        <v>8940217.8893703967</v>
      </c>
      <c r="N102" s="44">
        <f t="shared" si="156"/>
        <v>125315316.3047014</v>
      </c>
      <c r="O102" s="44">
        <v>300225.71999999997</v>
      </c>
      <c r="P102" s="488">
        <v>1510</v>
      </c>
      <c r="Q102" s="488">
        <v>2545966.60792429</v>
      </c>
      <c r="R102" s="488">
        <f>IFERROR(VLOOKUP($B102-1,CDM!$L$7:$T$18,5,FALSE)/12,0)+IFERROR(VLOOKUP($B102,CDM!$L$37:$T$47,5,FALSE)/24,0)+IFERROR(VLOOKUP($B102,CDM!$L$37:$T$47,5,FALSE)/2*$C102/78,0)</f>
        <v>171453.08714669704</v>
      </c>
      <c r="S102" s="488">
        <f t="shared" si="157"/>
        <v>2717419.6950709871</v>
      </c>
      <c r="T102" s="44">
        <v>7285.36</v>
      </c>
      <c r="U102" s="488">
        <v>7</v>
      </c>
      <c r="V102" s="488">
        <v>12832186.298605399</v>
      </c>
      <c r="W102" s="488">
        <f>IFERROR(VLOOKUP($B102-1,CDM!$L$7:$T$18,6,FALSE)/12,0)+IFERROR(VLOOKUP($B102,CDM!$L$37:$T$47,6,FALSE)/24,0)+IFERROR(VLOOKUP($B102,CDM!$L$37:$T$47,6,FALSE)/2*$C102/78,0)</f>
        <v>1546400.8379812574</v>
      </c>
      <c r="X102" s="488">
        <f t="shared" si="158"/>
        <v>14378587.136586657</v>
      </c>
      <c r="Y102" s="488">
        <v>25626.720000000001</v>
      </c>
      <c r="Z102" s="488">
        <v>2</v>
      </c>
      <c r="AA102" s="44">
        <v>1163286.51</v>
      </c>
      <c r="AB102" s="44">
        <v>4074.42</v>
      </c>
      <c r="AC102" s="488">
        <v>40485</v>
      </c>
      <c r="AD102" s="44">
        <v>461270.54</v>
      </c>
      <c r="AE102" s="44">
        <v>1567</v>
      </c>
      <c r="AF102" s="44">
        <v>43777.069999999985</v>
      </c>
      <c r="AG102" s="44">
        <v>114.21</v>
      </c>
      <c r="AH102" s="44">
        <v>474</v>
      </c>
      <c r="AI102" s="44">
        <v>16400</v>
      </c>
      <c r="AJ102" s="68">
        <f>Economic!H116</f>
        <v>900844.9</v>
      </c>
      <c r="AK102" s="68">
        <f>Economic!I116</f>
        <v>88046.3</v>
      </c>
      <c r="AL102" s="68">
        <f>Economic!J116</f>
        <v>39702.699999999997</v>
      </c>
      <c r="AM102" s="68">
        <f>Economic!K116</f>
        <v>97656.9</v>
      </c>
      <c r="AN102" s="68">
        <f>Economic!L116</f>
        <v>77016.5</v>
      </c>
      <c r="AO102" s="68">
        <f>Economic!M116</f>
        <v>895773</v>
      </c>
      <c r="AP102" s="68">
        <f>Economic!N116</f>
        <v>87573</v>
      </c>
      <c r="AQ102" s="68">
        <f>Economic!O116</f>
        <v>13890</v>
      </c>
      <c r="AR102" s="68">
        <f>Economic!P116</f>
        <v>38216</v>
      </c>
      <c r="AS102" s="68">
        <f>Economic!Q116</f>
        <v>95747</v>
      </c>
      <c r="AT102" s="68">
        <f>Economic!D116</f>
        <v>8207.9</v>
      </c>
      <c r="AU102" s="68">
        <f>Economic!E116</f>
        <v>8198.1</v>
      </c>
      <c r="AV102" s="68">
        <f>Economic!F116</f>
        <v>324.8</v>
      </c>
      <c r="AW102" s="68">
        <f>Economic!G116</f>
        <v>324.8</v>
      </c>
      <c r="AX102" s="68">
        <f>Economic!W116</f>
        <v>7040</v>
      </c>
      <c r="AY102" s="68">
        <f>Economic!R116</f>
        <v>88.599999999999454</v>
      </c>
      <c r="AZ102" s="68">
        <f>Economic!W116</f>
        <v>7040</v>
      </c>
      <c r="BA102" s="68">
        <f>Economic!X116</f>
        <v>-2535</v>
      </c>
      <c r="BB102" s="68">
        <f>Economic!Y116</f>
        <v>3481</v>
      </c>
      <c r="BC102" s="236">
        <f>Weather!C114</f>
        <v>12.614784946236558</v>
      </c>
      <c r="BD102" s="16">
        <f>Weather!D114</f>
        <v>229.72916666666663</v>
      </c>
      <c r="BE102" s="16">
        <f>Weather!E114</f>
        <v>0.78749999999999787</v>
      </c>
      <c r="BF102" s="16">
        <f>Weather!F114</f>
        <v>172.54166666666669</v>
      </c>
      <c r="BG102" s="16">
        <f>Weather!G114</f>
        <v>5.5999999999999943</v>
      </c>
      <c r="BH102" s="16">
        <f>Weather!H114</f>
        <v>119.79583333333333</v>
      </c>
      <c r="BI102" s="16">
        <f>Weather!I114</f>
        <v>14.854166666666657</v>
      </c>
      <c r="BJ102" s="16">
        <f>Weather!J114</f>
        <v>73.445833333333326</v>
      </c>
      <c r="BK102" s="16">
        <f>Weather!K114</f>
        <v>30.504166666666652</v>
      </c>
      <c r="BL102" s="16">
        <f>Weather!L114</f>
        <v>37.133333333333326</v>
      </c>
      <c r="BM102" s="16">
        <f>Weather!M114</f>
        <v>56.191666666666634</v>
      </c>
      <c r="BN102" s="16">
        <f>Weather!N114</f>
        <v>10.712499999999995</v>
      </c>
      <c r="BO102" s="16">
        <f>Weather!O114</f>
        <v>91.770833333333329</v>
      </c>
      <c r="BP102" s="16">
        <f>Weather!P114</f>
        <v>0.42916666666666448</v>
      </c>
      <c r="BQ102" s="16">
        <f>Weather!Q114</f>
        <v>143.48749999999998</v>
      </c>
      <c r="BR102">
        <f t="shared" ref="BR102:CI102" si="203">BR90</f>
        <v>0</v>
      </c>
      <c r="BS102">
        <f t="shared" si="203"/>
        <v>0</v>
      </c>
      <c r="BT102">
        <f t="shared" si="203"/>
        <v>0</v>
      </c>
      <c r="BU102">
        <f t="shared" si="203"/>
        <v>0</v>
      </c>
      <c r="BV102">
        <f t="shared" si="203"/>
        <v>1</v>
      </c>
      <c r="BW102">
        <f t="shared" si="203"/>
        <v>0</v>
      </c>
      <c r="BX102">
        <f t="shared" si="203"/>
        <v>0</v>
      </c>
      <c r="BY102">
        <f t="shared" si="203"/>
        <v>0</v>
      </c>
      <c r="BZ102">
        <f t="shared" si="203"/>
        <v>0</v>
      </c>
      <c r="CA102">
        <f t="shared" si="203"/>
        <v>0</v>
      </c>
      <c r="CB102">
        <f t="shared" si="203"/>
        <v>0</v>
      </c>
      <c r="CC102">
        <f t="shared" si="203"/>
        <v>0</v>
      </c>
      <c r="CD102" s="1">
        <f t="shared" si="203"/>
        <v>1</v>
      </c>
      <c r="CE102">
        <f t="shared" si="203"/>
        <v>0</v>
      </c>
      <c r="CF102" s="1">
        <f t="shared" si="203"/>
        <v>0</v>
      </c>
      <c r="CG102">
        <f t="shared" si="203"/>
        <v>0</v>
      </c>
      <c r="CH102" s="1">
        <f t="shared" si="203"/>
        <v>1</v>
      </c>
      <c r="CI102">
        <f t="shared" si="203"/>
        <v>0</v>
      </c>
      <c r="CJ102">
        <f t="shared" si="160"/>
        <v>0</v>
      </c>
      <c r="CK102">
        <f t="shared" si="148"/>
        <v>1</v>
      </c>
      <c r="CL102">
        <f t="shared" si="144"/>
        <v>0</v>
      </c>
      <c r="CM102" s="1">
        <f t="shared" si="120"/>
        <v>101</v>
      </c>
      <c r="CN102" s="1">
        <f t="shared" si="117"/>
        <v>53</v>
      </c>
      <c r="CO102" s="1">
        <f t="shared" si="130"/>
        <v>41</v>
      </c>
      <c r="CP102" s="1">
        <f t="shared" si="141"/>
        <v>29</v>
      </c>
      <c r="CQ102" s="1">
        <f t="shared" si="131"/>
        <v>17</v>
      </c>
      <c r="CR102" s="1">
        <f t="shared" si="131"/>
        <v>41</v>
      </c>
      <c r="CS102">
        <f t="shared" si="116"/>
        <v>31</v>
      </c>
      <c r="CT102" s="1">
        <v>21</v>
      </c>
      <c r="CU102" s="1">
        <v>0</v>
      </c>
      <c r="CV102" s="1">
        <v>0</v>
      </c>
      <c r="CW102" s="1">
        <v>0</v>
      </c>
      <c r="CX102" s="1">
        <v>0.25</v>
      </c>
      <c r="CY102" s="1">
        <v>0</v>
      </c>
      <c r="CZ102" s="10">
        <f t="shared" si="161"/>
        <v>0</v>
      </c>
      <c r="DA102" s="10">
        <f t="shared" si="162"/>
        <v>0</v>
      </c>
      <c r="DB102" s="10">
        <f t="shared" si="163"/>
        <v>0</v>
      </c>
      <c r="DC102" s="10">
        <f t="shared" si="164"/>
        <v>0</v>
      </c>
      <c r="DD102" s="10">
        <f t="shared" si="165"/>
        <v>0</v>
      </c>
      <c r="DE102" s="10">
        <f t="shared" si="166"/>
        <v>0</v>
      </c>
      <c r="DF102" s="10">
        <f t="shared" si="167"/>
        <v>0</v>
      </c>
      <c r="DG102" s="10">
        <f t="shared" si="168"/>
        <v>0</v>
      </c>
      <c r="DH102" s="10">
        <f t="shared" si="169"/>
        <v>0</v>
      </c>
      <c r="DI102" s="10">
        <f t="shared" si="170"/>
        <v>0</v>
      </c>
      <c r="DJ102" s="10">
        <f t="shared" si="171"/>
        <v>0</v>
      </c>
      <c r="DK102" s="10">
        <f t="shared" si="172"/>
        <v>0</v>
      </c>
      <c r="DL102" s="10">
        <f t="shared" si="173"/>
        <v>0</v>
      </c>
      <c r="DM102" s="10">
        <f t="shared" si="174"/>
        <v>0</v>
      </c>
      <c r="DN102" s="10">
        <f t="shared" si="175"/>
        <v>57.432291666666657</v>
      </c>
      <c r="DO102" s="10">
        <f t="shared" si="176"/>
        <v>0.19687499999999947</v>
      </c>
      <c r="DP102" s="10">
        <f t="shared" si="177"/>
        <v>43.135416666666671</v>
      </c>
      <c r="DQ102" s="10">
        <f t="shared" si="178"/>
        <v>1.3999999999999986</v>
      </c>
      <c r="DR102" s="10">
        <f t="shared" si="179"/>
        <v>29.948958333333334</v>
      </c>
      <c r="DS102" s="10">
        <f t="shared" si="180"/>
        <v>3.7135416666666643</v>
      </c>
      <c r="DT102" s="10">
        <f t="shared" si="181"/>
        <v>18.361458333333331</v>
      </c>
      <c r="DU102" s="10">
        <f t="shared" si="182"/>
        <v>7.6260416666666631</v>
      </c>
      <c r="DV102" s="10">
        <f t="shared" si="183"/>
        <v>9.2833333333333314</v>
      </c>
      <c r="DW102" s="10">
        <f t="shared" si="184"/>
        <v>14.047916666666659</v>
      </c>
      <c r="DX102" s="10">
        <f t="shared" si="185"/>
        <v>2.6781249999999988</v>
      </c>
      <c r="DY102" s="10">
        <f t="shared" si="186"/>
        <v>22.942708333333332</v>
      </c>
      <c r="DZ102" s="10">
        <f t="shared" si="187"/>
        <v>0.10729166666666612</v>
      </c>
      <c r="EA102" s="10">
        <f t="shared" si="188"/>
        <v>35.871874999999996</v>
      </c>
      <c r="EB102" s="44">
        <f t="shared" si="189"/>
        <v>553.46594374435836</v>
      </c>
      <c r="EC102" s="44">
        <f t="shared" si="190"/>
        <v>17.853740120785755</v>
      </c>
      <c r="ED102" s="44">
        <f t="shared" si="191"/>
        <v>2741727.4553885851</v>
      </c>
      <c r="EE102" s="44">
        <f t="shared" si="192"/>
        <v>2434.1625042154988</v>
      </c>
      <c r="EF102" s="44">
        <f t="shared" si="193"/>
        <v>78.52137110372577</v>
      </c>
      <c r="EG102" s="44">
        <f t="shared" si="194"/>
        <v>1058703.6465915346</v>
      </c>
      <c r="EH102" s="44">
        <f t="shared" si="195"/>
        <v>82990.275698477752</v>
      </c>
      <c r="EI102" s="44">
        <f t="shared" si="196"/>
        <v>2677.1056676928306</v>
      </c>
      <c r="EJ102" s="44">
        <f t="shared" si="197"/>
        <v>3772.2852590217158</v>
      </c>
      <c r="EK102" s="44">
        <f t="shared" si="198"/>
        <v>4042429.5582161741</v>
      </c>
      <c r="EL102" s="44">
        <f t="shared" si="199"/>
        <v>5696150.7411227906</v>
      </c>
    </row>
    <row r="103" spans="1:142" x14ac:dyDescent="0.2">
      <c r="A103" s="66">
        <v>45809</v>
      </c>
      <c r="B103" s="4">
        <f t="shared" si="152"/>
        <v>2025</v>
      </c>
      <c r="C103" s="4">
        <f t="shared" si="153"/>
        <v>6</v>
      </c>
      <c r="D103" s="44">
        <v>112617911.263456</v>
      </c>
      <c r="E103" s="44">
        <f>IFERROR(VLOOKUP($B103-1,CDM!$L$7:$T$18,2,FALSE)/12,0)+IFERROR(VLOOKUP($B103,CDM!$L$37:$O$47,2,FALSE)/24,0)+IFERROR(VLOOKUP($B103,CDM!$L$37:$O$47,2,FALSE)/2*$C103/78,0)</f>
        <v>2438262.2188604269</v>
      </c>
      <c r="F103" s="44">
        <f t="shared" si="154"/>
        <v>115056173.48231643</v>
      </c>
      <c r="G103" s="488">
        <v>153633</v>
      </c>
      <c r="H103" s="44">
        <v>35644964.604747199</v>
      </c>
      <c r="I103" s="44">
        <f>IFERROR(VLOOKUP($B103-1,CDM!$L$7:$T$18,3,FALSE)/12,0)+IFERROR(VLOOKUP($B103,CDM!$L$37:$O$47,3,FALSE)/24,0)+IFERROR(VLOOKUP($B103,CDM!$L$37:$O$47,3,FALSE)/2*$C103/78,0)</f>
        <v>1967389.8133689426</v>
      </c>
      <c r="J103" s="44">
        <f t="shared" si="155"/>
        <v>37612354.418116137</v>
      </c>
      <c r="K103" s="44">
        <v>13503</v>
      </c>
      <c r="L103" s="44">
        <v>129308170.631427</v>
      </c>
      <c r="M103" s="44">
        <f>IFERROR(VLOOKUP($B103-1,CDM!$L$7:$T$18,4,FALSE)/12,0)+IFERROR(VLOOKUP($B103,CDM!$L$37:$O$47,4,FALSE)/24,0)+IFERROR(VLOOKUP($B103,CDM!$L$37:$O$47,4,FALSE)/2*$C103/78,0)</f>
        <v>9004829.5044581834</v>
      </c>
      <c r="N103" s="44">
        <f t="shared" si="156"/>
        <v>138313000.13588518</v>
      </c>
      <c r="O103" s="44">
        <v>350661.38</v>
      </c>
      <c r="P103" s="488">
        <v>1514</v>
      </c>
      <c r="Q103" s="488">
        <v>6490833.2848536205</v>
      </c>
      <c r="R103" s="488">
        <f>IFERROR(VLOOKUP($B103-1,CDM!$L$7:$T$18,5,FALSE)/12,0)+IFERROR(VLOOKUP($B103,CDM!$L$37:$T$47,5,FALSE)/24,0)+IFERROR(VLOOKUP($B103,CDM!$L$37:$T$47,5,FALSE)/2*$C103/78,0)</f>
        <v>173467.10996659903</v>
      </c>
      <c r="S103" s="488">
        <f t="shared" si="157"/>
        <v>6664300.3948202198</v>
      </c>
      <c r="T103" s="44">
        <v>14166.280000000002</v>
      </c>
      <c r="U103" s="488">
        <v>7</v>
      </c>
      <c r="V103" s="488">
        <v>14670460.9176252</v>
      </c>
      <c r="W103" s="488">
        <f>IFERROR(VLOOKUP($B103-1,CDM!$L$7:$T$18,6,FALSE)/12,0)+IFERROR(VLOOKUP($B103,CDM!$L$37:$T$47,6,FALSE)/24,0)+IFERROR(VLOOKUP($B103,CDM!$L$37:$T$47,6,FALSE)/2*$C103/78,0)</f>
        <v>1550146.0849133057</v>
      </c>
      <c r="X103" s="488">
        <f t="shared" si="158"/>
        <v>16220607.002538506</v>
      </c>
      <c r="Y103" s="488">
        <v>31065.19</v>
      </c>
      <c r="Z103" s="488">
        <v>2</v>
      </c>
      <c r="AA103" s="44">
        <v>1066235.3</v>
      </c>
      <c r="AB103" s="44">
        <v>4075.82</v>
      </c>
      <c r="AC103" s="488">
        <v>40497</v>
      </c>
      <c r="AD103" s="44">
        <v>446649.58999999991</v>
      </c>
      <c r="AE103" s="44">
        <v>1567</v>
      </c>
      <c r="AF103" s="44">
        <v>40984.379999999997</v>
      </c>
      <c r="AG103" s="44">
        <v>114.3</v>
      </c>
      <c r="AH103" s="44">
        <v>470</v>
      </c>
      <c r="AI103" s="44">
        <v>16400</v>
      </c>
      <c r="AJ103" s="68">
        <f>Economic!H117</f>
        <v>900844.9</v>
      </c>
      <c r="AK103" s="68">
        <f>Economic!I117</f>
        <v>88046.3</v>
      </c>
      <c r="AL103" s="68">
        <f>Economic!J117</f>
        <v>39702.699999999997</v>
      </c>
      <c r="AM103" s="68">
        <f>Economic!K117</f>
        <v>97656.9</v>
      </c>
      <c r="AN103" s="68">
        <f>Economic!L117</f>
        <v>77016.5</v>
      </c>
      <c r="AO103" s="68">
        <f>Economic!M117</f>
        <v>895773</v>
      </c>
      <c r="AP103" s="68">
        <f>Economic!N117</f>
        <v>87573</v>
      </c>
      <c r="AQ103" s="68">
        <f>Economic!O117</f>
        <v>13890</v>
      </c>
      <c r="AR103" s="68">
        <f>Economic!P117</f>
        <v>38216</v>
      </c>
      <c r="AS103" s="68">
        <f>Economic!Q117</f>
        <v>95747</v>
      </c>
      <c r="AT103" s="68">
        <f>Economic!D117</f>
        <v>8204.6</v>
      </c>
      <c r="AU103" s="68">
        <f>Economic!E117</f>
        <v>8270</v>
      </c>
      <c r="AV103" s="68">
        <f>Economic!F117</f>
        <v>323</v>
      </c>
      <c r="AW103" s="68">
        <f>Economic!G117</f>
        <v>326.10000000000002</v>
      </c>
      <c r="AX103" s="68">
        <f>Economic!W117</f>
        <v>7040</v>
      </c>
      <c r="AY103" s="68">
        <f>Economic!R117</f>
        <v>64.700000000000728</v>
      </c>
      <c r="AZ103" s="68">
        <f>Economic!W117</f>
        <v>7040</v>
      </c>
      <c r="BA103" s="68">
        <f>Economic!X117</f>
        <v>-2535</v>
      </c>
      <c r="BB103" s="68">
        <f>Economic!Y117</f>
        <v>3481</v>
      </c>
      <c r="BC103" s="236">
        <f>Weather!C115</f>
        <v>20.141944444444444</v>
      </c>
      <c r="BD103" s="16">
        <f>Weather!D115</f>
        <v>40.020833333333329</v>
      </c>
      <c r="BE103" s="16">
        <f>Weather!E115</f>
        <v>44.279166666666654</v>
      </c>
      <c r="BF103" s="16">
        <f>Weather!F115</f>
        <v>17.145833333333339</v>
      </c>
      <c r="BG103" s="16">
        <f>Weather!G115</f>
        <v>81.40416666666664</v>
      </c>
      <c r="BH103" s="16">
        <f>Weather!H115</f>
        <v>8.4541666666666675</v>
      </c>
      <c r="BI103" s="16">
        <f>Weather!I115</f>
        <v>132.71249999999998</v>
      </c>
      <c r="BJ103" s="16">
        <f>Weather!J115</f>
        <v>4.3041666666666671</v>
      </c>
      <c r="BK103" s="16">
        <f>Weather!K115</f>
        <v>188.56249999999997</v>
      </c>
      <c r="BL103" s="16">
        <f>Weather!L115</f>
        <v>2.2916666666666661</v>
      </c>
      <c r="BM103" s="16">
        <f>Weather!M115</f>
        <v>246.54999999999993</v>
      </c>
      <c r="BN103" s="16">
        <f>Weather!N115</f>
        <v>0.29166666666666607</v>
      </c>
      <c r="BO103" s="16">
        <f>Weather!O115</f>
        <v>304.55</v>
      </c>
      <c r="BP103" s="16">
        <f>Weather!P115</f>
        <v>0</v>
      </c>
      <c r="BQ103" s="16">
        <f>Weather!Q115</f>
        <v>364.25833333333333</v>
      </c>
      <c r="BR103">
        <f t="shared" ref="BR103:CI103" si="204">BR91</f>
        <v>0</v>
      </c>
      <c r="BS103">
        <f t="shared" si="204"/>
        <v>0</v>
      </c>
      <c r="BT103">
        <f t="shared" si="204"/>
        <v>0</v>
      </c>
      <c r="BU103">
        <f t="shared" si="204"/>
        <v>0</v>
      </c>
      <c r="BV103">
        <f t="shared" si="204"/>
        <v>0</v>
      </c>
      <c r="BW103">
        <f t="shared" si="204"/>
        <v>1</v>
      </c>
      <c r="BX103">
        <f t="shared" si="204"/>
        <v>0</v>
      </c>
      <c r="BY103">
        <f t="shared" si="204"/>
        <v>0</v>
      </c>
      <c r="BZ103">
        <f t="shared" si="204"/>
        <v>0</v>
      </c>
      <c r="CA103">
        <f t="shared" si="204"/>
        <v>0</v>
      </c>
      <c r="CB103">
        <f t="shared" si="204"/>
        <v>0</v>
      </c>
      <c r="CC103">
        <f t="shared" si="204"/>
        <v>0</v>
      </c>
      <c r="CD103" s="1">
        <f t="shared" si="204"/>
        <v>0</v>
      </c>
      <c r="CE103">
        <f t="shared" si="204"/>
        <v>0</v>
      </c>
      <c r="CF103" s="1">
        <f t="shared" si="204"/>
        <v>0</v>
      </c>
      <c r="CG103">
        <f t="shared" si="204"/>
        <v>0</v>
      </c>
      <c r="CH103" s="1">
        <f t="shared" si="204"/>
        <v>0</v>
      </c>
      <c r="CI103">
        <f t="shared" si="204"/>
        <v>0</v>
      </c>
      <c r="CJ103">
        <f t="shared" si="160"/>
        <v>0</v>
      </c>
      <c r="CK103">
        <f t="shared" si="148"/>
        <v>1</v>
      </c>
      <c r="CL103">
        <f t="shared" si="144"/>
        <v>0</v>
      </c>
      <c r="CM103" s="1">
        <f t="shared" si="120"/>
        <v>102</v>
      </c>
      <c r="CN103" s="1">
        <f t="shared" si="117"/>
        <v>54</v>
      </c>
      <c r="CO103" s="1">
        <f t="shared" si="130"/>
        <v>42</v>
      </c>
      <c r="CP103" s="1">
        <f t="shared" si="141"/>
        <v>30</v>
      </c>
      <c r="CQ103" s="1">
        <f t="shared" si="131"/>
        <v>18</v>
      </c>
      <c r="CR103" s="1">
        <f t="shared" si="131"/>
        <v>42</v>
      </c>
      <c r="CS103">
        <f t="shared" si="116"/>
        <v>30</v>
      </c>
      <c r="CT103" s="1">
        <v>21</v>
      </c>
      <c r="CU103" s="1">
        <v>0</v>
      </c>
      <c r="CV103" s="1">
        <v>0</v>
      </c>
      <c r="CW103" s="1">
        <v>0</v>
      </c>
      <c r="CX103" s="1">
        <v>0.25</v>
      </c>
      <c r="CY103" s="1">
        <v>0</v>
      </c>
      <c r="CZ103" s="10">
        <f t="shared" si="161"/>
        <v>0</v>
      </c>
      <c r="DA103" s="10">
        <f t="shared" si="162"/>
        <v>0</v>
      </c>
      <c r="DB103" s="10">
        <f t="shared" si="163"/>
        <v>0</v>
      </c>
      <c r="DC103" s="10">
        <f t="shared" si="164"/>
        <v>0</v>
      </c>
      <c r="DD103" s="10">
        <f t="shared" si="165"/>
        <v>0</v>
      </c>
      <c r="DE103" s="10">
        <f t="shared" si="166"/>
        <v>0</v>
      </c>
      <c r="DF103" s="10">
        <f t="shared" si="167"/>
        <v>0</v>
      </c>
      <c r="DG103" s="10">
        <f t="shared" si="168"/>
        <v>0</v>
      </c>
      <c r="DH103" s="10">
        <f t="shared" si="169"/>
        <v>0</v>
      </c>
      <c r="DI103" s="10">
        <f t="shared" si="170"/>
        <v>0</v>
      </c>
      <c r="DJ103" s="10">
        <f t="shared" si="171"/>
        <v>0</v>
      </c>
      <c r="DK103" s="10">
        <f t="shared" si="172"/>
        <v>0</v>
      </c>
      <c r="DL103" s="10">
        <f t="shared" si="173"/>
        <v>0</v>
      </c>
      <c r="DM103" s="10">
        <f t="shared" si="174"/>
        <v>0</v>
      </c>
      <c r="DN103" s="10">
        <f t="shared" si="175"/>
        <v>10.005208333333332</v>
      </c>
      <c r="DO103" s="10">
        <f t="shared" si="176"/>
        <v>11.069791666666664</v>
      </c>
      <c r="DP103" s="10">
        <f t="shared" si="177"/>
        <v>4.2864583333333348</v>
      </c>
      <c r="DQ103" s="10">
        <f t="shared" si="178"/>
        <v>20.35104166666666</v>
      </c>
      <c r="DR103" s="10">
        <f t="shared" si="179"/>
        <v>2.1135416666666669</v>
      </c>
      <c r="DS103" s="10">
        <f t="shared" si="180"/>
        <v>33.178124999999994</v>
      </c>
      <c r="DT103" s="10">
        <f t="shared" si="181"/>
        <v>1.0760416666666668</v>
      </c>
      <c r="DU103" s="10">
        <f t="shared" si="182"/>
        <v>47.140624999999993</v>
      </c>
      <c r="DV103" s="10">
        <f t="shared" si="183"/>
        <v>0.57291666666666652</v>
      </c>
      <c r="DW103" s="10">
        <f t="shared" si="184"/>
        <v>61.637499999999982</v>
      </c>
      <c r="DX103" s="10">
        <f t="shared" si="185"/>
        <v>7.2916666666666519E-2</v>
      </c>
      <c r="DY103" s="10">
        <f t="shared" si="186"/>
        <v>76.137500000000003</v>
      </c>
      <c r="DZ103" s="10">
        <f t="shared" si="187"/>
        <v>0</v>
      </c>
      <c r="EA103" s="10">
        <f t="shared" si="188"/>
        <v>91.064583333333331</v>
      </c>
      <c r="EB103" s="44">
        <f t="shared" si="189"/>
        <v>748.90273237075655</v>
      </c>
      <c r="EC103" s="44">
        <f t="shared" si="190"/>
        <v>24.963424412358552</v>
      </c>
      <c r="ED103" s="44">
        <f t="shared" si="191"/>
        <v>3835205.782743881</v>
      </c>
      <c r="EE103" s="44">
        <f t="shared" si="192"/>
        <v>2785.4813314164362</v>
      </c>
      <c r="EF103" s="44">
        <f t="shared" si="193"/>
        <v>92.849377713881211</v>
      </c>
      <c r="EG103" s="44">
        <f t="shared" si="194"/>
        <v>1253745.1472705379</v>
      </c>
      <c r="EH103" s="44">
        <f t="shared" si="195"/>
        <v>91356.010657784136</v>
      </c>
      <c r="EI103" s="44">
        <f t="shared" si="196"/>
        <v>3045.2003552594711</v>
      </c>
      <c r="EJ103" s="44">
        <f t="shared" si="197"/>
        <v>4152.545938990188</v>
      </c>
      <c r="EK103" s="44">
        <f t="shared" si="198"/>
        <v>4610433.337862839</v>
      </c>
      <c r="EL103" s="44">
        <f t="shared" si="199"/>
        <v>6286954.5516311442</v>
      </c>
    </row>
    <row r="104" spans="1:142" x14ac:dyDescent="0.2">
      <c r="A104" s="66">
        <v>45839</v>
      </c>
      <c r="B104" s="4">
        <f t="shared" si="152"/>
        <v>2025</v>
      </c>
      <c r="C104" s="4">
        <f t="shared" si="153"/>
        <v>7</v>
      </c>
      <c r="D104" s="44">
        <v>138526933.98832101</v>
      </c>
      <c r="E104" s="44">
        <f>IFERROR(VLOOKUP($B104-1,CDM!$L$7:$T$18,2,FALSE)/12,0)+IFERROR(VLOOKUP($B104,CDM!$L$37:$O$47,2,FALSE)/24,0)+IFERROR(VLOOKUP($B104,CDM!$L$37:$O$47,2,FALSE)/2*$C104/78,0)</f>
        <v>2449741.2075320166</v>
      </c>
      <c r="F104" s="44">
        <f t="shared" si="154"/>
        <v>140976675.19585302</v>
      </c>
      <c r="G104" s="488">
        <v>153644</v>
      </c>
      <c r="H104" s="44">
        <v>40817948.725517496</v>
      </c>
      <c r="I104" s="44">
        <f>IFERROR(VLOOKUP($B104-1,CDM!$L$7:$T$18,3,FALSE)/12,0)+IFERROR(VLOOKUP($B104,CDM!$L$37:$O$47,3,FALSE)/24,0)+IFERROR(VLOOKUP($B104,CDM!$L$37:$O$47,3,FALSE)/2*$C104/78,0)</f>
        <v>1991649.5211604163</v>
      </c>
      <c r="J104" s="44">
        <f t="shared" si="155"/>
        <v>42809598.246677913</v>
      </c>
      <c r="K104" s="44">
        <v>13515</v>
      </c>
      <c r="L104" s="44">
        <v>142296437.608015</v>
      </c>
      <c r="M104" s="44">
        <f>IFERROR(VLOOKUP($B104-1,CDM!$L$7:$T$18,4,FALSE)/12,0)+IFERROR(VLOOKUP($B104,CDM!$L$37:$O$47,4,FALSE)/24,0)+IFERROR(VLOOKUP($B104,CDM!$L$37:$O$47,4,FALSE)/2*$C104/78,0)</f>
        <v>9069441.1195459682</v>
      </c>
      <c r="N104" s="44">
        <f t="shared" si="156"/>
        <v>151365878.72756097</v>
      </c>
      <c r="O104" s="44">
        <v>345772.53</v>
      </c>
      <c r="P104" s="488">
        <v>1515</v>
      </c>
      <c r="Q104" s="488">
        <v>5384155.3845415805</v>
      </c>
      <c r="R104" s="488">
        <f>IFERROR(VLOOKUP($B104-1,CDM!$L$7:$T$18,5,FALSE)/12,0)+IFERROR(VLOOKUP($B104,CDM!$L$37:$T$47,5,FALSE)/24,0)+IFERROR(VLOOKUP($B104,CDM!$L$37:$T$47,5,FALSE)/2*$C104/78,0)</f>
        <v>175481.13278650105</v>
      </c>
      <c r="S104" s="488">
        <f t="shared" si="157"/>
        <v>5559636.5173280817</v>
      </c>
      <c r="T104" s="44">
        <v>13381.1</v>
      </c>
      <c r="U104" s="488">
        <v>7</v>
      </c>
      <c r="V104" s="488">
        <v>16587405.7069791</v>
      </c>
      <c r="W104" s="488">
        <f>IFERROR(VLOOKUP($B104-1,CDM!$L$7:$T$18,6,FALSE)/12,0)+IFERROR(VLOOKUP($B104,CDM!$L$37:$T$47,6,FALSE)/24,0)+IFERROR(VLOOKUP($B104,CDM!$L$37:$T$47,6,FALSE)/2*$C104/78,0)</f>
        <v>1553891.3318453541</v>
      </c>
      <c r="X104" s="488">
        <f t="shared" si="158"/>
        <v>18141297.038824454</v>
      </c>
      <c r="Y104" s="488">
        <v>31088.92</v>
      </c>
      <c r="Z104" s="488">
        <v>2</v>
      </c>
      <c r="AA104" s="44">
        <v>1132100.6000000001</v>
      </c>
      <c r="AB104" s="44">
        <v>4075.82</v>
      </c>
      <c r="AC104" s="488">
        <v>40497</v>
      </c>
      <c r="AD104" s="44">
        <v>461778.18</v>
      </c>
      <c r="AE104" s="44">
        <v>1571</v>
      </c>
      <c r="AF104" s="44">
        <v>43284.77</v>
      </c>
      <c r="AG104" s="44">
        <v>114.3</v>
      </c>
      <c r="AH104" s="44">
        <v>480</v>
      </c>
      <c r="AI104" s="44">
        <v>16400</v>
      </c>
      <c r="AJ104" s="68">
        <f>Economic!H118</f>
        <v>900844.9</v>
      </c>
      <c r="AK104" s="68">
        <f>Economic!I118</f>
        <v>88046.3</v>
      </c>
      <c r="AL104" s="68">
        <f>Economic!J118</f>
        <v>39702.699999999997</v>
      </c>
      <c r="AM104" s="68">
        <f>Economic!K118</f>
        <v>97656.9</v>
      </c>
      <c r="AN104" s="68">
        <f>Economic!L118</f>
        <v>77016.5</v>
      </c>
      <c r="AO104" s="68">
        <f>Economic!M118</f>
        <v>901842</v>
      </c>
      <c r="AP104" s="68">
        <f>Economic!N118</f>
        <v>88388</v>
      </c>
      <c r="AQ104" s="68">
        <f>Economic!O118</f>
        <v>13509</v>
      </c>
      <c r="AR104" s="68">
        <f>Economic!P118</f>
        <v>38881</v>
      </c>
      <c r="AS104" s="68">
        <f>Economic!Q118</f>
        <v>97517</v>
      </c>
      <c r="AT104" s="68">
        <f>Economic!D118</f>
        <v>8211.7999999999993</v>
      </c>
      <c r="AU104" s="68">
        <f>Economic!E118</f>
        <v>8308.4</v>
      </c>
      <c r="AV104" s="68">
        <f>Economic!F118</f>
        <v>325.39999999999998</v>
      </c>
      <c r="AW104" s="68">
        <f>Economic!G118</f>
        <v>329.3</v>
      </c>
      <c r="AX104" s="68">
        <f>Economic!W118</f>
        <v>11763</v>
      </c>
      <c r="AY104" s="68">
        <f>Economic!R118</f>
        <v>53.899999999999636</v>
      </c>
      <c r="AZ104" s="68">
        <f>Economic!W118</f>
        <v>11763</v>
      </c>
      <c r="BA104" s="68">
        <f>Economic!X118</f>
        <v>-224</v>
      </c>
      <c r="BB104" s="68">
        <f>Economic!Y118</f>
        <v>3562</v>
      </c>
      <c r="BC104" s="236">
        <f>Weather!C116</f>
        <v>22.244489247311826</v>
      </c>
      <c r="BD104" s="16">
        <f>Weather!D116</f>
        <v>8.80416666666666</v>
      </c>
      <c r="BE104" s="16">
        <f>Weather!E116</f>
        <v>78.383333333333312</v>
      </c>
      <c r="BF104" s="16">
        <f>Weather!F116</f>
        <v>0.94999999999999574</v>
      </c>
      <c r="BG104" s="16">
        <f>Weather!G116</f>
        <v>132.52916666666664</v>
      </c>
      <c r="BH104" s="16">
        <f>Weather!H116</f>
        <v>0</v>
      </c>
      <c r="BI104" s="16">
        <f>Weather!I116</f>
        <v>193.57916666666662</v>
      </c>
      <c r="BJ104" s="16">
        <f>Weather!J116</f>
        <v>0</v>
      </c>
      <c r="BK104" s="16">
        <f>Weather!K116</f>
        <v>255.57916666666662</v>
      </c>
      <c r="BL104" s="16">
        <f>Weather!L116</f>
        <v>0</v>
      </c>
      <c r="BM104" s="16">
        <f>Weather!M116</f>
        <v>317.57916666666665</v>
      </c>
      <c r="BN104" s="16">
        <f>Weather!N116</f>
        <v>0</v>
      </c>
      <c r="BO104" s="16">
        <f>Weather!O116</f>
        <v>379.57916666666665</v>
      </c>
      <c r="BP104" s="16">
        <f>Weather!P116</f>
        <v>0</v>
      </c>
      <c r="BQ104" s="16">
        <f>Weather!Q116</f>
        <v>441.57916666666665</v>
      </c>
      <c r="BR104">
        <f t="shared" ref="BR104:CI104" si="205">BR92</f>
        <v>0</v>
      </c>
      <c r="BS104">
        <f t="shared" si="205"/>
        <v>0</v>
      </c>
      <c r="BT104">
        <f t="shared" si="205"/>
        <v>0</v>
      </c>
      <c r="BU104">
        <f t="shared" si="205"/>
        <v>0</v>
      </c>
      <c r="BV104">
        <f t="shared" si="205"/>
        <v>0</v>
      </c>
      <c r="BW104">
        <f t="shared" si="205"/>
        <v>0</v>
      </c>
      <c r="BX104">
        <f t="shared" si="205"/>
        <v>1</v>
      </c>
      <c r="BY104">
        <f t="shared" si="205"/>
        <v>0</v>
      </c>
      <c r="BZ104">
        <f t="shared" si="205"/>
        <v>0</v>
      </c>
      <c r="CA104">
        <f t="shared" si="205"/>
        <v>0</v>
      </c>
      <c r="CB104">
        <f t="shared" si="205"/>
        <v>0</v>
      </c>
      <c r="CC104">
        <f t="shared" si="205"/>
        <v>0</v>
      </c>
      <c r="CD104" s="1">
        <f t="shared" si="205"/>
        <v>0</v>
      </c>
      <c r="CE104">
        <f t="shared" si="205"/>
        <v>0</v>
      </c>
      <c r="CF104" s="1">
        <f t="shared" si="205"/>
        <v>0</v>
      </c>
      <c r="CG104">
        <f t="shared" si="205"/>
        <v>0</v>
      </c>
      <c r="CH104" s="1">
        <f t="shared" si="205"/>
        <v>0</v>
      </c>
      <c r="CI104">
        <f t="shared" si="205"/>
        <v>0</v>
      </c>
      <c r="CJ104">
        <f t="shared" si="160"/>
        <v>0</v>
      </c>
      <c r="CK104">
        <f t="shared" si="148"/>
        <v>1</v>
      </c>
      <c r="CL104">
        <f t="shared" si="144"/>
        <v>1</v>
      </c>
      <c r="CM104" s="1">
        <f t="shared" si="120"/>
        <v>103</v>
      </c>
      <c r="CN104" s="1">
        <f t="shared" si="117"/>
        <v>55</v>
      </c>
      <c r="CO104" s="1">
        <f t="shared" si="130"/>
        <v>43</v>
      </c>
      <c r="CP104" s="1">
        <f t="shared" si="141"/>
        <v>31</v>
      </c>
      <c r="CQ104" s="1">
        <f t="shared" si="131"/>
        <v>19</v>
      </c>
      <c r="CR104" s="1">
        <f t="shared" si="131"/>
        <v>43</v>
      </c>
      <c r="CS104">
        <f t="shared" si="116"/>
        <v>31</v>
      </c>
      <c r="CT104" s="1">
        <v>22</v>
      </c>
      <c r="CU104" s="1">
        <v>0</v>
      </c>
      <c r="CV104" s="1">
        <v>0</v>
      </c>
      <c r="CW104" s="1">
        <v>0</v>
      </c>
      <c r="CX104" s="1">
        <v>0.25</v>
      </c>
      <c r="CY104" s="1">
        <v>0</v>
      </c>
      <c r="CZ104" s="10">
        <f t="shared" si="161"/>
        <v>0</v>
      </c>
      <c r="DA104" s="10">
        <f t="shared" si="162"/>
        <v>0</v>
      </c>
      <c r="DB104" s="10">
        <f t="shared" si="163"/>
        <v>0</v>
      </c>
      <c r="DC104" s="10">
        <f t="shared" si="164"/>
        <v>0</v>
      </c>
      <c r="DD104" s="10">
        <f t="shared" si="165"/>
        <v>0</v>
      </c>
      <c r="DE104" s="10">
        <f t="shared" si="166"/>
        <v>0</v>
      </c>
      <c r="DF104" s="10">
        <f t="shared" si="167"/>
        <v>0</v>
      </c>
      <c r="DG104" s="10">
        <f t="shared" si="168"/>
        <v>0</v>
      </c>
      <c r="DH104" s="10">
        <f t="shared" si="169"/>
        <v>0</v>
      </c>
      <c r="DI104" s="10">
        <f t="shared" si="170"/>
        <v>0</v>
      </c>
      <c r="DJ104" s="10">
        <f t="shared" si="171"/>
        <v>0</v>
      </c>
      <c r="DK104" s="10">
        <f t="shared" si="172"/>
        <v>0</v>
      </c>
      <c r="DL104" s="10">
        <f t="shared" si="173"/>
        <v>0</v>
      </c>
      <c r="DM104" s="10">
        <f t="shared" si="174"/>
        <v>0</v>
      </c>
      <c r="DN104" s="10">
        <f t="shared" si="175"/>
        <v>2.201041666666665</v>
      </c>
      <c r="DO104" s="10">
        <f t="shared" si="176"/>
        <v>19.595833333333328</v>
      </c>
      <c r="DP104" s="10">
        <f t="shared" si="177"/>
        <v>0.23749999999999893</v>
      </c>
      <c r="DQ104" s="10">
        <f t="shared" si="178"/>
        <v>33.13229166666666</v>
      </c>
      <c r="DR104" s="10">
        <f t="shared" si="179"/>
        <v>0</v>
      </c>
      <c r="DS104" s="10">
        <f t="shared" si="180"/>
        <v>48.394791666666656</v>
      </c>
      <c r="DT104" s="10">
        <f t="shared" si="181"/>
        <v>0</v>
      </c>
      <c r="DU104" s="10">
        <f t="shared" si="182"/>
        <v>63.894791666666656</v>
      </c>
      <c r="DV104" s="10">
        <f t="shared" si="183"/>
        <v>0</v>
      </c>
      <c r="DW104" s="10">
        <f t="shared" si="184"/>
        <v>79.394791666666663</v>
      </c>
      <c r="DX104" s="10">
        <f t="shared" si="185"/>
        <v>0</v>
      </c>
      <c r="DY104" s="10">
        <f t="shared" si="186"/>
        <v>94.894791666666663</v>
      </c>
      <c r="DZ104" s="10">
        <f t="shared" si="187"/>
        <v>0</v>
      </c>
      <c r="EA104" s="10">
        <f t="shared" si="188"/>
        <v>110.39479166666666</v>
      </c>
      <c r="EB104" s="44">
        <f t="shared" si="189"/>
        <v>917.55405480105321</v>
      </c>
      <c r="EC104" s="44">
        <f t="shared" si="190"/>
        <v>29.598517896808168</v>
      </c>
      <c r="ED104" s="44">
        <f t="shared" si="191"/>
        <v>4547634.6837371942</v>
      </c>
      <c r="EE104" s="44">
        <f t="shared" si="192"/>
        <v>3167.5618384519357</v>
      </c>
      <c r="EF104" s="44">
        <f t="shared" si="193"/>
        <v>102.17941414361083</v>
      </c>
      <c r="EG104" s="44">
        <f t="shared" si="194"/>
        <v>1380954.7821509005</v>
      </c>
      <c r="EH104" s="44">
        <f t="shared" si="195"/>
        <v>99911.471107300968</v>
      </c>
      <c r="EI104" s="44">
        <f t="shared" si="196"/>
        <v>3222.9506808806764</v>
      </c>
      <c r="EJ104" s="44">
        <f t="shared" si="197"/>
        <v>4995.5735553650484</v>
      </c>
      <c r="EK104" s="44">
        <f t="shared" si="198"/>
        <v>4882770.2815342247</v>
      </c>
      <c r="EL104" s="44">
        <f t="shared" si="199"/>
        <v>7568293.9363780487</v>
      </c>
    </row>
    <row r="105" spans="1:142" x14ac:dyDescent="0.2">
      <c r="A105" s="66">
        <v>45870</v>
      </c>
      <c r="B105" s="4">
        <f t="shared" si="152"/>
        <v>2025</v>
      </c>
      <c r="C105" s="4">
        <f t="shared" si="153"/>
        <v>8</v>
      </c>
      <c r="D105" s="44">
        <v>119486998.10853299</v>
      </c>
      <c r="E105" s="44">
        <f>IFERROR(VLOOKUP($B105-1,CDM!$L$7:$T$18,2,FALSE)/12,0)+IFERROR(VLOOKUP($B105,CDM!$L$37:$O$47,2,FALSE)/24,0)+IFERROR(VLOOKUP($B105,CDM!$L$37:$O$47,2,FALSE)/2*$C105/78,0)</f>
        <v>2461220.1962036062</v>
      </c>
      <c r="F105" s="44">
        <f t="shared" si="154"/>
        <v>121948218.3047366</v>
      </c>
      <c r="G105" s="488">
        <v>153658</v>
      </c>
      <c r="H105" s="44">
        <v>37128920.0049823</v>
      </c>
      <c r="I105" s="44">
        <f>IFERROR(VLOOKUP($B105-1,CDM!$L$7:$T$18,3,FALSE)/12,0)+IFERROR(VLOOKUP($B105,CDM!$L$37:$O$47,3,FALSE)/24,0)+IFERROR(VLOOKUP($B105,CDM!$L$37:$O$47,3,FALSE)/2*$C105/78,0)</f>
        <v>2015909.22895189</v>
      </c>
      <c r="J105" s="44">
        <f t="shared" si="155"/>
        <v>39144829.233934194</v>
      </c>
      <c r="K105" s="44">
        <v>13512</v>
      </c>
      <c r="L105" s="44">
        <v>132283454.133632</v>
      </c>
      <c r="M105" s="44">
        <f>IFERROR(VLOOKUP($B105-1,CDM!$L$7:$T$18,4,FALSE)/12,0)+IFERROR(VLOOKUP($B105,CDM!$L$37:$O$47,4,FALSE)/24,0)+IFERROR(VLOOKUP($B105,CDM!$L$37:$O$47,4,FALSE)/2*$C105/78,0)</f>
        <v>9134052.7346337531</v>
      </c>
      <c r="N105" s="44">
        <f t="shared" si="156"/>
        <v>141417506.86826575</v>
      </c>
      <c r="O105" s="44">
        <v>337583</v>
      </c>
      <c r="P105" s="488">
        <v>1521</v>
      </c>
      <c r="Q105" s="488">
        <v>4297942.6536003305</v>
      </c>
      <c r="R105" s="488">
        <f>IFERROR(VLOOKUP($B105-1,CDM!$L$7:$T$18,5,FALSE)/12,0)+IFERROR(VLOOKUP($B105,CDM!$L$37:$T$47,5,FALSE)/24,0)+IFERROR(VLOOKUP($B105,CDM!$L$37:$T$47,5,FALSE)/2*$C105/78,0)</f>
        <v>177495.15560640307</v>
      </c>
      <c r="S105" s="488">
        <f t="shared" si="157"/>
        <v>4475437.8092067335</v>
      </c>
      <c r="T105" s="44">
        <v>8104.4500000000007</v>
      </c>
      <c r="U105" s="488">
        <v>7</v>
      </c>
      <c r="V105" s="488">
        <v>14776229.743385799</v>
      </c>
      <c r="W105" s="488">
        <f>IFERROR(VLOOKUP($B105-1,CDM!$L$7:$T$18,6,FALSE)/12,0)+IFERROR(VLOOKUP($B105,CDM!$L$37:$T$47,6,FALSE)/24,0)+IFERROR(VLOOKUP($B105,CDM!$L$37:$T$47,6,FALSE)/2*$C105/78,0)</f>
        <v>1557636.5787774024</v>
      </c>
      <c r="X105" s="488">
        <f t="shared" si="158"/>
        <v>16333866.322163202</v>
      </c>
      <c r="Y105" s="488">
        <v>29803.77</v>
      </c>
      <c r="Z105" s="488">
        <v>2</v>
      </c>
      <c r="AA105" s="44">
        <v>1258451.1100000001</v>
      </c>
      <c r="AB105" s="44">
        <v>4075.82</v>
      </c>
      <c r="AC105" s="488">
        <v>40497</v>
      </c>
      <c r="AD105" s="44">
        <v>461800.84999999992</v>
      </c>
      <c r="AE105" s="44">
        <v>1571</v>
      </c>
      <c r="AF105" s="44">
        <v>43364.229999999981</v>
      </c>
      <c r="AG105" s="44">
        <v>114.18</v>
      </c>
      <c r="AH105" s="44">
        <v>481</v>
      </c>
      <c r="AI105" s="44">
        <v>16400</v>
      </c>
      <c r="AJ105" s="68">
        <f>Economic!H119</f>
        <v>900844.9</v>
      </c>
      <c r="AK105" s="68">
        <f>Economic!I119</f>
        <v>88046.3</v>
      </c>
      <c r="AL105" s="68">
        <f>Economic!J119</f>
        <v>39702.699999999997</v>
      </c>
      <c r="AM105" s="68">
        <f>Economic!K119</f>
        <v>97656.9</v>
      </c>
      <c r="AN105" s="68">
        <f>Economic!L119</f>
        <v>77016.5</v>
      </c>
      <c r="AO105" s="68">
        <f>Economic!M119</f>
        <v>901842</v>
      </c>
      <c r="AP105" s="68">
        <f>Economic!N119</f>
        <v>88388</v>
      </c>
      <c r="AQ105" s="68">
        <f>Economic!O119</f>
        <v>13509</v>
      </c>
      <c r="AR105" s="68">
        <f>Economic!P119</f>
        <v>38881</v>
      </c>
      <c r="AS105" s="68">
        <f>Economic!Q119</f>
        <v>97517</v>
      </c>
      <c r="AT105" s="68">
        <f>Economic!D119</f>
        <v>8209.2999999999993</v>
      </c>
      <c r="AU105" s="68">
        <f>Economic!E119</f>
        <v>8291.7000000000007</v>
      </c>
      <c r="AV105" s="68">
        <f>Economic!F119</f>
        <v>327.2</v>
      </c>
      <c r="AW105" s="68">
        <f>Economic!G119</f>
        <v>331.5</v>
      </c>
      <c r="AX105" s="68">
        <f>Economic!W119</f>
        <v>11763</v>
      </c>
      <c r="AY105" s="68">
        <f>Economic!R119</f>
        <v>45.199999999998909</v>
      </c>
      <c r="AZ105" s="68">
        <f>Economic!W119</f>
        <v>11763</v>
      </c>
      <c r="BA105" s="68">
        <f>Economic!X119</f>
        <v>-224</v>
      </c>
      <c r="BB105" s="68">
        <f>Economic!Y119</f>
        <v>3562</v>
      </c>
      <c r="BC105" s="236">
        <f>Weather!C117</f>
        <v>19.691263440860212</v>
      </c>
      <c r="BD105" s="16">
        <f>Weather!D117</f>
        <v>51</v>
      </c>
      <c r="BE105" s="16">
        <f>Weather!E117</f>
        <v>41.429166666666674</v>
      </c>
      <c r="BF105" s="16">
        <f>Weather!F117</f>
        <v>26.37083333333333</v>
      </c>
      <c r="BG105" s="16">
        <f>Weather!G117</f>
        <v>78.800000000000011</v>
      </c>
      <c r="BH105" s="16">
        <f>Weather!H117</f>
        <v>10.766666666666669</v>
      </c>
      <c r="BI105" s="16">
        <f>Weather!I117</f>
        <v>125.19583333333335</v>
      </c>
      <c r="BJ105" s="16">
        <f>Weather!J117</f>
        <v>2.4833333333333378</v>
      </c>
      <c r="BK105" s="16">
        <f>Weather!K117</f>
        <v>178.91250000000005</v>
      </c>
      <c r="BL105" s="16">
        <f>Weather!L117</f>
        <v>0</v>
      </c>
      <c r="BM105" s="16">
        <f>Weather!M117</f>
        <v>238.4291666666667</v>
      </c>
      <c r="BN105" s="16">
        <f>Weather!N117</f>
        <v>0</v>
      </c>
      <c r="BO105" s="16">
        <f>Weather!O117</f>
        <v>300.42916666666673</v>
      </c>
      <c r="BP105" s="16">
        <f>Weather!P117</f>
        <v>0</v>
      </c>
      <c r="BQ105" s="16">
        <f>Weather!Q117</f>
        <v>362.42916666666662</v>
      </c>
      <c r="BR105">
        <f t="shared" ref="BR105:CI105" si="206">BR93</f>
        <v>0</v>
      </c>
      <c r="BS105">
        <f t="shared" si="206"/>
        <v>0</v>
      </c>
      <c r="BT105">
        <f t="shared" si="206"/>
        <v>0</v>
      </c>
      <c r="BU105">
        <f t="shared" si="206"/>
        <v>0</v>
      </c>
      <c r="BV105">
        <f t="shared" si="206"/>
        <v>0</v>
      </c>
      <c r="BW105">
        <f t="shared" si="206"/>
        <v>0</v>
      </c>
      <c r="BX105">
        <f t="shared" si="206"/>
        <v>0</v>
      </c>
      <c r="BY105">
        <f t="shared" si="206"/>
        <v>1</v>
      </c>
      <c r="BZ105">
        <f t="shared" si="206"/>
        <v>0</v>
      </c>
      <c r="CA105">
        <f t="shared" si="206"/>
        <v>0</v>
      </c>
      <c r="CB105">
        <f t="shared" si="206"/>
        <v>0</v>
      </c>
      <c r="CC105">
        <f t="shared" si="206"/>
        <v>0</v>
      </c>
      <c r="CD105" s="1">
        <f t="shared" si="206"/>
        <v>0</v>
      </c>
      <c r="CE105">
        <f t="shared" si="206"/>
        <v>0</v>
      </c>
      <c r="CF105" s="1">
        <f t="shared" si="206"/>
        <v>0</v>
      </c>
      <c r="CG105">
        <f t="shared" si="206"/>
        <v>0</v>
      </c>
      <c r="CH105" s="1">
        <f t="shared" si="206"/>
        <v>0</v>
      </c>
      <c r="CI105">
        <f t="shared" si="206"/>
        <v>0</v>
      </c>
      <c r="CJ105">
        <f t="shared" si="160"/>
        <v>0</v>
      </c>
      <c r="CK105">
        <f t="shared" si="148"/>
        <v>1</v>
      </c>
      <c r="CL105">
        <f t="shared" si="144"/>
        <v>1</v>
      </c>
      <c r="CM105" s="1">
        <f t="shared" si="120"/>
        <v>104</v>
      </c>
      <c r="CN105" s="1">
        <f t="shared" si="117"/>
        <v>56</v>
      </c>
      <c r="CO105" s="1">
        <f t="shared" si="130"/>
        <v>44</v>
      </c>
      <c r="CP105" s="1">
        <f t="shared" si="141"/>
        <v>32</v>
      </c>
      <c r="CQ105" s="1">
        <f t="shared" si="131"/>
        <v>20</v>
      </c>
      <c r="CR105" s="1">
        <f t="shared" si="131"/>
        <v>44</v>
      </c>
      <c r="CS105">
        <f t="shared" si="116"/>
        <v>31</v>
      </c>
      <c r="CT105" s="1">
        <v>21</v>
      </c>
      <c r="CU105" s="1">
        <v>0</v>
      </c>
      <c r="CV105" s="1">
        <v>0</v>
      </c>
      <c r="CW105" s="1">
        <v>0</v>
      </c>
      <c r="CX105" s="1">
        <v>0.25</v>
      </c>
      <c r="CY105" s="1">
        <v>0</v>
      </c>
      <c r="CZ105" s="10">
        <f t="shared" si="161"/>
        <v>0</v>
      </c>
      <c r="DA105" s="10">
        <f t="shared" si="162"/>
        <v>0</v>
      </c>
      <c r="DB105" s="10">
        <f t="shared" si="163"/>
        <v>0</v>
      </c>
      <c r="DC105" s="10">
        <f t="shared" si="164"/>
        <v>0</v>
      </c>
      <c r="DD105" s="10">
        <f t="shared" si="165"/>
        <v>0</v>
      </c>
      <c r="DE105" s="10">
        <f t="shared" si="166"/>
        <v>0</v>
      </c>
      <c r="DF105" s="10">
        <f t="shared" si="167"/>
        <v>0</v>
      </c>
      <c r="DG105" s="10">
        <f t="shared" si="168"/>
        <v>0</v>
      </c>
      <c r="DH105" s="10">
        <f t="shared" si="169"/>
        <v>0</v>
      </c>
      <c r="DI105" s="10">
        <f t="shared" si="170"/>
        <v>0</v>
      </c>
      <c r="DJ105" s="10">
        <f t="shared" si="171"/>
        <v>0</v>
      </c>
      <c r="DK105" s="10">
        <f t="shared" si="172"/>
        <v>0</v>
      </c>
      <c r="DL105" s="10">
        <f t="shared" si="173"/>
        <v>0</v>
      </c>
      <c r="DM105" s="10">
        <f t="shared" si="174"/>
        <v>0</v>
      </c>
      <c r="DN105" s="10">
        <f t="shared" si="175"/>
        <v>12.75</v>
      </c>
      <c r="DO105" s="10">
        <f t="shared" si="176"/>
        <v>10.357291666666669</v>
      </c>
      <c r="DP105" s="10">
        <f t="shared" si="177"/>
        <v>6.5927083333333325</v>
      </c>
      <c r="DQ105" s="10">
        <f t="shared" si="178"/>
        <v>19.700000000000003</v>
      </c>
      <c r="DR105" s="10">
        <f t="shared" si="179"/>
        <v>2.6916666666666673</v>
      </c>
      <c r="DS105" s="10">
        <f t="shared" si="180"/>
        <v>31.298958333333339</v>
      </c>
      <c r="DT105" s="10">
        <f t="shared" si="181"/>
        <v>0.62083333333333446</v>
      </c>
      <c r="DU105" s="10">
        <f t="shared" si="182"/>
        <v>44.728125000000013</v>
      </c>
      <c r="DV105" s="10">
        <f t="shared" si="183"/>
        <v>0</v>
      </c>
      <c r="DW105" s="10">
        <f t="shared" si="184"/>
        <v>59.607291666666676</v>
      </c>
      <c r="DX105" s="10">
        <f t="shared" si="185"/>
        <v>0</v>
      </c>
      <c r="DY105" s="10">
        <f t="shared" si="186"/>
        <v>75.107291666666683</v>
      </c>
      <c r="DZ105" s="10">
        <f t="shared" si="187"/>
        <v>0</v>
      </c>
      <c r="EA105" s="10">
        <f t="shared" si="188"/>
        <v>90.607291666666654</v>
      </c>
      <c r="EB105" s="44">
        <f t="shared" si="189"/>
        <v>793.6340334036405</v>
      </c>
      <c r="EC105" s="44">
        <f t="shared" si="190"/>
        <v>25.601097851730337</v>
      </c>
      <c r="ED105" s="44">
        <f t="shared" si="191"/>
        <v>3933813.4937011804</v>
      </c>
      <c r="EE105" s="44">
        <f t="shared" si="192"/>
        <v>2897.0418319963142</v>
      </c>
      <c r="EF105" s="44">
        <f t="shared" si="193"/>
        <v>93.452962322461744</v>
      </c>
      <c r="EG105" s="44">
        <f t="shared" si="194"/>
        <v>1262736.426901103</v>
      </c>
      <c r="EH105" s="44">
        <f t="shared" si="195"/>
        <v>92976.664607669794</v>
      </c>
      <c r="EI105" s="44">
        <f t="shared" si="196"/>
        <v>2999.2472454087028</v>
      </c>
      <c r="EJ105" s="44">
        <f t="shared" si="197"/>
        <v>4226.2120276213545</v>
      </c>
      <c r="EK105" s="44">
        <f t="shared" si="198"/>
        <v>4561855.0602666372</v>
      </c>
      <c r="EL105" s="44">
        <f t="shared" si="199"/>
        <v>6428068.4940120792</v>
      </c>
    </row>
    <row r="106" spans="1:142" x14ac:dyDescent="0.2">
      <c r="A106" s="66">
        <v>45901</v>
      </c>
      <c r="B106" s="4">
        <f t="shared" si="152"/>
        <v>2025</v>
      </c>
      <c r="C106" s="4">
        <f t="shared" si="153"/>
        <v>9</v>
      </c>
      <c r="D106" s="44">
        <v>92749664.667421594</v>
      </c>
      <c r="E106" s="44">
        <f>IFERROR(VLOOKUP($B106-1,CDM!$L$7:$T$18,2,FALSE)/12,0)+IFERROR(VLOOKUP($B106,CDM!$L$37:$O$47,2,FALSE)/24,0)+IFERROR(VLOOKUP($B106,CDM!$L$37:$O$47,2,FALSE)/2*$C106/78,0)</f>
        <v>2472699.1848751963</v>
      </c>
      <c r="F106" s="44">
        <f t="shared" si="154"/>
        <v>95222363.852296785</v>
      </c>
      <c r="G106" s="488">
        <v>153829</v>
      </c>
      <c r="H106" s="44">
        <v>32743718.3509061</v>
      </c>
      <c r="I106" s="44">
        <f>IFERROR(VLOOKUP($B106-1,CDM!$L$7:$T$18,3,FALSE)/12,0)+IFERROR(VLOOKUP($B106,CDM!$L$37:$O$47,3,FALSE)/24,0)+IFERROR(VLOOKUP($B106,CDM!$L$37:$O$47,3,FALSE)/2*$C106/78,0)</f>
        <v>2040168.936743364</v>
      </c>
      <c r="J106" s="44">
        <f t="shared" si="155"/>
        <v>34783887.287649468</v>
      </c>
      <c r="K106" s="44">
        <v>13530</v>
      </c>
      <c r="L106" s="44">
        <v>122276598.522512</v>
      </c>
      <c r="M106" s="44">
        <f>IFERROR(VLOOKUP($B106-1,CDM!$L$7:$T$18,4,FALSE)/12,0)+IFERROR(VLOOKUP($B106,CDM!$L$37:$O$47,4,FALSE)/24,0)+IFERROR(VLOOKUP($B106,CDM!$L$37:$O$47,4,FALSE)/2*$C106/78,0)</f>
        <v>9198664.3497215379</v>
      </c>
      <c r="N106" s="44">
        <f t="shared" si="156"/>
        <v>131475262.87223354</v>
      </c>
      <c r="O106" s="44">
        <v>319728.31</v>
      </c>
      <c r="P106" s="488">
        <v>1532</v>
      </c>
      <c r="Q106" s="488">
        <v>2289885.3627138101</v>
      </c>
      <c r="R106" s="488">
        <f>IFERROR(VLOOKUP($B106-1,CDM!$L$7:$T$18,5,FALSE)/12,0)+IFERROR(VLOOKUP($B106,CDM!$L$37:$T$47,5,FALSE)/24,0)+IFERROR(VLOOKUP($B106,CDM!$L$37:$T$47,5,FALSE)/2*$C106/78,0)</f>
        <v>179509.17842630506</v>
      </c>
      <c r="S106" s="488">
        <f t="shared" si="157"/>
        <v>2469394.5411401149</v>
      </c>
      <c r="T106" s="44">
        <v>4985.7800000000007</v>
      </c>
      <c r="U106" s="488">
        <v>7</v>
      </c>
      <c r="V106" s="488">
        <v>14244692.4900686</v>
      </c>
      <c r="W106" s="488">
        <f>IFERROR(VLOOKUP($B106-1,CDM!$L$7:$T$18,6,FALSE)/12,0)+IFERROR(VLOOKUP($B106,CDM!$L$37:$T$47,6,FALSE)/24,0)+IFERROR(VLOOKUP($B106,CDM!$L$37:$T$47,6,FALSE)/2*$C106/78,0)</f>
        <v>1561381.8257094508</v>
      </c>
      <c r="X106" s="488">
        <f t="shared" si="158"/>
        <v>15806074.315778051</v>
      </c>
      <c r="Y106" s="488">
        <v>29016.86</v>
      </c>
      <c r="Z106" s="488">
        <v>2</v>
      </c>
      <c r="AA106" s="44">
        <v>1400984.27</v>
      </c>
      <c r="AB106" s="44">
        <v>4082.12</v>
      </c>
      <c r="AC106" s="488">
        <v>40548</v>
      </c>
      <c r="AD106" s="44">
        <v>447241.87999999989</v>
      </c>
      <c r="AE106" s="44">
        <v>1574</v>
      </c>
      <c r="AF106" s="44">
        <v>40594.279999999992</v>
      </c>
      <c r="AG106" s="44">
        <v>114.3</v>
      </c>
      <c r="AH106" s="44">
        <v>480</v>
      </c>
      <c r="AI106" s="44">
        <v>16400</v>
      </c>
      <c r="AJ106" s="68">
        <f>Economic!H120</f>
        <v>900844.9</v>
      </c>
      <c r="AK106" s="68">
        <f>Economic!I120</f>
        <v>88046.3</v>
      </c>
      <c r="AL106" s="68">
        <f>Economic!J120</f>
        <v>39702.699999999997</v>
      </c>
      <c r="AM106" s="68">
        <f>Economic!K120</f>
        <v>97656.9</v>
      </c>
      <c r="AN106" s="68">
        <f>Economic!L120</f>
        <v>77016.5</v>
      </c>
      <c r="AO106" s="68">
        <f>Economic!M120</f>
        <v>901842</v>
      </c>
      <c r="AP106" s="68">
        <f>Economic!N120</f>
        <v>88388</v>
      </c>
      <c r="AQ106" s="68">
        <f>Economic!O120</f>
        <v>13509</v>
      </c>
      <c r="AR106" s="68">
        <f>Economic!P120</f>
        <v>38881</v>
      </c>
      <c r="AS106" s="68">
        <f>Economic!Q120</f>
        <v>97517</v>
      </c>
      <c r="AT106" s="68">
        <f>Economic!D120</f>
        <v>8202.6</v>
      </c>
      <c r="AU106" s="68">
        <f>Economic!E120</f>
        <v>8234.2999999999993</v>
      </c>
      <c r="AV106" s="68">
        <f>Economic!F120</f>
        <v>330.9</v>
      </c>
      <c r="AW106" s="68">
        <f>Economic!G120</f>
        <v>333.7</v>
      </c>
      <c r="AX106" s="68">
        <f>Economic!W120</f>
        <v>11763</v>
      </c>
      <c r="AY106" s="68">
        <f>Economic!R120</f>
        <v>25.100000000000364</v>
      </c>
      <c r="AZ106" s="68">
        <f>Economic!W120</f>
        <v>11763</v>
      </c>
      <c r="BA106" s="68">
        <f>Economic!X120</f>
        <v>-224</v>
      </c>
      <c r="BB106" s="68">
        <f>Economic!Y120</f>
        <v>3562</v>
      </c>
      <c r="BC106" s="236">
        <f>Weather!C118</f>
        <v>17.298888888888886</v>
      </c>
      <c r="BD106" s="16">
        <f>Weather!D118</f>
        <v>81.033333333333346</v>
      </c>
      <c r="BE106" s="16">
        <f>Weather!E118</f>
        <v>0</v>
      </c>
      <c r="BF106" s="16">
        <f>Weather!F118</f>
        <v>32.616666666666667</v>
      </c>
      <c r="BG106" s="16">
        <f>Weather!G118</f>
        <v>11.583333333333339</v>
      </c>
      <c r="BH106" s="16">
        <f>Weather!H118</f>
        <v>12.950000000000001</v>
      </c>
      <c r="BI106" s="16">
        <f>Weather!I118</f>
        <v>51.916666666666657</v>
      </c>
      <c r="BJ106" s="16">
        <f>Weather!J118</f>
        <v>3.1125000000000025</v>
      </c>
      <c r="BK106" s="16">
        <f>Weather!K118</f>
        <v>102.07916666666665</v>
      </c>
      <c r="BL106" s="16">
        <f>Weather!L118</f>
        <v>1.6666666666667496E-2</v>
      </c>
      <c r="BM106" s="16">
        <f>Weather!M118</f>
        <v>158.98333333333338</v>
      </c>
      <c r="BN106" s="16">
        <f>Weather!N118</f>
        <v>0</v>
      </c>
      <c r="BO106" s="16">
        <f>Weather!O118</f>
        <v>218.96666666666667</v>
      </c>
      <c r="BP106" s="16">
        <f>Weather!P118</f>
        <v>0</v>
      </c>
      <c r="BQ106" s="16">
        <f>Weather!Q118</f>
        <v>278.96666666666664</v>
      </c>
      <c r="BR106">
        <f t="shared" ref="BR106:CI106" si="207">BR94</f>
        <v>0</v>
      </c>
      <c r="BS106">
        <f t="shared" si="207"/>
        <v>0</v>
      </c>
      <c r="BT106">
        <f t="shared" si="207"/>
        <v>0</v>
      </c>
      <c r="BU106">
        <f t="shared" si="207"/>
        <v>0</v>
      </c>
      <c r="BV106">
        <f t="shared" si="207"/>
        <v>0</v>
      </c>
      <c r="BW106">
        <f t="shared" si="207"/>
        <v>0</v>
      </c>
      <c r="BX106">
        <f t="shared" si="207"/>
        <v>0</v>
      </c>
      <c r="BY106">
        <f t="shared" si="207"/>
        <v>0</v>
      </c>
      <c r="BZ106">
        <f t="shared" si="207"/>
        <v>1</v>
      </c>
      <c r="CA106">
        <f t="shared" si="207"/>
        <v>0</v>
      </c>
      <c r="CB106">
        <f t="shared" si="207"/>
        <v>0</v>
      </c>
      <c r="CC106">
        <f t="shared" si="207"/>
        <v>0</v>
      </c>
      <c r="CD106" s="1">
        <f t="shared" si="207"/>
        <v>0</v>
      </c>
      <c r="CE106">
        <f t="shared" si="207"/>
        <v>0</v>
      </c>
      <c r="CF106" s="1">
        <f t="shared" si="207"/>
        <v>1</v>
      </c>
      <c r="CG106">
        <f t="shared" si="207"/>
        <v>1</v>
      </c>
      <c r="CH106" s="1">
        <f t="shared" si="207"/>
        <v>1</v>
      </c>
      <c r="CI106">
        <f t="shared" si="207"/>
        <v>1</v>
      </c>
      <c r="CJ106">
        <f t="shared" si="160"/>
        <v>1</v>
      </c>
      <c r="CK106">
        <f t="shared" si="148"/>
        <v>0</v>
      </c>
      <c r="CL106">
        <f t="shared" si="144"/>
        <v>0</v>
      </c>
      <c r="CM106" s="1">
        <f t="shared" si="120"/>
        <v>105</v>
      </c>
      <c r="CN106" s="1">
        <f t="shared" si="117"/>
        <v>57</v>
      </c>
      <c r="CO106" s="1">
        <f t="shared" si="130"/>
        <v>45</v>
      </c>
      <c r="CP106" s="1">
        <f t="shared" si="141"/>
        <v>33</v>
      </c>
      <c r="CQ106" s="1">
        <f t="shared" si="131"/>
        <v>21</v>
      </c>
      <c r="CR106" s="1">
        <f t="shared" si="131"/>
        <v>45</v>
      </c>
      <c r="CS106">
        <f t="shared" si="116"/>
        <v>30</v>
      </c>
      <c r="CT106" s="1">
        <v>21</v>
      </c>
      <c r="CU106" s="1">
        <v>0</v>
      </c>
      <c r="CV106" s="1">
        <v>0</v>
      </c>
      <c r="CW106" s="1">
        <v>0</v>
      </c>
      <c r="CX106" s="1">
        <v>0.25</v>
      </c>
      <c r="CY106" s="1">
        <v>0</v>
      </c>
      <c r="CZ106" s="10">
        <f t="shared" si="161"/>
        <v>0</v>
      </c>
      <c r="DA106" s="10">
        <f t="shared" si="162"/>
        <v>0</v>
      </c>
      <c r="DB106" s="10">
        <f t="shared" si="163"/>
        <v>0</v>
      </c>
      <c r="DC106" s="10">
        <f t="shared" si="164"/>
        <v>0</v>
      </c>
      <c r="DD106" s="10">
        <f t="shared" si="165"/>
        <v>0</v>
      </c>
      <c r="DE106" s="10">
        <f t="shared" si="166"/>
        <v>0</v>
      </c>
      <c r="DF106" s="10">
        <f t="shared" si="167"/>
        <v>0</v>
      </c>
      <c r="DG106" s="10">
        <f t="shared" si="168"/>
        <v>0</v>
      </c>
      <c r="DH106" s="10">
        <f t="shared" si="169"/>
        <v>0</v>
      </c>
      <c r="DI106" s="10">
        <f t="shared" si="170"/>
        <v>0</v>
      </c>
      <c r="DJ106" s="10">
        <f t="shared" si="171"/>
        <v>0</v>
      </c>
      <c r="DK106" s="10">
        <f t="shared" si="172"/>
        <v>0</v>
      </c>
      <c r="DL106" s="10">
        <f t="shared" si="173"/>
        <v>0</v>
      </c>
      <c r="DM106" s="10">
        <f t="shared" si="174"/>
        <v>0</v>
      </c>
      <c r="DN106" s="10">
        <f t="shared" si="175"/>
        <v>20.258333333333336</v>
      </c>
      <c r="DO106" s="10">
        <f t="shared" si="176"/>
        <v>0</v>
      </c>
      <c r="DP106" s="10">
        <f t="shared" si="177"/>
        <v>8.1541666666666668</v>
      </c>
      <c r="DQ106" s="10">
        <f t="shared" si="178"/>
        <v>2.8958333333333348</v>
      </c>
      <c r="DR106" s="10">
        <f t="shared" si="179"/>
        <v>3.2375000000000003</v>
      </c>
      <c r="DS106" s="10">
        <f t="shared" si="180"/>
        <v>12.979166666666664</v>
      </c>
      <c r="DT106" s="10">
        <f t="shared" si="181"/>
        <v>0.77812500000000062</v>
      </c>
      <c r="DU106" s="10">
        <f t="shared" si="182"/>
        <v>25.519791666666663</v>
      </c>
      <c r="DV106" s="10">
        <f t="shared" si="183"/>
        <v>4.1666666666668739E-3</v>
      </c>
      <c r="DW106" s="10">
        <f t="shared" si="184"/>
        <v>39.745833333333344</v>
      </c>
      <c r="DX106" s="10">
        <f t="shared" si="185"/>
        <v>0</v>
      </c>
      <c r="DY106" s="10">
        <f t="shared" si="186"/>
        <v>54.741666666666667</v>
      </c>
      <c r="DZ106" s="10">
        <f t="shared" si="187"/>
        <v>0</v>
      </c>
      <c r="EA106" s="10">
        <f t="shared" si="188"/>
        <v>69.74166666666666</v>
      </c>
      <c r="EB106" s="44">
        <f t="shared" si="189"/>
        <v>619.01438514387269</v>
      </c>
      <c r="EC106" s="44">
        <f t="shared" si="190"/>
        <v>20.633812838129089</v>
      </c>
      <c r="ED106" s="44">
        <f t="shared" si="191"/>
        <v>3174078.7950765593</v>
      </c>
      <c r="EE106" s="44">
        <f t="shared" si="192"/>
        <v>2570.8711964264203</v>
      </c>
      <c r="EF106" s="44">
        <f t="shared" si="193"/>
        <v>85.695706547547346</v>
      </c>
      <c r="EG106" s="44">
        <f t="shared" si="194"/>
        <v>1159462.9095883155</v>
      </c>
      <c r="EH106" s="44">
        <f t="shared" si="195"/>
        <v>85819.362188141997</v>
      </c>
      <c r="EI106" s="44">
        <f t="shared" si="196"/>
        <v>2860.6454062713997</v>
      </c>
      <c r="EJ106" s="44">
        <f t="shared" si="197"/>
        <v>4290.9681094071002</v>
      </c>
      <c r="EK106" s="44">
        <f t="shared" si="198"/>
        <v>4382508.7624077844</v>
      </c>
      <c r="EL106" s="44">
        <f t="shared" si="199"/>
        <v>6573763.143611677</v>
      </c>
    </row>
    <row r="107" spans="1:142" x14ac:dyDescent="0.2">
      <c r="A107" s="66">
        <v>45931</v>
      </c>
      <c r="B107" s="4">
        <f t="shared" si="152"/>
        <v>2025</v>
      </c>
      <c r="C107" s="4">
        <f t="shared" si="153"/>
        <v>10</v>
      </c>
      <c r="D107" s="44">
        <v>85146937.162084997</v>
      </c>
      <c r="E107" s="44">
        <f>IFERROR(VLOOKUP($B107-1,CDM!$L$7:$T$18,2,FALSE)/12,0)+IFERROR(VLOOKUP($B107,CDM!$L$37:$O$47,2,FALSE)/24,0)+IFERROR(VLOOKUP($B107,CDM!$L$37:$O$47,2,FALSE)/2*$C107/78,0)</f>
        <v>2484178.173546786</v>
      </c>
      <c r="F107" s="44">
        <f t="shared" si="154"/>
        <v>87631115.335631788</v>
      </c>
      <c r="G107" s="488">
        <v>153848</v>
      </c>
      <c r="H107" s="44">
        <v>31656678.575629901</v>
      </c>
      <c r="I107" s="44">
        <f>IFERROR(VLOOKUP($B107-1,CDM!$L$7:$T$18,3,FALSE)/12,0)+IFERROR(VLOOKUP($B107,CDM!$L$37:$O$47,3,FALSE)/24,0)+IFERROR(VLOOKUP($B107,CDM!$L$37:$O$47,3,FALSE)/2*$C107/78,0)</f>
        <v>2064428.6445348377</v>
      </c>
      <c r="J107" s="44">
        <f t="shared" si="155"/>
        <v>33721107.220164739</v>
      </c>
      <c r="K107" s="44">
        <v>13523</v>
      </c>
      <c r="L107" s="44">
        <v>118690566.933962</v>
      </c>
      <c r="M107" s="44">
        <f>IFERROR(VLOOKUP($B107-1,CDM!$L$7:$T$18,4,FALSE)/12,0)+IFERROR(VLOOKUP($B107,CDM!$L$37:$O$47,4,FALSE)/24,0)+IFERROR(VLOOKUP($B107,CDM!$L$37:$O$47,4,FALSE)/2*$C107/78,0)</f>
        <v>9263275.9648093227</v>
      </c>
      <c r="N107" s="44">
        <f t="shared" si="156"/>
        <v>127953842.89877133</v>
      </c>
      <c r="O107" s="44">
        <v>311057.67</v>
      </c>
      <c r="P107" s="488">
        <v>1532</v>
      </c>
      <c r="Q107" s="488">
        <v>2712461.7961303298</v>
      </c>
      <c r="R107" s="488">
        <f>IFERROR(VLOOKUP($B107-1,CDM!$L$7:$T$18,5,FALSE)/12,0)+IFERROR(VLOOKUP($B107,CDM!$L$37:$T$47,5,FALSE)/24,0)+IFERROR(VLOOKUP($B107,CDM!$L$37:$T$47,5,FALSE)/2*$C107/78,0)</f>
        <v>181523.20124620709</v>
      </c>
      <c r="S107" s="488">
        <f t="shared" si="157"/>
        <v>2893984.997376537</v>
      </c>
      <c r="T107" s="44">
        <v>5200.3900000000012</v>
      </c>
      <c r="U107" s="488">
        <v>7</v>
      </c>
      <c r="V107" s="488">
        <v>13311759.9435472</v>
      </c>
      <c r="W107" s="488">
        <f>IFERROR(VLOOKUP($B107-1,CDM!$L$7:$T$18,6,FALSE)/12,0)+IFERROR(VLOOKUP($B107,CDM!$L$37:$T$47,6,FALSE)/24,0)+IFERROR(VLOOKUP($B107,CDM!$L$37:$T$47,6,FALSE)/2*$C107/78,0)</f>
        <v>1565127.0726414991</v>
      </c>
      <c r="X107" s="488">
        <f t="shared" si="158"/>
        <v>14876887.0161887</v>
      </c>
      <c r="Y107" s="488">
        <v>28084.39</v>
      </c>
      <c r="Z107" s="488">
        <v>2</v>
      </c>
      <c r="AA107" s="44">
        <v>1636236.96</v>
      </c>
      <c r="AB107" s="44">
        <v>4082.12</v>
      </c>
      <c r="AC107" s="488">
        <v>40548</v>
      </c>
      <c r="AD107" s="44">
        <v>462680.73999999993</v>
      </c>
      <c r="AE107" s="44">
        <v>1578</v>
      </c>
      <c r="AF107" s="44">
        <v>43505.41</v>
      </c>
      <c r="AG107" s="44">
        <v>114.25</v>
      </c>
      <c r="AH107" s="44">
        <v>480</v>
      </c>
      <c r="AI107" s="44">
        <v>16400</v>
      </c>
      <c r="AJ107" s="68">
        <f>Economic!H121</f>
        <v>900844.9</v>
      </c>
      <c r="AK107" s="68">
        <f>Economic!I121</f>
        <v>88046.3</v>
      </c>
      <c r="AL107" s="68">
        <f>Economic!J121</f>
        <v>39702.699999999997</v>
      </c>
      <c r="AM107" s="68">
        <f>Economic!K121</f>
        <v>97656.9</v>
      </c>
      <c r="AN107" s="68">
        <f>Economic!L121</f>
        <v>77016.5</v>
      </c>
      <c r="AO107" s="68">
        <f>Economic!M121</f>
        <v>900059</v>
      </c>
      <c r="AP107" s="68">
        <f>Economic!N121</f>
        <v>86595</v>
      </c>
      <c r="AQ107" s="68">
        <f>Economic!O121</f>
        <v>13335</v>
      </c>
      <c r="AR107" s="68">
        <f>Economic!P121</f>
        <v>39768</v>
      </c>
      <c r="AS107" s="68">
        <f>Economic!Q121</f>
        <v>98473</v>
      </c>
      <c r="AT107" s="68">
        <f>Economic!D121</f>
        <v>8215</v>
      </c>
      <c r="AU107" s="68">
        <f>Economic!E121</f>
        <v>8223.9</v>
      </c>
      <c r="AV107" s="68">
        <f>Economic!F121</f>
        <v>332.4</v>
      </c>
      <c r="AW107" s="68">
        <f>Economic!G121</f>
        <v>334.3</v>
      </c>
      <c r="AX107" s="68">
        <f>Economic!W121</f>
        <v>6858</v>
      </c>
      <c r="AY107" s="68">
        <f>Economic!R121</f>
        <v>35.199999999999818</v>
      </c>
      <c r="AZ107" s="68">
        <f>Economic!W121</f>
        <v>6858</v>
      </c>
      <c r="BA107" s="68">
        <f>Economic!X121</f>
        <v>-1850</v>
      </c>
      <c r="BB107" s="68">
        <f>Economic!Y121</f>
        <v>4075</v>
      </c>
      <c r="BC107" s="236">
        <f>Weather!C119</f>
        <v>11.088172043010749</v>
      </c>
      <c r="BD107" s="16">
        <f>Weather!D119</f>
        <v>276.58333333333331</v>
      </c>
      <c r="BE107" s="16">
        <f>Weather!E119</f>
        <v>0.31666666666666643</v>
      </c>
      <c r="BF107" s="16">
        <f>Weather!F119</f>
        <v>218.85416666666663</v>
      </c>
      <c r="BG107" s="16">
        <f>Weather!G119</f>
        <v>4.5875000000000021</v>
      </c>
      <c r="BH107" s="16">
        <f>Weather!H119</f>
        <v>167.44583333333333</v>
      </c>
      <c r="BI107" s="16">
        <f>Weather!I119</f>
        <v>15.179166666666674</v>
      </c>
      <c r="BJ107" s="16">
        <f>Weather!J119</f>
        <v>119.57916666666667</v>
      </c>
      <c r="BK107" s="16">
        <f>Weather!K119</f>
        <v>29.312500000000004</v>
      </c>
      <c r="BL107" s="16">
        <f>Weather!L119</f>
        <v>78.25</v>
      </c>
      <c r="BM107" s="16">
        <f>Weather!M119</f>
        <v>49.983333333333348</v>
      </c>
      <c r="BN107" s="16">
        <f>Weather!N119</f>
        <v>43.833333333333329</v>
      </c>
      <c r="BO107" s="16">
        <f>Weather!O119</f>
        <v>77.566666666666663</v>
      </c>
      <c r="BP107" s="16">
        <f>Weather!P119</f>
        <v>18.454166666666669</v>
      </c>
      <c r="BQ107" s="16">
        <f>Weather!Q119</f>
        <v>114.18750000000001</v>
      </c>
      <c r="BR107">
        <f t="shared" ref="BR107:CI107" si="208">BR95</f>
        <v>0</v>
      </c>
      <c r="BS107">
        <f t="shared" si="208"/>
        <v>0</v>
      </c>
      <c r="BT107">
        <f t="shared" si="208"/>
        <v>0</v>
      </c>
      <c r="BU107">
        <f t="shared" si="208"/>
        <v>0</v>
      </c>
      <c r="BV107">
        <f t="shared" si="208"/>
        <v>0</v>
      </c>
      <c r="BW107">
        <f t="shared" si="208"/>
        <v>0</v>
      </c>
      <c r="BX107">
        <f t="shared" si="208"/>
        <v>0</v>
      </c>
      <c r="BY107">
        <f t="shared" si="208"/>
        <v>0</v>
      </c>
      <c r="BZ107">
        <f t="shared" si="208"/>
        <v>0</v>
      </c>
      <c r="CA107">
        <f t="shared" si="208"/>
        <v>1</v>
      </c>
      <c r="CB107">
        <f t="shared" si="208"/>
        <v>0</v>
      </c>
      <c r="CC107">
        <f t="shared" si="208"/>
        <v>0</v>
      </c>
      <c r="CD107" s="1">
        <f t="shared" si="208"/>
        <v>0</v>
      </c>
      <c r="CE107">
        <f t="shared" si="208"/>
        <v>0</v>
      </c>
      <c r="CF107" s="1">
        <f t="shared" si="208"/>
        <v>1</v>
      </c>
      <c r="CG107">
        <f t="shared" si="208"/>
        <v>1</v>
      </c>
      <c r="CH107" s="1">
        <f t="shared" si="208"/>
        <v>1</v>
      </c>
      <c r="CI107">
        <f t="shared" si="208"/>
        <v>1</v>
      </c>
      <c r="CJ107">
        <f t="shared" si="160"/>
        <v>1</v>
      </c>
      <c r="CK107">
        <f t="shared" si="148"/>
        <v>0</v>
      </c>
      <c r="CL107">
        <f t="shared" si="144"/>
        <v>0</v>
      </c>
      <c r="CM107" s="1">
        <f t="shared" si="120"/>
        <v>106</v>
      </c>
      <c r="CN107" s="1">
        <f t="shared" si="117"/>
        <v>58</v>
      </c>
      <c r="CO107" s="1">
        <f t="shared" si="130"/>
        <v>46</v>
      </c>
      <c r="CP107" s="1">
        <f t="shared" si="141"/>
        <v>34</v>
      </c>
      <c r="CQ107" s="1">
        <f t="shared" si="131"/>
        <v>22</v>
      </c>
      <c r="CR107" s="1">
        <f t="shared" si="131"/>
        <v>46</v>
      </c>
      <c r="CS107">
        <f t="shared" si="116"/>
        <v>31</v>
      </c>
      <c r="CT107" s="1">
        <v>22</v>
      </c>
      <c r="CU107" s="1">
        <v>0</v>
      </c>
      <c r="CV107" s="1">
        <v>0</v>
      </c>
      <c r="CW107" s="1">
        <v>0</v>
      </c>
      <c r="CX107" s="1">
        <v>0.25</v>
      </c>
      <c r="CY107" s="1">
        <v>0</v>
      </c>
      <c r="CZ107" s="10">
        <f t="shared" si="161"/>
        <v>0</v>
      </c>
      <c r="DA107" s="10">
        <f t="shared" si="162"/>
        <v>0</v>
      </c>
      <c r="DB107" s="10">
        <f t="shared" si="163"/>
        <v>0</v>
      </c>
      <c r="DC107" s="10">
        <f t="shared" si="164"/>
        <v>0</v>
      </c>
      <c r="DD107" s="10">
        <f t="shared" si="165"/>
        <v>0</v>
      </c>
      <c r="DE107" s="10">
        <f t="shared" si="166"/>
        <v>0</v>
      </c>
      <c r="DF107" s="10">
        <f t="shared" si="167"/>
        <v>0</v>
      </c>
      <c r="DG107" s="10">
        <f t="shared" si="168"/>
        <v>0</v>
      </c>
      <c r="DH107" s="10">
        <f t="shared" si="169"/>
        <v>0</v>
      </c>
      <c r="DI107" s="10">
        <f t="shared" si="170"/>
        <v>0</v>
      </c>
      <c r="DJ107" s="10">
        <f t="shared" si="171"/>
        <v>0</v>
      </c>
      <c r="DK107" s="10">
        <f t="shared" si="172"/>
        <v>0</v>
      </c>
      <c r="DL107" s="10">
        <f t="shared" si="173"/>
        <v>0</v>
      </c>
      <c r="DM107" s="10">
        <f t="shared" si="174"/>
        <v>0</v>
      </c>
      <c r="DN107" s="10">
        <f t="shared" si="175"/>
        <v>69.145833333333329</v>
      </c>
      <c r="DO107" s="10">
        <f t="shared" si="176"/>
        <v>7.9166666666666607E-2</v>
      </c>
      <c r="DP107" s="10">
        <f t="shared" si="177"/>
        <v>54.713541666666657</v>
      </c>
      <c r="DQ107" s="10">
        <f t="shared" si="178"/>
        <v>1.1468750000000005</v>
      </c>
      <c r="DR107" s="10">
        <f t="shared" si="179"/>
        <v>41.861458333333331</v>
      </c>
      <c r="DS107" s="10">
        <f t="shared" si="180"/>
        <v>3.7947916666666686</v>
      </c>
      <c r="DT107" s="10">
        <f t="shared" si="181"/>
        <v>29.894791666666666</v>
      </c>
      <c r="DU107" s="10">
        <f t="shared" si="182"/>
        <v>7.3281250000000009</v>
      </c>
      <c r="DV107" s="10">
        <f t="shared" si="183"/>
        <v>19.5625</v>
      </c>
      <c r="DW107" s="10">
        <f t="shared" si="184"/>
        <v>12.495833333333337</v>
      </c>
      <c r="DX107" s="10">
        <f t="shared" si="185"/>
        <v>10.958333333333332</v>
      </c>
      <c r="DY107" s="10">
        <f t="shared" si="186"/>
        <v>19.391666666666666</v>
      </c>
      <c r="DZ107" s="10">
        <f t="shared" si="187"/>
        <v>4.6135416666666673</v>
      </c>
      <c r="EA107" s="10">
        <f t="shared" si="188"/>
        <v>28.546875000000004</v>
      </c>
      <c r="EB107" s="44">
        <f t="shared" si="189"/>
        <v>569.59541453663223</v>
      </c>
      <c r="EC107" s="44">
        <f t="shared" si="190"/>
        <v>18.374045630213942</v>
      </c>
      <c r="ED107" s="44">
        <f t="shared" si="191"/>
        <v>2826810.1721171546</v>
      </c>
      <c r="EE107" s="44">
        <f t="shared" si="192"/>
        <v>2493.6114190759995</v>
      </c>
      <c r="EF107" s="44">
        <f t="shared" si="193"/>
        <v>80.439078034709667</v>
      </c>
      <c r="EG107" s="44">
        <f t="shared" si="194"/>
        <v>1087777.6522633787</v>
      </c>
      <c r="EH107" s="44">
        <f t="shared" si="195"/>
        <v>83520.785181965621</v>
      </c>
      <c r="EI107" s="44">
        <f t="shared" si="196"/>
        <v>2694.2188768376009</v>
      </c>
      <c r="EJ107" s="44">
        <f t="shared" si="197"/>
        <v>3977.1802467602674</v>
      </c>
      <c r="EK107" s="44">
        <f t="shared" si="198"/>
        <v>4127543.3193152044</v>
      </c>
      <c r="EL107" s="44">
        <f t="shared" si="199"/>
        <v>6093040.1380367298</v>
      </c>
    </row>
    <row r="108" spans="1:142" x14ac:dyDescent="0.2">
      <c r="A108" s="66">
        <v>45962</v>
      </c>
      <c r="B108" s="4">
        <f t="shared" si="152"/>
        <v>2025</v>
      </c>
      <c r="C108" s="4">
        <f t="shared" si="153"/>
        <v>11</v>
      </c>
      <c r="D108" s="44">
        <v>90869158.350420594</v>
      </c>
      <c r="E108" s="44">
        <f>IFERROR(VLOOKUP($B108-1,CDM!$L$7:$T$18,2,FALSE)/12,0)+IFERROR(VLOOKUP($B108,CDM!$L$37:$O$47,2,FALSE)/24,0)+IFERROR(VLOOKUP($B108,CDM!$L$37:$O$47,2,FALSE)/2*$C108/78,0)</f>
        <v>2495657.1622183756</v>
      </c>
      <c r="F108" s="44">
        <f t="shared" si="154"/>
        <v>93364815.512638971</v>
      </c>
      <c r="G108" s="488">
        <v>153992</v>
      </c>
      <c r="H108" s="44">
        <v>32594355.009143699</v>
      </c>
      <c r="I108" s="44">
        <f>IFERROR(VLOOKUP($B108-1,CDM!$L$7:$T$18,3,FALSE)/12,0)+IFERROR(VLOOKUP($B108,CDM!$L$37:$O$47,3,FALSE)/24,0)+IFERROR(VLOOKUP($B108,CDM!$L$37:$O$47,3,FALSE)/2*$C108/78,0)</f>
        <v>2088688.3523263114</v>
      </c>
      <c r="J108" s="44">
        <f t="shared" si="155"/>
        <v>34683043.361470014</v>
      </c>
      <c r="K108" s="44">
        <v>13526</v>
      </c>
      <c r="L108" s="44">
        <v>114545579.93788099</v>
      </c>
      <c r="M108" s="44">
        <f>IFERROR(VLOOKUP($B108-1,CDM!$L$7:$T$18,4,FALSE)/12,0)+IFERROR(VLOOKUP($B108,CDM!$L$37:$O$47,4,FALSE)/24,0)+IFERROR(VLOOKUP($B108,CDM!$L$37:$O$47,4,FALSE)/2*$C108/78,0)</f>
        <v>9327887.5798971076</v>
      </c>
      <c r="N108" s="44">
        <f t="shared" si="156"/>
        <v>123873467.5177781</v>
      </c>
      <c r="O108" s="44">
        <v>286720.71000000002</v>
      </c>
      <c r="P108" s="488">
        <v>1539</v>
      </c>
      <c r="Q108" s="488">
        <v>1022502.96381957</v>
      </c>
      <c r="R108" s="488">
        <f>IFERROR(VLOOKUP($B108-1,CDM!$L$7:$T$18,5,FALSE)/12,0)+IFERROR(VLOOKUP($B108,CDM!$L$37:$T$47,5,FALSE)/24,0)+IFERROR(VLOOKUP($B108,CDM!$L$37:$T$47,5,FALSE)/2*$C108/78,0)</f>
        <v>183537.22406610911</v>
      </c>
      <c r="S108" s="488">
        <f t="shared" si="157"/>
        <v>1206040.1878856791</v>
      </c>
      <c r="T108" s="44">
        <v>1743.43</v>
      </c>
      <c r="U108" s="488">
        <v>7</v>
      </c>
      <c r="V108" s="488">
        <v>12094494.1121452</v>
      </c>
      <c r="W108" s="488">
        <f>IFERROR(VLOOKUP($B108-1,CDM!$L$7:$T$18,6,FALSE)/12,0)+IFERROR(VLOOKUP($B108,CDM!$L$37:$T$47,6,FALSE)/24,0)+IFERROR(VLOOKUP($B108,CDM!$L$37:$T$47,6,FALSE)/2*$C108/78,0)</f>
        <v>1568872.3195735475</v>
      </c>
      <c r="X108" s="488">
        <f t="shared" si="158"/>
        <v>13663366.431718748</v>
      </c>
      <c r="Y108" s="488">
        <v>21920.240000000002</v>
      </c>
      <c r="Z108" s="488">
        <v>2</v>
      </c>
      <c r="AA108" s="44">
        <v>1735949.46</v>
      </c>
      <c r="AB108" s="44">
        <v>4086.51</v>
      </c>
      <c r="AC108" s="488">
        <v>40590</v>
      </c>
      <c r="AD108" s="44">
        <v>447890.27999999997</v>
      </c>
      <c r="AE108" s="44">
        <v>1579</v>
      </c>
      <c r="AF108" s="44">
        <v>41416.200000000004</v>
      </c>
      <c r="AG108" s="44">
        <v>114.3</v>
      </c>
      <c r="AH108" s="44">
        <v>479</v>
      </c>
      <c r="AI108" s="44">
        <v>16400</v>
      </c>
      <c r="AJ108" s="68">
        <f>Economic!H122</f>
        <v>900844.9</v>
      </c>
      <c r="AK108" s="68">
        <f>Economic!I122</f>
        <v>88046.3</v>
      </c>
      <c r="AL108" s="68">
        <f>Economic!J122</f>
        <v>39702.699999999997</v>
      </c>
      <c r="AM108" s="68">
        <f>Economic!K122</f>
        <v>97656.9</v>
      </c>
      <c r="AN108" s="68">
        <f>Economic!L122</f>
        <v>77016.5</v>
      </c>
      <c r="AO108" s="68">
        <f>Economic!M122</f>
        <v>900059</v>
      </c>
      <c r="AP108" s="68">
        <f>Economic!N122</f>
        <v>86595</v>
      </c>
      <c r="AQ108" s="68">
        <f>Economic!O122</f>
        <v>13335</v>
      </c>
      <c r="AR108" s="68">
        <f>Economic!P122</f>
        <v>39768</v>
      </c>
      <c r="AS108" s="68">
        <f>Economic!Q122</f>
        <v>98473</v>
      </c>
      <c r="AT108" s="68">
        <f>Economic!D122</f>
        <v>8238.2000000000007</v>
      </c>
      <c r="AU108" s="68">
        <f>Economic!E122</f>
        <v>8231.2999999999993</v>
      </c>
      <c r="AV108" s="68">
        <f>Economic!F122</f>
        <v>332.7</v>
      </c>
      <c r="AW108" s="68">
        <f>Economic!G122</f>
        <v>332.9</v>
      </c>
      <c r="AX108" s="68">
        <f>Economic!W122</f>
        <v>6858</v>
      </c>
      <c r="AY108" s="68">
        <f>Economic!R122</f>
        <v>56.200000000000728</v>
      </c>
      <c r="AZ108" s="68">
        <f>Economic!W122</f>
        <v>6858</v>
      </c>
      <c r="BA108" s="68">
        <f>Economic!X122</f>
        <v>-1850</v>
      </c>
      <c r="BB108" s="68">
        <f>Economic!Y122</f>
        <v>4075</v>
      </c>
      <c r="BC108" s="236">
        <f>Weather!C120</f>
        <v>3.1125694444444445</v>
      </c>
      <c r="BD108" s="16">
        <f>Weather!D120</f>
        <v>506.62291666666675</v>
      </c>
      <c r="BE108" s="16">
        <f>Weather!E120</f>
        <v>0</v>
      </c>
      <c r="BF108" s="16">
        <f>Weather!F120</f>
        <v>446.62291666666675</v>
      </c>
      <c r="BG108" s="16">
        <f>Weather!G120</f>
        <v>0</v>
      </c>
      <c r="BH108" s="16">
        <f>Weather!H120</f>
        <v>386.62291666666675</v>
      </c>
      <c r="BI108" s="16">
        <f>Weather!I120</f>
        <v>0</v>
      </c>
      <c r="BJ108" s="16">
        <f>Weather!J120</f>
        <v>326.6229166666667</v>
      </c>
      <c r="BK108" s="16">
        <f>Weather!K120</f>
        <v>0</v>
      </c>
      <c r="BL108" s="16">
        <f>Weather!L120</f>
        <v>266.62291666666664</v>
      </c>
      <c r="BM108" s="16">
        <f>Weather!M120</f>
        <v>0</v>
      </c>
      <c r="BN108" s="16">
        <f>Weather!N120</f>
        <v>206.62291666666664</v>
      </c>
      <c r="BO108" s="16">
        <f>Weather!O120</f>
        <v>0</v>
      </c>
      <c r="BP108" s="16">
        <f>Weather!P120</f>
        <v>147.16874999999996</v>
      </c>
      <c r="BQ108" s="16">
        <f>Weather!Q120</f>
        <v>0.5458333333333325</v>
      </c>
      <c r="BR108">
        <f t="shared" ref="BR108:CI108" si="209">BR96</f>
        <v>0</v>
      </c>
      <c r="BS108">
        <f t="shared" si="209"/>
        <v>0</v>
      </c>
      <c r="BT108">
        <f t="shared" si="209"/>
        <v>0</v>
      </c>
      <c r="BU108">
        <f t="shared" si="209"/>
        <v>0</v>
      </c>
      <c r="BV108">
        <f t="shared" si="209"/>
        <v>0</v>
      </c>
      <c r="BW108">
        <f t="shared" si="209"/>
        <v>0</v>
      </c>
      <c r="BX108">
        <f t="shared" si="209"/>
        <v>0</v>
      </c>
      <c r="BY108">
        <f t="shared" si="209"/>
        <v>0</v>
      </c>
      <c r="BZ108">
        <f t="shared" si="209"/>
        <v>0</v>
      </c>
      <c r="CA108">
        <f t="shared" si="209"/>
        <v>0</v>
      </c>
      <c r="CB108">
        <f t="shared" si="209"/>
        <v>1</v>
      </c>
      <c r="CC108">
        <f t="shared" si="209"/>
        <v>0</v>
      </c>
      <c r="CD108" s="1">
        <f t="shared" si="209"/>
        <v>0</v>
      </c>
      <c r="CE108">
        <f t="shared" si="209"/>
        <v>0</v>
      </c>
      <c r="CF108" s="1">
        <f t="shared" si="209"/>
        <v>1</v>
      </c>
      <c r="CG108">
        <f t="shared" si="209"/>
        <v>0</v>
      </c>
      <c r="CH108" s="1">
        <f t="shared" si="209"/>
        <v>1</v>
      </c>
      <c r="CI108">
        <f t="shared" si="209"/>
        <v>0</v>
      </c>
      <c r="CJ108">
        <f t="shared" si="160"/>
        <v>1</v>
      </c>
      <c r="CK108">
        <f t="shared" si="148"/>
        <v>0</v>
      </c>
      <c r="CL108">
        <f t="shared" si="144"/>
        <v>0</v>
      </c>
      <c r="CM108" s="1">
        <f t="shared" si="120"/>
        <v>107</v>
      </c>
      <c r="CN108" s="1">
        <f t="shared" si="117"/>
        <v>59</v>
      </c>
      <c r="CO108" s="1">
        <f t="shared" si="130"/>
        <v>47</v>
      </c>
      <c r="CP108" s="1">
        <f t="shared" si="141"/>
        <v>35</v>
      </c>
      <c r="CQ108" s="1">
        <f t="shared" si="131"/>
        <v>23</v>
      </c>
      <c r="CR108" s="1">
        <f t="shared" si="131"/>
        <v>47</v>
      </c>
      <c r="CS108">
        <f t="shared" si="116"/>
        <v>30</v>
      </c>
      <c r="CT108" s="1">
        <v>20</v>
      </c>
      <c r="CU108" s="1">
        <v>0</v>
      </c>
      <c r="CV108" s="1">
        <v>0</v>
      </c>
      <c r="CW108" s="1">
        <v>0</v>
      </c>
      <c r="CX108" s="1">
        <v>0.25</v>
      </c>
      <c r="CY108" s="1">
        <v>0</v>
      </c>
      <c r="CZ108" s="10">
        <f t="shared" si="161"/>
        <v>0</v>
      </c>
      <c r="DA108" s="10">
        <f t="shared" si="162"/>
        <v>0</v>
      </c>
      <c r="DB108" s="10">
        <f t="shared" si="163"/>
        <v>0</v>
      </c>
      <c r="DC108" s="10">
        <f t="shared" si="164"/>
        <v>0</v>
      </c>
      <c r="DD108" s="10">
        <f t="shared" si="165"/>
        <v>0</v>
      </c>
      <c r="DE108" s="10">
        <f t="shared" si="166"/>
        <v>0</v>
      </c>
      <c r="DF108" s="10">
        <f t="shared" si="167"/>
        <v>0</v>
      </c>
      <c r="DG108" s="10">
        <f t="shared" si="168"/>
        <v>0</v>
      </c>
      <c r="DH108" s="10">
        <f t="shared" si="169"/>
        <v>0</v>
      </c>
      <c r="DI108" s="10">
        <f t="shared" si="170"/>
        <v>0</v>
      </c>
      <c r="DJ108" s="10">
        <f t="shared" si="171"/>
        <v>0</v>
      </c>
      <c r="DK108" s="10">
        <f t="shared" si="172"/>
        <v>0</v>
      </c>
      <c r="DL108" s="10">
        <f t="shared" si="173"/>
        <v>0</v>
      </c>
      <c r="DM108" s="10">
        <f t="shared" si="174"/>
        <v>0</v>
      </c>
      <c r="DN108" s="10">
        <f t="shared" si="175"/>
        <v>126.65572916666669</v>
      </c>
      <c r="DO108" s="10">
        <f t="shared" si="176"/>
        <v>0</v>
      </c>
      <c r="DP108" s="10">
        <f t="shared" si="177"/>
        <v>111.65572916666669</v>
      </c>
      <c r="DQ108" s="10">
        <f t="shared" si="178"/>
        <v>0</v>
      </c>
      <c r="DR108" s="10">
        <f t="shared" si="179"/>
        <v>96.655729166666688</v>
      </c>
      <c r="DS108" s="10">
        <f t="shared" si="180"/>
        <v>0</v>
      </c>
      <c r="DT108" s="10">
        <f t="shared" si="181"/>
        <v>81.655729166666674</v>
      </c>
      <c r="DU108" s="10">
        <f t="shared" si="182"/>
        <v>0</v>
      </c>
      <c r="DV108" s="10">
        <f t="shared" si="183"/>
        <v>66.65572916666666</v>
      </c>
      <c r="DW108" s="10">
        <f t="shared" si="184"/>
        <v>0</v>
      </c>
      <c r="DX108" s="10">
        <f t="shared" si="185"/>
        <v>51.65572916666666</v>
      </c>
      <c r="DY108" s="10">
        <f t="shared" si="186"/>
        <v>0</v>
      </c>
      <c r="DZ108" s="10">
        <f t="shared" si="187"/>
        <v>36.79218749999999</v>
      </c>
      <c r="EA108" s="10">
        <f t="shared" si="188"/>
        <v>0.13645833333333313</v>
      </c>
      <c r="EB108" s="44">
        <f t="shared" si="189"/>
        <v>606.29653172008273</v>
      </c>
      <c r="EC108" s="44">
        <f t="shared" si="190"/>
        <v>20.209884390669423</v>
      </c>
      <c r="ED108" s="44">
        <f t="shared" si="191"/>
        <v>3112160.5170879657</v>
      </c>
      <c r="EE108" s="44">
        <f t="shared" si="192"/>
        <v>2564.175910207749</v>
      </c>
      <c r="EF108" s="44">
        <f t="shared" si="193"/>
        <v>85.472530340258302</v>
      </c>
      <c r="EG108" s="44">
        <f t="shared" si="194"/>
        <v>1156101.4453823338</v>
      </c>
      <c r="EH108" s="44">
        <f t="shared" si="195"/>
        <v>80489.58253266933</v>
      </c>
      <c r="EI108" s="44">
        <f t="shared" si="196"/>
        <v>2682.9860844223108</v>
      </c>
      <c r="EJ108" s="44">
        <f t="shared" si="197"/>
        <v>3658.6173878486061</v>
      </c>
      <c r="EK108" s="44">
        <f t="shared" si="198"/>
        <v>4129115.5839259368</v>
      </c>
      <c r="EL108" s="44">
        <f t="shared" si="199"/>
        <v>5630612.1598990047</v>
      </c>
    </row>
    <row r="109" spans="1:142" x14ac:dyDescent="0.2">
      <c r="A109" s="66">
        <v>45992</v>
      </c>
      <c r="B109" s="4">
        <f t="shared" si="152"/>
        <v>2025</v>
      </c>
      <c r="C109" s="4">
        <f t="shared" si="153"/>
        <v>12</v>
      </c>
      <c r="D109" s="44">
        <v>109074568.818213</v>
      </c>
      <c r="E109" s="44">
        <f>IFERROR(VLOOKUP($B109-1,CDM!$L$7:$T$18,2,FALSE)/12,0)+IFERROR(VLOOKUP($B109,CDM!$L$37:$O$47,2,FALSE)/24,0)+IFERROR(VLOOKUP($B109,CDM!$L$37:$O$47,2,FALSE)/2*$C109/78,0)</f>
        <v>2507136.1508899657</v>
      </c>
      <c r="F109" s="44">
        <f t="shared" si="154"/>
        <v>111581704.96910296</v>
      </c>
      <c r="G109" s="488">
        <v>154071</v>
      </c>
      <c r="H109" s="44">
        <v>36794885.994964302</v>
      </c>
      <c r="I109" s="44">
        <f>IFERROR(VLOOKUP($B109-1,CDM!$L$7:$T$18,3,FALSE)/12,0)+IFERROR(VLOOKUP($B109,CDM!$L$37:$O$47,3,FALSE)/24,0)+IFERROR(VLOOKUP($B109,CDM!$L$37:$O$47,3,FALSE)/2*$C109/78,0)</f>
        <v>2112948.0601177854</v>
      </c>
      <c r="J109" s="44">
        <f t="shared" si="155"/>
        <v>38907834.05508209</v>
      </c>
      <c r="K109" s="44">
        <v>13524</v>
      </c>
      <c r="L109" s="44">
        <v>119736042.042735</v>
      </c>
      <c r="M109" s="44">
        <f>IFERROR(VLOOKUP($B109-1,CDM!$L$7:$T$18,4,FALSE)/12,0)+IFERROR(VLOOKUP($B109,CDM!$L$37:$O$47,4,FALSE)/24,0)+IFERROR(VLOOKUP($B109,CDM!$L$37:$O$47,4,FALSE)/2*$C109/78,0)</f>
        <v>9392499.1949848924</v>
      </c>
      <c r="N109" s="44">
        <f t="shared" si="156"/>
        <v>129128541.23771989</v>
      </c>
      <c r="O109" s="44">
        <v>291620.81</v>
      </c>
      <c r="P109" s="488">
        <v>1540</v>
      </c>
      <c r="Q109" s="488">
        <v>1181375.11649484</v>
      </c>
      <c r="R109" s="488">
        <f>IFERROR(VLOOKUP($B109-1,CDM!$L$7:$T$18,5,FALSE)/12,0)+IFERROR(VLOOKUP($B109,CDM!$L$37:$T$47,5,FALSE)/24,0)+IFERROR(VLOOKUP($B109,CDM!$L$37:$T$47,5,FALSE)/2*$C109/78,0)</f>
        <v>185551.24688601113</v>
      </c>
      <c r="S109" s="488">
        <f t="shared" si="157"/>
        <v>1366926.3633808512</v>
      </c>
      <c r="T109" s="44">
        <v>3598.28</v>
      </c>
      <c r="U109" s="488">
        <v>7</v>
      </c>
      <c r="V109" s="488">
        <v>12032840.6776875</v>
      </c>
      <c r="W109" s="488">
        <f>IFERROR(VLOOKUP($B109-1,CDM!$L$7:$T$18,6,FALSE)/12,0)+IFERROR(VLOOKUP($B109,CDM!$L$37:$T$47,6,FALSE)/24,0)+IFERROR(VLOOKUP($B109,CDM!$L$37:$T$47,6,FALSE)/2*$C109/78,0)</f>
        <v>1572617.5665055958</v>
      </c>
      <c r="X109" s="488">
        <f t="shared" si="158"/>
        <v>13605458.244193096</v>
      </c>
      <c r="Y109" s="488">
        <v>21771.09</v>
      </c>
      <c r="Z109" s="488">
        <v>2</v>
      </c>
      <c r="AA109" s="44">
        <v>1888825.8</v>
      </c>
      <c r="AB109" s="44">
        <v>4086.51</v>
      </c>
      <c r="AC109" s="488">
        <v>40590</v>
      </c>
      <c r="AD109" s="44">
        <v>463121.2099999999</v>
      </c>
      <c r="AE109" s="44">
        <v>1583</v>
      </c>
      <c r="AF109" s="44">
        <v>42877.789999999994</v>
      </c>
      <c r="AG109" s="44">
        <v>114.25</v>
      </c>
      <c r="AH109" s="44">
        <v>479</v>
      </c>
      <c r="AI109" s="44">
        <v>16400</v>
      </c>
      <c r="AJ109" s="68">
        <f>Economic!H123</f>
        <v>900844.9</v>
      </c>
      <c r="AK109" s="68">
        <f>Economic!I123</f>
        <v>88046.3</v>
      </c>
      <c r="AL109" s="68">
        <f>Economic!J123</f>
        <v>39702.699999999997</v>
      </c>
      <c r="AM109" s="68">
        <f>Economic!K123</f>
        <v>97656.9</v>
      </c>
      <c r="AN109" s="68">
        <f>Economic!L123</f>
        <v>77016.5</v>
      </c>
      <c r="AO109" s="68">
        <f>Economic!M123</f>
        <v>900059</v>
      </c>
      <c r="AP109" s="68">
        <f>Economic!N123</f>
        <v>86595</v>
      </c>
      <c r="AQ109" s="68">
        <f>Economic!O123</f>
        <v>13335</v>
      </c>
      <c r="AR109" s="68">
        <f>Economic!P123</f>
        <v>39768</v>
      </c>
      <c r="AS109" s="68">
        <f>Economic!Q123</f>
        <v>98473</v>
      </c>
      <c r="AT109" s="68">
        <f>Economic!D123</f>
        <v>8262.6</v>
      </c>
      <c r="AU109" s="68">
        <f>Economic!E123</f>
        <v>8248.1</v>
      </c>
      <c r="AV109" s="68">
        <f>Economic!F123</f>
        <v>329.8</v>
      </c>
      <c r="AW109" s="68">
        <f>Economic!G123</f>
        <v>328.6</v>
      </c>
      <c r="AX109" s="68">
        <f>Economic!W123</f>
        <v>6858</v>
      </c>
      <c r="AY109" s="68">
        <f>Economic!R123</f>
        <v>79.300000000000182</v>
      </c>
      <c r="AZ109" s="68">
        <f>Economic!W123</f>
        <v>6858</v>
      </c>
      <c r="BA109" s="68">
        <f>Economic!X123</f>
        <v>-1850</v>
      </c>
      <c r="BB109" s="68">
        <f>Economic!Y123</f>
        <v>4075</v>
      </c>
      <c r="BC109" s="236">
        <f>Weather!C121</f>
        <v>-4.2396505376344091</v>
      </c>
      <c r="BD109" s="16">
        <f>Weather!D121</f>
        <v>751.42916666666679</v>
      </c>
      <c r="BE109" s="16">
        <f>Weather!E121</f>
        <v>0</v>
      </c>
      <c r="BF109" s="16">
        <f>Weather!F121</f>
        <v>689.42916666666679</v>
      </c>
      <c r="BG109" s="16">
        <f>Weather!G121</f>
        <v>0</v>
      </c>
      <c r="BH109" s="16">
        <f>Weather!H121</f>
        <v>627.42916666666667</v>
      </c>
      <c r="BI109" s="16">
        <f>Weather!I121</f>
        <v>0</v>
      </c>
      <c r="BJ109" s="16">
        <f>Weather!J121</f>
        <v>565.42916666666667</v>
      </c>
      <c r="BK109" s="16">
        <f>Weather!K121</f>
        <v>0</v>
      </c>
      <c r="BL109" s="16">
        <f>Weather!L121</f>
        <v>503.42916666666662</v>
      </c>
      <c r="BM109" s="16">
        <f>Weather!M121</f>
        <v>0</v>
      </c>
      <c r="BN109" s="16">
        <f>Weather!N121</f>
        <v>441.42916666666667</v>
      </c>
      <c r="BO109" s="16">
        <f>Weather!O121</f>
        <v>0</v>
      </c>
      <c r="BP109" s="16">
        <f>Weather!P121</f>
        <v>379.42916666666667</v>
      </c>
      <c r="BQ109" s="16">
        <f>Weather!Q121</f>
        <v>0</v>
      </c>
      <c r="BR109">
        <f t="shared" ref="BR109:CI109" si="210">BR97</f>
        <v>0</v>
      </c>
      <c r="BS109">
        <f t="shared" si="210"/>
        <v>0</v>
      </c>
      <c r="BT109">
        <f t="shared" si="210"/>
        <v>0</v>
      </c>
      <c r="BU109">
        <f t="shared" si="210"/>
        <v>0</v>
      </c>
      <c r="BV109">
        <f t="shared" si="210"/>
        <v>0</v>
      </c>
      <c r="BW109">
        <f t="shared" si="210"/>
        <v>0</v>
      </c>
      <c r="BX109">
        <f t="shared" si="210"/>
        <v>0</v>
      </c>
      <c r="BY109">
        <f t="shared" si="210"/>
        <v>0</v>
      </c>
      <c r="BZ109">
        <f t="shared" si="210"/>
        <v>0</v>
      </c>
      <c r="CA109">
        <f t="shared" si="210"/>
        <v>0</v>
      </c>
      <c r="CB109">
        <f t="shared" si="210"/>
        <v>0</v>
      </c>
      <c r="CC109">
        <f t="shared" si="210"/>
        <v>1</v>
      </c>
      <c r="CD109" s="1">
        <f t="shared" si="210"/>
        <v>0</v>
      </c>
      <c r="CE109">
        <f t="shared" si="210"/>
        <v>0</v>
      </c>
      <c r="CF109" s="1">
        <f t="shared" si="210"/>
        <v>0</v>
      </c>
      <c r="CG109">
        <f t="shared" si="210"/>
        <v>0</v>
      </c>
      <c r="CH109" s="1">
        <f t="shared" si="210"/>
        <v>0</v>
      </c>
      <c r="CI109">
        <f t="shared" si="210"/>
        <v>0</v>
      </c>
      <c r="CJ109">
        <f t="shared" si="160"/>
        <v>0</v>
      </c>
      <c r="CK109">
        <f t="shared" si="148"/>
        <v>0</v>
      </c>
      <c r="CL109">
        <f t="shared" si="144"/>
        <v>0</v>
      </c>
      <c r="CM109" s="1">
        <f t="shared" si="120"/>
        <v>108</v>
      </c>
      <c r="CN109" s="1">
        <f t="shared" si="117"/>
        <v>60</v>
      </c>
      <c r="CO109" s="1">
        <f t="shared" si="130"/>
        <v>48</v>
      </c>
      <c r="CP109" s="1">
        <f t="shared" si="141"/>
        <v>36</v>
      </c>
      <c r="CQ109" s="1">
        <f t="shared" si="131"/>
        <v>24</v>
      </c>
      <c r="CR109" s="1">
        <f t="shared" si="131"/>
        <v>48</v>
      </c>
      <c r="CS109">
        <f t="shared" si="116"/>
        <v>31</v>
      </c>
      <c r="CT109" s="1">
        <v>21</v>
      </c>
      <c r="CU109" s="1">
        <v>0</v>
      </c>
      <c r="CV109" s="1">
        <v>0</v>
      </c>
      <c r="CW109" s="1">
        <v>0</v>
      </c>
      <c r="CX109" s="1">
        <v>0.25</v>
      </c>
      <c r="CY109" s="1">
        <v>0</v>
      </c>
      <c r="CZ109" s="10">
        <f t="shared" si="161"/>
        <v>0</v>
      </c>
      <c r="DA109" s="10">
        <f t="shared" si="162"/>
        <v>0</v>
      </c>
      <c r="DB109" s="10">
        <f t="shared" si="163"/>
        <v>0</v>
      </c>
      <c r="DC109" s="10">
        <f t="shared" si="164"/>
        <v>0</v>
      </c>
      <c r="DD109" s="10">
        <f t="shared" si="165"/>
        <v>0</v>
      </c>
      <c r="DE109" s="10">
        <f t="shared" si="166"/>
        <v>0</v>
      </c>
      <c r="DF109" s="10">
        <f t="shared" si="167"/>
        <v>0</v>
      </c>
      <c r="DG109" s="10">
        <f t="shared" si="168"/>
        <v>0</v>
      </c>
      <c r="DH109" s="10">
        <f t="shared" si="169"/>
        <v>0</v>
      </c>
      <c r="DI109" s="10">
        <f t="shared" si="170"/>
        <v>0</v>
      </c>
      <c r="DJ109" s="10">
        <f t="shared" si="171"/>
        <v>0</v>
      </c>
      <c r="DK109" s="10">
        <f t="shared" si="172"/>
        <v>0</v>
      </c>
      <c r="DL109" s="10">
        <f t="shared" si="173"/>
        <v>0</v>
      </c>
      <c r="DM109" s="10">
        <f t="shared" si="174"/>
        <v>0</v>
      </c>
      <c r="DN109" s="10">
        <f t="shared" si="175"/>
        <v>187.8572916666667</v>
      </c>
      <c r="DO109" s="10">
        <f t="shared" si="176"/>
        <v>0</v>
      </c>
      <c r="DP109" s="10">
        <f t="shared" si="177"/>
        <v>172.3572916666667</v>
      </c>
      <c r="DQ109" s="10">
        <f t="shared" si="178"/>
        <v>0</v>
      </c>
      <c r="DR109" s="10">
        <f t="shared" si="179"/>
        <v>156.85729166666667</v>
      </c>
      <c r="DS109" s="10">
        <f t="shared" si="180"/>
        <v>0</v>
      </c>
      <c r="DT109" s="10">
        <f t="shared" si="181"/>
        <v>141.35729166666667</v>
      </c>
      <c r="DU109" s="10">
        <f t="shared" si="182"/>
        <v>0</v>
      </c>
      <c r="DV109" s="10">
        <f t="shared" si="183"/>
        <v>125.85729166666665</v>
      </c>
      <c r="DW109" s="10">
        <f t="shared" si="184"/>
        <v>0</v>
      </c>
      <c r="DX109" s="10">
        <f t="shared" si="185"/>
        <v>110.35729166666667</v>
      </c>
      <c r="DY109" s="10">
        <f t="shared" si="186"/>
        <v>0</v>
      </c>
      <c r="DZ109" s="10">
        <f t="shared" si="187"/>
        <v>94.857291666666669</v>
      </c>
      <c r="EA109" s="10">
        <f t="shared" si="188"/>
        <v>0</v>
      </c>
      <c r="EB109" s="44">
        <f t="shared" si="189"/>
        <v>724.22263092407377</v>
      </c>
      <c r="EC109" s="44">
        <f t="shared" si="190"/>
        <v>23.362020352389475</v>
      </c>
      <c r="ED109" s="44">
        <f t="shared" si="191"/>
        <v>3599409.837712999</v>
      </c>
      <c r="EE109" s="44">
        <f t="shared" si="192"/>
        <v>2876.9472090418581</v>
      </c>
      <c r="EF109" s="44">
        <f t="shared" si="193"/>
        <v>92.804748678769613</v>
      </c>
      <c r="EG109" s="44">
        <f t="shared" si="194"/>
        <v>1255091.4211316803</v>
      </c>
      <c r="EH109" s="44">
        <f t="shared" si="195"/>
        <v>83849.702102415511</v>
      </c>
      <c r="EI109" s="44">
        <f t="shared" si="196"/>
        <v>2704.8291000779195</v>
      </c>
      <c r="EJ109" s="44">
        <f t="shared" si="197"/>
        <v>4413.1422159166059</v>
      </c>
      <c r="EK109" s="44">
        <f t="shared" si="198"/>
        <v>4165436.8141199965</v>
      </c>
      <c r="EL109" s="44">
        <f t="shared" si="199"/>
        <v>6796239.0125115737</v>
      </c>
    </row>
    <row r="110" spans="1:142" x14ac:dyDescent="0.2">
      <c r="A110" s="66"/>
      <c r="B110" s="4"/>
      <c r="C110" s="4"/>
      <c r="D110" s="234"/>
      <c r="E110" s="234"/>
      <c r="F110" s="234"/>
      <c r="G110" s="235"/>
      <c r="H110" s="234"/>
      <c r="I110" s="234"/>
      <c r="J110" s="234"/>
      <c r="K110" s="234"/>
      <c r="L110" s="234"/>
      <c r="M110" s="234"/>
      <c r="N110" s="234"/>
      <c r="O110" s="234"/>
      <c r="P110" s="235"/>
      <c r="Q110" s="235"/>
      <c r="R110" s="235"/>
      <c r="S110" s="235"/>
      <c r="T110" s="234"/>
      <c r="U110" s="235"/>
      <c r="V110" s="235"/>
      <c r="W110" s="235"/>
      <c r="X110" s="235"/>
      <c r="Y110" s="235"/>
      <c r="Z110" s="235"/>
      <c r="AA110" s="234"/>
      <c r="AB110" s="234"/>
      <c r="AC110" s="235"/>
      <c r="AD110" s="234"/>
      <c r="AE110" s="234"/>
      <c r="AF110" s="234"/>
      <c r="AG110" s="234"/>
      <c r="AH110" s="234"/>
      <c r="AI110" s="234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/>
      <c r="BS110"/>
      <c r="BT110"/>
      <c r="BU110"/>
      <c r="BV110"/>
      <c r="BW110"/>
      <c r="BX110"/>
      <c r="BY110"/>
      <c r="BZ110"/>
      <c r="CA110"/>
      <c r="CB110"/>
      <c r="CC110"/>
      <c r="CS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 s="56"/>
      <c r="EC110" s="56"/>
      <c r="ED110" s="55"/>
      <c r="EE110" s="56"/>
      <c r="EF110" s="56"/>
      <c r="EG110" s="56"/>
      <c r="EH110" s="56"/>
      <c r="EI110" s="56"/>
      <c r="EJ110" s="56"/>
      <c r="EK110" s="56"/>
      <c r="EL110" s="56"/>
    </row>
    <row r="111" spans="1:142" x14ac:dyDescent="0.2">
      <c r="AG111" s="234"/>
    </row>
  </sheetData>
  <pageMargins left="0.75" right="0.75" top="1" bottom="1" header="0.5" footer="0.5"/>
  <pageSetup scale="10" fitToHeight="0" orientation="landscape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tabColor theme="7" tint="0.79998168889431442"/>
  </sheetPr>
  <dimension ref="A2:AN223"/>
  <sheetViews>
    <sheetView topLeftCell="A146" workbookViewId="0">
      <selection activeCell="K171" sqref="K171"/>
    </sheetView>
  </sheetViews>
  <sheetFormatPr defaultColWidth="9.33203125" defaultRowHeight="13.15" customHeight="1" x14ac:dyDescent="0.2"/>
  <cols>
    <col min="1" max="1" width="11.33203125" bestFit="1" customWidth="1"/>
    <col min="4" max="7" width="10.33203125" bestFit="1" customWidth="1"/>
    <col min="8" max="8" width="12.6640625" bestFit="1" customWidth="1"/>
    <col min="9" max="9" width="15.5" bestFit="1" customWidth="1"/>
    <col min="10" max="11" width="15.5" customWidth="1"/>
    <col min="12" max="12" width="19.5" bestFit="1" customWidth="1"/>
    <col min="13" max="23" width="11" customWidth="1"/>
    <col min="26" max="26" width="12" customWidth="1"/>
    <col min="27" max="27" width="8.33203125" customWidth="1"/>
    <col min="28" max="28" width="14" bestFit="1" customWidth="1"/>
    <col min="29" max="29" width="13.5" bestFit="1" customWidth="1"/>
    <col min="30" max="30" width="13" bestFit="1" customWidth="1"/>
    <col min="31" max="31" width="18.83203125" customWidth="1"/>
    <col min="32" max="32" width="12.5" customWidth="1"/>
    <col min="33" max="33" width="2.33203125" customWidth="1"/>
    <col min="34" max="34" width="11.33203125" customWidth="1"/>
    <col min="35" max="36" width="14.33203125" bestFit="1" customWidth="1"/>
    <col min="37" max="38" width="9.5" bestFit="1" customWidth="1"/>
  </cols>
  <sheetData>
    <row r="2" spans="1:40" ht="13.15" customHeight="1" x14ac:dyDescent="0.2">
      <c r="A2" t="s">
        <v>14</v>
      </c>
      <c r="B2" t="s">
        <v>0</v>
      </c>
      <c r="D2" t="s">
        <v>16</v>
      </c>
      <c r="E2" t="s">
        <v>17</v>
      </c>
      <c r="F2" t="s">
        <v>456</v>
      </c>
      <c r="G2" t="s">
        <v>457</v>
      </c>
      <c r="H2" t="s">
        <v>182</v>
      </c>
      <c r="I2" t="s">
        <v>464</v>
      </c>
      <c r="J2" t="s">
        <v>466</v>
      </c>
      <c r="K2" t="s">
        <v>465</v>
      </c>
      <c r="L2" t="s">
        <v>183</v>
      </c>
      <c r="M2" t="s">
        <v>185</v>
      </c>
      <c r="N2" t="s">
        <v>467</v>
      </c>
      <c r="O2" t="s">
        <v>468</v>
      </c>
      <c r="P2" t="s">
        <v>469</v>
      </c>
      <c r="Q2" t="s">
        <v>470</v>
      </c>
      <c r="R2" t="str">
        <f>D2</f>
        <v>Ont_FTEAdj</v>
      </c>
      <c r="S2" t="str">
        <f>E2</f>
        <v>Ont_FTE</v>
      </c>
      <c r="T2" t="str">
        <f>F2</f>
        <v>London_FTEAdj</v>
      </c>
      <c r="U2" t="str">
        <f>G2</f>
        <v>London_FTE</v>
      </c>
      <c r="V2" t="str">
        <f>H2</f>
        <v>ON GDP</v>
      </c>
      <c r="W2" t="str">
        <f>M2</f>
        <v>OEA_GDP</v>
      </c>
      <c r="X2" t="str">
        <f>N2</f>
        <v>OEA_Manufacturing</v>
      </c>
      <c r="Y2" t="str">
        <f>Q2</f>
        <v>OEA_Finance and Insurance</v>
      </c>
      <c r="AI2" s="8"/>
      <c r="AJ2" s="8"/>
      <c r="AK2" s="8"/>
      <c r="AL2" s="8"/>
      <c r="AM2" s="8"/>
      <c r="AN2" s="8"/>
    </row>
    <row r="3" spans="1:40" ht="13.15" customHeight="1" x14ac:dyDescent="0.2">
      <c r="D3" s="552" t="s">
        <v>455</v>
      </c>
      <c r="E3" s="552"/>
      <c r="F3" s="552"/>
      <c r="G3" s="552"/>
      <c r="H3" s="553" t="s">
        <v>458</v>
      </c>
      <c r="I3" s="553"/>
      <c r="J3" s="553"/>
      <c r="K3" s="553"/>
      <c r="L3" s="553"/>
      <c r="M3" s="553" t="s">
        <v>184</v>
      </c>
      <c r="N3" s="553"/>
      <c r="O3" s="553"/>
      <c r="P3" s="553"/>
      <c r="Q3" s="553"/>
      <c r="R3" s="251" t="s">
        <v>362</v>
      </c>
      <c r="S3" s="251" t="s">
        <v>362</v>
      </c>
      <c r="T3" s="251" t="s">
        <v>362</v>
      </c>
      <c r="U3" s="251" t="s">
        <v>362</v>
      </c>
      <c r="V3" s="251" t="s">
        <v>362</v>
      </c>
      <c r="W3" s="251" t="s">
        <v>362</v>
      </c>
      <c r="X3" s="251" t="s">
        <v>362</v>
      </c>
      <c r="Y3" s="251" t="s">
        <v>362</v>
      </c>
      <c r="AI3" s="8"/>
      <c r="AJ3" s="8"/>
      <c r="AK3" s="8"/>
      <c r="AL3" s="8"/>
      <c r="AM3" s="8"/>
      <c r="AN3" s="8"/>
    </row>
    <row r="4" spans="1:40" ht="13.15" customHeight="1" x14ac:dyDescent="0.2">
      <c r="A4" s="8">
        <v>42370</v>
      </c>
      <c r="B4">
        <f t="shared" ref="B4:B15" si="0">YEAR(A4)</f>
        <v>2016</v>
      </c>
      <c r="C4" t="s">
        <v>167</v>
      </c>
      <c r="D4" s="249">
        <v>6882.9</v>
      </c>
      <c r="E4" s="249">
        <v>6848.3</v>
      </c>
      <c r="F4" s="249">
        <v>251.8</v>
      </c>
      <c r="G4" s="249">
        <v>249.5</v>
      </c>
      <c r="H4" s="289">
        <v>744155</v>
      </c>
      <c r="I4" s="289">
        <v>91279.3</v>
      </c>
      <c r="J4" s="289">
        <v>27839.5</v>
      </c>
      <c r="K4" s="289">
        <v>65519.5</v>
      </c>
      <c r="L4" s="289">
        <v>52005.9</v>
      </c>
      <c r="M4" s="7">
        <v>743835</v>
      </c>
      <c r="N4" s="7">
        <v>92481</v>
      </c>
      <c r="O4" s="7">
        <v>12720</v>
      </c>
      <c r="P4" s="7">
        <v>27296</v>
      </c>
      <c r="Q4" s="7">
        <v>65682</v>
      </c>
      <c r="R4" s="251"/>
      <c r="S4" s="251"/>
      <c r="T4" s="251"/>
      <c r="U4" s="251"/>
      <c r="V4" s="251"/>
      <c r="W4" s="251"/>
      <c r="X4" s="251"/>
      <c r="Y4" s="251"/>
      <c r="AI4" s="8"/>
      <c r="AJ4" s="8"/>
      <c r="AK4" s="8"/>
      <c r="AL4" s="8"/>
      <c r="AM4" s="8"/>
      <c r="AN4" s="8"/>
    </row>
    <row r="5" spans="1:40" ht="13.15" customHeight="1" x14ac:dyDescent="0.2">
      <c r="A5" s="8">
        <v>42401</v>
      </c>
      <c r="B5">
        <f t="shared" si="0"/>
        <v>2016</v>
      </c>
      <c r="C5" t="s">
        <v>167</v>
      </c>
      <c r="D5" s="249">
        <v>6899.5</v>
      </c>
      <c r="E5" s="249">
        <v>6829.1</v>
      </c>
      <c r="F5" s="249">
        <v>250.4</v>
      </c>
      <c r="G5" s="249">
        <v>247.6</v>
      </c>
      <c r="H5" s="289">
        <v>744155</v>
      </c>
      <c r="I5" s="289">
        <v>91279.3</v>
      </c>
      <c r="J5" s="289">
        <v>27839.5</v>
      </c>
      <c r="K5" s="289">
        <v>65519.5</v>
      </c>
      <c r="L5" s="289">
        <v>52005.9</v>
      </c>
      <c r="M5" s="7">
        <v>743835</v>
      </c>
      <c r="N5" s="7">
        <v>92481</v>
      </c>
      <c r="O5" s="7">
        <v>12720</v>
      </c>
      <c r="P5" s="7">
        <v>27296</v>
      </c>
      <c r="Q5" s="7">
        <v>65682</v>
      </c>
      <c r="R5" s="251"/>
      <c r="S5" s="251"/>
      <c r="T5" s="251"/>
      <c r="U5" s="251"/>
      <c r="V5" s="251"/>
      <c r="W5" s="251"/>
      <c r="X5" s="251"/>
      <c r="Y5" s="251"/>
      <c r="AI5" s="8"/>
      <c r="AJ5" s="8"/>
      <c r="AK5" s="8"/>
      <c r="AL5" s="8"/>
      <c r="AM5" s="8"/>
      <c r="AN5" s="8"/>
    </row>
    <row r="6" spans="1:40" ht="13.15" customHeight="1" x14ac:dyDescent="0.2">
      <c r="A6" s="8">
        <v>42430</v>
      </c>
      <c r="B6">
        <f t="shared" si="0"/>
        <v>2016</v>
      </c>
      <c r="C6" t="s">
        <v>167</v>
      </c>
      <c r="D6" s="249">
        <v>6908.6</v>
      </c>
      <c r="E6" s="249">
        <v>6808.7</v>
      </c>
      <c r="F6" s="249">
        <v>248</v>
      </c>
      <c r="G6" s="249">
        <v>244.5</v>
      </c>
      <c r="H6" s="289">
        <v>744155</v>
      </c>
      <c r="I6" s="289">
        <v>91279.3</v>
      </c>
      <c r="J6" s="289">
        <v>27839.5</v>
      </c>
      <c r="K6" s="289">
        <v>65519.5</v>
      </c>
      <c r="L6" s="289">
        <v>52005.9</v>
      </c>
      <c r="M6" s="7">
        <v>743835</v>
      </c>
      <c r="N6" s="7">
        <v>92481</v>
      </c>
      <c r="O6" s="7">
        <v>12720</v>
      </c>
      <c r="P6" s="7">
        <v>27296</v>
      </c>
      <c r="Q6" s="7">
        <v>65682</v>
      </c>
      <c r="R6" s="251"/>
      <c r="S6" s="251"/>
      <c r="T6" s="251"/>
      <c r="U6" s="251"/>
      <c r="V6" s="251"/>
      <c r="W6" s="251"/>
      <c r="X6" s="251"/>
      <c r="Y6" s="251"/>
      <c r="AI6" s="8"/>
      <c r="AJ6" s="8"/>
      <c r="AK6" s="8"/>
      <c r="AL6" s="8"/>
      <c r="AM6" s="8"/>
      <c r="AN6" s="8"/>
    </row>
    <row r="7" spans="1:40" ht="13.15" customHeight="1" x14ac:dyDescent="0.2">
      <c r="A7" s="8">
        <v>42461</v>
      </c>
      <c r="B7">
        <f t="shared" si="0"/>
        <v>2016</v>
      </c>
      <c r="C7" t="s">
        <v>168</v>
      </c>
      <c r="D7" s="249">
        <v>6909</v>
      </c>
      <c r="E7" s="249">
        <v>6823.1</v>
      </c>
      <c r="F7" s="249">
        <v>245.6</v>
      </c>
      <c r="G7" s="249">
        <v>241.2</v>
      </c>
      <c r="H7" s="289">
        <v>744155</v>
      </c>
      <c r="I7" s="289">
        <v>91279.3</v>
      </c>
      <c r="J7" s="289">
        <v>27839.5</v>
      </c>
      <c r="K7" s="289">
        <v>65519.5</v>
      </c>
      <c r="L7" s="289">
        <v>52005.9</v>
      </c>
      <c r="M7" s="7">
        <v>740829</v>
      </c>
      <c r="N7" s="7">
        <v>90172</v>
      </c>
      <c r="O7" s="7">
        <v>12752</v>
      </c>
      <c r="P7" s="7">
        <v>27611</v>
      </c>
      <c r="Q7" s="7">
        <v>65244</v>
      </c>
      <c r="R7" s="251"/>
      <c r="S7" s="251"/>
      <c r="T7" s="251"/>
      <c r="U7" s="251"/>
      <c r="V7" s="251"/>
      <c r="W7" s="251"/>
      <c r="X7" s="251"/>
      <c r="Y7" s="251"/>
      <c r="AI7" s="8"/>
      <c r="AJ7" s="8"/>
      <c r="AK7" s="8"/>
      <c r="AL7" s="8"/>
      <c r="AM7" s="8"/>
      <c r="AN7" s="8"/>
    </row>
    <row r="8" spans="1:40" ht="13.15" customHeight="1" x14ac:dyDescent="0.2">
      <c r="A8" s="8">
        <v>42491</v>
      </c>
      <c r="B8">
        <f t="shared" si="0"/>
        <v>2016</v>
      </c>
      <c r="C8" t="s">
        <v>168</v>
      </c>
      <c r="D8" s="249">
        <v>6919.1</v>
      </c>
      <c r="E8" s="249">
        <v>6889.6</v>
      </c>
      <c r="F8" s="249">
        <v>244.8</v>
      </c>
      <c r="G8" s="249">
        <v>243</v>
      </c>
      <c r="H8" s="289">
        <v>744155</v>
      </c>
      <c r="I8" s="289">
        <v>91279.3</v>
      </c>
      <c r="J8" s="289">
        <v>27839.5</v>
      </c>
      <c r="K8" s="289">
        <v>65519.5</v>
      </c>
      <c r="L8" s="289">
        <v>52005.9</v>
      </c>
      <c r="M8" s="7">
        <v>740829</v>
      </c>
      <c r="N8" s="7">
        <v>90172</v>
      </c>
      <c r="O8" s="7">
        <v>12752</v>
      </c>
      <c r="P8" s="7">
        <v>27611</v>
      </c>
      <c r="Q8" s="7">
        <v>65244</v>
      </c>
      <c r="R8" s="251"/>
      <c r="S8" s="251"/>
      <c r="T8" s="251"/>
      <c r="U8" s="251"/>
      <c r="V8" s="251"/>
      <c r="W8" s="251"/>
      <c r="X8" s="251"/>
      <c r="Y8" s="251"/>
      <c r="AI8" s="8"/>
      <c r="AJ8" s="8"/>
      <c r="AK8" s="8"/>
      <c r="AL8" s="8"/>
      <c r="AM8" s="8"/>
      <c r="AN8" s="8"/>
    </row>
    <row r="9" spans="1:40" ht="13.15" customHeight="1" x14ac:dyDescent="0.2">
      <c r="A9" s="8">
        <v>42522</v>
      </c>
      <c r="B9">
        <f t="shared" si="0"/>
        <v>2016</v>
      </c>
      <c r="C9" t="s">
        <v>168</v>
      </c>
      <c r="D9" s="249">
        <v>6930</v>
      </c>
      <c r="E9" s="249">
        <v>6973</v>
      </c>
      <c r="F9" s="249">
        <v>243.3</v>
      </c>
      <c r="G9" s="249">
        <v>246.1</v>
      </c>
      <c r="H9" s="289">
        <v>744155</v>
      </c>
      <c r="I9" s="289">
        <v>91279.3</v>
      </c>
      <c r="J9" s="289">
        <v>27839.5</v>
      </c>
      <c r="K9" s="289">
        <v>65519.5</v>
      </c>
      <c r="L9" s="289">
        <v>52005.9</v>
      </c>
      <c r="M9" s="7">
        <v>740829</v>
      </c>
      <c r="N9" s="7">
        <v>90172</v>
      </c>
      <c r="O9" s="7">
        <v>12752</v>
      </c>
      <c r="P9" s="7">
        <v>27611</v>
      </c>
      <c r="Q9" s="7">
        <v>65244</v>
      </c>
      <c r="R9" s="251"/>
      <c r="S9" s="251"/>
      <c r="T9" s="251"/>
      <c r="U9" s="251"/>
      <c r="V9" s="251"/>
      <c r="W9" s="251"/>
      <c r="X9" s="251"/>
      <c r="Y9" s="251"/>
      <c r="AI9" s="8"/>
      <c r="AJ9" s="8"/>
      <c r="AK9" s="8"/>
      <c r="AL9" s="8"/>
      <c r="AM9" s="8"/>
      <c r="AN9" s="8"/>
    </row>
    <row r="10" spans="1:40" ht="13.15" customHeight="1" x14ac:dyDescent="0.2">
      <c r="A10" s="8">
        <v>42552</v>
      </c>
      <c r="B10">
        <f t="shared" si="0"/>
        <v>2016</v>
      </c>
      <c r="C10" t="s">
        <v>169</v>
      </c>
      <c r="D10" s="249">
        <v>6933.8</v>
      </c>
      <c r="E10" s="249">
        <v>7021.7</v>
      </c>
      <c r="F10" s="249">
        <v>242.9</v>
      </c>
      <c r="G10" s="249">
        <v>248.9</v>
      </c>
      <c r="H10" s="289">
        <v>744155</v>
      </c>
      <c r="I10" s="289">
        <v>91279.3</v>
      </c>
      <c r="J10" s="289">
        <v>27839.5</v>
      </c>
      <c r="K10" s="289">
        <v>65519.5</v>
      </c>
      <c r="L10" s="289">
        <v>52005.9</v>
      </c>
      <c r="M10" s="7">
        <v>746710</v>
      </c>
      <c r="N10" s="7">
        <v>91399</v>
      </c>
      <c r="O10" s="7">
        <v>12907</v>
      </c>
      <c r="P10" s="7">
        <v>28304</v>
      </c>
      <c r="Q10" s="7">
        <v>65899</v>
      </c>
      <c r="R10" s="251"/>
      <c r="S10" s="251"/>
      <c r="T10" s="251"/>
      <c r="U10" s="251"/>
      <c r="V10" s="251"/>
      <c r="W10" s="251"/>
      <c r="X10" s="251"/>
      <c r="Y10" s="251"/>
      <c r="AI10" s="8"/>
      <c r="AJ10" s="8"/>
      <c r="AK10" s="8"/>
      <c r="AL10" s="8"/>
      <c r="AM10" s="8"/>
      <c r="AN10" s="8"/>
    </row>
    <row r="11" spans="1:40" ht="13.15" customHeight="1" x14ac:dyDescent="0.2">
      <c r="A11" s="8">
        <v>42583</v>
      </c>
      <c r="B11">
        <f t="shared" si="0"/>
        <v>2016</v>
      </c>
      <c r="C11" t="s">
        <v>169</v>
      </c>
      <c r="D11" s="249">
        <v>6931.2</v>
      </c>
      <c r="E11" s="249">
        <v>7018.7</v>
      </c>
      <c r="F11" s="249">
        <v>244.6</v>
      </c>
      <c r="G11" s="249">
        <v>250.4</v>
      </c>
      <c r="H11" s="289">
        <v>744155</v>
      </c>
      <c r="I11" s="289">
        <v>91279.3</v>
      </c>
      <c r="J11" s="289">
        <v>27839.5</v>
      </c>
      <c r="K11" s="289">
        <v>65519.5</v>
      </c>
      <c r="L11" s="289">
        <v>52005.9</v>
      </c>
      <c r="M11" s="7">
        <v>746710</v>
      </c>
      <c r="N11" s="7">
        <v>91399</v>
      </c>
      <c r="O11" s="7">
        <v>12907</v>
      </c>
      <c r="P11" s="7">
        <v>28304</v>
      </c>
      <c r="Q11" s="7">
        <v>65899</v>
      </c>
      <c r="R11" s="251"/>
      <c r="S11" s="251"/>
      <c r="T11" s="251"/>
      <c r="U11" s="251"/>
      <c r="V11" s="251"/>
      <c r="W11" s="251"/>
      <c r="X11" s="251"/>
      <c r="Y11" s="251"/>
      <c r="AI11" s="8"/>
      <c r="AJ11" s="8"/>
      <c r="AK11" s="8"/>
      <c r="AL11" s="8"/>
      <c r="AM11" s="8"/>
      <c r="AN11" s="8"/>
    </row>
    <row r="12" spans="1:40" ht="13.15" customHeight="1" x14ac:dyDescent="0.2">
      <c r="A12" s="8">
        <v>42614</v>
      </c>
      <c r="B12">
        <f t="shared" si="0"/>
        <v>2016</v>
      </c>
      <c r="C12" t="s">
        <v>169</v>
      </c>
      <c r="D12" s="249">
        <v>6929.7</v>
      </c>
      <c r="E12" s="249">
        <v>6973.4</v>
      </c>
      <c r="F12" s="249">
        <v>246.1</v>
      </c>
      <c r="G12" s="249">
        <v>248</v>
      </c>
      <c r="H12" s="289">
        <v>744155</v>
      </c>
      <c r="I12" s="289">
        <v>91279.3</v>
      </c>
      <c r="J12" s="289">
        <v>27839.5</v>
      </c>
      <c r="K12" s="289">
        <v>65519.5</v>
      </c>
      <c r="L12" s="289">
        <v>52005.9</v>
      </c>
      <c r="M12" s="7">
        <v>746710</v>
      </c>
      <c r="N12" s="7">
        <v>91399</v>
      </c>
      <c r="O12" s="7">
        <v>12907</v>
      </c>
      <c r="P12" s="7">
        <v>28304</v>
      </c>
      <c r="Q12" s="7">
        <v>65899</v>
      </c>
      <c r="R12" s="251"/>
      <c r="S12" s="251"/>
      <c r="T12" s="251"/>
      <c r="U12" s="251"/>
      <c r="V12" s="251"/>
      <c r="W12" s="251"/>
      <c r="X12" s="251"/>
      <c r="Y12" s="251"/>
      <c r="AI12" s="8"/>
      <c r="AJ12" s="8"/>
      <c r="AK12" s="8"/>
      <c r="AL12" s="8"/>
      <c r="AM12" s="8"/>
      <c r="AN12" s="8"/>
    </row>
    <row r="13" spans="1:40" ht="13.15" customHeight="1" x14ac:dyDescent="0.2">
      <c r="A13" s="8">
        <v>42644</v>
      </c>
      <c r="B13">
        <f t="shared" si="0"/>
        <v>2016</v>
      </c>
      <c r="C13" t="s">
        <v>170</v>
      </c>
      <c r="D13" s="249">
        <v>6942</v>
      </c>
      <c r="E13" s="249">
        <v>6966.9</v>
      </c>
      <c r="F13" s="249">
        <v>246.6</v>
      </c>
      <c r="G13" s="249">
        <v>247.1</v>
      </c>
      <c r="H13" s="289">
        <v>744155</v>
      </c>
      <c r="I13" s="289">
        <v>91279.3</v>
      </c>
      <c r="J13" s="289">
        <v>27839.5</v>
      </c>
      <c r="K13" s="289">
        <v>65519.5</v>
      </c>
      <c r="L13" s="289">
        <v>52005.9</v>
      </c>
      <c r="M13" s="7">
        <v>745246</v>
      </c>
      <c r="N13" s="7">
        <v>91065</v>
      </c>
      <c r="O13" s="7">
        <v>12834</v>
      </c>
      <c r="P13" s="7">
        <v>28146</v>
      </c>
      <c r="Q13" s="7">
        <v>65253</v>
      </c>
      <c r="R13" s="251"/>
      <c r="S13" s="251"/>
      <c r="T13" s="251"/>
      <c r="U13" s="251"/>
      <c r="V13" s="251"/>
      <c r="W13" s="251"/>
      <c r="X13" s="251"/>
      <c r="Y13" s="251"/>
      <c r="AI13" s="8"/>
      <c r="AJ13" s="8"/>
      <c r="AK13" s="8"/>
      <c r="AL13" s="8"/>
      <c r="AM13" s="8"/>
      <c r="AN13" s="8"/>
    </row>
    <row r="14" spans="1:40" ht="13.15" customHeight="1" x14ac:dyDescent="0.2">
      <c r="A14" s="8">
        <v>42675</v>
      </c>
      <c r="B14">
        <f t="shared" si="0"/>
        <v>2016</v>
      </c>
      <c r="C14" t="s">
        <v>170</v>
      </c>
      <c r="D14" s="249">
        <v>6959</v>
      </c>
      <c r="E14" s="249">
        <v>6964.3</v>
      </c>
      <c r="F14" s="249">
        <v>244.3</v>
      </c>
      <c r="G14" s="249">
        <v>242.3</v>
      </c>
      <c r="H14" s="289">
        <v>744155</v>
      </c>
      <c r="I14" s="289">
        <v>91279.3</v>
      </c>
      <c r="J14" s="289">
        <v>27839.5</v>
      </c>
      <c r="K14" s="289">
        <v>65519.5</v>
      </c>
      <c r="L14" s="289">
        <v>52005.9</v>
      </c>
      <c r="M14" s="7">
        <v>745246</v>
      </c>
      <c r="N14" s="7">
        <v>91065</v>
      </c>
      <c r="O14" s="7">
        <v>12834</v>
      </c>
      <c r="P14" s="7">
        <v>28146</v>
      </c>
      <c r="Q14" s="7">
        <v>65253</v>
      </c>
      <c r="R14" s="251"/>
      <c r="S14" s="251"/>
      <c r="T14" s="251"/>
      <c r="U14" s="251"/>
      <c r="V14" s="251"/>
      <c r="W14" s="251"/>
      <c r="X14" s="251"/>
      <c r="Y14" s="251"/>
      <c r="AI14" s="8"/>
      <c r="AJ14" s="8"/>
      <c r="AK14" s="8"/>
      <c r="AL14" s="8"/>
      <c r="AM14" s="8"/>
      <c r="AN14" s="8"/>
    </row>
    <row r="15" spans="1:40" ht="13.15" customHeight="1" x14ac:dyDescent="0.2">
      <c r="A15" s="8">
        <v>42705</v>
      </c>
      <c r="B15">
        <f t="shared" si="0"/>
        <v>2016</v>
      </c>
      <c r="C15" t="s">
        <v>170</v>
      </c>
      <c r="D15" s="249">
        <v>6974.4</v>
      </c>
      <c r="E15" s="249">
        <v>6983</v>
      </c>
      <c r="F15" s="249">
        <v>243.1</v>
      </c>
      <c r="G15" s="249">
        <v>241.2</v>
      </c>
      <c r="H15" s="289">
        <v>744155</v>
      </c>
      <c r="I15" s="289">
        <v>91279.3</v>
      </c>
      <c r="J15" s="289">
        <v>27839.5</v>
      </c>
      <c r="K15" s="289">
        <v>65519.5</v>
      </c>
      <c r="L15" s="289">
        <v>52005.9</v>
      </c>
      <c r="M15" s="7">
        <v>745246</v>
      </c>
      <c r="N15" s="7">
        <v>91065</v>
      </c>
      <c r="O15" s="7">
        <v>12834</v>
      </c>
      <c r="P15" s="7">
        <v>28146</v>
      </c>
      <c r="Q15" s="7">
        <v>65253</v>
      </c>
      <c r="R15" s="251"/>
      <c r="S15" s="251"/>
      <c r="T15" s="251"/>
      <c r="U15" s="251"/>
      <c r="V15" s="251"/>
      <c r="W15" s="251"/>
      <c r="X15" s="251"/>
      <c r="Y15" s="251"/>
      <c r="AI15" s="8"/>
      <c r="AJ15" s="8"/>
      <c r="AK15" s="8"/>
      <c r="AL15" s="8"/>
      <c r="AM15" s="8"/>
      <c r="AN15" s="8"/>
    </row>
    <row r="16" spans="1:40" ht="13.15" customHeight="1" x14ac:dyDescent="0.2">
      <c r="A16" s="8">
        <v>42736</v>
      </c>
      <c r="B16">
        <f t="shared" ref="B16:B39" si="1">YEAR(A16)</f>
        <v>2017</v>
      </c>
      <c r="C16" t="s">
        <v>167</v>
      </c>
      <c r="D16" s="249">
        <v>6998.9</v>
      </c>
      <c r="E16" s="249">
        <v>6968.1</v>
      </c>
      <c r="F16" s="249">
        <v>241.8</v>
      </c>
      <c r="G16" s="249">
        <v>238.7</v>
      </c>
      <c r="H16" s="249">
        <v>764465</v>
      </c>
      <c r="I16" s="249">
        <v>91847.6</v>
      </c>
      <c r="J16" s="249">
        <v>29151.9</v>
      </c>
      <c r="K16" s="249">
        <v>71039.199999999997</v>
      </c>
      <c r="L16" s="249">
        <v>53985.7</v>
      </c>
      <c r="M16" s="7">
        <v>756670</v>
      </c>
      <c r="N16" s="7">
        <v>92615</v>
      </c>
      <c r="O16" s="7">
        <v>13599</v>
      </c>
      <c r="P16" s="7">
        <v>28874</v>
      </c>
      <c r="Q16" s="7">
        <v>67116</v>
      </c>
      <c r="R16" s="249">
        <f t="shared" ref="R16:R47" si="2">D16-D4</f>
        <v>116</v>
      </c>
      <c r="S16" s="249">
        <f t="shared" ref="S16:S47" si="3">E16-E4</f>
        <v>119.80000000000018</v>
      </c>
      <c r="T16" s="249">
        <f t="shared" ref="T16:T47" si="4">F16-F4</f>
        <v>-10</v>
      </c>
      <c r="U16" s="249">
        <f t="shared" ref="U16:U47" si="5">G16-G4</f>
        <v>-10.800000000000011</v>
      </c>
      <c r="V16" s="19">
        <f t="shared" ref="V16:V47" si="6">H16-H4</f>
        <v>20310</v>
      </c>
      <c r="W16" s="249">
        <f t="shared" ref="W16:W28" si="7">M16-M4</f>
        <v>12835</v>
      </c>
      <c r="X16" s="249">
        <f t="shared" ref="X16:X28" si="8">N16-N4</f>
        <v>134</v>
      </c>
      <c r="Y16" s="249">
        <f t="shared" ref="Y16:Y27" si="9">Q16-Q4</f>
        <v>1434</v>
      </c>
      <c r="AF16" s="8"/>
    </row>
    <row r="17" spans="1:34" ht="13.15" customHeight="1" x14ac:dyDescent="0.2">
      <c r="A17" s="8">
        <v>42767</v>
      </c>
      <c r="B17">
        <f t="shared" si="1"/>
        <v>2017</v>
      </c>
      <c r="C17" t="s">
        <v>167</v>
      </c>
      <c r="D17" s="249">
        <v>7017.3</v>
      </c>
      <c r="E17" s="249">
        <v>6948.4</v>
      </c>
      <c r="F17" s="249">
        <v>244.4</v>
      </c>
      <c r="G17" s="249">
        <v>241.5</v>
      </c>
      <c r="H17" s="249">
        <v>764465</v>
      </c>
      <c r="I17" s="249">
        <v>91847.6</v>
      </c>
      <c r="J17" s="249">
        <v>29151.9</v>
      </c>
      <c r="K17" s="249">
        <v>71039.199999999997</v>
      </c>
      <c r="L17" s="249">
        <v>53985.7</v>
      </c>
      <c r="M17" s="7">
        <v>756670</v>
      </c>
      <c r="N17" s="7">
        <v>92615</v>
      </c>
      <c r="O17" s="7">
        <v>13599</v>
      </c>
      <c r="P17" s="7">
        <v>28874</v>
      </c>
      <c r="Q17" s="7">
        <v>67116</v>
      </c>
      <c r="R17" s="249">
        <f t="shared" si="2"/>
        <v>117.80000000000018</v>
      </c>
      <c r="S17" s="249">
        <f t="shared" si="3"/>
        <v>119.29999999999927</v>
      </c>
      <c r="T17" s="249">
        <f t="shared" si="4"/>
        <v>-6</v>
      </c>
      <c r="U17" s="249">
        <f t="shared" si="5"/>
        <v>-6.0999999999999943</v>
      </c>
      <c r="V17" s="19">
        <f t="shared" si="6"/>
        <v>20310</v>
      </c>
      <c r="W17" s="249">
        <f t="shared" si="7"/>
        <v>12835</v>
      </c>
      <c r="X17" s="249">
        <f t="shared" si="8"/>
        <v>134</v>
      </c>
      <c r="Y17" s="249">
        <f t="shared" si="9"/>
        <v>1434</v>
      </c>
      <c r="AF17" s="8"/>
    </row>
    <row r="18" spans="1:34" ht="13.15" customHeight="1" x14ac:dyDescent="0.2">
      <c r="A18" s="8">
        <v>42795</v>
      </c>
      <c r="B18">
        <f t="shared" si="1"/>
        <v>2017</v>
      </c>
      <c r="C18" t="s">
        <v>167</v>
      </c>
      <c r="D18" s="249">
        <v>7035.4</v>
      </c>
      <c r="E18" s="249">
        <v>6933.2</v>
      </c>
      <c r="F18" s="249">
        <v>248</v>
      </c>
      <c r="G18" s="249">
        <v>244.3</v>
      </c>
      <c r="H18" s="249">
        <v>764465</v>
      </c>
      <c r="I18" s="249">
        <v>91847.6</v>
      </c>
      <c r="J18" s="249">
        <v>29151.9</v>
      </c>
      <c r="K18" s="249">
        <v>71039.199999999997</v>
      </c>
      <c r="L18" s="249">
        <v>53985.7</v>
      </c>
      <c r="M18" s="7">
        <v>756670</v>
      </c>
      <c r="N18" s="7">
        <v>92615</v>
      </c>
      <c r="O18" s="7">
        <v>13599</v>
      </c>
      <c r="P18" s="7">
        <v>28874</v>
      </c>
      <c r="Q18" s="7">
        <v>67116</v>
      </c>
      <c r="R18" s="249">
        <f t="shared" si="2"/>
        <v>126.79999999999927</v>
      </c>
      <c r="S18" s="249">
        <f t="shared" si="3"/>
        <v>124.5</v>
      </c>
      <c r="T18" s="249">
        <f t="shared" si="4"/>
        <v>0</v>
      </c>
      <c r="U18" s="249">
        <f t="shared" si="5"/>
        <v>-0.19999999999998863</v>
      </c>
      <c r="V18" s="19">
        <f t="shared" si="6"/>
        <v>20310</v>
      </c>
      <c r="W18" s="249">
        <f t="shared" si="7"/>
        <v>12835</v>
      </c>
      <c r="X18" s="249">
        <f t="shared" si="8"/>
        <v>134</v>
      </c>
      <c r="Y18" s="249">
        <f t="shared" si="9"/>
        <v>1434</v>
      </c>
      <c r="AF18" s="8"/>
    </row>
    <row r="19" spans="1:34" ht="13.15" customHeight="1" x14ac:dyDescent="0.2">
      <c r="A19" s="8">
        <v>42826</v>
      </c>
      <c r="B19">
        <f t="shared" si="1"/>
        <v>2017</v>
      </c>
      <c r="C19" t="s">
        <v>168</v>
      </c>
      <c r="D19" s="249">
        <v>7041.8</v>
      </c>
      <c r="E19" s="249">
        <v>6951.9</v>
      </c>
      <c r="F19" s="249">
        <v>250.7</v>
      </c>
      <c r="G19" s="249">
        <v>246.2</v>
      </c>
      <c r="H19" s="249">
        <v>764465</v>
      </c>
      <c r="I19" s="249">
        <v>91847.6</v>
      </c>
      <c r="J19" s="249">
        <v>29151.9</v>
      </c>
      <c r="K19" s="249">
        <v>71039.199999999997</v>
      </c>
      <c r="L19" s="249">
        <v>53985.7</v>
      </c>
      <c r="M19" s="7">
        <v>764676</v>
      </c>
      <c r="N19" s="7">
        <v>92541</v>
      </c>
      <c r="O19" s="7">
        <v>13363</v>
      </c>
      <c r="P19" s="7">
        <v>29347</v>
      </c>
      <c r="Q19" s="7">
        <v>70966</v>
      </c>
      <c r="R19" s="249">
        <f t="shared" si="2"/>
        <v>132.80000000000018</v>
      </c>
      <c r="S19" s="249">
        <f t="shared" si="3"/>
        <v>128.79999999999927</v>
      </c>
      <c r="T19" s="249">
        <f t="shared" si="4"/>
        <v>5.0999999999999943</v>
      </c>
      <c r="U19" s="249">
        <f t="shared" si="5"/>
        <v>5</v>
      </c>
      <c r="V19" s="19">
        <f t="shared" si="6"/>
        <v>20310</v>
      </c>
      <c r="W19" s="249">
        <f t="shared" si="7"/>
        <v>23847</v>
      </c>
      <c r="X19" s="249">
        <f t="shared" si="8"/>
        <v>2369</v>
      </c>
      <c r="Y19" s="249">
        <f t="shared" si="9"/>
        <v>5722</v>
      </c>
      <c r="AC19" s="252"/>
      <c r="AF19" s="8"/>
      <c r="AG19" s="8"/>
      <c r="AH19" s="8"/>
    </row>
    <row r="20" spans="1:34" ht="13.15" customHeight="1" x14ac:dyDescent="0.2">
      <c r="A20" s="8">
        <v>42856</v>
      </c>
      <c r="B20">
        <f t="shared" si="1"/>
        <v>2017</v>
      </c>
      <c r="C20" t="s">
        <v>168</v>
      </c>
      <c r="D20" s="249">
        <v>7055.9</v>
      </c>
      <c r="E20" s="249">
        <v>7023.7</v>
      </c>
      <c r="F20" s="249">
        <v>251.2</v>
      </c>
      <c r="G20" s="249">
        <v>249</v>
      </c>
      <c r="H20" s="249">
        <v>764465</v>
      </c>
      <c r="I20" s="249">
        <v>91847.6</v>
      </c>
      <c r="J20" s="249">
        <v>29151.9</v>
      </c>
      <c r="K20" s="249">
        <v>71039.199999999997</v>
      </c>
      <c r="L20" s="249">
        <v>53985.7</v>
      </c>
      <c r="M20" s="7">
        <v>764676</v>
      </c>
      <c r="N20" s="7">
        <v>92541</v>
      </c>
      <c r="O20" s="7">
        <v>13363</v>
      </c>
      <c r="P20" s="7">
        <v>29347</v>
      </c>
      <c r="Q20" s="7">
        <v>70966</v>
      </c>
      <c r="R20" s="249">
        <f t="shared" si="2"/>
        <v>136.79999999999927</v>
      </c>
      <c r="S20" s="249">
        <f t="shared" si="3"/>
        <v>134.09999999999945</v>
      </c>
      <c r="T20" s="249">
        <f t="shared" si="4"/>
        <v>6.3999999999999773</v>
      </c>
      <c r="U20" s="249">
        <f t="shared" si="5"/>
        <v>6</v>
      </c>
      <c r="V20" s="19">
        <f t="shared" si="6"/>
        <v>20310</v>
      </c>
      <c r="W20" s="249">
        <f t="shared" si="7"/>
        <v>23847</v>
      </c>
      <c r="X20" s="249">
        <f t="shared" si="8"/>
        <v>2369</v>
      </c>
      <c r="Y20" s="249">
        <f t="shared" si="9"/>
        <v>5722</v>
      </c>
      <c r="AF20" s="8"/>
      <c r="AG20" s="8"/>
      <c r="AH20" s="8"/>
    </row>
    <row r="21" spans="1:34" ht="13.15" customHeight="1" x14ac:dyDescent="0.2">
      <c r="A21" s="8">
        <v>42887</v>
      </c>
      <c r="B21">
        <f t="shared" si="1"/>
        <v>2017</v>
      </c>
      <c r="C21" t="s">
        <v>168</v>
      </c>
      <c r="D21" s="249">
        <v>7071</v>
      </c>
      <c r="E21" s="249">
        <v>7112.9</v>
      </c>
      <c r="F21" s="249">
        <v>250.9</v>
      </c>
      <c r="G21" s="249">
        <v>253.2</v>
      </c>
      <c r="H21" s="249">
        <v>764465</v>
      </c>
      <c r="I21" s="249">
        <v>91847.6</v>
      </c>
      <c r="J21" s="249">
        <v>29151.9</v>
      </c>
      <c r="K21" s="249">
        <v>71039.199999999997</v>
      </c>
      <c r="L21" s="249">
        <v>53985.7</v>
      </c>
      <c r="M21" s="7">
        <v>764676</v>
      </c>
      <c r="N21" s="7">
        <v>92541</v>
      </c>
      <c r="O21" s="7">
        <v>13363</v>
      </c>
      <c r="P21" s="7">
        <v>29347</v>
      </c>
      <c r="Q21" s="7">
        <v>70966</v>
      </c>
      <c r="R21" s="249">
        <f t="shared" si="2"/>
        <v>141</v>
      </c>
      <c r="S21" s="249">
        <f t="shared" si="3"/>
        <v>139.89999999999964</v>
      </c>
      <c r="T21" s="249">
        <f t="shared" si="4"/>
        <v>7.5999999999999943</v>
      </c>
      <c r="U21" s="249">
        <f t="shared" si="5"/>
        <v>7.0999999999999943</v>
      </c>
      <c r="V21" s="19">
        <f t="shared" si="6"/>
        <v>20310</v>
      </c>
      <c r="W21" s="249">
        <f t="shared" si="7"/>
        <v>23847</v>
      </c>
      <c r="X21" s="249">
        <f t="shared" si="8"/>
        <v>2369</v>
      </c>
      <c r="Y21" s="249">
        <f t="shared" si="9"/>
        <v>5722</v>
      </c>
      <c r="AB21" t="s">
        <v>529</v>
      </c>
    </row>
    <row r="22" spans="1:34" ht="13.15" customHeight="1" x14ac:dyDescent="0.25">
      <c r="A22" s="8">
        <v>42917</v>
      </c>
      <c r="B22">
        <f t="shared" si="1"/>
        <v>2017</v>
      </c>
      <c r="C22" t="s">
        <v>169</v>
      </c>
      <c r="D22" s="249">
        <v>7099.1</v>
      </c>
      <c r="E22" s="249">
        <v>7186.7</v>
      </c>
      <c r="F22" s="249">
        <v>250.1</v>
      </c>
      <c r="G22" s="249">
        <v>255.5</v>
      </c>
      <c r="H22" s="249">
        <v>764465</v>
      </c>
      <c r="I22" s="249">
        <v>91847.6</v>
      </c>
      <c r="J22" s="249">
        <v>29151.9</v>
      </c>
      <c r="K22" s="249">
        <v>71039.199999999997</v>
      </c>
      <c r="L22" s="249">
        <v>53985.7</v>
      </c>
      <c r="M22" s="7">
        <v>765009</v>
      </c>
      <c r="N22" s="7">
        <v>90558</v>
      </c>
      <c r="O22" s="7">
        <v>13304</v>
      </c>
      <c r="P22" s="7">
        <v>29370</v>
      </c>
      <c r="Q22" s="7">
        <v>71934</v>
      </c>
      <c r="R22" s="249">
        <f t="shared" si="2"/>
        <v>165.30000000000018</v>
      </c>
      <c r="S22" s="249">
        <f t="shared" si="3"/>
        <v>165</v>
      </c>
      <c r="T22" s="249">
        <f t="shared" si="4"/>
        <v>7.1999999999999886</v>
      </c>
      <c r="U22" s="249">
        <f t="shared" si="5"/>
        <v>6.5999999999999943</v>
      </c>
      <c r="V22" s="19">
        <f t="shared" si="6"/>
        <v>20310</v>
      </c>
      <c r="W22" s="249">
        <f t="shared" si="7"/>
        <v>18299</v>
      </c>
      <c r="X22" s="249">
        <f t="shared" si="8"/>
        <v>-841</v>
      </c>
      <c r="Y22" s="249">
        <f t="shared" si="9"/>
        <v>6035</v>
      </c>
      <c r="AG22" s="253"/>
    </row>
    <row r="23" spans="1:34" ht="13.15" customHeight="1" x14ac:dyDescent="0.2">
      <c r="A23" s="8">
        <v>42948</v>
      </c>
      <c r="B23">
        <f t="shared" si="1"/>
        <v>2017</v>
      </c>
      <c r="C23" t="s">
        <v>169</v>
      </c>
      <c r="D23" s="249">
        <v>7118</v>
      </c>
      <c r="E23" s="249">
        <v>7207.6</v>
      </c>
      <c r="F23" s="249">
        <v>246.8</v>
      </c>
      <c r="G23" s="249">
        <v>252.1</v>
      </c>
      <c r="H23" s="249">
        <v>764465</v>
      </c>
      <c r="I23" s="249">
        <v>91847.6</v>
      </c>
      <c r="J23" s="249">
        <v>29151.9</v>
      </c>
      <c r="K23" s="249">
        <v>71039.199999999997</v>
      </c>
      <c r="L23" s="249">
        <v>53985.7</v>
      </c>
      <c r="M23" s="7">
        <v>765009</v>
      </c>
      <c r="N23" s="7">
        <v>90558</v>
      </c>
      <c r="O23" s="7">
        <v>13304</v>
      </c>
      <c r="P23" s="7">
        <v>29370</v>
      </c>
      <c r="Q23" s="7">
        <v>71934</v>
      </c>
      <c r="R23" s="249">
        <f t="shared" si="2"/>
        <v>186.80000000000018</v>
      </c>
      <c r="S23" s="249">
        <f t="shared" si="3"/>
        <v>188.90000000000055</v>
      </c>
      <c r="T23" s="249">
        <f t="shared" si="4"/>
        <v>2.2000000000000171</v>
      </c>
      <c r="U23" s="249">
        <f t="shared" si="5"/>
        <v>1.6999999999999886</v>
      </c>
      <c r="V23" s="19">
        <f t="shared" si="6"/>
        <v>20310</v>
      </c>
      <c r="W23" s="249">
        <f t="shared" si="7"/>
        <v>18299</v>
      </c>
      <c r="X23" s="249">
        <f t="shared" si="8"/>
        <v>-841</v>
      </c>
      <c r="Y23" s="249">
        <f t="shared" si="9"/>
        <v>6035</v>
      </c>
      <c r="AA23" s="254"/>
      <c r="AB23" s="255" t="s">
        <v>19</v>
      </c>
      <c r="AC23" s="256" t="s">
        <v>22</v>
      </c>
      <c r="AD23" s="256" t="s">
        <v>21</v>
      </c>
      <c r="AE23" s="256" t="s">
        <v>20</v>
      </c>
      <c r="AF23" s="256" t="s">
        <v>146</v>
      </c>
      <c r="AG23" s="257"/>
    </row>
    <row r="24" spans="1:34" ht="13.15" customHeight="1" x14ac:dyDescent="0.2">
      <c r="A24" s="8">
        <v>42979</v>
      </c>
      <c r="B24">
        <f t="shared" si="1"/>
        <v>2017</v>
      </c>
      <c r="C24" t="s">
        <v>169</v>
      </c>
      <c r="D24" s="249">
        <v>7143.3</v>
      </c>
      <c r="E24" s="249">
        <v>7185.7</v>
      </c>
      <c r="F24" s="249">
        <v>245.3</v>
      </c>
      <c r="G24" s="249">
        <v>247.1</v>
      </c>
      <c r="H24" s="249">
        <v>764465</v>
      </c>
      <c r="I24" s="249">
        <v>91847.6</v>
      </c>
      <c r="J24" s="249">
        <v>29151.9</v>
      </c>
      <c r="K24" s="249">
        <v>71039.199999999997</v>
      </c>
      <c r="L24" s="249">
        <v>53985.7</v>
      </c>
      <c r="M24" s="7">
        <v>765009</v>
      </c>
      <c r="N24" s="7">
        <v>90558</v>
      </c>
      <c r="O24" s="7">
        <v>13304</v>
      </c>
      <c r="P24" s="7">
        <v>29370</v>
      </c>
      <c r="Q24" s="7">
        <v>71934</v>
      </c>
      <c r="R24" s="249">
        <f t="shared" si="2"/>
        <v>213.60000000000036</v>
      </c>
      <c r="S24" s="249">
        <f t="shared" si="3"/>
        <v>212.30000000000018</v>
      </c>
      <c r="T24" s="249">
        <f t="shared" si="4"/>
        <v>-0.79999999999998295</v>
      </c>
      <c r="U24" s="249">
        <f t="shared" si="5"/>
        <v>-0.90000000000000568</v>
      </c>
      <c r="V24" s="19">
        <f t="shared" si="6"/>
        <v>20310</v>
      </c>
      <c r="W24" s="249">
        <f t="shared" si="7"/>
        <v>18299</v>
      </c>
      <c r="X24" s="249">
        <f t="shared" si="8"/>
        <v>-841</v>
      </c>
      <c r="Y24" s="249">
        <f t="shared" si="9"/>
        <v>6035</v>
      </c>
      <c r="AA24" s="258"/>
      <c r="AB24" s="259">
        <v>46150</v>
      </c>
      <c r="AC24" s="259">
        <v>46107</v>
      </c>
      <c r="AD24" s="259">
        <v>46105</v>
      </c>
      <c r="AE24" s="259">
        <v>46099</v>
      </c>
      <c r="AG24" s="260"/>
    </row>
    <row r="25" spans="1:34" ht="13.15" customHeight="1" x14ac:dyDescent="0.25">
      <c r="A25" s="8">
        <v>43009</v>
      </c>
      <c r="B25">
        <f t="shared" si="1"/>
        <v>2017</v>
      </c>
      <c r="C25" t="s">
        <v>170</v>
      </c>
      <c r="D25" s="249">
        <v>7158.3</v>
      </c>
      <c r="E25" s="249">
        <v>7179.8</v>
      </c>
      <c r="F25" s="249">
        <v>245.1</v>
      </c>
      <c r="G25" s="249">
        <v>245.6</v>
      </c>
      <c r="H25" s="249">
        <v>764465</v>
      </c>
      <c r="I25" s="249">
        <v>91847.6</v>
      </c>
      <c r="J25" s="249">
        <v>29151.9</v>
      </c>
      <c r="K25" s="249">
        <v>71039.199999999997</v>
      </c>
      <c r="L25" s="249">
        <v>53985.7</v>
      </c>
      <c r="M25" s="7">
        <v>771506</v>
      </c>
      <c r="N25" s="7">
        <v>91677</v>
      </c>
      <c r="O25" s="7">
        <v>13398</v>
      </c>
      <c r="P25" s="7">
        <v>29018</v>
      </c>
      <c r="Q25" s="7">
        <v>74140</v>
      </c>
      <c r="R25" s="249">
        <f t="shared" si="2"/>
        <v>216.30000000000018</v>
      </c>
      <c r="S25" s="249">
        <f t="shared" si="3"/>
        <v>212.90000000000055</v>
      </c>
      <c r="T25" s="249">
        <f t="shared" si="4"/>
        <v>-1.5</v>
      </c>
      <c r="U25" s="249">
        <f t="shared" si="5"/>
        <v>-1.5</v>
      </c>
      <c r="V25" s="19">
        <f t="shared" si="6"/>
        <v>20310</v>
      </c>
      <c r="W25" s="249">
        <f t="shared" si="7"/>
        <v>26260</v>
      </c>
      <c r="X25" s="249">
        <f t="shared" si="8"/>
        <v>612</v>
      </c>
      <c r="Y25" s="249">
        <f t="shared" si="9"/>
        <v>8887</v>
      </c>
      <c r="Z25" s="262" t="s">
        <v>15</v>
      </c>
      <c r="AA25" s="258">
        <v>2025</v>
      </c>
      <c r="AB25" s="24">
        <v>1.2999999999999999E-2</v>
      </c>
      <c r="AC25" s="24">
        <v>1.2E-2</v>
      </c>
      <c r="AD25" s="24">
        <v>1.2E-2</v>
      </c>
      <c r="AE25" s="24">
        <v>1.4E-2</v>
      </c>
      <c r="AF25" s="49">
        <f>AVERAGE(AB25:AE25)</f>
        <v>1.2750000000000001E-2</v>
      </c>
      <c r="AG25" s="261"/>
    </row>
    <row r="26" spans="1:34" ht="13.15" customHeight="1" x14ac:dyDescent="0.2">
      <c r="A26" s="8">
        <v>43040</v>
      </c>
      <c r="B26">
        <f t="shared" si="1"/>
        <v>2017</v>
      </c>
      <c r="C26" t="s">
        <v>170</v>
      </c>
      <c r="D26" s="249">
        <v>7182.2</v>
      </c>
      <c r="E26" s="249">
        <v>7182.5</v>
      </c>
      <c r="F26" s="249">
        <v>249.3</v>
      </c>
      <c r="G26" s="249">
        <v>247</v>
      </c>
      <c r="H26" s="249">
        <v>764465</v>
      </c>
      <c r="I26" s="249">
        <v>91847.6</v>
      </c>
      <c r="J26" s="249">
        <v>29151.9</v>
      </c>
      <c r="K26" s="249">
        <v>71039.199999999997</v>
      </c>
      <c r="L26" s="249">
        <v>53985.7</v>
      </c>
      <c r="M26" s="7">
        <v>771506</v>
      </c>
      <c r="N26" s="7">
        <v>91677</v>
      </c>
      <c r="O26" s="7">
        <v>13398</v>
      </c>
      <c r="P26" s="7">
        <v>29018</v>
      </c>
      <c r="Q26" s="7">
        <v>74140</v>
      </c>
      <c r="R26" s="249">
        <f t="shared" si="2"/>
        <v>223.19999999999982</v>
      </c>
      <c r="S26" s="249">
        <f t="shared" si="3"/>
        <v>218.19999999999982</v>
      </c>
      <c r="T26" s="249">
        <f t="shared" si="4"/>
        <v>5</v>
      </c>
      <c r="U26" s="249">
        <f t="shared" si="5"/>
        <v>4.6999999999999886</v>
      </c>
      <c r="V26" s="19">
        <f t="shared" si="6"/>
        <v>20310</v>
      </c>
      <c r="W26" s="249">
        <f t="shared" si="7"/>
        <v>26260</v>
      </c>
      <c r="X26" s="249">
        <f t="shared" si="8"/>
        <v>612</v>
      </c>
      <c r="Y26" s="249">
        <f t="shared" si="9"/>
        <v>8887</v>
      </c>
      <c r="Z26" s="26"/>
      <c r="AA26" s="258">
        <v>2026</v>
      </c>
      <c r="AB26" s="189">
        <v>8.0000000000000002E-3</v>
      </c>
      <c r="AC26" s="189">
        <v>8.9999999999999993E-3</v>
      </c>
      <c r="AD26" s="189">
        <v>8.0000000000000002E-3</v>
      </c>
      <c r="AE26" s="189">
        <v>8.9999999999999993E-3</v>
      </c>
      <c r="AF26" s="49">
        <f>AVERAGE(AB26:AE26)</f>
        <v>8.5000000000000006E-3</v>
      </c>
      <c r="AG26" s="261"/>
    </row>
    <row r="27" spans="1:34" ht="13.15" customHeight="1" x14ac:dyDescent="0.2">
      <c r="A27" s="8">
        <v>43070</v>
      </c>
      <c r="B27">
        <f t="shared" si="1"/>
        <v>2017</v>
      </c>
      <c r="C27" t="s">
        <v>170</v>
      </c>
      <c r="D27" s="249">
        <v>7196.8</v>
      </c>
      <c r="E27" s="249">
        <v>7205</v>
      </c>
      <c r="F27" s="249">
        <v>250.7</v>
      </c>
      <c r="G27" s="249">
        <v>248</v>
      </c>
      <c r="H27" s="249">
        <v>764465</v>
      </c>
      <c r="I27" s="249">
        <v>91847.6</v>
      </c>
      <c r="J27" s="249">
        <v>29151.9</v>
      </c>
      <c r="K27" s="249">
        <v>71039.199999999997</v>
      </c>
      <c r="L27" s="249">
        <v>53985.7</v>
      </c>
      <c r="M27" s="7">
        <v>771506</v>
      </c>
      <c r="N27" s="7">
        <v>91677</v>
      </c>
      <c r="O27" s="7">
        <v>13398</v>
      </c>
      <c r="P27" s="7">
        <v>29018</v>
      </c>
      <c r="Q27" s="7">
        <v>74140</v>
      </c>
      <c r="R27" s="249">
        <f t="shared" si="2"/>
        <v>222.40000000000055</v>
      </c>
      <c r="S27" s="249">
        <f t="shared" si="3"/>
        <v>222</v>
      </c>
      <c r="T27" s="249">
        <f t="shared" si="4"/>
        <v>7.5999999999999943</v>
      </c>
      <c r="U27" s="249">
        <f t="shared" si="5"/>
        <v>6.8000000000000114</v>
      </c>
      <c r="V27" s="19">
        <f t="shared" si="6"/>
        <v>20310</v>
      </c>
      <c r="W27" s="249">
        <f t="shared" si="7"/>
        <v>26260</v>
      </c>
      <c r="X27" s="249">
        <f t="shared" si="8"/>
        <v>612</v>
      </c>
      <c r="Y27" s="249">
        <f t="shared" si="9"/>
        <v>8887</v>
      </c>
      <c r="AA27" s="258">
        <v>2027</v>
      </c>
      <c r="AB27" s="189">
        <v>2.1999999999999999E-2</v>
      </c>
      <c r="AC27" s="189">
        <v>1.2999999999999999E-2</v>
      </c>
      <c r="AD27" s="189">
        <v>1.7000000000000001E-2</v>
      </c>
      <c r="AE27" s="189">
        <v>1.7999999999999999E-2</v>
      </c>
      <c r="AF27" s="49">
        <f>AVERAGE(AB27:AE27)</f>
        <v>1.7499999999999998E-2</v>
      </c>
      <c r="AG27" s="260"/>
    </row>
    <row r="28" spans="1:34" ht="13.15" customHeight="1" x14ac:dyDescent="0.2">
      <c r="A28" s="8">
        <v>43101</v>
      </c>
      <c r="B28">
        <f t="shared" si="1"/>
        <v>2018</v>
      </c>
      <c r="C28" t="str">
        <f t="shared" ref="C28:C60" si="10">C16</f>
        <v>Q1</v>
      </c>
      <c r="D28" s="249">
        <v>7195</v>
      </c>
      <c r="E28" s="249">
        <v>7165</v>
      </c>
      <c r="F28" s="249">
        <v>251.3</v>
      </c>
      <c r="G28" s="249">
        <v>247.7</v>
      </c>
      <c r="H28" s="249">
        <v>789828.1</v>
      </c>
      <c r="I28" s="249">
        <v>95159.5</v>
      </c>
      <c r="J28" s="249">
        <v>30609.7</v>
      </c>
      <c r="K28" s="249">
        <v>72894</v>
      </c>
      <c r="L28" s="249">
        <v>57384.800000000003</v>
      </c>
      <c r="M28" s="7">
        <v>779694</v>
      </c>
      <c r="N28" s="7">
        <v>94103</v>
      </c>
      <c r="O28" s="7">
        <v>13370</v>
      </c>
      <c r="P28" s="7">
        <v>28868</v>
      </c>
      <c r="Q28" s="7">
        <v>73963</v>
      </c>
      <c r="R28" s="249">
        <f t="shared" si="2"/>
        <v>196.10000000000036</v>
      </c>
      <c r="S28" s="249">
        <f t="shared" si="3"/>
        <v>196.89999999999964</v>
      </c>
      <c r="T28" s="249">
        <f t="shared" si="4"/>
        <v>9.5</v>
      </c>
      <c r="U28" s="249">
        <f t="shared" si="5"/>
        <v>9</v>
      </c>
      <c r="V28" s="19">
        <f t="shared" si="6"/>
        <v>25363.099999999977</v>
      </c>
      <c r="W28" s="249">
        <f t="shared" si="7"/>
        <v>23024</v>
      </c>
      <c r="X28" s="249">
        <f t="shared" si="8"/>
        <v>1488</v>
      </c>
      <c r="Y28" s="249">
        <f>Q28-Q16</f>
        <v>6847</v>
      </c>
      <c r="AA28" s="258"/>
      <c r="AB28" s="189"/>
      <c r="AF28" s="49"/>
      <c r="AG28" s="260"/>
    </row>
    <row r="29" spans="1:34" ht="13.15" customHeight="1" x14ac:dyDescent="0.25">
      <c r="A29" s="8">
        <v>43132</v>
      </c>
      <c r="B29">
        <f t="shared" si="1"/>
        <v>2018</v>
      </c>
      <c r="C29" t="str">
        <f t="shared" si="10"/>
        <v>Q1</v>
      </c>
      <c r="D29" s="249">
        <v>7183.9</v>
      </c>
      <c r="E29" s="249">
        <v>7116</v>
      </c>
      <c r="F29" s="249">
        <v>253</v>
      </c>
      <c r="G29" s="249">
        <v>250</v>
      </c>
      <c r="H29" s="249">
        <v>789828.1</v>
      </c>
      <c r="I29" s="249">
        <v>95159.5</v>
      </c>
      <c r="J29" s="249">
        <v>30609.7</v>
      </c>
      <c r="K29" s="249">
        <v>72894</v>
      </c>
      <c r="L29" s="249">
        <v>57384.800000000003</v>
      </c>
      <c r="M29" s="7">
        <v>779694</v>
      </c>
      <c r="N29" s="7">
        <v>94103</v>
      </c>
      <c r="O29" s="7">
        <v>13370</v>
      </c>
      <c r="P29" s="7">
        <v>28868</v>
      </c>
      <c r="Q29" s="7">
        <v>73963</v>
      </c>
      <c r="R29" s="249">
        <f t="shared" si="2"/>
        <v>166.59999999999945</v>
      </c>
      <c r="S29" s="249">
        <f t="shared" si="3"/>
        <v>167.60000000000036</v>
      </c>
      <c r="T29" s="249">
        <f t="shared" si="4"/>
        <v>8.5999999999999943</v>
      </c>
      <c r="U29" s="249">
        <f t="shared" si="5"/>
        <v>8.5</v>
      </c>
      <c r="V29" s="19">
        <f t="shared" si="6"/>
        <v>25363.099999999977</v>
      </c>
      <c r="W29" s="249">
        <f t="shared" ref="W29:W92" si="11">M29-M17</f>
        <v>23024</v>
      </c>
      <c r="X29" s="249">
        <f t="shared" ref="X29:X60" si="12">N29-N17</f>
        <v>1488</v>
      </c>
      <c r="Y29" s="249">
        <f t="shared" ref="Y29:Y92" si="13">Q29-Q17</f>
        <v>6847</v>
      </c>
      <c r="AA29" s="263"/>
      <c r="AF29" s="49"/>
      <c r="AG29" s="260"/>
    </row>
    <row r="30" spans="1:34" ht="13.15" customHeight="1" x14ac:dyDescent="0.2">
      <c r="A30" s="8">
        <v>43160</v>
      </c>
      <c r="B30">
        <f t="shared" si="1"/>
        <v>2018</v>
      </c>
      <c r="C30" t="str">
        <f t="shared" si="10"/>
        <v>Q1</v>
      </c>
      <c r="D30" s="249">
        <v>7183.7</v>
      </c>
      <c r="E30" s="249">
        <v>7080.1</v>
      </c>
      <c r="F30" s="249">
        <v>255.1</v>
      </c>
      <c r="G30" s="249">
        <v>251.7</v>
      </c>
      <c r="H30" s="249">
        <v>789828.1</v>
      </c>
      <c r="I30" s="249">
        <v>95159.5</v>
      </c>
      <c r="J30" s="249">
        <v>30609.7</v>
      </c>
      <c r="K30" s="249">
        <v>72894</v>
      </c>
      <c r="L30" s="249">
        <v>57384.800000000003</v>
      </c>
      <c r="M30" s="7">
        <v>779694</v>
      </c>
      <c r="N30" s="7">
        <v>94103</v>
      </c>
      <c r="O30" s="7">
        <v>13370</v>
      </c>
      <c r="P30" s="7">
        <v>28868</v>
      </c>
      <c r="Q30" s="7">
        <v>73963</v>
      </c>
      <c r="R30" s="249">
        <f t="shared" si="2"/>
        <v>148.30000000000018</v>
      </c>
      <c r="S30" s="249">
        <f t="shared" si="3"/>
        <v>146.90000000000055</v>
      </c>
      <c r="T30" s="249">
        <f t="shared" si="4"/>
        <v>7.0999999999999943</v>
      </c>
      <c r="U30" s="249">
        <f t="shared" si="5"/>
        <v>7.3999999999999773</v>
      </c>
      <c r="V30" s="19">
        <f t="shared" si="6"/>
        <v>25363.099999999977</v>
      </c>
      <c r="W30" s="249">
        <f t="shared" si="11"/>
        <v>23024</v>
      </c>
      <c r="X30" s="249">
        <f t="shared" si="12"/>
        <v>1488</v>
      </c>
      <c r="Y30" s="249">
        <f t="shared" si="13"/>
        <v>6847</v>
      </c>
      <c r="Z30" s="26"/>
      <c r="AA30" s="258"/>
      <c r="AB30" s="259">
        <v>46150</v>
      </c>
      <c r="AC30" s="259">
        <v>46107</v>
      </c>
      <c r="AD30" s="259">
        <v>46105</v>
      </c>
      <c r="AE30" s="259">
        <v>46099</v>
      </c>
      <c r="AG30" s="261"/>
    </row>
    <row r="31" spans="1:34" ht="13.15" customHeight="1" x14ac:dyDescent="0.25">
      <c r="A31" s="8">
        <v>43191</v>
      </c>
      <c r="B31">
        <f t="shared" si="1"/>
        <v>2018</v>
      </c>
      <c r="C31" t="str">
        <f t="shared" si="10"/>
        <v>Q2</v>
      </c>
      <c r="D31" s="249">
        <v>7196</v>
      </c>
      <c r="E31" s="249">
        <v>7107.1</v>
      </c>
      <c r="F31" s="249">
        <v>257.89999999999998</v>
      </c>
      <c r="G31" s="249">
        <v>254.4</v>
      </c>
      <c r="H31" s="249">
        <v>789828.1</v>
      </c>
      <c r="I31" s="249">
        <v>95159.5</v>
      </c>
      <c r="J31" s="249">
        <v>30609.7</v>
      </c>
      <c r="K31" s="249">
        <v>72894</v>
      </c>
      <c r="L31" s="249">
        <v>57384.800000000003</v>
      </c>
      <c r="M31" s="7">
        <v>785185</v>
      </c>
      <c r="N31" s="7">
        <v>94344</v>
      </c>
      <c r="O31" s="7">
        <v>13371</v>
      </c>
      <c r="P31" s="7">
        <v>29967</v>
      </c>
      <c r="Q31" s="7">
        <v>73078</v>
      </c>
      <c r="R31" s="249">
        <f t="shared" si="2"/>
        <v>154.19999999999982</v>
      </c>
      <c r="S31" s="249">
        <f t="shared" si="3"/>
        <v>155.20000000000073</v>
      </c>
      <c r="T31" s="249">
        <f t="shared" si="4"/>
        <v>7.1999999999999886</v>
      </c>
      <c r="U31" s="249">
        <f t="shared" si="5"/>
        <v>8.2000000000000171</v>
      </c>
      <c r="V31" s="19">
        <f t="shared" si="6"/>
        <v>25363.099999999977</v>
      </c>
      <c r="W31" s="249">
        <f t="shared" si="11"/>
        <v>20509</v>
      </c>
      <c r="X31" s="249">
        <f t="shared" si="12"/>
        <v>1803</v>
      </c>
      <c r="Y31" s="249">
        <f t="shared" si="13"/>
        <v>2112</v>
      </c>
      <c r="Z31" s="262" t="s">
        <v>18</v>
      </c>
      <c r="AA31" s="258">
        <v>2025</v>
      </c>
      <c r="AB31" s="24">
        <v>0.01</v>
      </c>
      <c r="AC31" s="24">
        <v>0.01</v>
      </c>
      <c r="AD31" s="24">
        <v>0.01</v>
      </c>
      <c r="AE31" s="24">
        <v>0.01</v>
      </c>
      <c r="AF31" s="49">
        <f>AVERAGE(AB31:AE31)</f>
        <v>0.01</v>
      </c>
      <c r="AG31" s="261"/>
    </row>
    <row r="32" spans="1:34" ht="13.15" customHeight="1" x14ac:dyDescent="0.2">
      <c r="A32" s="8">
        <v>43221</v>
      </c>
      <c r="B32">
        <f t="shared" si="1"/>
        <v>2018</v>
      </c>
      <c r="C32" t="str">
        <f t="shared" si="10"/>
        <v>Q2</v>
      </c>
      <c r="D32" s="249">
        <v>7205</v>
      </c>
      <c r="E32" s="249">
        <v>7172.4</v>
      </c>
      <c r="F32" s="249">
        <v>258.10000000000002</v>
      </c>
      <c r="G32" s="249">
        <v>256.60000000000002</v>
      </c>
      <c r="H32" s="249">
        <v>789828.1</v>
      </c>
      <c r="I32" s="249">
        <v>95159.5</v>
      </c>
      <c r="J32" s="249">
        <v>30609.7</v>
      </c>
      <c r="K32" s="249">
        <v>72894</v>
      </c>
      <c r="L32" s="249">
        <v>57384.800000000003</v>
      </c>
      <c r="M32" s="7">
        <v>785185</v>
      </c>
      <c r="N32" s="7">
        <v>94344</v>
      </c>
      <c r="O32" s="7">
        <v>13371</v>
      </c>
      <c r="P32" s="7">
        <v>29967</v>
      </c>
      <c r="Q32" s="7">
        <v>73078</v>
      </c>
      <c r="R32" s="249">
        <f t="shared" si="2"/>
        <v>149.10000000000036</v>
      </c>
      <c r="S32" s="249">
        <f t="shared" si="3"/>
        <v>148.69999999999982</v>
      </c>
      <c r="T32" s="249">
        <f t="shared" si="4"/>
        <v>6.9000000000000341</v>
      </c>
      <c r="U32" s="249">
        <f t="shared" si="5"/>
        <v>7.6000000000000227</v>
      </c>
      <c r="V32" s="19">
        <f t="shared" si="6"/>
        <v>25363.099999999977</v>
      </c>
      <c r="W32" s="249">
        <f t="shared" si="11"/>
        <v>20509</v>
      </c>
      <c r="X32" s="249">
        <f t="shared" si="12"/>
        <v>1803</v>
      </c>
      <c r="Y32" s="249">
        <f t="shared" si="13"/>
        <v>2112</v>
      </c>
      <c r="Z32" s="26"/>
      <c r="AA32" s="258">
        <v>2026</v>
      </c>
      <c r="AB32" s="24">
        <v>-1E-3</v>
      </c>
      <c r="AC32" s="24">
        <v>0</v>
      </c>
      <c r="AD32" s="24">
        <v>2E-3</v>
      </c>
      <c r="AE32" s="24">
        <v>-2E-3</v>
      </c>
      <c r="AF32" s="49">
        <f>AVERAGE(AB32:AE32)</f>
        <v>-2.5000000000000001E-4</v>
      </c>
      <c r="AG32" s="261"/>
    </row>
    <row r="33" spans="1:33" ht="13.15" customHeight="1" x14ac:dyDescent="0.2">
      <c r="A33" s="8">
        <v>43252</v>
      </c>
      <c r="B33">
        <f t="shared" si="1"/>
        <v>2018</v>
      </c>
      <c r="C33" t="str">
        <f t="shared" si="10"/>
        <v>Q2</v>
      </c>
      <c r="D33" s="249">
        <v>7216.7</v>
      </c>
      <c r="E33" s="249">
        <v>7258</v>
      </c>
      <c r="F33" s="249">
        <v>257.60000000000002</v>
      </c>
      <c r="G33" s="249">
        <v>260.5</v>
      </c>
      <c r="H33" s="249">
        <v>789828.1</v>
      </c>
      <c r="I33" s="249">
        <v>95159.5</v>
      </c>
      <c r="J33" s="249">
        <v>30609.7</v>
      </c>
      <c r="K33" s="249">
        <v>72894</v>
      </c>
      <c r="L33" s="249">
        <v>57384.800000000003</v>
      </c>
      <c r="M33" s="7">
        <v>785185</v>
      </c>
      <c r="N33" s="7">
        <v>94344</v>
      </c>
      <c r="O33" s="7">
        <v>13371</v>
      </c>
      <c r="P33" s="7">
        <v>29967</v>
      </c>
      <c r="Q33" s="7">
        <v>73078</v>
      </c>
      <c r="R33" s="249">
        <f t="shared" si="2"/>
        <v>145.69999999999982</v>
      </c>
      <c r="S33" s="249">
        <f t="shared" si="3"/>
        <v>145.10000000000036</v>
      </c>
      <c r="T33" s="249">
        <f t="shared" si="4"/>
        <v>6.7000000000000171</v>
      </c>
      <c r="U33" s="249">
        <f t="shared" si="5"/>
        <v>7.3000000000000114</v>
      </c>
      <c r="V33" s="19">
        <f t="shared" si="6"/>
        <v>25363.099999999977</v>
      </c>
      <c r="W33" s="249">
        <f t="shared" si="11"/>
        <v>20509</v>
      </c>
      <c r="X33" s="249">
        <f t="shared" si="12"/>
        <v>1803</v>
      </c>
      <c r="Y33" s="249">
        <f t="shared" si="13"/>
        <v>2112</v>
      </c>
      <c r="Z33" s="26"/>
      <c r="AA33" s="258">
        <v>2027</v>
      </c>
      <c r="AB33" s="24">
        <v>7.0000000000000001E-3</v>
      </c>
      <c r="AC33" s="24">
        <v>1E-3</v>
      </c>
      <c r="AD33" s="24">
        <v>8.9999999999999993E-3</v>
      </c>
      <c r="AE33" s="24">
        <v>5.0000000000000001E-3</v>
      </c>
      <c r="AF33" s="49">
        <f>AVERAGE(AB33:AE33)</f>
        <v>5.5000000000000005E-3</v>
      </c>
      <c r="AG33" s="261"/>
    </row>
    <row r="34" spans="1:33" ht="13.15" customHeight="1" x14ac:dyDescent="0.2">
      <c r="A34" s="8">
        <v>43282</v>
      </c>
      <c r="B34">
        <f t="shared" si="1"/>
        <v>2018</v>
      </c>
      <c r="C34" t="str">
        <f t="shared" si="10"/>
        <v>Q3</v>
      </c>
      <c r="D34" s="249">
        <v>7249.1</v>
      </c>
      <c r="E34" s="249">
        <v>7338.7</v>
      </c>
      <c r="F34" s="249">
        <v>258.89999999999998</v>
      </c>
      <c r="G34" s="249">
        <v>264.60000000000002</v>
      </c>
      <c r="H34" s="249">
        <v>789828.1</v>
      </c>
      <c r="I34" s="249">
        <v>95159.5</v>
      </c>
      <c r="J34" s="249">
        <v>30609.7</v>
      </c>
      <c r="K34" s="249">
        <v>72894</v>
      </c>
      <c r="L34" s="249">
        <v>57384.800000000003</v>
      </c>
      <c r="M34" s="7">
        <v>794512</v>
      </c>
      <c r="N34" s="7">
        <v>96068</v>
      </c>
      <c r="O34" s="7">
        <v>13890</v>
      </c>
      <c r="P34" s="7">
        <v>31260</v>
      </c>
      <c r="Q34" s="7">
        <v>72324</v>
      </c>
      <c r="R34" s="249">
        <f t="shared" si="2"/>
        <v>150</v>
      </c>
      <c r="S34" s="249">
        <f t="shared" si="3"/>
        <v>152</v>
      </c>
      <c r="T34" s="249">
        <f t="shared" si="4"/>
        <v>8.7999999999999829</v>
      </c>
      <c r="U34" s="249">
        <f t="shared" si="5"/>
        <v>9.1000000000000227</v>
      </c>
      <c r="V34" s="19">
        <f t="shared" si="6"/>
        <v>25363.099999999977</v>
      </c>
      <c r="W34" s="249">
        <f t="shared" si="11"/>
        <v>29503</v>
      </c>
      <c r="X34" s="249">
        <f t="shared" si="12"/>
        <v>5510</v>
      </c>
      <c r="Y34" s="249">
        <f t="shared" si="13"/>
        <v>390</v>
      </c>
      <c r="AA34" s="264"/>
      <c r="AB34" s="265"/>
      <c r="AC34" s="265"/>
      <c r="AD34" s="265"/>
      <c r="AE34" s="265"/>
      <c r="AF34" s="266"/>
      <c r="AG34" s="267"/>
    </row>
    <row r="35" spans="1:33" ht="13.15" customHeight="1" x14ac:dyDescent="0.2">
      <c r="A35" s="8">
        <v>43313</v>
      </c>
      <c r="B35">
        <f t="shared" si="1"/>
        <v>2018</v>
      </c>
      <c r="C35" t="str">
        <f t="shared" si="10"/>
        <v>Q3</v>
      </c>
      <c r="D35" s="249">
        <v>7257.7</v>
      </c>
      <c r="E35" s="249">
        <v>7350.2</v>
      </c>
      <c r="F35" s="249">
        <v>260.10000000000002</v>
      </c>
      <c r="G35" s="249">
        <v>266</v>
      </c>
      <c r="H35" s="249">
        <v>789828.1</v>
      </c>
      <c r="I35" s="249">
        <v>95159.5</v>
      </c>
      <c r="J35" s="249">
        <v>30609.7</v>
      </c>
      <c r="K35" s="249">
        <v>72894</v>
      </c>
      <c r="L35" s="249">
        <v>57384.800000000003</v>
      </c>
      <c r="M35" s="7">
        <v>794512</v>
      </c>
      <c r="N35" s="7">
        <v>96068</v>
      </c>
      <c r="O35" s="7">
        <v>13890</v>
      </c>
      <c r="P35" s="7">
        <v>31260</v>
      </c>
      <c r="Q35" s="7">
        <v>72324</v>
      </c>
      <c r="R35" s="249">
        <f t="shared" si="2"/>
        <v>139.69999999999982</v>
      </c>
      <c r="S35" s="249">
        <f t="shared" si="3"/>
        <v>142.59999999999945</v>
      </c>
      <c r="T35" s="249">
        <f t="shared" si="4"/>
        <v>13.300000000000011</v>
      </c>
      <c r="U35" s="249">
        <f t="shared" si="5"/>
        <v>13.900000000000006</v>
      </c>
      <c r="V35" s="19">
        <f t="shared" si="6"/>
        <v>25363.099999999977</v>
      </c>
      <c r="W35" s="249">
        <f t="shared" si="11"/>
        <v>29503</v>
      </c>
      <c r="X35" s="249">
        <f t="shared" si="12"/>
        <v>5510</v>
      </c>
      <c r="Y35" s="249">
        <f t="shared" si="13"/>
        <v>390</v>
      </c>
    </row>
    <row r="36" spans="1:33" ht="13.15" customHeight="1" x14ac:dyDescent="0.2">
      <c r="A36" s="8">
        <v>43344</v>
      </c>
      <c r="B36">
        <f t="shared" si="1"/>
        <v>2018</v>
      </c>
      <c r="C36" t="str">
        <f t="shared" si="10"/>
        <v>Q3</v>
      </c>
      <c r="D36" s="249">
        <v>7273.8</v>
      </c>
      <c r="E36" s="249">
        <v>7316.6</v>
      </c>
      <c r="F36" s="249">
        <v>262.2</v>
      </c>
      <c r="G36" s="249">
        <v>264.8</v>
      </c>
      <c r="H36" s="249">
        <v>789828.1</v>
      </c>
      <c r="I36" s="249">
        <v>95159.5</v>
      </c>
      <c r="J36" s="249">
        <v>30609.7</v>
      </c>
      <c r="K36" s="249">
        <v>72894</v>
      </c>
      <c r="L36" s="249">
        <v>57384.800000000003</v>
      </c>
      <c r="M36" s="7">
        <v>794512</v>
      </c>
      <c r="N36" s="7">
        <v>96068</v>
      </c>
      <c r="O36" s="7">
        <v>13890</v>
      </c>
      <c r="P36" s="7">
        <v>31260</v>
      </c>
      <c r="Q36" s="7">
        <v>72324</v>
      </c>
      <c r="R36" s="249">
        <f t="shared" si="2"/>
        <v>130.5</v>
      </c>
      <c r="S36" s="249">
        <f t="shared" si="3"/>
        <v>130.90000000000055</v>
      </c>
      <c r="T36" s="249">
        <f t="shared" si="4"/>
        <v>16.899999999999977</v>
      </c>
      <c r="U36" s="249">
        <f t="shared" si="5"/>
        <v>17.700000000000017</v>
      </c>
      <c r="V36" s="19">
        <f t="shared" si="6"/>
        <v>25363.099999999977</v>
      </c>
      <c r="W36" s="249">
        <f t="shared" si="11"/>
        <v>29503</v>
      </c>
      <c r="X36" s="249">
        <f t="shared" si="12"/>
        <v>5510</v>
      </c>
      <c r="Y36" s="249">
        <f t="shared" si="13"/>
        <v>390</v>
      </c>
      <c r="Z36" s="268" t="s">
        <v>401</v>
      </c>
      <c r="AA36" s="269"/>
      <c r="AB36" s="270" t="s">
        <v>528</v>
      </c>
      <c r="AC36" s="351" t="s">
        <v>526</v>
      </c>
      <c r="AD36" s="270" t="s">
        <v>527</v>
      </c>
      <c r="AE36" s="270" t="s">
        <v>499</v>
      </c>
      <c r="AF36" s="270"/>
      <c r="AG36" s="270"/>
    </row>
    <row r="37" spans="1:33" ht="13.15" customHeight="1" x14ac:dyDescent="0.2">
      <c r="A37" s="8">
        <v>43374</v>
      </c>
      <c r="B37">
        <f t="shared" si="1"/>
        <v>2018</v>
      </c>
      <c r="C37" t="str">
        <f t="shared" si="10"/>
        <v>Q4</v>
      </c>
      <c r="D37" s="249">
        <v>7269.1</v>
      </c>
      <c r="E37" s="249">
        <v>7285.3</v>
      </c>
      <c r="F37" s="249">
        <v>263</v>
      </c>
      <c r="G37" s="249">
        <v>263.3</v>
      </c>
      <c r="H37" s="249">
        <v>789828.1</v>
      </c>
      <c r="I37" s="249">
        <v>95159.5</v>
      </c>
      <c r="J37" s="249">
        <v>30609.7</v>
      </c>
      <c r="K37" s="249">
        <v>72894</v>
      </c>
      <c r="L37" s="249">
        <v>57384.800000000003</v>
      </c>
      <c r="M37" s="7">
        <v>799922</v>
      </c>
      <c r="N37" s="7">
        <v>96123</v>
      </c>
      <c r="O37" s="7">
        <v>13379</v>
      </c>
      <c r="P37" s="7">
        <v>32344</v>
      </c>
      <c r="Q37" s="7">
        <v>72211</v>
      </c>
      <c r="R37" s="249">
        <f t="shared" si="2"/>
        <v>110.80000000000018</v>
      </c>
      <c r="S37" s="249">
        <f t="shared" si="3"/>
        <v>105.5</v>
      </c>
      <c r="T37" s="249">
        <f t="shared" si="4"/>
        <v>17.900000000000006</v>
      </c>
      <c r="U37" s="249">
        <f t="shared" si="5"/>
        <v>17.700000000000017</v>
      </c>
      <c r="V37" s="19">
        <f t="shared" si="6"/>
        <v>25363.099999999977</v>
      </c>
      <c r="W37" s="249">
        <f t="shared" si="11"/>
        <v>28416</v>
      </c>
      <c r="X37" s="249">
        <f t="shared" si="12"/>
        <v>4446</v>
      </c>
      <c r="Y37" s="249">
        <f t="shared" si="13"/>
        <v>-1929</v>
      </c>
      <c r="AA37" s="271"/>
      <c r="AB37" s="270"/>
      <c r="AC37" s="270"/>
      <c r="AD37" s="270"/>
      <c r="AE37" s="270"/>
      <c r="AF37" s="270"/>
      <c r="AG37" s="270"/>
    </row>
    <row r="38" spans="1:33" ht="13.15" customHeight="1" x14ac:dyDescent="0.2">
      <c r="A38" s="8">
        <v>43405</v>
      </c>
      <c r="B38">
        <f t="shared" si="1"/>
        <v>2018</v>
      </c>
      <c r="C38" t="str">
        <f t="shared" si="10"/>
        <v>Q4</v>
      </c>
      <c r="D38" s="249">
        <v>7289.9</v>
      </c>
      <c r="E38" s="249">
        <v>7286.3</v>
      </c>
      <c r="F38" s="249">
        <v>261.2</v>
      </c>
      <c r="G38" s="249">
        <v>258.39999999999998</v>
      </c>
      <c r="H38" s="249">
        <v>789828.1</v>
      </c>
      <c r="I38" s="249">
        <v>95159.5</v>
      </c>
      <c r="J38" s="249">
        <v>30609.7</v>
      </c>
      <c r="K38" s="249">
        <v>72894</v>
      </c>
      <c r="L38" s="249">
        <v>57384.800000000003</v>
      </c>
      <c r="M38" s="7">
        <v>799922</v>
      </c>
      <c r="N38" s="7">
        <v>96123</v>
      </c>
      <c r="O38" s="7">
        <v>13379</v>
      </c>
      <c r="P38" s="7">
        <v>32344</v>
      </c>
      <c r="Q38" s="7">
        <v>72211</v>
      </c>
      <c r="R38" s="249">
        <f t="shared" si="2"/>
        <v>107.69999999999982</v>
      </c>
      <c r="S38" s="249">
        <f t="shared" si="3"/>
        <v>103.80000000000018</v>
      </c>
      <c r="T38" s="249">
        <f t="shared" si="4"/>
        <v>11.899999999999977</v>
      </c>
      <c r="U38" s="249">
        <f t="shared" si="5"/>
        <v>11.399999999999977</v>
      </c>
      <c r="V38" s="19">
        <f t="shared" si="6"/>
        <v>25363.099999999977</v>
      </c>
      <c r="W38" s="249">
        <f t="shared" si="11"/>
        <v>28416</v>
      </c>
      <c r="X38" s="249">
        <f t="shared" si="12"/>
        <v>4446</v>
      </c>
      <c r="Y38" s="249">
        <f t="shared" si="13"/>
        <v>-1929</v>
      </c>
    </row>
    <row r="39" spans="1:33" ht="13.15" customHeight="1" x14ac:dyDescent="0.2">
      <c r="A39" s="8">
        <v>43435</v>
      </c>
      <c r="B39">
        <f t="shared" si="1"/>
        <v>2018</v>
      </c>
      <c r="C39" t="str">
        <f t="shared" si="10"/>
        <v>Q4</v>
      </c>
      <c r="D39" s="249">
        <v>7296.4</v>
      </c>
      <c r="E39" s="249">
        <v>7306.9</v>
      </c>
      <c r="F39" s="249">
        <v>260.39999999999998</v>
      </c>
      <c r="G39" s="249">
        <v>257.10000000000002</v>
      </c>
      <c r="H39" s="249">
        <v>789828.1</v>
      </c>
      <c r="I39" s="249">
        <v>95159.5</v>
      </c>
      <c r="J39" s="249">
        <v>30609.7</v>
      </c>
      <c r="K39" s="249">
        <v>72894</v>
      </c>
      <c r="L39" s="249">
        <v>57384.800000000003</v>
      </c>
      <c r="M39" s="7">
        <v>799922</v>
      </c>
      <c r="N39" s="7">
        <v>96123</v>
      </c>
      <c r="O39" s="7">
        <v>13379</v>
      </c>
      <c r="P39" s="7">
        <v>32344</v>
      </c>
      <c r="Q39" s="7">
        <v>72211</v>
      </c>
      <c r="R39" s="249">
        <f t="shared" si="2"/>
        <v>99.599999999999454</v>
      </c>
      <c r="S39" s="249">
        <f t="shared" si="3"/>
        <v>101.89999999999964</v>
      </c>
      <c r="T39" s="249">
        <f t="shared" si="4"/>
        <v>9.6999999999999886</v>
      </c>
      <c r="U39" s="249">
        <f t="shared" si="5"/>
        <v>9.1000000000000227</v>
      </c>
      <c r="V39" s="19">
        <f t="shared" si="6"/>
        <v>25363.099999999977</v>
      </c>
      <c r="W39" s="249">
        <f t="shared" si="11"/>
        <v>28416</v>
      </c>
      <c r="X39" s="249">
        <f t="shared" si="12"/>
        <v>4446</v>
      </c>
      <c r="Y39" s="249">
        <f t="shared" si="13"/>
        <v>-1929</v>
      </c>
    </row>
    <row r="40" spans="1:33" ht="13.15" customHeight="1" x14ac:dyDescent="0.2">
      <c r="A40" s="8">
        <v>43466</v>
      </c>
      <c r="B40">
        <f t="shared" ref="B40:B99" si="14">YEAR(A40)</f>
        <v>2019</v>
      </c>
      <c r="C40" t="str">
        <f t="shared" si="10"/>
        <v>Q1</v>
      </c>
      <c r="D40" s="249">
        <v>7306.5</v>
      </c>
      <c r="E40" s="249">
        <v>7280.1</v>
      </c>
      <c r="F40" s="249">
        <v>259.60000000000002</v>
      </c>
      <c r="G40" s="249">
        <v>255.8</v>
      </c>
      <c r="H40" s="249">
        <v>807583.1</v>
      </c>
      <c r="I40" s="249">
        <v>94617.3</v>
      </c>
      <c r="J40" s="249">
        <v>33264.1</v>
      </c>
      <c r="K40" s="249">
        <v>75322.899999999994</v>
      </c>
      <c r="L40" s="249">
        <v>59802.7</v>
      </c>
      <c r="M40" s="7">
        <v>800743</v>
      </c>
      <c r="N40" s="7">
        <v>95928</v>
      </c>
      <c r="O40" s="7">
        <v>13861</v>
      </c>
      <c r="P40" s="7">
        <v>32453</v>
      </c>
      <c r="Q40" s="7">
        <v>73144</v>
      </c>
      <c r="R40" s="249">
        <f t="shared" si="2"/>
        <v>111.5</v>
      </c>
      <c r="S40" s="249">
        <f t="shared" si="3"/>
        <v>115.10000000000036</v>
      </c>
      <c r="T40" s="249">
        <f t="shared" si="4"/>
        <v>8.3000000000000114</v>
      </c>
      <c r="U40" s="249">
        <f t="shared" si="5"/>
        <v>8.1000000000000227</v>
      </c>
      <c r="V40" s="19">
        <f t="shared" si="6"/>
        <v>17755</v>
      </c>
      <c r="W40" s="249">
        <f t="shared" si="11"/>
        <v>21049</v>
      </c>
      <c r="X40" s="249">
        <f t="shared" si="12"/>
        <v>1825</v>
      </c>
      <c r="Y40" s="249">
        <f t="shared" si="13"/>
        <v>-819</v>
      </c>
      <c r="Z40" s="9"/>
      <c r="AA40" s="272"/>
      <c r="AB40" s="270"/>
      <c r="AC40" s="270"/>
      <c r="AD40" s="270"/>
      <c r="AE40" s="270"/>
      <c r="AF40" s="270"/>
      <c r="AG40" s="270"/>
    </row>
    <row r="41" spans="1:33" ht="13.15" customHeight="1" x14ac:dyDescent="0.2">
      <c r="A41" s="8">
        <v>43497</v>
      </c>
      <c r="B41">
        <f t="shared" si="14"/>
        <v>2019</v>
      </c>
      <c r="C41" t="str">
        <f t="shared" si="10"/>
        <v>Q1</v>
      </c>
      <c r="D41" s="249">
        <v>7329.7</v>
      </c>
      <c r="E41" s="249">
        <v>7264.2</v>
      </c>
      <c r="F41" s="249">
        <v>258.3</v>
      </c>
      <c r="G41" s="249">
        <v>255.3</v>
      </c>
      <c r="H41" s="249">
        <v>807583.1</v>
      </c>
      <c r="I41" s="249">
        <v>94617.3</v>
      </c>
      <c r="J41" s="249">
        <v>33264.1</v>
      </c>
      <c r="K41" s="249">
        <v>75322.899999999994</v>
      </c>
      <c r="L41" s="249">
        <v>59802.7</v>
      </c>
      <c r="M41" s="7">
        <v>800743</v>
      </c>
      <c r="N41" s="7">
        <v>95928</v>
      </c>
      <c r="O41" s="7">
        <v>13861</v>
      </c>
      <c r="P41" s="7">
        <v>32453</v>
      </c>
      <c r="Q41" s="7">
        <v>73144</v>
      </c>
      <c r="R41" s="249">
        <f t="shared" si="2"/>
        <v>145.80000000000018</v>
      </c>
      <c r="S41" s="249">
        <f t="shared" si="3"/>
        <v>148.19999999999982</v>
      </c>
      <c r="T41" s="249">
        <f t="shared" si="4"/>
        <v>5.3000000000000114</v>
      </c>
      <c r="U41" s="249">
        <f t="shared" si="5"/>
        <v>5.3000000000000114</v>
      </c>
      <c r="V41" s="19">
        <f t="shared" si="6"/>
        <v>17755</v>
      </c>
      <c r="W41" s="249">
        <f t="shared" si="11"/>
        <v>21049</v>
      </c>
      <c r="X41" s="249">
        <f t="shared" si="12"/>
        <v>1825</v>
      </c>
      <c r="Y41" s="249">
        <f t="shared" si="13"/>
        <v>-819</v>
      </c>
      <c r="AB41" s="273"/>
      <c r="AC41" s="273"/>
      <c r="AD41" s="273"/>
      <c r="AE41" s="273"/>
    </row>
    <row r="42" spans="1:33" ht="13.15" customHeight="1" x14ac:dyDescent="0.2">
      <c r="A42" s="8">
        <v>43525</v>
      </c>
      <c r="B42">
        <f t="shared" si="14"/>
        <v>2019</v>
      </c>
      <c r="C42" t="str">
        <f t="shared" si="10"/>
        <v>Q1</v>
      </c>
      <c r="D42" s="249">
        <v>7341.9</v>
      </c>
      <c r="E42" s="249">
        <v>7239.5</v>
      </c>
      <c r="F42" s="249">
        <v>255.6</v>
      </c>
      <c r="G42" s="249">
        <v>252.3</v>
      </c>
      <c r="H42" s="249">
        <v>807583.1</v>
      </c>
      <c r="I42" s="249">
        <v>94617.3</v>
      </c>
      <c r="J42" s="249">
        <v>33264.1</v>
      </c>
      <c r="K42" s="249">
        <v>75322.899999999994</v>
      </c>
      <c r="L42" s="249">
        <v>59802.7</v>
      </c>
      <c r="M42" s="7">
        <v>800743</v>
      </c>
      <c r="N42" s="7">
        <v>95928</v>
      </c>
      <c r="O42" s="7">
        <v>13861</v>
      </c>
      <c r="P42" s="7">
        <v>32453</v>
      </c>
      <c r="Q42" s="7">
        <v>73144</v>
      </c>
      <c r="R42" s="249">
        <f t="shared" si="2"/>
        <v>158.19999999999982</v>
      </c>
      <c r="S42" s="249">
        <f t="shared" si="3"/>
        <v>159.39999999999964</v>
      </c>
      <c r="T42" s="249">
        <f t="shared" si="4"/>
        <v>0.5</v>
      </c>
      <c r="U42" s="249">
        <f t="shared" si="5"/>
        <v>0.60000000000002274</v>
      </c>
      <c r="V42" s="19">
        <f t="shared" si="6"/>
        <v>17755</v>
      </c>
      <c r="W42" s="249">
        <f t="shared" si="11"/>
        <v>21049</v>
      </c>
      <c r="X42" s="249">
        <f t="shared" si="12"/>
        <v>1825</v>
      </c>
      <c r="Y42" s="249">
        <f t="shared" si="13"/>
        <v>-819</v>
      </c>
      <c r="AB42" s="273"/>
      <c r="AC42" s="273"/>
      <c r="AD42" s="273"/>
      <c r="AE42" s="273"/>
      <c r="AF42" s="274"/>
    </row>
    <row r="43" spans="1:33" ht="13.15" customHeight="1" x14ac:dyDescent="0.2">
      <c r="A43" s="8">
        <v>43556</v>
      </c>
      <c r="B43">
        <f t="shared" si="14"/>
        <v>2019</v>
      </c>
      <c r="C43" t="str">
        <f t="shared" si="10"/>
        <v>Q2</v>
      </c>
      <c r="D43" s="249">
        <v>7361.6</v>
      </c>
      <c r="E43" s="249">
        <v>7275.7</v>
      </c>
      <c r="F43" s="249">
        <v>253</v>
      </c>
      <c r="G43" s="249">
        <v>250</v>
      </c>
      <c r="H43" s="249">
        <v>807583.1</v>
      </c>
      <c r="I43" s="249">
        <v>94617.3</v>
      </c>
      <c r="J43" s="249">
        <v>33264.1</v>
      </c>
      <c r="K43" s="249">
        <v>75322.899999999994</v>
      </c>
      <c r="L43" s="249">
        <v>59802.7</v>
      </c>
      <c r="M43" s="7">
        <v>806729</v>
      </c>
      <c r="N43" s="7">
        <v>95147</v>
      </c>
      <c r="O43" s="7">
        <v>14072</v>
      </c>
      <c r="P43" s="7">
        <v>32981</v>
      </c>
      <c r="Q43" s="7">
        <v>74644</v>
      </c>
      <c r="R43" s="249">
        <f t="shared" si="2"/>
        <v>165.60000000000036</v>
      </c>
      <c r="S43" s="249">
        <f t="shared" si="3"/>
        <v>168.59999999999945</v>
      </c>
      <c r="T43" s="249">
        <f t="shared" si="4"/>
        <v>-4.8999999999999773</v>
      </c>
      <c r="U43" s="249">
        <f t="shared" si="5"/>
        <v>-4.4000000000000057</v>
      </c>
      <c r="V43" s="19">
        <f t="shared" si="6"/>
        <v>17755</v>
      </c>
      <c r="W43" s="249">
        <f t="shared" si="11"/>
        <v>21544</v>
      </c>
      <c r="X43" s="249">
        <f t="shared" si="12"/>
        <v>803</v>
      </c>
      <c r="Y43" s="249">
        <f t="shared" si="13"/>
        <v>1566</v>
      </c>
      <c r="AB43" s="273"/>
      <c r="AC43" s="273"/>
      <c r="AD43" s="273"/>
      <c r="AE43" s="273"/>
    </row>
    <row r="44" spans="1:33" ht="13.15" customHeight="1" x14ac:dyDescent="0.2">
      <c r="A44" s="8">
        <v>43586</v>
      </c>
      <c r="B44">
        <f t="shared" si="14"/>
        <v>2019</v>
      </c>
      <c r="C44" t="str">
        <f t="shared" si="10"/>
        <v>Q2</v>
      </c>
      <c r="D44" s="249">
        <v>7376.4</v>
      </c>
      <c r="E44" s="249">
        <v>7345.7</v>
      </c>
      <c r="F44" s="249">
        <v>248.9</v>
      </c>
      <c r="G44" s="249">
        <v>247.5</v>
      </c>
      <c r="H44" s="249">
        <v>807583.1</v>
      </c>
      <c r="I44" s="249">
        <v>94617.3</v>
      </c>
      <c r="J44" s="249">
        <v>33264.1</v>
      </c>
      <c r="K44" s="249">
        <v>75322.899999999994</v>
      </c>
      <c r="L44" s="249">
        <v>59802.7</v>
      </c>
      <c r="M44" s="7">
        <v>806729</v>
      </c>
      <c r="N44" s="7">
        <v>95147</v>
      </c>
      <c r="O44" s="7">
        <v>14072</v>
      </c>
      <c r="P44" s="7">
        <v>32981</v>
      </c>
      <c r="Q44" s="7">
        <v>74644</v>
      </c>
      <c r="R44" s="249">
        <f t="shared" si="2"/>
        <v>171.39999999999964</v>
      </c>
      <c r="S44" s="249">
        <f t="shared" si="3"/>
        <v>173.30000000000018</v>
      </c>
      <c r="T44" s="249">
        <f t="shared" si="4"/>
        <v>-9.2000000000000171</v>
      </c>
      <c r="U44" s="249">
        <f t="shared" si="5"/>
        <v>-9.1000000000000227</v>
      </c>
      <c r="V44" s="19">
        <f t="shared" si="6"/>
        <v>17755</v>
      </c>
      <c r="W44" s="249">
        <f t="shared" si="11"/>
        <v>21544</v>
      </c>
      <c r="X44" s="249">
        <f t="shared" si="12"/>
        <v>803</v>
      </c>
      <c r="Y44" s="249">
        <f t="shared" si="13"/>
        <v>1566</v>
      </c>
      <c r="AD44" s="49"/>
      <c r="AF44" s="8"/>
    </row>
    <row r="45" spans="1:33" ht="13.15" customHeight="1" x14ac:dyDescent="0.2">
      <c r="A45" s="8">
        <v>43617</v>
      </c>
      <c r="B45">
        <f t="shared" si="14"/>
        <v>2019</v>
      </c>
      <c r="C45" t="str">
        <f t="shared" si="10"/>
        <v>Q2</v>
      </c>
      <c r="D45" s="249">
        <v>7396.1</v>
      </c>
      <c r="E45" s="249">
        <v>7436.8</v>
      </c>
      <c r="F45" s="249">
        <v>248.6</v>
      </c>
      <c r="G45" s="249">
        <v>250.7</v>
      </c>
      <c r="H45" s="249">
        <v>807583.1</v>
      </c>
      <c r="I45" s="249">
        <v>94617.3</v>
      </c>
      <c r="J45" s="249">
        <v>33264.1</v>
      </c>
      <c r="K45" s="249">
        <v>75322.899999999994</v>
      </c>
      <c r="L45" s="249">
        <v>59802.7</v>
      </c>
      <c r="M45" s="7">
        <v>806729</v>
      </c>
      <c r="N45" s="7">
        <v>95147</v>
      </c>
      <c r="O45" s="7">
        <v>14072</v>
      </c>
      <c r="P45" s="7">
        <v>32981</v>
      </c>
      <c r="Q45" s="7">
        <v>74644</v>
      </c>
      <c r="R45" s="249">
        <f t="shared" si="2"/>
        <v>179.40000000000055</v>
      </c>
      <c r="S45" s="249">
        <f t="shared" si="3"/>
        <v>178.80000000000018</v>
      </c>
      <c r="T45" s="249">
        <f t="shared" si="4"/>
        <v>-9.0000000000000284</v>
      </c>
      <c r="U45" s="249">
        <f t="shared" si="5"/>
        <v>-9.8000000000000114</v>
      </c>
      <c r="V45" s="19">
        <f t="shared" si="6"/>
        <v>17755</v>
      </c>
      <c r="W45" s="249">
        <f t="shared" si="11"/>
        <v>21544</v>
      </c>
      <c r="X45" s="249">
        <f t="shared" si="12"/>
        <v>803</v>
      </c>
      <c r="Y45" s="249">
        <f t="shared" si="13"/>
        <v>1566</v>
      </c>
      <c r="AF45" s="8"/>
    </row>
    <row r="46" spans="1:33" ht="13.15" customHeight="1" x14ac:dyDescent="0.2">
      <c r="A46" s="8">
        <v>43647</v>
      </c>
      <c r="B46">
        <f t="shared" si="14"/>
        <v>2019</v>
      </c>
      <c r="C46" t="str">
        <f t="shared" si="10"/>
        <v>Q3</v>
      </c>
      <c r="D46" s="249">
        <v>7399.6</v>
      </c>
      <c r="E46" s="249">
        <v>7484.5</v>
      </c>
      <c r="F46" s="249">
        <v>246.4</v>
      </c>
      <c r="G46" s="249">
        <v>250.8</v>
      </c>
      <c r="H46" s="249">
        <v>807583.1</v>
      </c>
      <c r="I46" s="249">
        <v>94617.3</v>
      </c>
      <c r="J46" s="249">
        <v>33264.1</v>
      </c>
      <c r="K46" s="249">
        <v>75322.899999999994</v>
      </c>
      <c r="L46" s="249">
        <v>59802.7</v>
      </c>
      <c r="M46" s="7">
        <v>810697</v>
      </c>
      <c r="N46" s="7">
        <v>94481</v>
      </c>
      <c r="O46" s="7">
        <v>14434</v>
      </c>
      <c r="P46" s="7">
        <v>33438</v>
      </c>
      <c r="Q46" s="7">
        <v>75909</v>
      </c>
      <c r="R46" s="249">
        <f t="shared" si="2"/>
        <v>150.5</v>
      </c>
      <c r="S46" s="249">
        <f t="shared" si="3"/>
        <v>145.80000000000018</v>
      </c>
      <c r="T46" s="249">
        <f t="shared" si="4"/>
        <v>-12.499999999999972</v>
      </c>
      <c r="U46" s="249">
        <f t="shared" si="5"/>
        <v>-13.800000000000011</v>
      </c>
      <c r="V46" s="19">
        <f t="shared" si="6"/>
        <v>17755</v>
      </c>
      <c r="W46" s="249">
        <f t="shared" si="11"/>
        <v>16185</v>
      </c>
      <c r="X46" s="249">
        <f t="shared" si="12"/>
        <v>-1587</v>
      </c>
      <c r="Y46" s="249">
        <f t="shared" si="13"/>
        <v>3585</v>
      </c>
      <c r="AF46" s="8"/>
    </row>
    <row r="47" spans="1:33" ht="13.15" customHeight="1" x14ac:dyDescent="0.2">
      <c r="A47" s="8">
        <v>43678</v>
      </c>
      <c r="B47">
        <f t="shared" si="14"/>
        <v>2019</v>
      </c>
      <c r="C47" t="str">
        <f t="shared" si="10"/>
        <v>Q3</v>
      </c>
      <c r="D47" s="249">
        <v>7414</v>
      </c>
      <c r="E47" s="249">
        <v>7501.5</v>
      </c>
      <c r="F47" s="249">
        <v>251.4</v>
      </c>
      <c r="G47" s="249">
        <v>256.39999999999998</v>
      </c>
      <c r="H47" s="249">
        <v>807583.1</v>
      </c>
      <c r="I47" s="249">
        <v>94617.3</v>
      </c>
      <c r="J47" s="249">
        <v>33264.1</v>
      </c>
      <c r="K47" s="249">
        <v>75322.899999999994</v>
      </c>
      <c r="L47" s="249">
        <v>59802.7</v>
      </c>
      <c r="M47" s="7">
        <v>810697</v>
      </c>
      <c r="N47" s="7">
        <v>94481</v>
      </c>
      <c r="O47" s="7">
        <v>14434</v>
      </c>
      <c r="P47" s="7">
        <v>33438</v>
      </c>
      <c r="Q47" s="7">
        <v>75909</v>
      </c>
      <c r="R47" s="249">
        <f t="shared" si="2"/>
        <v>156.30000000000018</v>
      </c>
      <c r="S47" s="249">
        <f t="shared" si="3"/>
        <v>151.30000000000018</v>
      </c>
      <c r="T47" s="249">
        <f t="shared" si="4"/>
        <v>-8.7000000000000171</v>
      </c>
      <c r="U47" s="249">
        <f t="shared" si="5"/>
        <v>-9.6000000000000227</v>
      </c>
      <c r="V47" s="19">
        <f t="shared" si="6"/>
        <v>17755</v>
      </c>
      <c r="W47" s="249">
        <f t="shared" si="11"/>
        <v>16185</v>
      </c>
      <c r="X47" s="249">
        <f t="shared" si="12"/>
        <v>-1587</v>
      </c>
      <c r="Y47" s="249">
        <f t="shared" si="13"/>
        <v>3585</v>
      </c>
      <c r="AF47" s="8"/>
    </row>
    <row r="48" spans="1:33" ht="13.15" customHeight="1" x14ac:dyDescent="0.2">
      <c r="A48" s="8">
        <v>43709</v>
      </c>
      <c r="B48">
        <f t="shared" si="14"/>
        <v>2019</v>
      </c>
      <c r="C48" t="str">
        <f t="shared" si="10"/>
        <v>Q3</v>
      </c>
      <c r="D48" s="249">
        <v>7432.4</v>
      </c>
      <c r="E48" s="249">
        <v>7489.3</v>
      </c>
      <c r="F48" s="249">
        <v>255.2</v>
      </c>
      <c r="G48" s="249">
        <v>257.60000000000002</v>
      </c>
      <c r="H48" s="249">
        <v>807583.1</v>
      </c>
      <c r="I48" s="249">
        <v>94617.3</v>
      </c>
      <c r="J48" s="249">
        <v>33264.1</v>
      </c>
      <c r="K48" s="249">
        <v>75322.899999999994</v>
      </c>
      <c r="L48" s="249">
        <v>59802.7</v>
      </c>
      <c r="M48" s="7">
        <v>810697</v>
      </c>
      <c r="N48" s="7">
        <v>94481</v>
      </c>
      <c r="O48" s="7">
        <v>14434</v>
      </c>
      <c r="P48" s="7">
        <v>33438</v>
      </c>
      <c r="Q48" s="7">
        <v>75909</v>
      </c>
      <c r="R48" s="249">
        <f t="shared" ref="R48:R79" si="15">D48-D36</f>
        <v>158.59999999999945</v>
      </c>
      <c r="S48" s="249">
        <f t="shared" ref="S48:S79" si="16">E48-E36</f>
        <v>172.69999999999982</v>
      </c>
      <c r="T48" s="249">
        <f t="shared" ref="T48:T79" si="17">F48-F36</f>
        <v>-7</v>
      </c>
      <c r="U48" s="249">
        <f t="shared" ref="U48:U79" si="18">G48-G36</f>
        <v>-7.1999999999999886</v>
      </c>
      <c r="V48" s="19">
        <f t="shared" ref="V48:V79" si="19">H48-H36</f>
        <v>17755</v>
      </c>
      <c r="W48" s="249">
        <f t="shared" si="11"/>
        <v>16185</v>
      </c>
      <c r="X48" s="249">
        <f t="shared" si="12"/>
        <v>-1587</v>
      </c>
      <c r="Y48" s="249">
        <f t="shared" si="13"/>
        <v>3585</v>
      </c>
      <c r="AF48" s="8"/>
    </row>
    <row r="49" spans="1:40" ht="13.15" customHeight="1" x14ac:dyDescent="0.2">
      <c r="A49" s="8">
        <v>43739</v>
      </c>
      <c r="B49">
        <f t="shared" si="14"/>
        <v>2019</v>
      </c>
      <c r="C49" t="str">
        <f t="shared" si="10"/>
        <v>Q4</v>
      </c>
      <c r="D49" s="249">
        <v>7450</v>
      </c>
      <c r="E49" s="249">
        <v>7491.1</v>
      </c>
      <c r="F49" s="249">
        <v>260.39999999999998</v>
      </c>
      <c r="G49" s="249">
        <v>261.89999999999998</v>
      </c>
      <c r="H49" s="249">
        <v>807583.1</v>
      </c>
      <c r="I49" s="249">
        <v>94617.3</v>
      </c>
      <c r="J49" s="249">
        <v>33264.1</v>
      </c>
      <c r="K49" s="249">
        <v>75322.899999999994</v>
      </c>
      <c r="L49" s="249">
        <v>59802.7</v>
      </c>
      <c r="M49" s="7">
        <v>812164</v>
      </c>
      <c r="N49" s="7">
        <v>92913</v>
      </c>
      <c r="O49" s="7">
        <v>14573</v>
      </c>
      <c r="P49" s="7">
        <v>34184</v>
      </c>
      <c r="Q49" s="7">
        <v>77595</v>
      </c>
      <c r="R49" s="249">
        <f t="shared" si="15"/>
        <v>180.89999999999964</v>
      </c>
      <c r="S49" s="249">
        <f t="shared" si="16"/>
        <v>205.80000000000018</v>
      </c>
      <c r="T49" s="249">
        <f t="shared" si="17"/>
        <v>-2.6000000000000227</v>
      </c>
      <c r="U49" s="249">
        <f t="shared" si="18"/>
        <v>-1.4000000000000341</v>
      </c>
      <c r="V49" s="19">
        <f t="shared" si="19"/>
        <v>17755</v>
      </c>
      <c r="W49" s="249">
        <f t="shared" si="11"/>
        <v>12242</v>
      </c>
      <c r="X49" s="249">
        <f t="shared" si="12"/>
        <v>-3210</v>
      </c>
      <c r="Y49" s="249">
        <f t="shared" si="13"/>
        <v>5384</v>
      </c>
      <c r="AF49" s="8"/>
    </row>
    <row r="50" spans="1:40" ht="13.15" customHeight="1" x14ac:dyDescent="0.2">
      <c r="A50" s="8">
        <v>43770</v>
      </c>
      <c r="B50">
        <f t="shared" si="14"/>
        <v>2019</v>
      </c>
      <c r="C50" t="str">
        <f t="shared" si="10"/>
        <v>Q4</v>
      </c>
      <c r="D50" s="249">
        <v>7458.2</v>
      </c>
      <c r="E50" s="249">
        <v>7479.5</v>
      </c>
      <c r="F50" s="249">
        <v>265.60000000000002</v>
      </c>
      <c r="G50" s="249">
        <v>265.8</v>
      </c>
      <c r="H50" s="249">
        <v>807583.1</v>
      </c>
      <c r="I50" s="249">
        <v>94617.3</v>
      </c>
      <c r="J50" s="249">
        <v>33264.1</v>
      </c>
      <c r="K50" s="249">
        <v>75322.899999999994</v>
      </c>
      <c r="L50" s="249">
        <v>59802.7</v>
      </c>
      <c r="M50" s="7">
        <v>812164</v>
      </c>
      <c r="N50" s="7">
        <v>92913</v>
      </c>
      <c r="O50" s="7">
        <v>14573</v>
      </c>
      <c r="P50" s="7">
        <v>34184</v>
      </c>
      <c r="Q50" s="7">
        <v>77595</v>
      </c>
      <c r="R50" s="249">
        <f t="shared" si="15"/>
        <v>168.30000000000018</v>
      </c>
      <c r="S50" s="249">
        <f t="shared" si="16"/>
        <v>193.19999999999982</v>
      </c>
      <c r="T50" s="249">
        <f t="shared" si="17"/>
        <v>4.4000000000000341</v>
      </c>
      <c r="U50" s="249">
        <f t="shared" si="18"/>
        <v>7.4000000000000341</v>
      </c>
      <c r="V50" s="19">
        <f t="shared" si="19"/>
        <v>17755</v>
      </c>
      <c r="W50" s="249">
        <f t="shared" si="11"/>
        <v>12242</v>
      </c>
      <c r="X50" s="249">
        <f t="shared" si="12"/>
        <v>-3210</v>
      </c>
      <c r="Y50" s="249">
        <f t="shared" si="13"/>
        <v>5384</v>
      </c>
      <c r="AF50" s="8"/>
    </row>
    <row r="51" spans="1:40" ht="13.15" customHeight="1" x14ac:dyDescent="0.2">
      <c r="A51" s="8">
        <v>43800</v>
      </c>
      <c r="B51">
        <f t="shared" si="14"/>
        <v>2019</v>
      </c>
      <c r="C51" t="str">
        <f t="shared" si="10"/>
        <v>Q4</v>
      </c>
      <c r="D51" s="249">
        <v>7474</v>
      </c>
      <c r="E51" s="249">
        <v>7485.8</v>
      </c>
      <c r="F51" s="249">
        <v>266</v>
      </c>
      <c r="G51" s="249">
        <v>265.10000000000002</v>
      </c>
      <c r="H51" s="249">
        <v>807583.1</v>
      </c>
      <c r="I51" s="249">
        <v>94617.3</v>
      </c>
      <c r="J51" s="249">
        <v>33264.1</v>
      </c>
      <c r="K51" s="249">
        <v>75322.899999999994</v>
      </c>
      <c r="L51" s="249">
        <v>59802.7</v>
      </c>
      <c r="M51" s="7">
        <v>812164</v>
      </c>
      <c r="N51" s="7">
        <v>92913</v>
      </c>
      <c r="O51" s="7">
        <v>14573</v>
      </c>
      <c r="P51" s="7">
        <v>34184</v>
      </c>
      <c r="Q51" s="7">
        <v>77595</v>
      </c>
      <c r="R51" s="249">
        <f t="shared" si="15"/>
        <v>177.60000000000036</v>
      </c>
      <c r="S51" s="249">
        <f t="shared" si="16"/>
        <v>178.90000000000055</v>
      </c>
      <c r="T51" s="249">
        <f t="shared" si="17"/>
        <v>5.6000000000000227</v>
      </c>
      <c r="U51" s="249">
        <f t="shared" si="18"/>
        <v>8</v>
      </c>
      <c r="V51" s="19">
        <f t="shared" si="19"/>
        <v>17755</v>
      </c>
      <c r="W51" s="249">
        <f t="shared" si="11"/>
        <v>12242</v>
      </c>
      <c r="X51" s="249">
        <f t="shared" si="12"/>
        <v>-3210</v>
      </c>
      <c r="Y51" s="249">
        <f t="shared" si="13"/>
        <v>5384</v>
      </c>
      <c r="AF51" s="8"/>
    </row>
    <row r="52" spans="1:40" ht="13.15" customHeight="1" x14ac:dyDescent="0.2">
      <c r="A52" s="8">
        <v>43831</v>
      </c>
      <c r="B52">
        <f t="shared" si="14"/>
        <v>2020</v>
      </c>
      <c r="C52" t="str">
        <f t="shared" si="10"/>
        <v>Q1</v>
      </c>
      <c r="D52" s="249">
        <v>7498.1</v>
      </c>
      <c r="E52" s="249">
        <v>7464.7</v>
      </c>
      <c r="F52" s="249">
        <v>269.3</v>
      </c>
      <c r="G52" s="249">
        <v>266.8</v>
      </c>
      <c r="H52" s="249">
        <v>770641</v>
      </c>
      <c r="I52" s="249">
        <v>85970.9</v>
      </c>
      <c r="J52" s="249">
        <v>32860.6</v>
      </c>
      <c r="K52" s="249">
        <v>78307.100000000006</v>
      </c>
      <c r="L52" s="249">
        <v>58237.8</v>
      </c>
      <c r="M52" s="7">
        <v>801246</v>
      </c>
      <c r="N52" s="7">
        <v>90581</v>
      </c>
      <c r="O52" s="7">
        <v>14679</v>
      </c>
      <c r="P52" s="7">
        <v>33915</v>
      </c>
      <c r="Q52" s="7">
        <v>77965</v>
      </c>
      <c r="R52" s="249">
        <f t="shared" si="15"/>
        <v>191.60000000000036</v>
      </c>
      <c r="S52" s="249">
        <f t="shared" si="16"/>
        <v>184.59999999999945</v>
      </c>
      <c r="T52" s="249">
        <f t="shared" si="17"/>
        <v>9.6999999999999886</v>
      </c>
      <c r="U52" s="249">
        <f t="shared" si="18"/>
        <v>11</v>
      </c>
      <c r="V52" s="19">
        <f t="shared" si="19"/>
        <v>-36942.099999999977</v>
      </c>
      <c r="W52" s="249">
        <f t="shared" si="11"/>
        <v>503</v>
      </c>
      <c r="X52" s="249">
        <f t="shared" si="12"/>
        <v>-5347</v>
      </c>
      <c r="Y52" s="249">
        <f t="shared" si="13"/>
        <v>4821</v>
      </c>
      <c r="Z52" s="275"/>
      <c r="AA52" s="249"/>
      <c r="AB52" s="249"/>
      <c r="AC52" s="249"/>
      <c r="AD52" s="249"/>
      <c r="AE52" s="249"/>
      <c r="AF52" s="8"/>
      <c r="AH52" s="276"/>
      <c r="AI52" s="276"/>
      <c r="AJ52" s="276"/>
      <c r="AK52" s="276"/>
      <c r="AL52" s="276"/>
      <c r="AM52" s="276"/>
      <c r="AN52" s="276"/>
    </row>
    <row r="53" spans="1:40" ht="13.15" customHeight="1" x14ac:dyDescent="0.2">
      <c r="A53" s="8">
        <v>43862</v>
      </c>
      <c r="B53">
        <f t="shared" si="14"/>
        <v>2020</v>
      </c>
      <c r="C53" t="str">
        <f t="shared" si="10"/>
        <v>Q1</v>
      </c>
      <c r="D53" s="249">
        <v>7508</v>
      </c>
      <c r="E53" s="249">
        <v>7439</v>
      </c>
      <c r="F53" s="249">
        <v>270.2</v>
      </c>
      <c r="G53" s="249">
        <v>266.7</v>
      </c>
      <c r="H53" s="249">
        <v>770641</v>
      </c>
      <c r="I53" s="249">
        <v>85970.9</v>
      </c>
      <c r="J53" s="249">
        <v>32860.6</v>
      </c>
      <c r="K53" s="249">
        <v>78307.100000000006</v>
      </c>
      <c r="L53" s="249">
        <v>58237.8</v>
      </c>
      <c r="M53" s="7">
        <v>801246</v>
      </c>
      <c r="N53" s="7">
        <v>90581</v>
      </c>
      <c r="O53" s="7">
        <v>14679</v>
      </c>
      <c r="P53" s="7">
        <v>33915</v>
      </c>
      <c r="Q53" s="7">
        <v>77965</v>
      </c>
      <c r="R53" s="249">
        <f t="shared" si="15"/>
        <v>178.30000000000018</v>
      </c>
      <c r="S53" s="249">
        <f t="shared" si="16"/>
        <v>174.80000000000018</v>
      </c>
      <c r="T53" s="249">
        <f t="shared" si="17"/>
        <v>11.899999999999977</v>
      </c>
      <c r="U53" s="249">
        <f t="shared" si="18"/>
        <v>11.399999999999977</v>
      </c>
      <c r="V53" s="19">
        <f t="shared" si="19"/>
        <v>-36942.099999999977</v>
      </c>
      <c r="W53" s="249">
        <f t="shared" si="11"/>
        <v>503</v>
      </c>
      <c r="X53" s="249">
        <f t="shared" si="12"/>
        <v>-5347</v>
      </c>
      <c r="Y53" s="249">
        <f t="shared" si="13"/>
        <v>4821</v>
      </c>
      <c r="Z53" s="275"/>
      <c r="AA53" s="249"/>
      <c r="AB53" s="249"/>
      <c r="AC53" s="249"/>
      <c r="AD53" s="249"/>
      <c r="AE53" s="249"/>
      <c r="AF53" s="8"/>
      <c r="AH53" s="276"/>
      <c r="AI53" s="276"/>
      <c r="AJ53" s="276"/>
      <c r="AK53" s="276"/>
      <c r="AL53" s="276"/>
      <c r="AM53" s="276"/>
      <c r="AN53" s="276"/>
    </row>
    <row r="54" spans="1:40" ht="13.15" customHeight="1" x14ac:dyDescent="0.2">
      <c r="A54" s="8">
        <v>43891</v>
      </c>
      <c r="B54">
        <f t="shared" si="14"/>
        <v>2020</v>
      </c>
      <c r="C54" t="str">
        <f t="shared" si="10"/>
        <v>Q1</v>
      </c>
      <c r="D54" s="249">
        <v>7351.6</v>
      </c>
      <c r="E54" s="249">
        <v>7258.8</v>
      </c>
      <c r="F54" s="249">
        <v>268.3</v>
      </c>
      <c r="G54" s="249">
        <v>264.89999999999998</v>
      </c>
      <c r="H54" s="249">
        <v>770641</v>
      </c>
      <c r="I54" s="249">
        <v>85970.9</v>
      </c>
      <c r="J54" s="249">
        <v>32860.6</v>
      </c>
      <c r="K54" s="249">
        <v>78307.100000000006</v>
      </c>
      <c r="L54" s="249">
        <v>58237.8</v>
      </c>
      <c r="M54" s="7">
        <v>801246</v>
      </c>
      <c r="N54" s="7">
        <v>90581</v>
      </c>
      <c r="O54" s="7">
        <v>14679</v>
      </c>
      <c r="P54" s="7">
        <v>33915</v>
      </c>
      <c r="Q54" s="7">
        <v>77965</v>
      </c>
      <c r="R54" s="249">
        <f t="shared" si="15"/>
        <v>9.7000000000007276</v>
      </c>
      <c r="S54" s="249">
        <f t="shared" si="16"/>
        <v>19.300000000000182</v>
      </c>
      <c r="T54" s="249">
        <f t="shared" si="17"/>
        <v>12.700000000000017</v>
      </c>
      <c r="U54" s="249">
        <f t="shared" si="18"/>
        <v>12.599999999999966</v>
      </c>
      <c r="V54" s="19">
        <f t="shared" si="19"/>
        <v>-36942.099999999977</v>
      </c>
      <c r="W54" s="249">
        <f t="shared" si="11"/>
        <v>503</v>
      </c>
      <c r="X54" s="249">
        <f t="shared" si="12"/>
        <v>-5347</v>
      </c>
      <c r="Y54" s="249">
        <f t="shared" si="13"/>
        <v>4821</v>
      </c>
      <c r="Z54" s="275"/>
      <c r="AA54" s="249"/>
      <c r="AB54" s="249"/>
      <c r="AC54" s="249"/>
      <c r="AD54" s="249"/>
      <c r="AE54" s="249"/>
      <c r="AF54" s="8"/>
      <c r="AH54" s="276"/>
      <c r="AI54" s="276"/>
      <c r="AJ54" s="276"/>
      <c r="AK54" s="276"/>
      <c r="AL54" s="276"/>
      <c r="AM54" s="276"/>
      <c r="AN54" s="276"/>
    </row>
    <row r="55" spans="1:40" ht="13.15" customHeight="1" x14ac:dyDescent="0.2">
      <c r="A55" s="8">
        <v>43922</v>
      </c>
      <c r="B55">
        <f t="shared" si="14"/>
        <v>2020</v>
      </c>
      <c r="C55" t="str">
        <f t="shared" si="10"/>
        <v>Q2</v>
      </c>
      <c r="D55" s="249">
        <v>6961.6</v>
      </c>
      <c r="E55" s="249">
        <v>6893.7</v>
      </c>
      <c r="F55" s="249">
        <v>252.1</v>
      </c>
      <c r="G55" s="249">
        <v>249.2</v>
      </c>
      <c r="H55" s="249">
        <v>770641</v>
      </c>
      <c r="I55" s="249">
        <v>85970.9</v>
      </c>
      <c r="J55" s="249">
        <v>32860.6</v>
      </c>
      <c r="K55" s="249">
        <v>78307.100000000006</v>
      </c>
      <c r="L55" s="249">
        <v>58237.8</v>
      </c>
      <c r="M55" s="7">
        <v>705711</v>
      </c>
      <c r="N55" s="7">
        <v>72955</v>
      </c>
      <c r="O55" s="7">
        <v>13082</v>
      </c>
      <c r="P55" s="7">
        <v>31272</v>
      </c>
      <c r="Q55" s="7">
        <v>77054</v>
      </c>
      <c r="R55" s="249">
        <f t="shared" si="15"/>
        <v>-400</v>
      </c>
      <c r="S55" s="249">
        <f t="shared" si="16"/>
        <v>-382</v>
      </c>
      <c r="T55" s="249">
        <f t="shared" si="17"/>
        <v>-0.90000000000000568</v>
      </c>
      <c r="U55" s="249">
        <f t="shared" si="18"/>
        <v>-0.80000000000001137</v>
      </c>
      <c r="V55" s="19">
        <f t="shared" si="19"/>
        <v>-36942.099999999977</v>
      </c>
      <c r="W55" s="249">
        <f t="shared" si="11"/>
        <v>-101018</v>
      </c>
      <c r="X55" s="249">
        <f t="shared" si="12"/>
        <v>-22192</v>
      </c>
      <c r="Y55" s="249">
        <f t="shared" si="13"/>
        <v>2410</v>
      </c>
      <c r="Z55" s="275"/>
      <c r="AA55" s="249"/>
      <c r="AB55" s="249"/>
      <c r="AC55" s="249"/>
      <c r="AD55" s="249"/>
      <c r="AE55" s="249"/>
      <c r="AF55" s="8"/>
      <c r="AH55" s="276"/>
      <c r="AI55" s="276"/>
      <c r="AJ55" s="276"/>
      <c r="AK55" s="276"/>
      <c r="AL55" s="276"/>
      <c r="AM55" s="276"/>
      <c r="AN55" s="276"/>
    </row>
    <row r="56" spans="1:40" ht="13.15" customHeight="1" x14ac:dyDescent="0.2">
      <c r="A56" s="8">
        <v>43952</v>
      </c>
      <c r="B56">
        <f t="shared" si="14"/>
        <v>2020</v>
      </c>
      <c r="C56" t="str">
        <f t="shared" si="10"/>
        <v>Q2</v>
      </c>
      <c r="D56" s="249">
        <v>6572.6</v>
      </c>
      <c r="E56" s="249">
        <v>6550.9</v>
      </c>
      <c r="F56" s="249">
        <v>240.8</v>
      </c>
      <c r="G56" s="249">
        <v>239.1</v>
      </c>
      <c r="H56" s="249">
        <v>770641</v>
      </c>
      <c r="I56" s="249">
        <v>85970.9</v>
      </c>
      <c r="J56" s="249">
        <v>32860.6</v>
      </c>
      <c r="K56" s="249">
        <v>78307.100000000006</v>
      </c>
      <c r="L56" s="249">
        <v>58237.8</v>
      </c>
      <c r="M56" s="7">
        <v>705711</v>
      </c>
      <c r="N56" s="7">
        <v>72955</v>
      </c>
      <c r="O56" s="7">
        <v>13082</v>
      </c>
      <c r="P56" s="7">
        <v>31272</v>
      </c>
      <c r="Q56" s="7">
        <v>77054</v>
      </c>
      <c r="R56" s="249">
        <f t="shared" si="15"/>
        <v>-803.79999999999927</v>
      </c>
      <c r="S56" s="249">
        <f t="shared" si="16"/>
        <v>-794.80000000000018</v>
      </c>
      <c r="T56" s="249">
        <f t="shared" si="17"/>
        <v>-8.0999999999999943</v>
      </c>
      <c r="U56" s="249">
        <f t="shared" si="18"/>
        <v>-8.4000000000000057</v>
      </c>
      <c r="V56" s="19">
        <f t="shared" si="19"/>
        <v>-36942.099999999977</v>
      </c>
      <c r="W56" s="249">
        <f t="shared" si="11"/>
        <v>-101018</v>
      </c>
      <c r="X56" s="249">
        <f t="shared" si="12"/>
        <v>-22192</v>
      </c>
      <c r="Y56" s="249">
        <f t="shared" si="13"/>
        <v>2410</v>
      </c>
      <c r="Z56" s="275"/>
      <c r="AA56" s="249"/>
      <c r="AB56" s="249"/>
      <c r="AC56" s="249"/>
      <c r="AD56" s="249"/>
      <c r="AE56" s="249"/>
      <c r="AF56" s="8"/>
      <c r="AH56" s="276"/>
      <c r="AI56" s="276"/>
      <c r="AJ56" s="276"/>
      <c r="AK56" s="276"/>
      <c r="AL56" s="276"/>
      <c r="AM56" s="276"/>
      <c r="AN56" s="276"/>
    </row>
    <row r="57" spans="1:40" ht="13.15" customHeight="1" x14ac:dyDescent="0.2">
      <c r="A57" s="8">
        <v>43983</v>
      </c>
      <c r="B57">
        <f t="shared" si="14"/>
        <v>2020</v>
      </c>
      <c r="C57" t="str">
        <f t="shared" si="10"/>
        <v>Q2</v>
      </c>
      <c r="D57" s="249">
        <v>6477.4</v>
      </c>
      <c r="E57" s="249">
        <v>6515.6</v>
      </c>
      <c r="F57" s="249">
        <v>238.5</v>
      </c>
      <c r="G57" s="249">
        <v>241.2</v>
      </c>
      <c r="H57" s="249">
        <v>770641</v>
      </c>
      <c r="I57" s="249">
        <v>85970.9</v>
      </c>
      <c r="J57" s="249">
        <v>32860.6</v>
      </c>
      <c r="K57" s="249">
        <v>78307.100000000006</v>
      </c>
      <c r="L57" s="249">
        <v>58237.8</v>
      </c>
      <c r="M57" s="7">
        <v>705711</v>
      </c>
      <c r="N57" s="7">
        <v>72955</v>
      </c>
      <c r="O57" s="7">
        <v>13082</v>
      </c>
      <c r="P57" s="7">
        <v>31272</v>
      </c>
      <c r="Q57" s="7">
        <v>77054</v>
      </c>
      <c r="R57" s="249">
        <f t="shared" si="15"/>
        <v>-918.70000000000073</v>
      </c>
      <c r="S57" s="249">
        <f t="shared" si="16"/>
        <v>-921.19999999999982</v>
      </c>
      <c r="T57" s="249">
        <f t="shared" si="17"/>
        <v>-10.099999999999994</v>
      </c>
      <c r="U57" s="249">
        <f t="shared" si="18"/>
        <v>-9.5</v>
      </c>
      <c r="V57" s="19">
        <f t="shared" si="19"/>
        <v>-36942.099999999977</v>
      </c>
      <c r="W57" s="249">
        <f t="shared" si="11"/>
        <v>-101018</v>
      </c>
      <c r="X57" s="249">
        <f t="shared" si="12"/>
        <v>-22192</v>
      </c>
      <c r="Y57" s="249">
        <f t="shared" si="13"/>
        <v>2410</v>
      </c>
      <c r="Z57" s="275"/>
      <c r="AA57" s="249"/>
      <c r="AB57" s="249"/>
      <c r="AC57" s="249"/>
      <c r="AD57" s="249"/>
      <c r="AE57" s="249"/>
      <c r="AF57" s="8"/>
      <c r="AH57" s="276"/>
      <c r="AI57" s="276"/>
      <c r="AJ57" s="276"/>
      <c r="AK57" s="276"/>
      <c r="AL57" s="276"/>
      <c r="AM57" s="276"/>
      <c r="AN57" s="276"/>
    </row>
    <row r="58" spans="1:40" ht="13.15" customHeight="1" x14ac:dyDescent="0.2">
      <c r="A58" s="8">
        <v>44013</v>
      </c>
      <c r="B58">
        <f t="shared" si="14"/>
        <v>2020</v>
      </c>
      <c r="C58" t="str">
        <f t="shared" si="10"/>
        <v>Q3</v>
      </c>
      <c r="D58" s="249">
        <v>6666.4</v>
      </c>
      <c r="E58" s="249">
        <v>6730.9</v>
      </c>
      <c r="F58" s="249">
        <v>249.8</v>
      </c>
      <c r="G58" s="249">
        <v>254.1</v>
      </c>
      <c r="H58" s="249">
        <v>770641</v>
      </c>
      <c r="I58" s="249">
        <v>85970.9</v>
      </c>
      <c r="J58" s="249">
        <v>32860.6</v>
      </c>
      <c r="K58" s="249">
        <v>78307.100000000006</v>
      </c>
      <c r="L58" s="249">
        <v>58237.8</v>
      </c>
      <c r="M58" s="7">
        <v>778294</v>
      </c>
      <c r="N58" s="7">
        <v>89762</v>
      </c>
      <c r="O58" s="7">
        <v>14094</v>
      </c>
      <c r="P58" s="7">
        <v>32643</v>
      </c>
      <c r="Q58" s="7">
        <v>78497</v>
      </c>
      <c r="R58" s="249">
        <f t="shared" si="15"/>
        <v>-733.20000000000073</v>
      </c>
      <c r="S58" s="249">
        <f t="shared" si="16"/>
        <v>-753.60000000000036</v>
      </c>
      <c r="T58" s="249">
        <f t="shared" si="17"/>
        <v>3.4000000000000057</v>
      </c>
      <c r="U58" s="249">
        <f t="shared" si="18"/>
        <v>3.2999999999999829</v>
      </c>
      <c r="V58" s="19">
        <f t="shared" si="19"/>
        <v>-36942.099999999977</v>
      </c>
      <c r="W58" s="249">
        <f t="shared" si="11"/>
        <v>-32403</v>
      </c>
      <c r="X58" s="249">
        <f t="shared" si="12"/>
        <v>-4719</v>
      </c>
      <c r="Y58" s="249">
        <f t="shared" si="13"/>
        <v>2588</v>
      </c>
      <c r="Z58" s="275"/>
      <c r="AA58" s="249"/>
      <c r="AB58" s="249"/>
      <c r="AC58" s="249"/>
      <c r="AD58" s="249"/>
      <c r="AE58" s="249"/>
      <c r="AF58" s="8"/>
      <c r="AH58" s="276"/>
      <c r="AI58" s="276"/>
      <c r="AJ58" s="276"/>
      <c r="AK58" s="276"/>
      <c r="AL58" s="276"/>
      <c r="AM58" s="276"/>
      <c r="AN58" s="276"/>
    </row>
    <row r="59" spans="1:40" ht="13.15" customHeight="1" x14ac:dyDescent="0.2">
      <c r="A59" s="8">
        <v>44044</v>
      </c>
      <c r="B59">
        <f t="shared" si="14"/>
        <v>2020</v>
      </c>
      <c r="C59" t="str">
        <f t="shared" si="10"/>
        <v>Q3</v>
      </c>
      <c r="D59" s="249">
        <v>6904.3</v>
      </c>
      <c r="E59" s="249">
        <v>6971.5</v>
      </c>
      <c r="F59" s="249">
        <v>257.5</v>
      </c>
      <c r="G59" s="249">
        <v>263.2</v>
      </c>
      <c r="H59" s="249">
        <v>770641</v>
      </c>
      <c r="I59" s="249">
        <v>85970.9</v>
      </c>
      <c r="J59" s="249">
        <v>32860.6</v>
      </c>
      <c r="K59" s="249">
        <v>78307.100000000006</v>
      </c>
      <c r="L59" s="249">
        <v>58237.8</v>
      </c>
      <c r="M59" s="7">
        <v>778294</v>
      </c>
      <c r="N59" s="7">
        <v>89762</v>
      </c>
      <c r="O59" s="7">
        <v>14094</v>
      </c>
      <c r="P59" s="7">
        <v>32643</v>
      </c>
      <c r="Q59" s="7">
        <v>78497</v>
      </c>
      <c r="R59" s="249">
        <f t="shared" si="15"/>
        <v>-509.69999999999982</v>
      </c>
      <c r="S59" s="249">
        <f t="shared" si="16"/>
        <v>-530</v>
      </c>
      <c r="T59" s="249">
        <f t="shared" si="17"/>
        <v>6.0999999999999943</v>
      </c>
      <c r="U59" s="249">
        <f t="shared" si="18"/>
        <v>6.8000000000000114</v>
      </c>
      <c r="V59" s="19">
        <f t="shared" si="19"/>
        <v>-36942.099999999977</v>
      </c>
      <c r="W59" s="249">
        <f t="shared" si="11"/>
        <v>-32403</v>
      </c>
      <c r="X59" s="249">
        <f t="shared" si="12"/>
        <v>-4719</v>
      </c>
      <c r="Y59" s="249">
        <f t="shared" si="13"/>
        <v>2588</v>
      </c>
      <c r="Z59" s="275"/>
      <c r="AA59" s="275"/>
      <c r="AB59" s="275"/>
      <c r="AC59" s="275"/>
      <c r="AD59" s="275"/>
      <c r="AE59" s="275"/>
      <c r="AF59" s="8"/>
      <c r="AH59" s="276"/>
      <c r="AI59" s="276"/>
      <c r="AJ59" s="276"/>
      <c r="AK59" s="276"/>
      <c r="AL59" s="276"/>
      <c r="AM59" s="276"/>
      <c r="AN59" s="276"/>
    </row>
    <row r="60" spans="1:40" ht="13.15" customHeight="1" x14ac:dyDescent="0.2">
      <c r="A60" s="8">
        <v>44075</v>
      </c>
      <c r="B60">
        <f t="shared" si="14"/>
        <v>2020</v>
      </c>
      <c r="C60" t="str">
        <f t="shared" si="10"/>
        <v>Q3</v>
      </c>
      <c r="D60" s="249">
        <v>7065.2</v>
      </c>
      <c r="E60" s="249">
        <v>7098.8</v>
      </c>
      <c r="F60" s="249">
        <v>262.10000000000002</v>
      </c>
      <c r="G60" s="249">
        <v>264.39999999999998</v>
      </c>
      <c r="H60" s="249">
        <v>770641</v>
      </c>
      <c r="I60" s="249">
        <v>85970.9</v>
      </c>
      <c r="J60" s="249">
        <v>32860.6</v>
      </c>
      <c r="K60" s="249">
        <v>78307.100000000006</v>
      </c>
      <c r="L60" s="249">
        <v>58237.8</v>
      </c>
      <c r="M60" s="7">
        <v>778294</v>
      </c>
      <c r="N60" s="7">
        <v>89762</v>
      </c>
      <c r="O60" s="7">
        <v>14094</v>
      </c>
      <c r="P60" s="7">
        <v>32643</v>
      </c>
      <c r="Q60" s="7">
        <v>78497</v>
      </c>
      <c r="R60" s="249">
        <f t="shared" si="15"/>
        <v>-367.19999999999982</v>
      </c>
      <c r="S60" s="249">
        <f t="shared" si="16"/>
        <v>-390.5</v>
      </c>
      <c r="T60" s="249">
        <f t="shared" si="17"/>
        <v>6.9000000000000341</v>
      </c>
      <c r="U60" s="249">
        <f t="shared" si="18"/>
        <v>6.7999999999999545</v>
      </c>
      <c r="V60" s="19">
        <f t="shared" si="19"/>
        <v>-36942.099999999977</v>
      </c>
      <c r="W60" s="249">
        <f t="shared" si="11"/>
        <v>-32403</v>
      </c>
      <c r="X60" s="249">
        <f t="shared" si="12"/>
        <v>-4719</v>
      </c>
      <c r="Y60" s="249">
        <f t="shared" si="13"/>
        <v>2588</v>
      </c>
      <c r="Z60" s="275"/>
      <c r="AA60" s="275"/>
      <c r="AB60" s="275"/>
      <c r="AC60" s="275"/>
      <c r="AD60" s="275"/>
      <c r="AE60" s="275"/>
      <c r="AF60" s="8"/>
      <c r="AH60" s="276"/>
      <c r="AI60" s="276"/>
      <c r="AJ60" s="276"/>
      <c r="AK60" s="276"/>
      <c r="AL60" s="276"/>
      <c r="AM60" s="276"/>
      <c r="AN60" s="276"/>
    </row>
    <row r="61" spans="1:40" ht="13.15" customHeight="1" x14ac:dyDescent="0.2">
      <c r="A61" s="8">
        <v>44105</v>
      </c>
      <c r="B61">
        <f t="shared" si="14"/>
        <v>2020</v>
      </c>
      <c r="C61" t="str">
        <f t="shared" ref="C61:C124" si="20">C49</f>
        <v>Q4</v>
      </c>
      <c r="D61" s="249">
        <v>7186.6</v>
      </c>
      <c r="E61" s="249">
        <v>7210.7</v>
      </c>
      <c r="F61" s="249">
        <v>264.2</v>
      </c>
      <c r="G61" s="249">
        <v>265.3</v>
      </c>
      <c r="H61" s="249">
        <v>770641</v>
      </c>
      <c r="I61" s="249">
        <v>85970.9</v>
      </c>
      <c r="J61" s="249">
        <v>32860.6</v>
      </c>
      <c r="K61" s="249">
        <v>78307.100000000006</v>
      </c>
      <c r="L61" s="249">
        <v>58237.8</v>
      </c>
      <c r="M61" s="7">
        <v>797313</v>
      </c>
      <c r="N61" s="7">
        <v>90586</v>
      </c>
      <c r="O61" s="7">
        <v>13876</v>
      </c>
      <c r="P61" s="7">
        <v>33612</v>
      </c>
      <c r="Q61" s="7">
        <v>79712</v>
      </c>
      <c r="R61" s="249">
        <f t="shared" si="15"/>
        <v>-263.39999999999964</v>
      </c>
      <c r="S61" s="249">
        <f t="shared" si="16"/>
        <v>-280.40000000000055</v>
      </c>
      <c r="T61" s="249">
        <f t="shared" si="17"/>
        <v>3.8000000000000114</v>
      </c>
      <c r="U61" s="249">
        <f t="shared" si="18"/>
        <v>3.4000000000000341</v>
      </c>
      <c r="V61" s="19">
        <f t="shared" si="19"/>
        <v>-36942.099999999977</v>
      </c>
      <c r="W61" s="249">
        <f t="shared" si="11"/>
        <v>-14851</v>
      </c>
      <c r="X61" s="249">
        <f t="shared" ref="X61:X92" si="21">N61-N49</f>
        <v>-2327</v>
      </c>
      <c r="Y61" s="249">
        <f t="shared" si="13"/>
        <v>2117</v>
      </c>
      <c r="Z61" s="275"/>
      <c r="AA61" s="275"/>
      <c r="AB61" s="275"/>
      <c r="AC61" s="275"/>
      <c r="AD61" s="275"/>
      <c r="AE61" s="275"/>
      <c r="AF61" s="8"/>
      <c r="AH61" s="276"/>
      <c r="AI61" s="276"/>
      <c r="AJ61" s="276"/>
      <c r="AK61" s="276"/>
      <c r="AL61" s="276"/>
      <c r="AM61" s="276"/>
      <c r="AN61" s="276"/>
    </row>
    <row r="62" spans="1:40" ht="13.15" customHeight="1" x14ac:dyDescent="0.2">
      <c r="A62" s="8">
        <v>44136</v>
      </c>
      <c r="B62">
        <f t="shared" si="14"/>
        <v>2020</v>
      </c>
      <c r="C62" t="str">
        <f t="shared" si="20"/>
        <v>Q4</v>
      </c>
      <c r="D62" s="249">
        <v>7271.8</v>
      </c>
      <c r="E62" s="249">
        <v>7283</v>
      </c>
      <c r="F62" s="249">
        <v>264.8</v>
      </c>
      <c r="G62" s="249">
        <v>263.7</v>
      </c>
      <c r="H62" s="249">
        <v>770641</v>
      </c>
      <c r="I62" s="249">
        <v>85970.9</v>
      </c>
      <c r="J62" s="249">
        <v>32860.6</v>
      </c>
      <c r="K62" s="249">
        <v>78307.100000000006</v>
      </c>
      <c r="L62" s="249">
        <v>58237.8</v>
      </c>
      <c r="M62" s="7">
        <v>797313</v>
      </c>
      <c r="N62" s="7">
        <v>90586</v>
      </c>
      <c r="O62" s="7">
        <v>13876</v>
      </c>
      <c r="P62" s="7">
        <v>33612</v>
      </c>
      <c r="Q62" s="7">
        <v>79712</v>
      </c>
      <c r="R62" s="249">
        <f t="shared" si="15"/>
        <v>-186.39999999999964</v>
      </c>
      <c r="S62" s="249">
        <f t="shared" si="16"/>
        <v>-196.5</v>
      </c>
      <c r="T62" s="249">
        <f t="shared" si="17"/>
        <v>-0.80000000000001137</v>
      </c>
      <c r="U62" s="249">
        <f t="shared" si="18"/>
        <v>-2.1000000000000227</v>
      </c>
      <c r="V62" s="19">
        <f t="shared" si="19"/>
        <v>-36942.099999999977</v>
      </c>
      <c r="W62" s="249">
        <f t="shared" si="11"/>
        <v>-14851</v>
      </c>
      <c r="X62" s="249">
        <f t="shared" si="21"/>
        <v>-2327</v>
      </c>
      <c r="Y62" s="249">
        <f t="shared" si="13"/>
        <v>2117</v>
      </c>
      <c r="Z62" s="275"/>
      <c r="AA62" s="275"/>
      <c r="AB62" s="275"/>
      <c r="AC62" s="275"/>
      <c r="AD62" s="275"/>
      <c r="AE62" s="275"/>
      <c r="AF62" s="8"/>
      <c r="AH62" s="276"/>
      <c r="AI62" s="276"/>
      <c r="AJ62" s="276"/>
      <c r="AK62" s="276"/>
      <c r="AL62" s="276"/>
      <c r="AM62" s="276"/>
      <c r="AN62" s="276"/>
    </row>
    <row r="63" spans="1:40" ht="13.15" customHeight="1" x14ac:dyDescent="0.2">
      <c r="A63" s="8">
        <v>44166</v>
      </c>
      <c r="B63">
        <f t="shared" si="14"/>
        <v>2020</v>
      </c>
      <c r="C63" t="str">
        <f t="shared" si="20"/>
        <v>Q4</v>
      </c>
      <c r="D63" s="249">
        <v>7289.8</v>
      </c>
      <c r="E63" s="249">
        <v>7300.6</v>
      </c>
      <c r="F63" s="249">
        <v>267.60000000000002</v>
      </c>
      <c r="G63" s="249">
        <v>265.89999999999998</v>
      </c>
      <c r="H63" s="249">
        <v>770641</v>
      </c>
      <c r="I63" s="249">
        <v>85970.9</v>
      </c>
      <c r="J63" s="249">
        <v>32860.6</v>
      </c>
      <c r="K63" s="249">
        <v>78307.100000000006</v>
      </c>
      <c r="L63" s="249">
        <v>58237.8</v>
      </c>
      <c r="M63" s="7">
        <v>797313</v>
      </c>
      <c r="N63" s="7">
        <v>90586</v>
      </c>
      <c r="O63" s="7">
        <v>13876</v>
      </c>
      <c r="P63" s="7">
        <v>33612</v>
      </c>
      <c r="Q63" s="7">
        <v>79712</v>
      </c>
      <c r="R63" s="249">
        <f t="shared" si="15"/>
        <v>-184.19999999999982</v>
      </c>
      <c r="S63" s="249">
        <f t="shared" si="16"/>
        <v>-185.19999999999982</v>
      </c>
      <c r="T63" s="249">
        <f t="shared" si="17"/>
        <v>1.6000000000000227</v>
      </c>
      <c r="U63" s="249">
        <f t="shared" si="18"/>
        <v>0.79999999999995453</v>
      </c>
      <c r="V63" s="19">
        <f t="shared" si="19"/>
        <v>-36942.099999999977</v>
      </c>
      <c r="W63" s="249">
        <f t="shared" si="11"/>
        <v>-14851</v>
      </c>
      <c r="X63" s="249">
        <f t="shared" si="21"/>
        <v>-2327</v>
      </c>
      <c r="Y63" s="249">
        <f t="shared" si="13"/>
        <v>2117</v>
      </c>
      <c r="Z63" s="275"/>
      <c r="AA63" s="275"/>
      <c r="AB63" s="275"/>
      <c r="AC63" s="275"/>
      <c r="AD63" s="275"/>
      <c r="AE63" s="275"/>
      <c r="AF63" s="8"/>
      <c r="AH63" s="276"/>
      <c r="AI63" s="276"/>
      <c r="AJ63" s="276"/>
      <c r="AK63" s="276"/>
      <c r="AL63" s="276"/>
      <c r="AM63" s="276"/>
      <c r="AN63" s="276"/>
    </row>
    <row r="64" spans="1:40" ht="13.15" customHeight="1" x14ac:dyDescent="0.2">
      <c r="A64" s="8">
        <v>44197</v>
      </c>
      <c r="B64">
        <f t="shared" si="14"/>
        <v>2021</v>
      </c>
      <c r="C64" t="str">
        <f t="shared" si="20"/>
        <v>Q1</v>
      </c>
      <c r="D64" s="249">
        <v>7234.6</v>
      </c>
      <c r="E64" s="249">
        <v>7207.2</v>
      </c>
      <c r="F64" s="249">
        <v>269.8</v>
      </c>
      <c r="G64" s="249">
        <v>267.39999999999998</v>
      </c>
      <c r="H64" s="249">
        <v>818746.1</v>
      </c>
      <c r="I64" s="249">
        <v>92448.9</v>
      </c>
      <c r="J64" s="249">
        <v>35353</v>
      </c>
      <c r="K64" s="249">
        <v>84915.6</v>
      </c>
      <c r="L64" s="249">
        <v>64969.2</v>
      </c>
      <c r="M64" s="7">
        <v>809994</v>
      </c>
      <c r="N64" s="7">
        <v>92073</v>
      </c>
      <c r="O64" s="7">
        <v>13955</v>
      </c>
      <c r="P64" s="7">
        <v>34029</v>
      </c>
      <c r="Q64" s="7">
        <v>81653</v>
      </c>
      <c r="R64" s="249">
        <f t="shared" si="15"/>
        <v>-263.5</v>
      </c>
      <c r="S64" s="249">
        <f t="shared" si="16"/>
        <v>-257.5</v>
      </c>
      <c r="T64" s="249">
        <f t="shared" si="17"/>
        <v>0.5</v>
      </c>
      <c r="U64" s="249">
        <f t="shared" si="18"/>
        <v>0.59999999999996589</v>
      </c>
      <c r="V64" s="19">
        <f t="shared" si="19"/>
        <v>48105.099999999977</v>
      </c>
      <c r="W64" s="249">
        <f t="shared" si="11"/>
        <v>8748</v>
      </c>
      <c r="X64" s="249">
        <f t="shared" si="21"/>
        <v>1492</v>
      </c>
      <c r="Y64" s="249">
        <f t="shared" si="13"/>
        <v>3688</v>
      </c>
      <c r="Z64" s="275"/>
      <c r="AA64" s="275"/>
      <c r="AB64" s="275"/>
      <c r="AC64" s="275"/>
      <c r="AD64" s="275"/>
      <c r="AE64" s="275"/>
      <c r="AF64" s="8"/>
      <c r="AH64" s="276"/>
      <c r="AI64" s="276"/>
      <c r="AJ64" s="276"/>
      <c r="AK64" s="276"/>
      <c r="AL64" s="276"/>
      <c r="AM64" s="276"/>
      <c r="AN64" s="276"/>
    </row>
    <row r="65" spans="1:40" ht="13.15" customHeight="1" x14ac:dyDescent="0.2">
      <c r="A65" s="8">
        <v>44228</v>
      </c>
      <c r="B65">
        <f t="shared" si="14"/>
        <v>2021</v>
      </c>
      <c r="C65" t="str">
        <f t="shared" si="20"/>
        <v>Q1</v>
      </c>
      <c r="D65" s="249">
        <v>7209.5</v>
      </c>
      <c r="E65" s="249">
        <v>7151.3</v>
      </c>
      <c r="F65" s="249">
        <v>273.89999999999998</v>
      </c>
      <c r="G65" s="249">
        <v>271.39999999999998</v>
      </c>
      <c r="H65" s="249">
        <v>818746.1</v>
      </c>
      <c r="I65" s="249">
        <v>92448.9</v>
      </c>
      <c r="J65" s="249">
        <v>35353</v>
      </c>
      <c r="K65" s="249">
        <v>84915.6</v>
      </c>
      <c r="L65" s="249">
        <v>64969.2</v>
      </c>
      <c r="M65" s="7">
        <v>809994</v>
      </c>
      <c r="N65" s="7">
        <v>92073</v>
      </c>
      <c r="O65" s="7">
        <v>13955</v>
      </c>
      <c r="P65" s="7">
        <v>34029</v>
      </c>
      <c r="Q65" s="7">
        <v>81653</v>
      </c>
      <c r="R65" s="249">
        <f t="shared" si="15"/>
        <v>-298.5</v>
      </c>
      <c r="S65" s="249">
        <f t="shared" si="16"/>
        <v>-287.69999999999982</v>
      </c>
      <c r="T65" s="249">
        <f t="shared" si="17"/>
        <v>3.6999999999999886</v>
      </c>
      <c r="U65" s="249">
        <f t="shared" si="18"/>
        <v>4.6999999999999886</v>
      </c>
      <c r="V65" s="19">
        <f t="shared" si="19"/>
        <v>48105.099999999977</v>
      </c>
      <c r="W65" s="249">
        <f t="shared" si="11"/>
        <v>8748</v>
      </c>
      <c r="X65" s="249">
        <f t="shared" si="21"/>
        <v>1492</v>
      </c>
      <c r="Y65" s="249">
        <f t="shared" si="13"/>
        <v>3688</v>
      </c>
      <c r="Z65" s="275"/>
      <c r="AA65" s="275"/>
      <c r="AB65" s="275"/>
      <c r="AC65" s="275"/>
      <c r="AD65" s="275"/>
      <c r="AE65" s="275"/>
      <c r="AF65" s="8"/>
      <c r="AH65" s="276"/>
      <c r="AI65" s="276"/>
      <c r="AJ65" s="276"/>
      <c r="AK65" s="276"/>
      <c r="AL65" s="276"/>
      <c r="AM65" s="276"/>
      <c r="AN65" s="276"/>
    </row>
    <row r="66" spans="1:40" ht="13.15" customHeight="1" x14ac:dyDescent="0.2">
      <c r="A66" s="8">
        <v>44256</v>
      </c>
      <c r="B66">
        <f t="shared" si="14"/>
        <v>2021</v>
      </c>
      <c r="C66" t="str">
        <f t="shared" si="20"/>
        <v>Q1</v>
      </c>
      <c r="D66" s="249">
        <v>7237.4</v>
      </c>
      <c r="E66" s="249">
        <v>7153.7</v>
      </c>
      <c r="F66" s="249">
        <v>276.5</v>
      </c>
      <c r="G66" s="249">
        <v>273.7</v>
      </c>
      <c r="H66" s="249">
        <v>818746.1</v>
      </c>
      <c r="I66" s="249">
        <v>92448.9</v>
      </c>
      <c r="J66" s="249">
        <v>35353</v>
      </c>
      <c r="K66" s="249">
        <v>84915.6</v>
      </c>
      <c r="L66" s="249">
        <v>64969.2</v>
      </c>
      <c r="M66" s="7">
        <v>809994</v>
      </c>
      <c r="N66" s="7">
        <v>92073</v>
      </c>
      <c r="O66" s="7">
        <v>13955</v>
      </c>
      <c r="P66" s="7">
        <v>34029</v>
      </c>
      <c r="Q66" s="7">
        <v>81653</v>
      </c>
      <c r="R66" s="249">
        <f t="shared" si="15"/>
        <v>-114.20000000000073</v>
      </c>
      <c r="S66" s="249">
        <f t="shared" si="16"/>
        <v>-105.10000000000036</v>
      </c>
      <c r="T66" s="249">
        <f t="shared" si="17"/>
        <v>8.1999999999999886</v>
      </c>
      <c r="U66" s="249">
        <f t="shared" si="18"/>
        <v>8.8000000000000114</v>
      </c>
      <c r="V66" s="19">
        <f t="shared" si="19"/>
        <v>48105.099999999977</v>
      </c>
      <c r="W66" s="249">
        <f t="shared" si="11"/>
        <v>8748</v>
      </c>
      <c r="X66" s="249">
        <f t="shared" si="21"/>
        <v>1492</v>
      </c>
      <c r="Y66" s="249">
        <f t="shared" si="13"/>
        <v>3688</v>
      </c>
      <c r="Z66" s="275"/>
      <c r="AA66" s="275"/>
      <c r="AB66" s="275"/>
      <c r="AC66" s="275"/>
      <c r="AD66" s="275"/>
      <c r="AE66" s="275"/>
      <c r="AF66" s="8"/>
      <c r="AH66" s="276"/>
      <c r="AI66" s="276"/>
      <c r="AJ66" s="276"/>
      <c r="AK66" s="276"/>
      <c r="AL66" s="276"/>
      <c r="AM66" s="276"/>
      <c r="AN66" s="276"/>
    </row>
    <row r="67" spans="1:40" ht="13.15" customHeight="1" x14ac:dyDescent="0.2">
      <c r="A67" s="8">
        <v>44287</v>
      </c>
      <c r="B67">
        <f t="shared" si="14"/>
        <v>2021</v>
      </c>
      <c r="C67" t="str">
        <f t="shared" si="20"/>
        <v>Q2</v>
      </c>
      <c r="D67" s="249">
        <v>7276.1</v>
      </c>
      <c r="E67" s="249">
        <v>7213.2</v>
      </c>
      <c r="F67" s="249">
        <v>279.60000000000002</v>
      </c>
      <c r="G67" s="249">
        <v>277.2</v>
      </c>
      <c r="H67" s="249">
        <v>818746.1</v>
      </c>
      <c r="I67" s="249">
        <v>92448.9</v>
      </c>
      <c r="J67" s="249">
        <v>35353</v>
      </c>
      <c r="K67" s="249">
        <v>84915.6</v>
      </c>
      <c r="L67" s="249">
        <v>64969.2</v>
      </c>
      <c r="M67" s="7">
        <v>803585</v>
      </c>
      <c r="N67" s="7">
        <v>90340</v>
      </c>
      <c r="O67" s="7">
        <v>13895</v>
      </c>
      <c r="P67" s="7">
        <v>34748</v>
      </c>
      <c r="Q67" s="7">
        <v>82903</v>
      </c>
      <c r="R67" s="249">
        <f t="shared" si="15"/>
        <v>314.5</v>
      </c>
      <c r="S67" s="249">
        <f t="shared" si="16"/>
        <v>319.5</v>
      </c>
      <c r="T67" s="249">
        <f t="shared" si="17"/>
        <v>27.500000000000028</v>
      </c>
      <c r="U67" s="249">
        <f t="shared" si="18"/>
        <v>28</v>
      </c>
      <c r="V67" s="19">
        <f t="shared" si="19"/>
        <v>48105.099999999977</v>
      </c>
      <c r="W67" s="249">
        <f t="shared" si="11"/>
        <v>97874</v>
      </c>
      <c r="X67" s="249">
        <f t="shared" si="21"/>
        <v>17385</v>
      </c>
      <c r="Y67" s="249">
        <f t="shared" si="13"/>
        <v>5849</v>
      </c>
      <c r="Z67" s="275"/>
      <c r="AA67" s="275"/>
      <c r="AB67" s="275"/>
      <c r="AC67" s="275"/>
      <c r="AD67" s="275"/>
      <c r="AE67" s="275"/>
      <c r="AF67" s="8"/>
      <c r="AH67" s="276"/>
      <c r="AI67" s="276"/>
      <c r="AJ67" s="276"/>
      <c r="AK67" s="276"/>
      <c r="AL67" s="276"/>
      <c r="AM67" s="276"/>
      <c r="AN67" s="276"/>
    </row>
    <row r="68" spans="1:40" ht="13.15" customHeight="1" x14ac:dyDescent="0.2">
      <c r="A68" s="8">
        <v>44317</v>
      </c>
      <c r="B68">
        <f t="shared" si="14"/>
        <v>2021</v>
      </c>
      <c r="C68" t="str">
        <f t="shared" si="20"/>
        <v>Q2</v>
      </c>
      <c r="D68" s="249">
        <v>7265.7</v>
      </c>
      <c r="E68" s="249">
        <v>7247.3</v>
      </c>
      <c r="F68" s="249">
        <v>280.2</v>
      </c>
      <c r="G68" s="249">
        <v>278.39999999999998</v>
      </c>
      <c r="H68" s="249">
        <v>818746.1</v>
      </c>
      <c r="I68" s="249">
        <v>92448.9</v>
      </c>
      <c r="J68" s="249">
        <v>35353</v>
      </c>
      <c r="K68" s="249">
        <v>84915.6</v>
      </c>
      <c r="L68" s="249">
        <v>64969.2</v>
      </c>
      <c r="M68" s="7">
        <v>803585</v>
      </c>
      <c r="N68" s="7">
        <v>90340</v>
      </c>
      <c r="O68" s="7">
        <v>13895</v>
      </c>
      <c r="P68" s="7">
        <v>34748</v>
      </c>
      <c r="Q68" s="7">
        <v>82903</v>
      </c>
      <c r="R68" s="249">
        <f t="shared" si="15"/>
        <v>693.09999999999945</v>
      </c>
      <c r="S68" s="249">
        <f t="shared" si="16"/>
        <v>696.40000000000055</v>
      </c>
      <c r="T68" s="249">
        <f t="shared" si="17"/>
        <v>39.399999999999977</v>
      </c>
      <c r="U68" s="249">
        <f t="shared" si="18"/>
        <v>39.299999999999983</v>
      </c>
      <c r="V68" s="19">
        <f t="shared" si="19"/>
        <v>48105.099999999977</v>
      </c>
      <c r="W68" s="249">
        <f t="shared" si="11"/>
        <v>97874</v>
      </c>
      <c r="X68" s="249">
        <f t="shared" si="21"/>
        <v>17385</v>
      </c>
      <c r="Y68" s="249">
        <f t="shared" si="13"/>
        <v>5849</v>
      </c>
      <c r="Z68" s="275"/>
      <c r="AA68" s="275"/>
      <c r="AB68" s="275"/>
      <c r="AC68" s="275"/>
      <c r="AD68" s="275"/>
      <c r="AE68" s="275"/>
      <c r="AF68" s="8"/>
      <c r="AH68" s="276"/>
      <c r="AI68" s="276"/>
      <c r="AJ68" s="276"/>
      <c r="AK68" s="276"/>
      <c r="AL68" s="276"/>
      <c r="AM68" s="276"/>
      <c r="AN68" s="276"/>
    </row>
    <row r="69" spans="1:40" ht="13.15" customHeight="1" x14ac:dyDescent="0.2">
      <c r="A69" s="8">
        <v>44348</v>
      </c>
      <c r="B69">
        <f t="shared" si="14"/>
        <v>2021</v>
      </c>
      <c r="C69" t="str">
        <f t="shared" si="20"/>
        <v>Q2</v>
      </c>
      <c r="D69" s="249">
        <v>7250</v>
      </c>
      <c r="E69" s="249">
        <v>7295.8</v>
      </c>
      <c r="F69" s="249">
        <v>280.10000000000002</v>
      </c>
      <c r="G69" s="249">
        <v>282.3</v>
      </c>
      <c r="H69" s="249">
        <v>818746.1</v>
      </c>
      <c r="I69" s="249">
        <v>92448.9</v>
      </c>
      <c r="J69" s="249">
        <v>35353</v>
      </c>
      <c r="K69" s="249">
        <v>84915.6</v>
      </c>
      <c r="L69" s="249">
        <v>64969.2</v>
      </c>
      <c r="M69" s="7">
        <v>803585</v>
      </c>
      <c r="N69" s="7">
        <v>90340</v>
      </c>
      <c r="O69" s="7">
        <v>13895</v>
      </c>
      <c r="P69" s="7">
        <v>34748</v>
      </c>
      <c r="Q69" s="7">
        <v>82903</v>
      </c>
      <c r="R69" s="249">
        <f t="shared" si="15"/>
        <v>772.60000000000036</v>
      </c>
      <c r="S69" s="249">
        <f t="shared" si="16"/>
        <v>780.19999999999982</v>
      </c>
      <c r="T69" s="249">
        <f t="shared" si="17"/>
        <v>41.600000000000023</v>
      </c>
      <c r="U69" s="249">
        <f t="shared" si="18"/>
        <v>41.100000000000023</v>
      </c>
      <c r="V69" s="19">
        <f t="shared" si="19"/>
        <v>48105.099999999977</v>
      </c>
      <c r="W69" s="249">
        <f t="shared" si="11"/>
        <v>97874</v>
      </c>
      <c r="X69" s="249">
        <f t="shared" si="21"/>
        <v>17385</v>
      </c>
      <c r="Y69" s="249">
        <f t="shared" si="13"/>
        <v>5849</v>
      </c>
      <c r="Z69" s="275"/>
      <c r="AA69" s="275"/>
      <c r="AB69" s="275"/>
      <c r="AC69" s="275"/>
      <c r="AD69" s="275"/>
      <c r="AE69" s="275"/>
      <c r="AF69" s="8"/>
      <c r="AH69" s="276"/>
      <c r="AI69" s="276"/>
      <c r="AJ69" s="276"/>
      <c r="AK69" s="276"/>
      <c r="AL69" s="276"/>
      <c r="AM69" s="276"/>
      <c r="AN69" s="276"/>
    </row>
    <row r="70" spans="1:40" ht="13.15" customHeight="1" x14ac:dyDescent="0.2">
      <c r="A70" s="8">
        <v>44378</v>
      </c>
      <c r="B70">
        <f t="shared" si="14"/>
        <v>2021</v>
      </c>
      <c r="C70" t="str">
        <f t="shared" si="20"/>
        <v>Q3</v>
      </c>
      <c r="D70" s="249">
        <v>7317</v>
      </c>
      <c r="E70" s="249">
        <v>7392.6</v>
      </c>
      <c r="F70" s="249">
        <v>281.2</v>
      </c>
      <c r="G70" s="249">
        <v>284.7</v>
      </c>
      <c r="H70" s="249">
        <v>818746.1</v>
      </c>
      <c r="I70" s="249">
        <v>92448.9</v>
      </c>
      <c r="J70" s="249">
        <v>35353</v>
      </c>
      <c r="K70" s="249">
        <v>84915.6</v>
      </c>
      <c r="L70" s="249">
        <v>64969.2</v>
      </c>
      <c r="M70" s="7">
        <v>821006</v>
      </c>
      <c r="N70" s="7">
        <v>91760</v>
      </c>
      <c r="O70" s="7">
        <v>14469</v>
      </c>
      <c r="P70" s="7">
        <v>35850</v>
      </c>
      <c r="Q70" s="7">
        <v>85815</v>
      </c>
      <c r="R70" s="249">
        <f t="shared" si="15"/>
        <v>650.60000000000036</v>
      </c>
      <c r="S70" s="249">
        <f t="shared" si="16"/>
        <v>661.70000000000073</v>
      </c>
      <c r="T70" s="249">
        <f t="shared" si="17"/>
        <v>31.399999999999977</v>
      </c>
      <c r="U70" s="249">
        <f t="shared" si="18"/>
        <v>30.599999999999994</v>
      </c>
      <c r="V70" s="19">
        <f t="shared" si="19"/>
        <v>48105.099999999977</v>
      </c>
      <c r="W70" s="249">
        <f t="shared" si="11"/>
        <v>42712</v>
      </c>
      <c r="X70" s="249">
        <f t="shared" si="21"/>
        <v>1998</v>
      </c>
      <c r="Y70" s="249">
        <f t="shared" si="13"/>
        <v>7318</v>
      </c>
      <c r="Z70" s="275"/>
      <c r="AA70" s="275"/>
      <c r="AB70" s="275"/>
      <c r="AC70" s="275"/>
      <c r="AD70" s="275"/>
      <c r="AE70" s="275"/>
      <c r="AF70" s="8"/>
      <c r="AH70" s="276"/>
      <c r="AI70" s="276"/>
      <c r="AJ70" s="276"/>
      <c r="AK70" s="276"/>
      <c r="AL70" s="276"/>
      <c r="AM70" s="276"/>
      <c r="AN70" s="276"/>
    </row>
    <row r="71" spans="1:40" ht="13.15" customHeight="1" x14ac:dyDescent="0.2">
      <c r="A71" s="8">
        <v>44409</v>
      </c>
      <c r="B71">
        <f t="shared" si="14"/>
        <v>2021</v>
      </c>
      <c r="C71" t="str">
        <f t="shared" si="20"/>
        <v>Q3</v>
      </c>
      <c r="D71" s="249">
        <v>7405.9</v>
      </c>
      <c r="E71" s="249">
        <v>7474.7</v>
      </c>
      <c r="F71" s="249">
        <v>283.8</v>
      </c>
      <c r="G71" s="249">
        <v>288</v>
      </c>
      <c r="H71" s="249">
        <v>818746.1</v>
      </c>
      <c r="I71" s="249">
        <v>92448.9</v>
      </c>
      <c r="J71" s="249">
        <v>35353</v>
      </c>
      <c r="K71" s="249">
        <v>84915.6</v>
      </c>
      <c r="L71" s="249">
        <v>64969.2</v>
      </c>
      <c r="M71" s="7">
        <v>821006</v>
      </c>
      <c r="N71" s="7">
        <v>91760</v>
      </c>
      <c r="O71" s="7">
        <v>14469</v>
      </c>
      <c r="P71" s="7">
        <v>35850</v>
      </c>
      <c r="Q71" s="7">
        <v>85815</v>
      </c>
      <c r="R71" s="249">
        <f t="shared" si="15"/>
        <v>501.59999999999945</v>
      </c>
      <c r="S71" s="249">
        <f t="shared" si="16"/>
        <v>503.19999999999982</v>
      </c>
      <c r="T71" s="249">
        <f t="shared" si="17"/>
        <v>26.300000000000011</v>
      </c>
      <c r="U71" s="249">
        <f t="shared" si="18"/>
        <v>24.800000000000011</v>
      </c>
      <c r="V71" s="19">
        <f t="shared" si="19"/>
        <v>48105.099999999977</v>
      </c>
      <c r="W71" s="249">
        <f t="shared" si="11"/>
        <v>42712</v>
      </c>
      <c r="X71" s="249">
        <f t="shared" si="21"/>
        <v>1998</v>
      </c>
      <c r="Y71" s="249">
        <f t="shared" si="13"/>
        <v>7318</v>
      </c>
      <c r="Z71" s="275"/>
      <c r="AA71" s="275"/>
      <c r="AB71" s="275"/>
      <c r="AC71" s="275"/>
      <c r="AD71" s="275"/>
      <c r="AE71" s="275"/>
      <c r="AF71" s="8"/>
      <c r="AH71" s="276"/>
      <c r="AI71" s="276"/>
      <c r="AJ71" s="276"/>
      <c r="AK71" s="276"/>
      <c r="AL71" s="276"/>
      <c r="AM71" s="276"/>
      <c r="AN71" s="276"/>
    </row>
    <row r="72" spans="1:40" ht="13.15" customHeight="1" x14ac:dyDescent="0.2">
      <c r="A72" s="8">
        <v>44440</v>
      </c>
      <c r="B72">
        <f t="shared" si="14"/>
        <v>2021</v>
      </c>
      <c r="C72" t="str">
        <f t="shared" si="20"/>
        <v>Q3</v>
      </c>
      <c r="D72" s="249">
        <v>7482</v>
      </c>
      <c r="E72" s="249">
        <v>7507</v>
      </c>
      <c r="F72" s="249">
        <v>284.2</v>
      </c>
      <c r="G72" s="249">
        <v>285.39999999999998</v>
      </c>
      <c r="H72" s="249">
        <v>818746.1</v>
      </c>
      <c r="I72" s="249">
        <v>92448.9</v>
      </c>
      <c r="J72" s="249">
        <v>35353</v>
      </c>
      <c r="K72" s="249">
        <v>84915.6</v>
      </c>
      <c r="L72" s="249">
        <v>64969.2</v>
      </c>
      <c r="M72" s="7">
        <v>821006</v>
      </c>
      <c r="N72" s="7">
        <v>91760</v>
      </c>
      <c r="O72" s="7">
        <v>14469</v>
      </c>
      <c r="P72" s="7">
        <v>35850</v>
      </c>
      <c r="Q72" s="7">
        <v>85815</v>
      </c>
      <c r="R72" s="249">
        <f t="shared" si="15"/>
        <v>416.80000000000018</v>
      </c>
      <c r="S72" s="249">
        <f t="shared" si="16"/>
        <v>408.19999999999982</v>
      </c>
      <c r="T72" s="249">
        <f t="shared" si="17"/>
        <v>22.099999999999966</v>
      </c>
      <c r="U72" s="249">
        <f t="shared" si="18"/>
        <v>21</v>
      </c>
      <c r="V72" s="19">
        <f t="shared" si="19"/>
        <v>48105.099999999977</v>
      </c>
      <c r="W72" s="249">
        <f t="shared" si="11"/>
        <v>42712</v>
      </c>
      <c r="X72" s="249">
        <f t="shared" si="21"/>
        <v>1998</v>
      </c>
      <c r="Y72" s="249">
        <f t="shared" si="13"/>
        <v>7318</v>
      </c>
      <c r="Z72" s="275"/>
      <c r="AA72" s="275"/>
      <c r="AB72" s="275"/>
      <c r="AC72" s="275"/>
      <c r="AD72" s="275"/>
      <c r="AE72" s="275"/>
      <c r="AF72" s="8"/>
      <c r="AH72" s="276"/>
      <c r="AI72" s="276"/>
      <c r="AJ72" s="276"/>
      <c r="AK72" s="276"/>
      <c r="AL72" s="276"/>
      <c r="AM72" s="276"/>
      <c r="AN72" s="276"/>
    </row>
    <row r="73" spans="1:40" ht="13.15" customHeight="1" x14ac:dyDescent="0.2">
      <c r="A73" s="8">
        <v>44470</v>
      </c>
      <c r="B73">
        <f t="shared" si="14"/>
        <v>2021</v>
      </c>
      <c r="C73" t="str">
        <f t="shared" si="20"/>
        <v>Q4</v>
      </c>
      <c r="D73" s="249">
        <v>7537.7</v>
      </c>
      <c r="E73" s="249">
        <v>7547.1</v>
      </c>
      <c r="F73" s="249">
        <v>286.7</v>
      </c>
      <c r="G73" s="249">
        <v>286.60000000000002</v>
      </c>
      <c r="H73" s="249">
        <v>818746.1</v>
      </c>
      <c r="I73" s="249">
        <v>92448.9</v>
      </c>
      <c r="J73" s="249">
        <v>35353</v>
      </c>
      <c r="K73" s="249">
        <v>84915.6</v>
      </c>
      <c r="L73" s="249">
        <v>64969.2</v>
      </c>
      <c r="M73" s="7">
        <v>840399</v>
      </c>
      <c r="N73" s="7">
        <v>95623</v>
      </c>
      <c r="O73" s="7">
        <v>15201</v>
      </c>
      <c r="P73" s="7">
        <v>36785</v>
      </c>
      <c r="Q73" s="7">
        <v>89292</v>
      </c>
      <c r="R73" s="249">
        <f t="shared" si="15"/>
        <v>351.09999999999945</v>
      </c>
      <c r="S73" s="249">
        <f t="shared" si="16"/>
        <v>336.40000000000055</v>
      </c>
      <c r="T73" s="249">
        <f t="shared" si="17"/>
        <v>22.5</v>
      </c>
      <c r="U73" s="249">
        <f t="shared" si="18"/>
        <v>21.300000000000011</v>
      </c>
      <c r="V73" s="19">
        <f t="shared" si="19"/>
        <v>48105.099999999977</v>
      </c>
      <c r="W73" s="249">
        <f t="shared" si="11"/>
        <v>43086</v>
      </c>
      <c r="X73" s="249">
        <f t="shared" si="21"/>
        <v>5037</v>
      </c>
      <c r="Y73" s="249">
        <f t="shared" si="13"/>
        <v>9580</v>
      </c>
      <c r="Z73" s="275"/>
      <c r="AA73" s="275"/>
      <c r="AB73" s="275"/>
      <c r="AC73" s="275"/>
      <c r="AD73" s="275"/>
      <c r="AE73" s="275"/>
      <c r="AF73" s="8"/>
      <c r="AH73" s="276"/>
      <c r="AI73" s="276"/>
      <c r="AJ73" s="276"/>
      <c r="AK73" s="276"/>
      <c r="AL73" s="276"/>
      <c r="AM73" s="276"/>
      <c r="AN73" s="276"/>
    </row>
    <row r="74" spans="1:40" ht="13.15" customHeight="1" x14ac:dyDescent="0.2">
      <c r="A74" s="8">
        <v>44501</v>
      </c>
      <c r="B74">
        <f t="shared" si="14"/>
        <v>2021</v>
      </c>
      <c r="C74" t="str">
        <f t="shared" si="20"/>
        <v>Q4</v>
      </c>
      <c r="D74" s="249">
        <v>7604</v>
      </c>
      <c r="E74" s="249">
        <v>7604.8</v>
      </c>
      <c r="F74" s="249">
        <v>290.5</v>
      </c>
      <c r="G74" s="249">
        <v>288.7</v>
      </c>
      <c r="H74" s="249">
        <v>818746.1</v>
      </c>
      <c r="I74" s="249">
        <v>92448.9</v>
      </c>
      <c r="J74" s="249">
        <v>35353</v>
      </c>
      <c r="K74" s="249">
        <v>84915.6</v>
      </c>
      <c r="L74" s="249">
        <v>64969.2</v>
      </c>
      <c r="M74" s="7">
        <v>840399</v>
      </c>
      <c r="N74" s="7">
        <v>95623</v>
      </c>
      <c r="O74" s="7">
        <v>15201</v>
      </c>
      <c r="P74" s="7">
        <v>36785</v>
      </c>
      <c r="Q74" s="7">
        <v>89292</v>
      </c>
      <c r="R74" s="249">
        <f t="shared" si="15"/>
        <v>332.19999999999982</v>
      </c>
      <c r="S74" s="249">
        <f t="shared" si="16"/>
        <v>321.80000000000018</v>
      </c>
      <c r="T74" s="249">
        <f t="shared" si="17"/>
        <v>25.699999999999989</v>
      </c>
      <c r="U74" s="249">
        <f t="shared" si="18"/>
        <v>25</v>
      </c>
      <c r="V74" s="19">
        <f t="shared" si="19"/>
        <v>48105.099999999977</v>
      </c>
      <c r="W74" s="249">
        <f t="shared" si="11"/>
        <v>43086</v>
      </c>
      <c r="X74" s="249">
        <f t="shared" si="21"/>
        <v>5037</v>
      </c>
      <c r="Y74" s="249">
        <f t="shared" si="13"/>
        <v>9580</v>
      </c>
      <c r="Z74" s="275"/>
      <c r="AA74" s="275"/>
      <c r="AB74" s="275"/>
      <c r="AC74" s="275"/>
      <c r="AD74" s="275"/>
      <c r="AE74" s="275"/>
      <c r="AF74" s="8"/>
      <c r="AH74" s="276"/>
      <c r="AI74" s="276"/>
      <c r="AJ74" s="276"/>
      <c r="AK74" s="276"/>
      <c r="AL74" s="276"/>
      <c r="AM74" s="276"/>
      <c r="AN74" s="276"/>
    </row>
    <row r="75" spans="1:40" ht="13.15" customHeight="1" x14ac:dyDescent="0.2">
      <c r="A75" s="8">
        <v>44531</v>
      </c>
      <c r="B75">
        <f t="shared" si="14"/>
        <v>2021</v>
      </c>
      <c r="C75" t="str">
        <f t="shared" si="20"/>
        <v>Q4</v>
      </c>
      <c r="D75" s="249">
        <v>7658.5</v>
      </c>
      <c r="E75" s="249">
        <v>7662.8</v>
      </c>
      <c r="F75" s="249">
        <v>295.5</v>
      </c>
      <c r="G75" s="249">
        <v>293.39999999999998</v>
      </c>
      <c r="H75" s="249">
        <v>818746.1</v>
      </c>
      <c r="I75" s="249">
        <v>92448.9</v>
      </c>
      <c r="J75" s="249">
        <v>35353</v>
      </c>
      <c r="K75" s="249">
        <v>84915.6</v>
      </c>
      <c r="L75" s="249">
        <v>64969.2</v>
      </c>
      <c r="M75" s="7">
        <v>840399</v>
      </c>
      <c r="N75" s="7">
        <v>95623</v>
      </c>
      <c r="O75" s="7">
        <v>15201</v>
      </c>
      <c r="P75" s="7">
        <v>36785</v>
      </c>
      <c r="Q75" s="7">
        <v>89292</v>
      </c>
      <c r="R75" s="249">
        <f t="shared" si="15"/>
        <v>368.69999999999982</v>
      </c>
      <c r="S75" s="249">
        <f t="shared" si="16"/>
        <v>362.19999999999982</v>
      </c>
      <c r="T75" s="249">
        <f t="shared" si="17"/>
        <v>27.899999999999977</v>
      </c>
      <c r="U75" s="249">
        <f t="shared" si="18"/>
        <v>27.5</v>
      </c>
      <c r="V75" s="19">
        <f t="shared" si="19"/>
        <v>48105.099999999977</v>
      </c>
      <c r="W75" s="249">
        <f t="shared" si="11"/>
        <v>43086</v>
      </c>
      <c r="X75" s="249">
        <f t="shared" si="21"/>
        <v>5037</v>
      </c>
      <c r="Y75" s="249">
        <f t="shared" si="13"/>
        <v>9580</v>
      </c>
      <c r="Z75" s="275"/>
      <c r="AA75" s="275"/>
      <c r="AB75" s="275"/>
      <c r="AC75" s="275"/>
      <c r="AD75" s="275"/>
      <c r="AE75" s="275"/>
      <c r="AF75" s="8"/>
      <c r="AH75" s="276"/>
      <c r="AI75" s="276"/>
      <c r="AJ75" s="276"/>
      <c r="AK75" s="276"/>
      <c r="AL75" s="276"/>
      <c r="AM75" s="276"/>
      <c r="AN75" s="276"/>
    </row>
    <row r="76" spans="1:40" ht="13.15" customHeight="1" x14ac:dyDescent="0.2">
      <c r="A76" s="8">
        <v>44562</v>
      </c>
      <c r="B76">
        <f t="shared" si="14"/>
        <v>2022</v>
      </c>
      <c r="C76" t="str">
        <f t="shared" si="20"/>
        <v>Q1</v>
      </c>
      <c r="D76" s="249">
        <v>7643.6</v>
      </c>
      <c r="E76" s="249">
        <v>7611.7</v>
      </c>
      <c r="F76" s="249">
        <v>297.8</v>
      </c>
      <c r="G76" s="249">
        <v>295.2</v>
      </c>
      <c r="H76" s="249">
        <v>854001.9</v>
      </c>
      <c r="I76" s="249">
        <v>93618.5</v>
      </c>
      <c r="J76" s="249">
        <v>35584.300000000003</v>
      </c>
      <c r="K76" s="249">
        <v>87698.4</v>
      </c>
      <c r="L76" s="249">
        <v>71366.899999999994</v>
      </c>
      <c r="M76" s="7">
        <v>847546</v>
      </c>
      <c r="N76" s="7">
        <v>95039</v>
      </c>
      <c r="O76" s="7">
        <v>14723</v>
      </c>
      <c r="P76" s="7">
        <v>35881</v>
      </c>
      <c r="Q76" s="7">
        <v>89450</v>
      </c>
      <c r="R76" s="249">
        <f t="shared" si="15"/>
        <v>409</v>
      </c>
      <c r="S76" s="249">
        <f t="shared" si="16"/>
        <v>404.5</v>
      </c>
      <c r="T76" s="249">
        <f t="shared" si="17"/>
        <v>28</v>
      </c>
      <c r="U76" s="249">
        <f t="shared" si="18"/>
        <v>27.800000000000011</v>
      </c>
      <c r="V76" s="19">
        <f t="shared" si="19"/>
        <v>35255.800000000047</v>
      </c>
      <c r="W76" s="249">
        <f t="shared" si="11"/>
        <v>37552</v>
      </c>
      <c r="X76" s="249">
        <f t="shared" si="21"/>
        <v>2966</v>
      </c>
      <c r="Y76" s="249">
        <f t="shared" si="13"/>
        <v>7797</v>
      </c>
    </row>
    <row r="77" spans="1:40" ht="13.15" customHeight="1" x14ac:dyDescent="0.2">
      <c r="A77" s="8">
        <v>44593</v>
      </c>
      <c r="B77">
        <f t="shared" si="14"/>
        <v>2022</v>
      </c>
      <c r="C77" t="str">
        <f t="shared" si="20"/>
        <v>Q1</v>
      </c>
      <c r="D77" s="249">
        <v>7668.9</v>
      </c>
      <c r="E77" s="249">
        <v>7606.7</v>
      </c>
      <c r="F77" s="249">
        <v>298.89999999999998</v>
      </c>
      <c r="G77" s="249">
        <v>296.3</v>
      </c>
      <c r="H77" s="249">
        <v>854001.9</v>
      </c>
      <c r="I77" s="249">
        <v>93618.5</v>
      </c>
      <c r="J77" s="249">
        <v>35584.300000000003</v>
      </c>
      <c r="K77" s="249">
        <v>87698.4</v>
      </c>
      <c r="L77" s="249">
        <v>71366.899999999994</v>
      </c>
      <c r="M77" s="7">
        <v>847546</v>
      </c>
      <c r="N77" s="7">
        <v>95039</v>
      </c>
      <c r="O77" s="7">
        <v>14723</v>
      </c>
      <c r="P77" s="7">
        <v>35881</v>
      </c>
      <c r="Q77" s="7">
        <v>89450</v>
      </c>
      <c r="R77" s="249">
        <f t="shared" si="15"/>
        <v>459.39999999999964</v>
      </c>
      <c r="S77" s="249">
        <f t="shared" si="16"/>
        <v>455.39999999999964</v>
      </c>
      <c r="T77" s="249">
        <f t="shared" si="17"/>
        <v>25</v>
      </c>
      <c r="U77" s="249">
        <f t="shared" si="18"/>
        <v>24.900000000000034</v>
      </c>
      <c r="V77" s="19">
        <f t="shared" si="19"/>
        <v>35255.800000000047</v>
      </c>
      <c r="W77" s="249">
        <f t="shared" si="11"/>
        <v>37552</v>
      </c>
      <c r="X77" s="249">
        <f t="shared" si="21"/>
        <v>2966</v>
      </c>
      <c r="Y77" s="249">
        <f t="shared" si="13"/>
        <v>7797</v>
      </c>
      <c r="Z77" s="249"/>
      <c r="AA77" s="249"/>
      <c r="AB77" s="249"/>
      <c r="AC77" s="249"/>
      <c r="AD77" s="249"/>
      <c r="AE77" s="249"/>
    </row>
    <row r="78" spans="1:40" ht="13.15" customHeight="1" x14ac:dyDescent="0.2">
      <c r="A78" s="8">
        <v>44621</v>
      </c>
      <c r="B78">
        <f t="shared" si="14"/>
        <v>2022</v>
      </c>
      <c r="C78" t="str">
        <f t="shared" si="20"/>
        <v>Q1</v>
      </c>
      <c r="D78" s="249">
        <v>7681.1</v>
      </c>
      <c r="E78" s="249">
        <v>7595.3</v>
      </c>
      <c r="F78" s="249">
        <v>301.8</v>
      </c>
      <c r="G78" s="249">
        <v>298.60000000000002</v>
      </c>
      <c r="H78" s="249">
        <v>854001.9</v>
      </c>
      <c r="I78" s="249">
        <v>93618.5</v>
      </c>
      <c r="J78" s="249">
        <v>35584.300000000003</v>
      </c>
      <c r="K78" s="249">
        <v>87698.4</v>
      </c>
      <c r="L78" s="249">
        <v>71366.899999999994</v>
      </c>
      <c r="M78" s="7">
        <v>847546</v>
      </c>
      <c r="N78" s="7">
        <v>95039</v>
      </c>
      <c r="O78" s="7">
        <v>14723</v>
      </c>
      <c r="P78" s="7">
        <v>35881</v>
      </c>
      <c r="Q78" s="7">
        <v>89450</v>
      </c>
      <c r="R78" s="249">
        <f t="shared" si="15"/>
        <v>443.70000000000073</v>
      </c>
      <c r="S78" s="249">
        <f t="shared" si="16"/>
        <v>441.60000000000036</v>
      </c>
      <c r="T78" s="249">
        <f t="shared" si="17"/>
        <v>25.300000000000011</v>
      </c>
      <c r="U78" s="249">
        <f t="shared" si="18"/>
        <v>24.900000000000034</v>
      </c>
      <c r="V78" s="19">
        <f t="shared" si="19"/>
        <v>35255.800000000047</v>
      </c>
      <c r="W78" s="249">
        <f t="shared" si="11"/>
        <v>37552</v>
      </c>
      <c r="X78" s="249">
        <f t="shared" si="21"/>
        <v>2966</v>
      </c>
      <c r="Y78" s="249">
        <f t="shared" si="13"/>
        <v>7797</v>
      </c>
      <c r="Z78" s="249"/>
      <c r="AA78" s="249"/>
      <c r="AB78" s="249"/>
      <c r="AC78" s="249"/>
      <c r="AD78" s="249"/>
      <c r="AE78" s="249"/>
    </row>
    <row r="79" spans="1:40" ht="13.15" customHeight="1" x14ac:dyDescent="0.2">
      <c r="A79" s="8">
        <v>44652</v>
      </c>
      <c r="B79">
        <f t="shared" si="14"/>
        <v>2022</v>
      </c>
      <c r="C79" t="str">
        <f t="shared" si="20"/>
        <v>Q2</v>
      </c>
      <c r="D79" s="249">
        <v>7758.4</v>
      </c>
      <c r="E79" s="249">
        <v>7694.2</v>
      </c>
      <c r="F79" s="249">
        <v>303.39999999999998</v>
      </c>
      <c r="G79" s="249">
        <v>301</v>
      </c>
      <c r="H79" s="249">
        <v>854001.9</v>
      </c>
      <c r="I79" s="249">
        <v>93618.5</v>
      </c>
      <c r="J79" s="249">
        <v>35584.300000000003</v>
      </c>
      <c r="K79" s="249">
        <v>87698.4</v>
      </c>
      <c r="L79" s="249">
        <v>71366.899999999994</v>
      </c>
      <c r="M79" s="7">
        <v>854755</v>
      </c>
      <c r="N79" s="7">
        <v>94257</v>
      </c>
      <c r="O79" s="7">
        <v>14654</v>
      </c>
      <c r="P79" s="7">
        <v>35373</v>
      </c>
      <c r="Q79" s="7">
        <v>88426</v>
      </c>
      <c r="R79" s="249">
        <f t="shared" si="15"/>
        <v>482.29999999999927</v>
      </c>
      <c r="S79" s="249">
        <f t="shared" si="16"/>
        <v>481</v>
      </c>
      <c r="T79" s="249">
        <f t="shared" si="17"/>
        <v>23.799999999999955</v>
      </c>
      <c r="U79" s="249">
        <f t="shared" si="18"/>
        <v>23.800000000000011</v>
      </c>
      <c r="V79" s="19">
        <f t="shared" si="19"/>
        <v>35255.800000000047</v>
      </c>
      <c r="W79" s="249">
        <f t="shared" si="11"/>
        <v>51170</v>
      </c>
      <c r="X79" s="249">
        <f t="shared" si="21"/>
        <v>3917</v>
      </c>
      <c r="Y79" s="249">
        <f t="shared" si="13"/>
        <v>5523</v>
      </c>
    </row>
    <row r="80" spans="1:40" ht="13.15" customHeight="1" x14ac:dyDescent="0.2">
      <c r="A80" s="8">
        <v>44682</v>
      </c>
      <c r="B80">
        <f t="shared" si="14"/>
        <v>2022</v>
      </c>
      <c r="C80" t="str">
        <f t="shared" si="20"/>
        <v>Q2</v>
      </c>
      <c r="D80" s="249">
        <v>7776.1</v>
      </c>
      <c r="E80" s="249">
        <v>7765</v>
      </c>
      <c r="F80" s="249">
        <v>303.2</v>
      </c>
      <c r="G80" s="249">
        <v>303.7</v>
      </c>
      <c r="H80" s="249">
        <v>854001.9</v>
      </c>
      <c r="I80" s="249">
        <v>93618.5</v>
      </c>
      <c r="J80" s="249">
        <v>35584.300000000003</v>
      </c>
      <c r="K80" s="249">
        <v>87698.4</v>
      </c>
      <c r="L80" s="249">
        <v>71366.899999999994</v>
      </c>
      <c r="M80" s="7">
        <v>854755</v>
      </c>
      <c r="N80" s="7">
        <v>94257</v>
      </c>
      <c r="O80" s="7">
        <v>14654</v>
      </c>
      <c r="P80" s="7">
        <v>35373</v>
      </c>
      <c r="Q80" s="7">
        <v>88426</v>
      </c>
      <c r="R80" s="249">
        <f t="shared" ref="R80:R111" si="22">D80-D68</f>
        <v>510.40000000000055</v>
      </c>
      <c r="S80" s="249">
        <f t="shared" ref="S80:S111" si="23">E80-E68</f>
        <v>517.69999999999982</v>
      </c>
      <c r="T80" s="249">
        <f t="shared" ref="T80:T111" si="24">F80-F68</f>
        <v>23</v>
      </c>
      <c r="U80" s="249">
        <f t="shared" ref="U80:U111" si="25">G80-G68</f>
        <v>25.300000000000011</v>
      </c>
      <c r="V80" s="19">
        <f t="shared" ref="V80:V111" si="26">H80-H68</f>
        <v>35255.800000000047</v>
      </c>
      <c r="W80" s="249">
        <f t="shared" si="11"/>
        <v>51170</v>
      </c>
      <c r="X80" s="249">
        <f t="shared" si="21"/>
        <v>3917</v>
      </c>
      <c r="Y80" s="249">
        <f t="shared" si="13"/>
        <v>5523</v>
      </c>
    </row>
    <row r="81" spans="1:38" ht="13.15" customHeight="1" x14ac:dyDescent="0.2">
      <c r="A81" s="8">
        <v>44713</v>
      </c>
      <c r="B81">
        <f t="shared" si="14"/>
        <v>2022</v>
      </c>
      <c r="C81" t="str">
        <f t="shared" si="20"/>
        <v>Q2</v>
      </c>
      <c r="D81" s="249">
        <v>7782.8</v>
      </c>
      <c r="E81" s="249">
        <v>7838.7</v>
      </c>
      <c r="F81" s="249">
        <v>299.7</v>
      </c>
      <c r="G81" s="249">
        <v>303.39999999999998</v>
      </c>
      <c r="H81" s="249">
        <v>854001.9</v>
      </c>
      <c r="I81" s="249">
        <v>93618.5</v>
      </c>
      <c r="J81" s="249">
        <v>35584.300000000003</v>
      </c>
      <c r="K81" s="249">
        <v>87698.4</v>
      </c>
      <c r="L81" s="249">
        <v>71366.899999999994</v>
      </c>
      <c r="M81" s="7">
        <v>854755</v>
      </c>
      <c r="N81" s="7">
        <v>94257</v>
      </c>
      <c r="O81" s="7">
        <v>14654</v>
      </c>
      <c r="P81" s="7">
        <v>35373</v>
      </c>
      <c r="Q81" s="7">
        <v>88426</v>
      </c>
      <c r="R81" s="249">
        <f t="shared" si="22"/>
        <v>532.80000000000018</v>
      </c>
      <c r="S81" s="249">
        <f t="shared" si="23"/>
        <v>542.89999999999964</v>
      </c>
      <c r="T81" s="249">
        <f t="shared" si="24"/>
        <v>19.599999999999966</v>
      </c>
      <c r="U81" s="249">
        <f t="shared" si="25"/>
        <v>21.099999999999966</v>
      </c>
      <c r="V81" s="19">
        <f t="shared" si="26"/>
        <v>35255.800000000047</v>
      </c>
      <c r="W81" s="249">
        <f t="shared" si="11"/>
        <v>51170</v>
      </c>
      <c r="X81" s="249">
        <f t="shared" si="21"/>
        <v>3917</v>
      </c>
      <c r="Y81" s="249">
        <f t="shared" si="13"/>
        <v>5523</v>
      </c>
    </row>
    <row r="82" spans="1:38" ht="13.15" customHeight="1" x14ac:dyDescent="0.2">
      <c r="A82" s="8">
        <v>44743</v>
      </c>
      <c r="B82">
        <f t="shared" si="14"/>
        <v>2022</v>
      </c>
      <c r="C82" t="str">
        <f t="shared" si="20"/>
        <v>Q3</v>
      </c>
      <c r="D82" s="249">
        <v>7784.1</v>
      </c>
      <c r="E82" s="249">
        <v>7872.1</v>
      </c>
      <c r="F82" s="249">
        <v>299.2</v>
      </c>
      <c r="G82" s="249">
        <v>303.8</v>
      </c>
      <c r="H82" s="249">
        <v>854001.9</v>
      </c>
      <c r="I82" s="249">
        <v>93618.5</v>
      </c>
      <c r="J82" s="249">
        <v>35584.300000000003</v>
      </c>
      <c r="K82" s="249">
        <v>87698.4</v>
      </c>
      <c r="L82" s="249">
        <v>71366.899999999994</v>
      </c>
      <c r="M82" s="7">
        <v>856819</v>
      </c>
      <c r="N82" s="7">
        <v>93556</v>
      </c>
      <c r="O82" s="7">
        <v>14578</v>
      </c>
      <c r="P82" s="7">
        <v>35455</v>
      </c>
      <c r="Q82" s="7">
        <v>86844</v>
      </c>
      <c r="R82" s="249">
        <f t="shared" si="22"/>
        <v>467.10000000000036</v>
      </c>
      <c r="S82" s="249">
        <f t="shared" si="23"/>
        <v>479.5</v>
      </c>
      <c r="T82" s="249">
        <f t="shared" si="24"/>
        <v>18</v>
      </c>
      <c r="U82" s="249">
        <f t="shared" si="25"/>
        <v>19.100000000000023</v>
      </c>
      <c r="V82" s="19">
        <f t="shared" si="26"/>
        <v>35255.800000000047</v>
      </c>
      <c r="W82" s="249">
        <f t="shared" si="11"/>
        <v>35813</v>
      </c>
      <c r="X82" s="249">
        <f t="shared" si="21"/>
        <v>1796</v>
      </c>
      <c r="Y82" s="249">
        <f t="shared" si="13"/>
        <v>1029</v>
      </c>
    </row>
    <row r="83" spans="1:38" ht="13.15" customHeight="1" x14ac:dyDescent="0.2">
      <c r="A83" s="8">
        <v>44774</v>
      </c>
      <c r="B83">
        <f t="shared" si="14"/>
        <v>2022</v>
      </c>
      <c r="C83" t="str">
        <f t="shared" si="20"/>
        <v>Q3</v>
      </c>
      <c r="D83" s="249">
        <v>7778</v>
      </c>
      <c r="E83" s="249">
        <v>7852.4</v>
      </c>
      <c r="F83" s="249">
        <v>297.3</v>
      </c>
      <c r="G83" s="249">
        <v>300.7</v>
      </c>
      <c r="H83" s="249">
        <v>854001.9</v>
      </c>
      <c r="I83" s="249">
        <v>93618.5</v>
      </c>
      <c r="J83" s="249">
        <v>35584.300000000003</v>
      </c>
      <c r="K83" s="249">
        <v>87698.4</v>
      </c>
      <c r="L83" s="249">
        <v>71366.899999999994</v>
      </c>
      <c r="M83" s="7">
        <v>856819</v>
      </c>
      <c r="N83" s="7">
        <v>93556</v>
      </c>
      <c r="O83" s="7">
        <v>14578</v>
      </c>
      <c r="P83" s="7">
        <v>35455</v>
      </c>
      <c r="Q83" s="7">
        <v>86844</v>
      </c>
      <c r="R83" s="249">
        <f t="shared" si="22"/>
        <v>372.10000000000036</v>
      </c>
      <c r="S83" s="249">
        <f t="shared" si="23"/>
        <v>377.69999999999982</v>
      </c>
      <c r="T83" s="249">
        <f t="shared" si="24"/>
        <v>13.5</v>
      </c>
      <c r="U83" s="249">
        <f t="shared" si="25"/>
        <v>12.699999999999989</v>
      </c>
      <c r="V83" s="19">
        <f t="shared" si="26"/>
        <v>35255.800000000047</v>
      </c>
      <c r="W83" s="249">
        <f t="shared" si="11"/>
        <v>35813</v>
      </c>
      <c r="X83" s="249">
        <f t="shared" si="21"/>
        <v>1796</v>
      </c>
      <c r="Y83" s="249">
        <f t="shared" si="13"/>
        <v>1029</v>
      </c>
    </row>
    <row r="84" spans="1:38" ht="13.15" customHeight="1" x14ac:dyDescent="0.2">
      <c r="A84" s="8">
        <v>44805</v>
      </c>
      <c r="B84">
        <f t="shared" si="14"/>
        <v>2022</v>
      </c>
      <c r="C84" t="str">
        <f t="shared" si="20"/>
        <v>Q3</v>
      </c>
      <c r="D84" s="249">
        <v>7770.7</v>
      </c>
      <c r="E84" s="249">
        <v>7793.8</v>
      </c>
      <c r="F84" s="249">
        <v>299.60000000000002</v>
      </c>
      <c r="G84" s="249">
        <v>300.60000000000002</v>
      </c>
      <c r="H84" s="249">
        <v>854001.9</v>
      </c>
      <c r="I84" s="249">
        <v>93618.5</v>
      </c>
      <c r="J84" s="249">
        <v>35584.300000000003</v>
      </c>
      <c r="K84" s="249">
        <v>87698.4</v>
      </c>
      <c r="L84" s="249">
        <v>71366.899999999994</v>
      </c>
      <c r="M84" s="7">
        <v>856819</v>
      </c>
      <c r="N84" s="7">
        <v>93556</v>
      </c>
      <c r="O84" s="7">
        <v>14578</v>
      </c>
      <c r="P84" s="7">
        <v>35455</v>
      </c>
      <c r="Q84" s="7">
        <v>86844</v>
      </c>
      <c r="R84" s="249">
        <f t="shared" si="22"/>
        <v>288.69999999999982</v>
      </c>
      <c r="S84" s="249">
        <f t="shared" si="23"/>
        <v>286.80000000000018</v>
      </c>
      <c r="T84" s="249">
        <f t="shared" si="24"/>
        <v>15.400000000000034</v>
      </c>
      <c r="U84" s="249">
        <f t="shared" si="25"/>
        <v>15.200000000000045</v>
      </c>
      <c r="V84" s="19">
        <f t="shared" si="26"/>
        <v>35255.800000000047</v>
      </c>
      <c r="W84" s="249">
        <f t="shared" si="11"/>
        <v>35813</v>
      </c>
      <c r="X84" s="249">
        <f t="shared" si="21"/>
        <v>1796</v>
      </c>
      <c r="Y84" s="249">
        <f t="shared" si="13"/>
        <v>1029</v>
      </c>
    </row>
    <row r="85" spans="1:38" ht="13.15" customHeight="1" x14ac:dyDescent="0.2">
      <c r="A85" s="8">
        <v>44835</v>
      </c>
      <c r="B85">
        <f t="shared" si="14"/>
        <v>2022</v>
      </c>
      <c r="C85" t="str">
        <f t="shared" si="20"/>
        <v>Q4</v>
      </c>
      <c r="D85" s="249">
        <v>7776.1</v>
      </c>
      <c r="E85" s="249">
        <v>7778.7</v>
      </c>
      <c r="F85" s="249">
        <v>299.5</v>
      </c>
      <c r="G85" s="249">
        <v>299.10000000000002</v>
      </c>
      <c r="H85" s="249">
        <v>854001.9</v>
      </c>
      <c r="I85" s="249">
        <v>93618.5</v>
      </c>
      <c r="J85" s="249">
        <v>35584.300000000003</v>
      </c>
      <c r="K85" s="249">
        <v>87698.4</v>
      </c>
      <c r="L85" s="249">
        <v>71366.899999999994</v>
      </c>
      <c r="M85" s="7">
        <v>856887</v>
      </c>
      <c r="N85" s="7">
        <v>91622</v>
      </c>
      <c r="O85" s="7">
        <v>14156</v>
      </c>
      <c r="P85" s="7">
        <v>35629</v>
      </c>
      <c r="Q85" s="7">
        <v>86074</v>
      </c>
      <c r="R85" s="249">
        <f t="shared" si="22"/>
        <v>238.40000000000055</v>
      </c>
      <c r="S85" s="249">
        <f t="shared" si="23"/>
        <v>231.59999999999945</v>
      </c>
      <c r="T85" s="249">
        <f t="shared" si="24"/>
        <v>12.800000000000011</v>
      </c>
      <c r="U85" s="249">
        <f t="shared" si="25"/>
        <v>12.5</v>
      </c>
      <c r="V85" s="19">
        <f t="shared" si="26"/>
        <v>35255.800000000047</v>
      </c>
      <c r="W85" s="249">
        <f t="shared" si="11"/>
        <v>16488</v>
      </c>
      <c r="X85" s="249">
        <f t="shared" si="21"/>
        <v>-4001</v>
      </c>
      <c r="Y85" s="249">
        <f t="shared" si="13"/>
        <v>-3218</v>
      </c>
      <c r="AF85" s="277"/>
      <c r="AG85" s="278"/>
      <c r="AH85" s="278"/>
      <c r="AI85" s="278"/>
      <c r="AJ85" s="278"/>
      <c r="AK85" s="279"/>
      <c r="AL85" s="279"/>
    </row>
    <row r="86" spans="1:38" ht="13.15" customHeight="1" x14ac:dyDescent="0.2">
      <c r="A86" s="8">
        <v>44866</v>
      </c>
      <c r="B86">
        <f t="shared" si="14"/>
        <v>2022</v>
      </c>
      <c r="C86" t="str">
        <f t="shared" si="20"/>
        <v>Q4</v>
      </c>
      <c r="D86" s="249">
        <v>7791.7</v>
      </c>
      <c r="E86" s="249">
        <v>7783.8</v>
      </c>
      <c r="F86" s="249">
        <v>301.2</v>
      </c>
      <c r="G86" s="249">
        <v>298.8</v>
      </c>
      <c r="H86" s="249">
        <v>854001.9</v>
      </c>
      <c r="I86" s="249">
        <v>93618.5</v>
      </c>
      <c r="J86" s="249">
        <v>35584.300000000003</v>
      </c>
      <c r="K86" s="249">
        <v>87698.4</v>
      </c>
      <c r="L86" s="249">
        <v>71366.899999999994</v>
      </c>
      <c r="M86" s="7">
        <v>856887</v>
      </c>
      <c r="N86" s="7">
        <v>91622</v>
      </c>
      <c r="O86" s="7">
        <v>14156</v>
      </c>
      <c r="P86" s="7">
        <v>35629</v>
      </c>
      <c r="Q86" s="7">
        <v>86074</v>
      </c>
      <c r="R86" s="249">
        <f t="shared" si="22"/>
        <v>187.69999999999982</v>
      </c>
      <c r="S86" s="249">
        <f t="shared" si="23"/>
        <v>179</v>
      </c>
      <c r="T86" s="249">
        <f t="shared" si="24"/>
        <v>10.699999999999989</v>
      </c>
      <c r="U86" s="249">
        <f t="shared" si="25"/>
        <v>10.100000000000023</v>
      </c>
      <c r="V86" s="19">
        <f t="shared" si="26"/>
        <v>35255.800000000047</v>
      </c>
      <c r="W86" s="249">
        <f t="shared" si="11"/>
        <v>16488</v>
      </c>
      <c r="X86" s="249">
        <f t="shared" si="21"/>
        <v>-4001</v>
      </c>
      <c r="Y86" s="249">
        <f t="shared" si="13"/>
        <v>-3218</v>
      </c>
      <c r="AF86" s="277"/>
      <c r="AG86" s="278"/>
      <c r="AH86" s="278"/>
      <c r="AI86" s="278"/>
      <c r="AJ86" s="278"/>
      <c r="AK86" s="279"/>
      <c r="AL86" s="279"/>
    </row>
    <row r="87" spans="1:38" ht="13.15" customHeight="1" x14ac:dyDescent="0.2">
      <c r="A87" s="8">
        <v>44896</v>
      </c>
      <c r="B87">
        <f t="shared" si="14"/>
        <v>2022</v>
      </c>
      <c r="C87" t="str">
        <f t="shared" si="20"/>
        <v>Q4</v>
      </c>
      <c r="D87" s="249">
        <v>7829.3</v>
      </c>
      <c r="E87" s="249">
        <v>7828.5</v>
      </c>
      <c r="F87" s="249">
        <v>301.7</v>
      </c>
      <c r="G87" s="249">
        <v>299.60000000000002</v>
      </c>
      <c r="H87" s="249">
        <v>854001.9</v>
      </c>
      <c r="I87" s="249">
        <v>93618.5</v>
      </c>
      <c r="J87" s="249">
        <v>35584.300000000003</v>
      </c>
      <c r="K87" s="249">
        <v>87698.4</v>
      </c>
      <c r="L87" s="249">
        <v>71366.899999999994</v>
      </c>
      <c r="M87" s="7">
        <v>856887</v>
      </c>
      <c r="N87" s="7">
        <v>91622</v>
      </c>
      <c r="O87" s="7">
        <v>14156</v>
      </c>
      <c r="P87" s="7">
        <v>35629</v>
      </c>
      <c r="Q87" s="7">
        <v>86074</v>
      </c>
      <c r="R87" s="249">
        <f t="shared" si="22"/>
        <v>170.80000000000018</v>
      </c>
      <c r="S87" s="249">
        <f t="shared" si="23"/>
        <v>165.69999999999982</v>
      </c>
      <c r="T87" s="249">
        <f t="shared" si="24"/>
        <v>6.1999999999999886</v>
      </c>
      <c r="U87" s="249">
        <f t="shared" si="25"/>
        <v>6.2000000000000455</v>
      </c>
      <c r="V87" s="19">
        <f t="shared" si="26"/>
        <v>35255.800000000047</v>
      </c>
      <c r="W87" s="249">
        <f t="shared" si="11"/>
        <v>16488</v>
      </c>
      <c r="X87" s="249">
        <f t="shared" si="21"/>
        <v>-4001</v>
      </c>
      <c r="Y87" s="249">
        <f t="shared" si="13"/>
        <v>-3218</v>
      </c>
      <c r="AF87" s="277"/>
      <c r="AG87" s="278"/>
      <c r="AH87" s="278"/>
      <c r="AI87" s="278"/>
      <c r="AJ87" s="278"/>
      <c r="AK87" s="279"/>
      <c r="AL87" s="279"/>
    </row>
    <row r="88" spans="1:38" ht="13.15" customHeight="1" x14ac:dyDescent="0.2">
      <c r="A88" s="8">
        <v>44927</v>
      </c>
      <c r="B88">
        <f t="shared" si="14"/>
        <v>2023</v>
      </c>
      <c r="C88" t="str">
        <f t="shared" si="20"/>
        <v>Q1</v>
      </c>
      <c r="D88" s="249">
        <v>7864.6</v>
      </c>
      <c r="E88" s="249">
        <v>7829.1</v>
      </c>
      <c r="F88" s="249">
        <v>303.89999999999998</v>
      </c>
      <c r="G88" s="249">
        <v>301</v>
      </c>
      <c r="H88" s="249">
        <v>874424.9</v>
      </c>
      <c r="I88" s="249">
        <v>93813.6</v>
      </c>
      <c r="J88" s="249">
        <v>37591.800000000003</v>
      </c>
      <c r="K88" s="249">
        <v>88409.3</v>
      </c>
      <c r="L88" s="249">
        <v>75049.2</v>
      </c>
      <c r="M88" s="7">
        <v>867096</v>
      </c>
      <c r="N88" s="7">
        <v>93889</v>
      </c>
      <c r="O88" s="7">
        <v>14154</v>
      </c>
      <c r="P88" s="7">
        <v>36076</v>
      </c>
      <c r="Q88" s="7">
        <v>87084</v>
      </c>
      <c r="R88" s="249">
        <f t="shared" si="22"/>
        <v>221</v>
      </c>
      <c r="S88" s="249">
        <f t="shared" si="23"/>
        <v>217.40000000000055</v>
      </c>
      <c r="T88" s="249">
        <f t="shared" si="24"/>
        <v>6.0999999999999659</v>
      </c>
      <c r="U88" s="249">
        <f t="shared" si="25"/>
        <v>5.8000000000000114</v>
      </c>
      <c r="V88" s="19">
        <f t="shared" si="26"/>
        <v>20423</v>
      </c>
      <c r="W88" s="249">
        <f t="shared" si="11"/>
        <v>19550</v>
      </c>
      <c r="X88" s="249">
        <f t="shared" si="21"/>
        <v>-1150</v>
      </c>
      <c r="Y88" s="249">
        <f t="shared" si="13"/>
        <v>-2366</v>
      </c>
      <c r="AF88" s="277"/>
      <c r="AG88" s="278"/>
      <c r="AH88" s="278"/>
      <c r="AI88" s="278"/>
      <c r="AJ88" s="278"/>
      <c r="AK88" s="279"/>
      <c r="AL88" s="279"/>
    </row>
    <row r="89" spans="1:38" ht="13.15" customHeight="1" x14ac:dyDescent="0.2">
      <c r="A89" s="8">
        <v>44958</v>
      </c>
      <c r="B89">
        <f t="shared" si="14"/>
        <v>2023</v>
      </c>
      <c r="C89" t="str">
        <f t="shared" si="20"/>
        <v>Q1</v>
      </c>
      <c r="D89" s="249">
        <v>7904.4</v>
      </c>
      <c r="E89" s="249">
        <v>7839</v>
      </c>
      <c r="F89" s="249">
        <v>305.7</v>
      </c>
      <c r="G89" s="249">
        <v>302.60000000000002</v>
      </c>
      <c r="H89" s="249">
        <v>874424.9</v>
      </c>
      <c r="I89" s="249">
        <v>93813.6</v>
      </c>
      <c r="J89" s="249">
        <v>37591.800000000003</v>
      </c>
      <c r="K89" s="249">
        <v>88409.3</v>
      </c>
      <c r="L89" s="249">
        <v>75049.2</v>
      </c>
      <c r="M89" s="7">
        <v>867096</v>
      </c>
      <c r="N89" s="7">
        <v>93889</v>
      </c>
      <c r="O89" s="7">
        <v>14154</v>
      </c>
      <c r="P89" s="7">
        <v>36076</v>
      </c>
      <c r="Q89" s="7">
        <v>87084</v>
      </c>
      <c r="R89" s="249">
        <f t="shared" si="22"/>
        <v>235.5</v>
      </c>
      <c r="S89" s="249">
        <f t="shared" si="23"/>
        <v>232.30000000000018</v>
      </c>
      <c r="T89" s="249">
        <f t="shared" si="24"/>
        <v>6.8000000000000114</v>
      </c>
      <c r="U89" s="249">
        <f t="shared" si="25"/>
        <v>6.3000000000000114</v>
      </c>
      <c r="V89" s="19">
        <f t="shared" si="26"/>
        <v>20423</v>
      </c>
      <c r="W89" s="249">
        <f t="shared" si="11"/>
        <v>19550</v>
      </c>
      <c r="X89" s="249">
        <f t="shared" si="21"/>
        <v>-1150</v>
      </c>
      <c r="Y89" s="249">
        <f t="shared" si="13"/>
        <v>-2366</v>
      </c>
      <c r="AF89" s="277"/>
      <c r="AG89" s="278"/>
      <c r="AH89" s="278"/>
      <c r="AI89" s="278"/>
      <c r="AJ89" s="278"/>
      <c r="AK89" s="279"/>
      <c r="AL89" s="279"/>
    </row>
    <row r="90" spans="1:38" ht="13.15" customHeight="1" x14ac:dyDescent="0.2">
      <c r="A90" s="8">
        <v>44986</v>
      </c>
      <c r="B90">
        <f t="shared" si="14"/>
        <v>2023</v>
      </c>
      <c r="C90" t="str">
        <f t="shared" si="20"/>
        <v>Q1</v>
      </c>
      <c r="D90" s="249">
        <v>7936.8</v>
      </c>
      <c r="E90" s="249">
        <v>7848.5</v>
      </c>
      <c r="F90" s="249">
        <v>304.89999999999998</v>
      </c>
      <c r="G90" s="249">
        <v>301.10000000000002</v>
      </c>
      <c r="H90" s="249">
        <v>874424.9</v>
      </c>
      <c r="I90" s="249">
        <v>93813.6</v>
      </c>
      <c r="J90" s="249">
        <v>37591.800000000003</v>
      </c>
      <c r="K90" s="249">
        <v>88409.3</v>
      </c>
      <c r="L90" s="249">
        <v>75049.2</v>
      </c>
      <c r="M90" s="7">
        <v>867096</v>
      </c>
      <c r="N90" s="7">
        <v>93889</v>
      </c>
      <c r="O90" s="7">
        <v>14154</v>
      </c>
      <c r="P90" s="7">
        <v>36076</v>
      </c>
      <c r="Q90" s="7">
        <v>87084</v>
      </c>
      <c r="R90" s="249">
        <f t="shared" si="22"/>
        <v>255.69999999999982</v>
      </c>
      <c r="S90" s="249">
        <f t="shared" si="23"/>
        <v>253.19999999999982</v>
      </c>
      <c r="T90" s="249">
        <f t="shared" si="24"/>
        <v>3.0999999999999659</v>
      </c>
      <c r="U90" s="249">
        <f t="shared" si="25"/>
        <v>2.5</v>
      </c>
      <c r="V90" s="19">
        <f t="shared" si="26"/>
        <v>20423</v>
      </c>
      <c r="W90" s="249">
        <f t="shared" si="11"/>
        <v>19550</v>
      </c>
      <c r="X90" s="249">
        <f t="shared" si="21"/>
        <v>-1150</v>
      </c>
      <c r="Y90" s="249">
        <f t="shared" si="13"/>
        <v>-2366</v>
      </c>
      <c r="AF90" s="277"/>
      <c r="AG90" s="278"/>
      <c r="AH90" s="278"/>
      <c r="AI90" s="278"/>
      <c r="AJ90" s="278"/>
      <c r="AK90" s="279"/>
      <c r="AL90" s="279"/>
    </row>
    <row r="91" spans="1:38" ht="13.15" customHeight="1" x14ac:dyDescent="0.2">
      <c r="A91" s="8">
        <v>45017</v>
      </c>
      <c r="B91">
        <f t="shared" si="14"/>
        <v>2023</v>
      </c>
      <c r="C91" t="str">
        <f t="shared" si="20"/>
        <v>Q2</v>
      </c>
      <c r="D91" s="249">
        <v>7963.7</v>
      </c>
      <c r="E91" s="249">
        <v>7899.3</v>
      </c>
      <c r="F91" s="249">
        <v>306.7</v>
      </c>
      <c r="G91" s="249">
        <v>304.39999999999998</v>
      </c>
      <c r="H91" s="249">
        <v>874424.9</v>
      </c>
      <c r="I91" s="249">
        <v>93813.6</v>
      </c>
      <c r="J91" s="249">
        <v>37591.800000000003</v>
      </c>
      <c r="K91" s="249">
        <v>88409.3</v>
      </c>
      <c r="L91" s="249">
        <v>75049.2</v>
      </c>
      <c r="M91" s="7">
        <v>873385</v>
      </c>
      <c r="N91" s="7">
        <v>96473</v>
      </c>
      <c r="O91" s="7">
        <v>14540</v>
      </c>
      <c r="P91" s="7">
        <v>37514</v>
      </c>
      <c r="Q91" s="7">
        <v>87493</v>
      </c>
      <c r="R91" s="249">
        <f t="shared" si="22"/>
        <v>205.30000000000018</v>
      </c>
      <c r="S91" s="249">
        <f t="shared" si="23"/>
        <v>205.10000000000036</v>
      </c>
      <c r="T91" s="249">
        <f t="shared" si="24"/>
        <v>3.3000000000000114</v>
      </c>
      <c r="U91" s="249">
        <f t="shared" si="25"/>
        <v>3.3999999999999773</v>
      </c>
      <c r="V91" s="19">
        <f t="shared" si="26"/>
        <v>20423</v>
      </c>
      <c r="W91" s="249">
        <f t="shared" si="11"/>
        <v>18630</v>
      </c>
      <c r="X91" s="249">
        <f t="shared" si="21"/>
        <v>2216</v>
      </c>
      <c r="Y91" s="249">
        <f t="shared" si="13"/>
        <v>-933</v>
      </c>
      <c r="AF91" s="277"/>
      <c r="AG91" s="278"/>
      <c r="AH91" s="278"/>
      <c r="AI91" s="278"/>
      <c r="AJ91" s="278"/>
      <c r="AK91" s="279"/>
      <c r="AL91" s="279"/>
    </row>
    <row r="92" spans="1:38" ht="13.15" customHeight="1" x14ac:dyDescent="0.2">
      <c r="A92" s="8">
        <v>45047</v>
      </c>
      <c r="B92">
        <f t="shared" si="14"/>
        <v>2023</v>
      </c>
      <c r="C92" t="str">
        <f t="shared" si="20"/>
        <v>Q2</v>
      </c>
      <c r="D92" s="249">
        <v>7975.3</v>
      </c>
      <c r="E92" s="249">
        <v>7966.2</v>
      </c>
      <c r="F92" s="249">
        <v>308.7</v>
      </c>
      <c r="G92" s="249">
        <v>309.39999999999998</v>
      </c>
      <c r="H92" s="249">
        <v>874424.9</v>
      </c>
      <c r="I92" s="249">
        <v>93813.6</v>
      </c>
      <c r="J92" s="249">
        <v>37591.800000000003</v>
      </c>
      <c r="K92" s="249">
        <v>88409.3</v>
      </c>
      <c r="L92" s="249">
        <v>75049.2</v>
      </c>
      <c r="M92" s="7">
        <v>873385</v>
      </c>
      <c r="N92" s="7">
        <v>96473</v>
      </c>
      <c r="O92" s="7">
        <v>14540</v>
      </c>
      <c r="P92" s="7">
        <v>37514</v>
      </c>
      <c r="Q92" s="7">
        <v>87493</v>
      </c>
      <c r="R92" s="249">
        <f t="shared" si="22"/>
        <v>199.19999999999982</v>
      </c>
      <c r="S92" s="249">
        <f t="shared" si="23"/>
        <v>201.19999999999982</v>
      </c>
      <c r="T92" s="249">
        <f t="shared" si="24"/>
        <v>5.5</v>
      </c>
      <c r="U92" s="249">
        <f t="shared" si="25"/>
        <v>5.6999999999999886</v>
      </c>
      <c r="V92" s="19">
        <f t="shared" si="26"/>
        <v>20423</v>
      </c>
      <c r="W92" s="249">
        <f t="shared" si="11"/>
        <v>18630</v>
      </c>
      <c r="X92" s="249">
        <f t="shared" si="21"/>
        <v>2216</v>
      </c>
      <c r="Y92" s="249">
        <f t="shared" si="13"/>
        <v>-933</v>
      </c>
      <c r="AF92" s="277"/>
      <c r="AG92" s="278"/>
      <c r="AH92" s="278"/>
      <c r="AI92" s="278"/>
      <c r="AJ92" s="278"/>
      <c r="AK92" s="279"/>
      <c r="AL92" s="279"/>
    </row>
    <row r="93" spans="1:38" ht="13.15" customHeight="1" x14ac:dyDescent="0.2">
      <c r="A93" s="8">
        <v>45078</v>
      </c>
      <c r="B93">
        <f t="shared" si="14"/>
        <v>2023</v>
      </c>
      <c r="C93" t="str">
        <f t="shared" si="20"/>
        <v>Q2</v>
      </c>
      <c r="D93" s="249">
        <v>7998.9</v>
      </c>
      <c r="E93" s="249">
        <v>8058.5</v>
      </c>
      <c r="F93" s="249">
        <v>313</v>
      </c>
      <c r="G93" s="249">
        <v>316.2</v>
      </c>
      <c r="H93" s="249">
        <v>874424.9</v>
      </c>
      <c r="I93" s="249">
        <v>93813.6</v>
      </c>
      <c r="J93" s="249">
        <v>37591.800000000003</v>
      </c>
      <c r="K93" s="249">
        <v>88409.3</v>
      </c>
      <c r="L93" s="249">
        <v>75049.2</v>
      </c>
      <c r="M93" s="7">
        <v>873385</v>
      </c>
      <c r="N93" s="7">
        <v>96473</v>
      </c>
      <c r="O93" s="7">
        <v>14540</v>
      </c>
      <c r="P93" s="7">
        <v>37514</v>
      </c>
      <c r="Q93" s="7">
        <v>87493</v>
      </c>
      <c r="R93" s="249">
        <f t="shared" si="22"/>
        <v>216.09999999999945</v>
      </c>
      <c r="S93" s="249">
        <f t="shared" si="23"/>
        <v>219.80000000000018</v>
      </c>
      <c r="T93" s="249">
        <f t="shared" si="24"/>
        <v>13.300000000000011</v>
      </c>
      <c r="U93" s="249">
        <f t="shared" si="25"/>
        <v>12.800000000000011</v>
      </c>
      <c r="V93" s="19">
        <f t="shared" si="26"/>
        <v>20423</v>
      </c>
      <c r="W93" s="249">
        <f t="shared" ref="W93:W135" si="27">M93-M81</f>
        <v>18630</v>
      </c>
      <c r="X93" s="249">
        <f t="shared" ref="X93:X124" si="28">N93-N81</f>
        <v>2216</v>
      </c>
      <c r="Y93" s="249">
        <f t="shared" ref="Y93:Y147" si="29">Q93-Q81</f>
        <v>-933</v>
      </c>
      <c r="AF93" s="277"/>
      <c r="AG93" s="278"/>
      <c r="AH93" s="278"/>
      <c r="AI93" s="278"/>
      <c r="AJ93" s="278"/>
      <c r="AK93" s="279"/>
      <c r="AL93" s="279"/>
    </row>
    <row r="94" spans="1:38" ht="13.15" customHeight="1" x14ac:dyDescent="0.2">
      <c r="A94" s="8">
        <v>45108</v>
      </c>
      <c r="B94">
        <f t="shared" si="14"/>
        <v>2023</v>
      </c>
      <c r="C94" t="str">
        <f t="shared" si="20"/>
        <v>Q3</v>
      </c>
      <c r="D94" s="249">
        <v>8014.7</v>
      </c>
      <c r="E94" s="249">
        <v>8107</v>
      </c>
      <c r="F94" s="249">
        <v>314.8</v>
      </c>
      <c r="G94" s="249">
        <v>318.5</v>
      </c>
      <c r="H94" s="249">
        <v>874424.9</v>
      </c>
      <c r="I94" s="249">
        <v>93813.6</v>
      </c>
      <c r="J94" s="249">
        <v>37591.800000000003</v>
      </c>
      <c r="K94" s="249">
        <v>88409.3</v>
      </c>
      <c r="L94" s="249">
        <v>75049.2</v>
      </c>
      <c r="M94" s="7">
        <v>876964</v>
      </c>
      <c r="N94" s="7">
        <v>93549</v>
      </c>
      <c r="O94" s="7">
        <v>14649</v>
      </c>
      <c r="P94" s="7">
        <v>37910</v>
      </c>
      <c r="Q94" s="7">
        <v>88690</v>
      </c>
      <c r="R94" s="249">
        <f t="shared" si="22"/>
        <v>230.59999999999945</v>
      </c>
      <c r="S94" s="249">
        <f t="shared" si="23"/>
        <v>234.89999999999964</v>
      </c>
      <c r="T94" s="249">
        <f t="shared" si="24"/>
        <v>15.600000000000023</v>
      </c>
      <c r="U94" s="249">
        <f t="shared" si="25"/>
        <v>14.699999999999989</v>
      </c>
      <c r="V94" s="19">
        <f t="shared" si="26"/>
        <v>20423</v>
      </c>
      <c r="W94" s="249">
        <f t="shared" si="27"/>
        <v>20145</v>
      </c>
      <c r="X94" s="249">
        <f t="shared" si="28"/>
        <v>-7</v>
      </c>
      <c r="Y94" s="249">
        <f t="shared" si="29"/>
        <v>1846</v>
      </c>
      <c r="AF94" s="277"/>
      <c r="AG94" s="278"/>
      <c r="AH94" s="278"/>
      <c r="AI94" s="278"/>
      <c r="AJ94" s="278"/>
      <c r="AK94" s="279"/>
      <c r="AL94" s="279"/>
    </row>
    <row r="95" spans="1:38" ht="13.15" customHeight="1" x14ac:dyDescent="0.2">
      <c r="A95" s="8">
        <v>45139</v>
      </c>
      <c r="B95">
        <f t="shared" si="14"/>
        <v>2023</v>
      </c>
      <c r="C95" t="str">
        <f t="shared" si="20"/>
        <v>Q3</v>
      </c>
      <c r="D95" s="249">
        <v>8038.9</v>
      </c>
      <c r="E95" s="249">
        <v>8115.6</v>
      </c>
      <c r="F95" s="249">
        <v>320.2</v>
      </c>
      <c r="G95" s="249">
        <v>322.8</v>
      </c>
      <c r="H95" s="249">
        <v>874424.9</v>
      </c>
      <c r="I95" s="249">
        <v>93813.6</v>
      </c>
      <c r="J95" s="249">
        <v>37591.800000000003</v>
      </c>
      <c r="K95" s="249">
        <v>88409.3</v>
      </c>
      <c r="L95" s="249">
        <v>75049.2</v>
      </c>
      <c r="M95" s="7">
        <v>876964</v>
      </c>
      <c r="N95" s="7">
        <v>93549</v>
      </c>
      <c r="O95" s="7">
        <v>14649</v>
      </c>
      <c r="P95" s="7">
        <v>37910</v>
      </c>
      <c r="Q95" s="7">
        <v>88690</v>
      </c>
      <c r="R95" s="249">
        <f t="shared" si="22"/>
        <v>260.89999999999964</v>
      </c>
      <c r="S95" s="249">
        <f t="shared" si="23"/>
        <v>263.20000000000073</v>
      </c>
      <c r="T95" s="249">
        <f t="shared" si="24"/>
        <v>22.899999999999977</v>
      </c>
      <c r="U95" s="249">
        <f t="shared" si="25"/>
        <v>22.100000000000023</v>
      </c>
      <c r="V95" s="19">
        <f t="shared" si="26"/>
        <v>20423</v>
      </c>
      <c r="W95" s="249">
        <f t="shared" si="27"/>
        <v>20145</v>
      </c>
      <c r="X95" s="249">
        <f t="shared" si="28"/>
        <v>-7</v>
      </c>
      <c r="Y95" s="249">
        <f t="shared" si="29"/>
        <v>1846</v>
      </c>
      <c r="AF95" s="277"/>
      <c r="AG95" s="278"/>
      <c r="AH95" s="278"/>
      <c r="AI95" s="278"/>
      <c r="AJ95" s="278"/>
      <c r="AK95" s="279"/>
      <c r="AL95" s="279"/>
    </row>
    <row r="96" spans="1:38" ht="13.15" customHeight="1" x14ac:dyDescent="0.2">
      <c r="A96" s="8">
        <v>45170</v>
      </c>
      <c r="B96">
        <f t="shared" si="14"/>
        <v>2023</v>
      </c>
      <c r="C96" t="str">
        <f t="shared" si="20"/>
        <v>Q3</v>
      </c>
      <c r="D96" s="249">
        <v>8049</v>
      </c>
      <c r="E96" s="249">
        <v>8068.5</v>
      </c>
      <c r="F96" s="249">
        <v>322.8</v>
      </c>
      <c r="G96" s="249">
        <v>323.7</v>
      </c>
      <c r="H96" s="249">
        <v>874424.9</v>
      </c>
      <c r="I96" s="249">
        <v>93813.6</v>
      </c>
      <c r="J96" s="249">
        <v>37591.800000000003</v>
      </c>
      <c r="K96" s="249">
        <v>88409.3</v>
      </c>
      <c r="L96" s="249">
        <v>75049.2</v>
      </c>
      <c r="M96" s="7">
        <v>876964</v>
      </c>
      <c r="N96" s="7">
        <v>93549</v>
      </c>
      <c r="O96" s="7">
        <v>14649</v>
      </c>
      <c r="P96" s="7">
        <v>37910</v>
      </c>
      <c r="Q96" s="7">
        <v>88690</v>
      </c>
      <c r="R96" s="249">
        <f t="shared" si="22"/>
        <v>278.30000000000018</v>
      </c>
      <c r="S96" s="249">
        <f t="shared" si="23"/>
        <v>274.69999999999982</v>
      </c>
      <c r="T96" s="249">
        <f t="shared" si="24"/>
        <v>23.199999999999989</v>
      </c>
      <c r="U96" s="249">
        <f t="shared" si="25"/>
        <v>23.099999999999966</v>
      </c>
      <c r="V96" s="19">
        <f t="shared" si="26"/>
        <v>20423</v>
      </c>
      <c r="W96" s="249">
        <f t="shared" si="27"/>
        <v>20145</v>
      </c>
      <c r="X96" s="249">
        <f t="shared" si="28"/>
        <v>-7</v>
      </c>
      <c r="Y96" s="249">
        <f t="shared" si="29"/>
        <v>1846</v>
      </c>
      <c r="AF96" s="277"/>
      <c r="AG96" s="278"/>
      <c r="AH96" s="278"/>
      <c r="AI96" s="278"/>
      <c r="AJ96" s="278"/>
      <c r="AK96" s="279"/>
      <c r="AL96" s="279"/>
    </row>
    <row r="97" spans="1:38" ht="13.15" customHeight="1" x14ac:dyDescent="0.2">
      <c r="A97" s="8">
        <v>45200</v>
      </c>
      <c r="B97">
        <f t="shared" si="14"/>
        <v>2023</v>
      </c>
      <c r="C97" t="str">
        <f t="shared" si="20"/>
        <v>Q4</v>
      </c>
      <c r="D97" s="249">
        <v>8054.4</v>
      </c>
      <c r="E97" s="249">
        <v>8050.1</v>
      </c>
      <c r="F97" s="249">
        <v>324.89999999999998</v>
      </c>
      <c r="G97" s="249">
        <v>324.3</v>
      </c>
      <c r="H97" s="249">
        <v>874424.9</v>
      </c>
      <c r="I97" s="249">
        <v>93813.6</v>
      </c>
      <c r="J97" s="249">
        <v>37591.800000000003</v>
      </c>
      <c r="K97" s="249">
        <v>88409.3</v>
      </c>
      <c r="L97" s="249">
        <v>75049.2</v>
      </c>
      <c r="M97" s="7">
        <v>880255</v>
      </c>
      <c r="N97" s="7">
        <v>91343</v>
      </c>
      <c r="O97" s="7">
        <v>14208</v>
      </c>
      <c r="P97" s="7">
        <v>38867</v>
      </c>
      <c r="Q97" s="7">
        <v>90370</v>
      </c>
      <c r="R97" s="249">
        <f t="shared" si="22"/>
        <v>278.29999999999927</v>
      </c>
      <c r="S97" s="249">
        <f t="shared" si="23"/>
        <v>271.40000000000055</v>
      </c>
      <c r="T97" s="249">
        <f t="shared" si="24"/>
        <v>25.399999999999977</v>
      </c>
      <c r="U97" s="249">
        <f t="shared" si="25"/>
        <v>25.199999999999989</v>
      </c>
      <c r="V97" s="19">
        <f t="shared" si="26"/>
        <v>20423</v>
      </c>
      <c r="W97" s="249">
        <f t="shared" si="27"/>
        <v>23368</v>
      </c>
      <c r="X97" s="249">
        <f t="shared" si="28"/>
        <v>-279</v>
      </c>
      <c r="Y97" s="249">
        <f t="shared" si="29"/>
        <v>4296</v>
      </c>
      <c r="AF97" s="277"/>
      <c r="AG97" s="278"/>
      <c r="AH97" s="278"/>
      <c r="AI97" s="278"/>
      <c r="AJ97" s="278"/>
      <c r="AK97" s="279"/>
      <c r="AL97" s="279"/>
    </row>
    <row r="98" spans="1:38" ht="13.15" customHeight="1" x14ac:dyDescent="0.2">
      <c r="A98" s="8">
        <v>45231</v>
      </c>
      <c r="B98">
        <f t="shared" si="14"/>
        <v>2023</v>
      </c>
      <c r="C98" t="str">
        <f t="shared" si="20"/>
        <v>Q4</v>
      </c>
      <c r="D98" s="249">
        <v>8061.4</v>
      </c>
      <c r="E98" s="249">
        <v>8046.2</v>
      </c>
      <c r="F98" s="249">
        <v>323.3</v>
      </c>
      <c r="G98" s="249">
        <v>320.39999999999998</v>
      </c>
      <c r="H98" s="249">
        <v>874424.9</v>
      </c>
      <c r="I98" s="249">
        <v>93813.6</v>
      </c>
      <c r="J98" s="249">
        <v>37591.800000000003</v>
      </c>
      <c r="K98" s="249">
        <v>88409.3</v>
      </c>
      <c r="L98" s="249">
        <v>75049.2</v>
      </c>
      <c r="M98" s="7">
        <v>880255</v>
      </c>
      <c r="N98" s="7">
        <v>91343</v>
      </c>
      <c r="O98" s="7">
        <v>14208</v>
      </c>
      <c r="P98" s="7">
        <v>38867</v>
      </c>
      <c r="Q98" s="7">
        <v>90370</v>
      </c>
      <c r="R98" s="249">
        <f t="shared" si="22"/>
        <v>269.69999999999982</v>
      </c>
      <c r="S98" s="249">
        <f t="shared" si="23"/>
        <v>262.39999999999964</v>
      </c>
      <c r="T98" s="249">
        <f t="shared" si="24"/>
        <v>22.100000000000023</v>
      </c>
      <c r="U98" s="249">
        <f t="shared" si="25"/>
        <v>21.599999999999966</v>
      </c>
      <c r="V98" s="19">
        <f t="shared" si="26"/>
        <v>20423</v>
      </c>
      <c r="W98" s="249">
        <f t="shared" si="27"/>
        <v>23368</v>
      </c>
      <c r="X98" s="249">
        <f t="shared" si="28"/>
        <v>-279</v>
      </c>
      <c r="Y98" s="249">
        <f t="shared" si="29"/>
        <v>4296</v>
      </c>
      <c r="AF98" s="277"/>
      <c r="AG98" s="278"/>
      <c r="AH98" s="278"/>
      <c r="AI98" s="278"/>
      <c r="AJ98" s="278"/>
      <c r="AK98" s="279"/>
      <c r="AL98" s="279"/>
    </row>
    <row r="99" spans="1:38" ht="13.15" customHeight="1" x14ac:dyDescent="0.2">
      <c r="A99" s="8">
        <v>45261</v>
      </c>
      <c r="B99">
        <f t="shared" si="14"/>
        <v>2023</v>
      </c>
      <c r="C99" t="str">
        <f t="shared" si="20"/>
        <v>Q4</v>
      </c>
      <c r="D99" s="249">
        <v>8052.9</v>
      </c>
      <c r="E99" s="249">
        <v>8049</v>
      </c>
      <c r="F99" s="249">
        <v>323.5</v>
      </c>
      <c r="G99" s="249">
        <v>321</v>
      </c>
      <c r="H99" s="249">
        <v>874424.9</v>
      </c>
      <c r="I99" s="249">
        <v>93813.6</v>
      </c>
      <c r="J99" s="249">
        <v>37591.800000000003</v>
      </c>
      <c r="K99" s="249">
        <v>88409.3</v>
      </c>
      <c r="L99" s="249">
        <v>75049.2</v>
      </c>
      <c r="M99" s="7">
        <v>880255</v>
      </c>
      <c r="N99" s="7">
        <v>91343</v>
      </c>
      <c r="O99" s="7">
        <v>14208</v>
      </c>
      <c r="P99" s="7">
        <v>38867</v>
      </c>
      <c r="Q99" s="7">
        <v>90370</v>
      </c>
      <c r="R99" s="249">
        <f t="shared" si="22"/>
        <v>223.59999999999945</v>
      </c>
      <c r="S99" s="249">
        <f t="shared" si="23"/>
        <v>220.5</v>
      </c>
      <c r="T99" s="249">
        <f t="shared" si="24"/>
        <v>21.800000000000011</v>
      </c>
      <c r="U99" s="249">
        <f t="shared" si="25"/>
        <v>21.399999999999977</v>
      </c>
      <c r="V99" s="19">
        <f t="shared" si="26"/>
        <v>20423</v>
      </c>
      <c r="W99" s="249">
        <f t="shared" si="27"/>
        <v>23368</v>
      </c>
      <c r="X99" s="249">
        <f t="shared" si="28"/>
        <v>-279</v>
      </c>
      <c r="Y99" s="249">
        <f t="shared" si="29"/>
        <v>4296</v>
      </c>
      <c r="AF99" s="277"/>
      <c r="AG99" s="278"/>
      <c r="AH99" s="278"/>
      <c r="AI99" s="278"/>
      <c r="AJ99" s="278"/>
      <c r="AK99" s="279"/>
      <c r="AL99" s="279"/>
    </row>
    <row r="100" spans="1:38" ht="13.15" customHeight="1" x14ac:dyDescent="0.2">
      <c r="A100" s="8">
        <v>45292</v>
      </c>
      <c r="B100">
        <f t="shared" ref="B100:B126" si="30">YEAR(A100)</f>
        <v>2024</v>
      </c>
      <c r="C100" t="str">
        <f t="shared" si="20"/>
        <v>Q1</v>
      </c>
      <c r="D100" s="249">
        <v>8056</v>
      </c>
      <c r="E100" s="249">
        <v>8019.7</v>
      </c>
      <c r="F100" s="249">
        <v>322.2</v>
      </c>
      <c r="G100" s="249">
        <v>319.2</v>
      </c>
      <c r="H100" s="249">
        <v>889453.6</v>
      </c>
      <c r="I100" s="249">
        <v>89520.3</v>
      </c>
      <c r="J100" s="249">
        <v>38651.800000000003</v>
      </c>
      <c r="K100" s="249">
        <v>92987.6</v>
      </c>
      <c r="L100" s="249">
        <v>77142.5</v>
      </c>
      <c r="M100" s="7">
        <v>885802</v>
      </c>
      <c r="N100" s="7">
        <v>90917</v>
      </c>
      <c r="O100" s="7">
        <v>14070</v>
      </c>
      <c r="P100" s="7">
        <v>39509</v>
      </c>
      <c r="Q100" s="7">
        <v>91331</v>
      </c>
      <c r="R100" s="249">
        <f t="shared" si="22"/>
        <v>191.39999999999964</v>
      </c>
      <c r="S100" s="249">
        <f t="shared" si="23"/>
        <v>190.59999999999945</v>
      </c>
      <c r="T100" s="249">
        <f t="shared" si="24"/>
        <v>18.300000000000011</v>
      </c>
      <c r="U100" s="249">
        <f t="shared" si="25"/>
        <v>18.199999999999989</v>
      </c>
      <c r="V100" s="19">
        <f t="shared" si="26"/>
        <v>15028.699999999953</v>
      </c>
      <c r="W100" s="249">
        <f t="shared" si="27"/>
        <v>18706</v>
      </c>
      <c r="X100" s="249">
        <f t="shared" si="28"/>
        <v>-2972</v>
      </c>
      <c r="Y100" s="249">
        <f t="shared" si="29"/>
        <v>4247</v>
      </c>
      <c r="AF100" s="277"/>
      <c r="AG100" s="278"/>
      <c r="AH100" s="278"/>
      <c r="AI100" s="278"/>
      <c r="AJ100" s="278"/>
      <c r="AK100" s="279"/>
      <c r="AL100" s="279"/>
    </row>
    <row r="101" spans="1:38" ht="13.15" customHeight="1" x14ac:dyDescent="0.2">
      <c r="A101" s="8">
        <v>45323</v>
      </c>
      <c r="B101">
        <f t="shared" si="30"/>
        <v>2024</v>
      </c>
      <c r="C101" t="str">
        <f t="shared" si="20"/>
        <v>Q1</v>
      </c>
      <c r="D101" s="249">
        <v>8055.7</v>
      </c>
      <c r="E101" s="249">
        <v>7991.4</v>
      </c>
      <c r="F101" s="249">
        <v>321</v>
      </c>
      <c r="G101" s="249">
        <v>318</v>
      </c>
      <c r="H101" s="249">
        <v>889453.6</v>
      </c>
      <c r="I101" s="249">
        <v>89520.3</v>
      </c>
      <c r="J101" s="249">
        <v>38651.800000000003</v>
      </c>
      <c r="K101" s="249">
        <v>92987.6</v>
      </c>
      <c r="L101" s="249">
        <v>77142.5</v>
      </c>
      <c r="M101" s="7">
        <v>885802</v>
      </c>
      <c r="N101" s="7">
        <v>90917</v>
      </c>
      <c r="O101" s="7">
        <v>14070</v>
      </c>
      <c r="P101" s="7">
        <v>39509</v>
      </c>
      <c r="Q101" s="7">
        <v>91331</v>
      </c>
      <c r="R101" s="249">
        <f t="shared" si="22"/>
        <v>151.30000000000018</v>
      </c>
      <c r="S101" s="249">
        <f t="shared" si="23"/>
        <v>152.39999999999964</v>
      </c>
      <c r="T101" s="249">
        <f t="shared" si="24"/>
        <v>15.300000000000011</v>
      </c>
      <c r="U101" s="249">
        <f t="shared" si="25"/>
        <v>15.399999999999977</v>
      </c>
      <c r="V101" s="19">
        <f t="shared" si="26"/>
        <v>15028.699999999953</v>
      </c>
      <c r="W101" s="249">
        <f t="shared" si="27"/>
        <v>18706</v>
      </c>
      <c r="X101" s="249">
        <f t="shared" si="28"/>
        <v>-2972</v>
      </c>
      <c r="Y101" s="249">
        <f t="shared" si="29"/>
        <v>4247</v>
      </c>
      <c r="AF101" s="277"/>
      <c r="AG101" s="278"/>
      <c r="AH101" s="278"/>
      <c r="AI101" s="278"/>
      <c r="AJ101" s="278"/>
      <c r="AK101" s="279"/>
      <c r="AL101" s="279"/>
    </row>
    <row r="102" spans="1:38" ht="13.15" customHeight="1" x14ac:dyDescent="0.2">
      <c r="A102" s="8">
        <v>45352</v>
      </c>
      <c r="B102">
        <f t="shared" si="30"/>
        <v>2024</v>
      </c>
      <c r="C102" t="str">
        <f t="shared" si="20"/>
        <v>Q1</v>
      </c>
      <c r="D102" s="249">
        <v>8075.3</v>
      </c>
      <c r="E102" s="249">
        <v>7988.6</v>
      </c>
      <c r="F102" s="249">
        <v>320.89999999999998</v>
      </c>
      <c r="G102" s="249">
        <v>316.7</v>
      </c>
      <c r="H102" s="249">
        <v>889453.6</v>
      </c>
      <c r="I102" s="249">
        <v>89520.3</v>
      </c>
      <c r="J102" s="249">
        <v>38651.800000000003</v>
      </c>
      <c r="K102" s="249">
        <v>92987.6</v>
      </c>
      <c r="L102" s="249">
        <v>77142.5</v>
      </c>
      <c r="M102" s="7">
        <v>885802</v>
      </c>
      <c r="N102" s="7">
        <v>90917</v>
      </c>
      <c r="O102" s="7">
        <v>14070</v>
      </c>
      <c r="P102" s="7">
        <v>39509</v>
      </c>
      <c r="Q102" s="7">
        <v>91331</v>
      </c>
      <c r="R102" s="249">
        <f t="shared" si="22"/>
        <v>138.5</v>
      </c>
      <c r="S102" s="249">
        <f t="shared" si="23"/>
        <v>140.10000000000036</v>
      </c>
      <c r="T102" s="249">
        <f t="shared" si="24"/>
        <v>16</v>
      </c>
      <c r="U102" s="249">
        <f t="shared" si="25"/>
        <v>15.599999999999966</v>
      </c>
      <c r="V102" s="19">
        <f t="shared" si="26"/>
        <v>15028.699999999953</v>
      </c>
      <c r="W102" s="249">
        <f t="shared" si="27"/>
        <v>18706</v>
      </c>
      <c r="X102" s="249">
        <f t="shared" si="28"/>
        <v>-2972</v>
      </c>
      <c r="Y102" s="249">
        <f t="shared" si="29"/>
        <v>4247</v>
      </c>
      <c r="AF102" s="277"/>
      <c r="AG102" s="278"/>
      <c r="AH102" s="278"/>
      <c r="AI102" s="278"/>
      <c r="AJ102" s="278"/>
      <c r="AK102" s="279"/>
      <c r="AL102" s="279"/>
    </row>
    <row r="103" spans="1:38" ht="13.15" customHeight="1" x14ac:dyDescent="0.2">
      <c r="A103" s="8">
        <v>45383</v>
      </c>
      <c r="B103">
        <f t="shared" si="30"/>
        <v>2024</v>
      </c>
      <c r="C103" t="str">
        <f t="shared" si="20"/>
        <v>Q2</v>
      </c>
      <c r="D103" s="249">
        <v>8093.4</v>
      </c>
      <c r="E103" s="249">
        <v>8033.3</v>
      </c>
      <c r="F103" s="249">
        <v>322</v>
      </c>
      <c r="G103" s="249">
        <v>320.3</v>
      </c>
      <c r="H103" s="249">
        <v>889453.6</v>
      </c>
      <c r="I103" s="249">
        <v>89520.3</v>
      </c>
      <c r="J103" s="249">
        <v>38651.800000000003</v>
      </c>
      <c r="K103" s="249">
        <v>92987.6</v>
      </c>
      <c r="L103" s="249">
        <v>77142.5</v>
      </c>
      <c r="M103" s="7">
        <v>888733</v>
      </c>
      <c r="N103" s="7">
        <v>90108</v>
      </c>
      <c r="O103" s="7">
        <v>14116</v>
      </c>
      <c r="P103" s="7">
        <v>39316</v>
      </c>
      <c r="Q103" s="7">
        <v>92266</v>
      </c>
      <c r="R103" s="249">
        <f t="shared" si="22"/>
        <v>129.69999999999982</v>
      </c>
      <c r="S103" s="249">
        <f t="shared" si="23"/>
        <v>134</v>
      </c>
      <c r="T103" s="249">
        <f t="shared" si="24"/>
        <v>15.300000000000011</v>
      </c>
      <c r="U103" s="249">
        <f t="shared" si="25"/>
        <v>15.900000000000034</v>
      </c>
      <c r="V103" s="19">
        <f t="shared" si="26"/>
        <v>15028.699999999953</v>
      </c>
      <c r="W103" s="249">
        <f t="shared" si="27"/>
        <v>15348</v>
      </c>
      <c r="X103" s="249">
        <f t="shared" si="28"/>
        <v>-6365</v>
      </c>
      <c r="Y103" s="249">
        <f t="shared" si="29"/>
        <v>4773</v>
      </c>
      <c r="AF103" s="277"/>
      <c r="AG103" s="278"/>
      <c r="AH103" s="278"/>
      <c r="AI103" s="278"/>
      <c r="AJ103" s="278"/>
      <c r="AK103" s="279"/>
      <c r="AL103" s="279"/>
    </row>
    <row r="104" spans="1:38" ht="13.15" customHeight="1" x14ac:dyDescent="0.2">
      <c r="A104" s="8">
        <v>45413</v>
      </c>
      <c r="B104">
        <f t="shared" si="30"/>
        <v>2024</v>
      </c>
      <c r="C104" t="str">
        <f t="shared" si="20"/>
        <v>Q2</v>
      </c>
      <c r="D104" s="249">
        <v>8119.3</v>
      </c>
      <c r="E104" s="249">
        <v>8113.6</v>
      </c>
      <c r="F104" s="249">
        <v>324.10000000000002</v>
      </c>
      <c r="G104" s="249">
        <v>325.2</v>
      </c>
      <c r="H104" s="249">
        <v>889453.6</v>
      </c>
      <c r="I104" s="249">
        <v>89520.3</v>
      </c>
      <c r="J104" s="249">
        <v>38651.800000000003</v>
      </c>
      <c r="K104" s="249">
        <v>92987.6</v>
      </c>
      <c r="L104" s="249">
        <v>77142.5</v>
      </c>
      <c r="M104" s="7">
        <v>888733</v>
      </c>
      <c r="N104" s="7">
        <v>90108</v>
      </c>
      <c r="O104" s="7">
        <v>14116</v>
      </c>
      <c r="P104" s="7">
        <v>39316</v>
      </c>
      <c r="Q104" s="7">
        <v>92266</v>
      </c>
      <c r="R104" s="249">
        <f t="shared" si="22"/>
        <v>144</v>
      </c>
      <c r="S104" s="249">
        <f t="shared" si="23"/>
        <v>147.40000000000055</v>
      </c>
      <c r="T104" s="249">
        <f t="shared" si="24"/>
        <v>15.400000000000034</v>
      </c>
      <c r="U104" s="249">
        <f t="shared" si="25"/>
        <v>15.800000000000011</v>
      </c>
      <c r="V104" s="19">
        <f t="shared" si="26"/>
        <v>15028.699999999953</v>
      </c>
      <c r="W104" s="249">
        <f t="shared" si="27"/>
        <v>15348</v>
      </c>
      <c r="X104" s="249">
        <f t="shared" si="28"/>
        <v>-6365</v>
      </c>
      <c r="Y104" s="249">
        <f t="shared" si="29"/>
        <v>4773</v>
      </c>
      <c r="AF104" s="277"/>
      <c r="AG104" s="278"/>
      <c r="AH104" s="278"/>
      <c r="AI104" s="278"/>
      <c r="AJ104" s="278"/>
      <c r="AK104" s="279"/>
      <c r="AL104" s="279"/>
    </row>
    <row r="105" spans="1:38" ht="13.15" customHeight="1" x14ac:dyDescent="0.2">
      <c r="A105" s="8">
        <v>45444</v>
      </c>
      <c r="B105">
        <f t="shared" si="30"/>
        <v>2024</v>
      </c>
      <c r="C105" t="str">
        <f t="shared" si="20"/>
        <v>Q2</v>
      </c>
      <c r="D105" s="249">
        <v>8139.9</v>
      </c>
      <c r="E105" s="249">
        <v>8202.2000000000007</v>
      </c>
      <c r="F105" s="249">
        <v>323.2</v>
      </c>
      <c r="G105" s="249">
        <v>326.2</v>
      </c>
      <c r="H105" s="249">
        <v>889453.6</v>
      </c>
      <c r="I105" s="249">
        <v>89520.3</v>
      </c>
      <c r="J105" s="249">
        <v>38651.800000000003</v>
      </c>
      <c r="K105" s="249">
        <v>92987.6</v>
      </c>
      <c r="L105" s="249">
        <v>77142.5</v>
      </c>
      <c r="M105" s="7">
        <v>888733</v>
      </c>
      <c r="N105" s="7">
        <v>90108</v>
      </c>
      <c r="O105" s="7">
        <v>14116</v>
      </c>
      <c r="P105" s="7">
        <v>39316</v>
      </c>
      <c r="Q105" s="7">
        <v>92266</v>
      </c>
      <c r="R105" s="249">
        <f t="shared" si="22"/>
        <v>141</v>
      </c>
      <c r="S105" s="249">
        <f t="shared" si="23"/>
        <v>143.70000000000073</v>
      </c>
      <c r="T105" s="249">
        <f t="shared" si="24"/>
        <v>10.199999999999989</v>
      </c>
      <c r="U105" s="249">
        <f t="shared" si="25"/>
        <v>10</v>
      </c>
      <c r="V105" s="19">
        <f t="shared" si="26"/>
        <v>15028.699999999953</v>
      </c>
      <c r="W105" s="249">
        <f t="shared" si="27"/>
        <v>15348</v>
      </c>
      <c r="X105" s="249">
        <f t="shared" si="28"/>
        <v>-6365</v>
      </c>
      <c r="Y105" s="249">
        <f t="shared" si="29"/>
        <v>4773</v>
      </c>
      <c r="AF105" s="277"/>
      <c r="AG105" s="278"/>
      <c r="AH105" s="278"/>
      <c r="AI105" s="278"/>
      <c r="AJ105" s="278"/>
      <c r="AK105" s="279"/>
      <c r="AL105" s="279"/>
    </row>
    <row r="106" spans="1:38" ht="13.15" customHeight="1" x14ac:dyDescent="0.2">
      <c r="A106" s="8">
        <v>45474</v>
      </c>
      <c r="B106">
        <f t="shared" si="30"/>
        <v>2024</v>
      </c>
      <c r="C106" t="str">
        <f t="shared" si="20"/>
        <v>Q3</v>
      </c>
      <c r="D106" s="249">
        <v>8157.9</v>
      </c>
      <c r="E106" s="249">
        <v>8253.1</v>
      </c>
      <c r="F106" s="249">
        <v>321.8</v>
      </c>
      <c r="G106" s="249">
        <v>325.10000000000002</v>
      </c>
      <c r="H106" s="249">
        <v>889453.6</v>
      </c>
      <c r="I106" s="249">
        <v>89520.3</v>
      </c>
      <c r="J106" s="249">
        <v>38651.800000000003</v>
      </c>
      <c r="K106" s="249">
        <v>92987.6</v>
      </c>
      <c r="L106" s="249">
        <v>77142.5</v>
      </c>
      <c r="M106" s="7">
        <v>890079</v>
      </c>
      <c r="N106" s="7">
        <v>88612</v>
      </c>
      <c r="O106" s="7">
        <v>14039</v>
      </c>
      <c r="P106" s="7">
        <v>38363</v>
      </c>
      <c r="Q106" s="7">
        <v>93955</v>
      </c>
      <c r="R106" s="249">
        <f t="shared" si="22"/>
        <v>143.19999999999982</v>
      </c>
      <c r="S106" s="249">
        <f t="shared" si="23"/>
        <v>146.10000000000036</v>
      </c>
      <c r="T106" s="249">
        <f t="shared" si="24"/>
        <v>7</v>
      </c>
      <c r="U106" s="249">
        <f t="shared" si="25"/>
        <v>6.6000000000000227</v>
      </c>
      <c r="V106" s="19">
        <f t="shared" si="26"/>
        <v>15028.699999999953</v>
      </c>
      <c r="W106" s="249">
        <f t="shared" si="27"/>
        <v>13115</v>
      </c>
      <c r="X106" s="249">
        <f t="shared" si="28"/>
        <v>-4937</v>
      </c>
      <c r="Y106" s="249">
        <f t="shared" si="29"/>
        <v>5265</v>
      </c>
      <c r="AF106" s="277"/>
      <c r="AG106" s="278"/>
      <c r="AH106" s="278"/>
      <c r="AI106" s="278"/>
      <c r="AJ106" s="278"/>
      <c r="AK106" s="279"/>
      <c r="AL106" s="279"/>
    </row>
    <row r="107" spans="1:38" ht="13.15" customHeight="1" x14ac:dyDescent="0.2">
      <c r="A107" s="8">
        <v>45505</v>
      </c>
      <c r="B107">
        <f t="shared" si="30"/>
        <v>2024</v>
      </c>
      <c r="C107" t="str">
        <f t="shared" si="20"/>
        <v>Q3</v>
      </c>
      <c r="D107" s="249">
        <v>8164.1</v>
      </c>
      <c r="E107" s="249">
        <v>8245.1</v>
      </c>
      <c r="F107" s="249">
        <v>318.39999999999998</v>
      </c>
      <c r="G107" s="249">
        <v>321.39999999999998</v>
      </c>
      <c r="H107" s="249">
        <v>889453.6</v>
      </c>
      <c r="I107" s="249">
        <v>89520.3</v>
      </c>
      <c r="J107" s="249">
        <v>38651.800000000003</v>
      </c>
      <c r="K107" s="249">
        <v>92987.6</v>
      </c>
      <c r="L107" s="249">
        <v>77142.5</v>
      </c>
      <c r="M107" s="7">
        <v>890079</v>
      </c>
      <c r="N107" s="7">
        <v>88612</v>
      </c>
      <c r="O107" s="7">
        <v>14039</v>
      </c>
      <c r="P107" s="7">
        <v>38363</v>
      </c>
      <c r="Q107" s="7">
        <v>93955</v>
      </c>
      <c r="R107" s="249">
        <f t="shared" si="22"/>
        <v>125.20000000000073</v>
      </c>
      <c r="S107" s="249">
        <f t="shared" si="23"/>
        <v>129.5</v>
      </c>
      <c r="T107" s="249">
        <f t="shared" si="24"/>
        <v>-1.8000000000000114</v>
      </c>
      <c r="U107" s="249">
        <f t="shared" si="25"/>
        <v>-1.4000000000000341</v>
      </c>
      <c r="V107" s="19">
        <f t="shared" si="26"/>
        <v>15028.699999999953</v>
      </c>
      <c r="W107" s="249">
        <f t="shared" si="27"/>
        <v>13115</v>
      </c>
      <c r="X107" s="249">
        <f t="shared" si="28"/>
        <v>-4937</v>
      </c>
      <c r="Y107" s="249">
        <f t="shared" si="29"/>
        <v>5265</v>
      </c>
      <c r="AF107" s="277"/>
      <c r="AG107" s="278"/>
      <c r="AH107" s="278"/>
      <c r="AI107" s="278"/>
      <c r="AJ107" s="278"/>
      <c r="AK107" s="279"/>
      <c r="AL107" s="279"/>
    </row>
    <row r="108" spans="1:38" ht="13.15" customHeight="1" x14ac:dyDescent="0.2">
      <c r="A108" s="8">
        <v>45536</v>
      </c>
      <c r="B108">
        <f t="shared" si="30"/>
        <v>2024</v>
      </c>
      <c r="C108" t="str">
        <f t="shared" si="20"/>
        <v>Q3</v>
      </c>
      <c r="D108" s="249">
        <v>8177.5</v>
      </c>
      <c r="E108" s="249">
        <v>8217.2000000000007</v>
      </c>
      <c r="F108" s="249">
        <v>318.8</v>
      </c>
      <c r="G108" s="249">
        <v>320.7</v>
      </c>
      <c r="H108" s="249">
        <v>889453.6</v>
      </c>
      <c r="I108" s="249">
        <v>89520.3</v>
      </c>
      <c r="J108" s="249">
        <v>38651.800000000003</v>
      </c>
      <c r="K108" s="249">
        <v>92987.6</v>
      </c>
      <c r="L108" s="249">
        <v>77142.5</v>
      </c>
      <c r="M108" s="7">
        <v>890079</v>
      </c>
      <c r="N108" s="7">
        <v>88612</v>
      </c>
      <c r="O108" s="7">
        <v>14039</v>
      </c>
      <c r="P108" s="7">
        <v>38363</v>
      </c>
      <c r="Q108" s="7">
        <v>93955</v>
      </c>
      <c r="R108" s="249">
        <f t="shared" si="22"/>
        <v>128.5</v>
      </c>
      <c r="S108" s="249">
        <f t="shared" si="23"/>
        <v>148.70000000000073</v>
      </c>
      <c r="T108" s="249">
        <f t="shared" si="24"/>
        <v>-4</v>
      </c>
      <c r="U108" s="249">
        <f t="shared" si="25"/>
        <v>-3</v>
      </c>
      <c r="V108" s="19">
        <f t="shared" si="26"/>
        <v>15028.699999999953</v>
      </c>
      <c r="W108" s="249">
        <f t="shared" si="27"/>
        <v>13115</v>
      </c>
      <c r="X108" s="249">
        <f t="shared" si="28"/>
        <v>-4937</v>
      </c>
      <c r="Y108" s="249">
        <f t="shared" si="29"/>
        <v>5265</v>
      </c>
      <c r="AF108" s="277"/>
      <c r="AG108" s="278"/>
      <c r="AH108" s="278"/>
      <c r="AI108" s="278"/>
      <c r="AJ108" s="278"/>
      <c r="AK108" s="279"/>
      <c r="AL108" s="279"/>
    </row>
    <row r="109" spans="1:38" ht="13.15" customHeight="1" x14ac:dyDescent="0.2">
      <c r="A109" s="8">
        <v>45566</v>
      </c>
      <c r="B109">
        <f t="shared" si="30"/>
        <v>2024</v>
      </c>
      <c r="C109" t="str">
        <f t="shared" si="20"/>
        <v>Q4</v>
      </c>
      <c r="D109" s="249">
        <v>8179.8</v>
      </c>
      <c r="E109" s="249">
        <v>8197.6</v>
      </c>
      <c r="F109" s="249">
        <v>319.39999999999998</v>
      </c>
      <c r="G109" s="249">
        <v>320.60000000000002</v>
      </c>
      <c r="H109" s="249">
        <v>889453.6</v>
      </c>
      <c r="I109" s="249">
        <v>89520.3</v>
      </c>
      <c r="J109" s="249">
        <v>38651.800000000003</v>
      </c>
      <c r="K109" s="249">
        <v>92987.6</v>
      </c>
      <c r="L109" s="249">
        <v>77142.5</v>
      </c>
      <c r="M109" s="7">
        <v>893201</v>
      </c>
      <c r="N109" s="7">
        <v>88445</v>
      </c>
      <c r="O109" s="7">
        <v>14021</v>
      </c>
      <c r="P109" s="7">
        <v>37419</v>
      </c>
      <c r="Q109" s="7">
        <v>94398</v>
      </c>
      <c r="R109" s="249">
        <f t="shared" si="22"/>
        <v>125.40000000000055</v>
      </c>
      <c r="S109" s="249">
        <f t="shared" si="23"/>
        <v>147.5</v>
      </c>
      <c r="T109" s="249">
        <f t="shared" si="24"/>
        <v>-5.5</v>
      </c>
      <c r="U109" s="249">
        <f t="shared" si="25"/>
        <v>-3.6999999999999886</v>
      </c>
      <c r="V109" s="19">
        <f t="shared" si="26"/>
        <v>15028.699999999953</v>
      </c>
      <c r="W109" s="249">
        <f t="shared" si="27"/>
        <v>12946</v>
      </c>
      <c r="X109" s="249">
        <f t="shared" si="28"/>
        <v>-2898</v>
      </c>
      <c r="Y109" s="249">
        <f t="shared" si="29"/>
        <v>4028</v>
      </c>
      <c r="AF109" s="277"/>
      <c r="AG109" s="278"/>
      <c r="AH109" s="278"/>
      <c r="AI109" s="278"/>
      <c r="AJ109" s="278"/>
      <c r="AK109" s="279"/>
      <c r="AL109" s="279"/>
    </row>
    <row r="110" spans="1:38" ht="13.15" customHeight="1" x14ac:dyDescent="0.2">
      <c r="A110" s="8">
        <v>45597</v>
      </c>
      <c r="B110">
        <f t="shared" si="30"/>
        <v>2024</v>
      </c>
      <c r="C110" t="str">
        <f t="shared" si="20"/>
        <v>Q4</v>
      </c>
      <c r="D110" s="249">
        <v>8182</v>
      </c>
      <c r="E110" s="249">
        <v>8185.1</v>
      </c>
      <c r="F110" s="249">
        <v>321.8</v>
      </c>
      <c r="G110" s="249">
        <v>322.10000000000002</v>
      </c>
      <c r="H110" s="249">
        <v>889453.6</v>
      </c>
      <c r="I110" s="249">
        <v>89520.3</v>
      </c>
      <c r="J110" s="249">
        <v>38651.800000000003</v>
      </c>
      <c r="K110" s="249">
        <v>92987.6</v>
      </c>
      <c r="L110" s="249">
        <v>77142.5</v>
      </c>
      <c r="M110" s="7">
        <v>893201</v>
      </c>
      <c r="N110" s="7">
        <v>88445</v>
      </c>
      <c r="O110" s="7">
        <v>14021</v>
      </c>
      <c r="P110" s="7">
        <v>37419</v>
      </c>
      <c r="Q110" s="7">
        <v>94398</v>
      </c>
      <c r="R110" s="249">
        <f t="shared" si="22"/>
        <v>120.60000000000036</v>
      </c>
      <c r="S110" s="249">
        <f t="shared" si="23"/>
        <v>138.90000000000055</v>
      </c>
      <c r="T110" s="249">
        <f t="shared" si="24"/>
        <v>-1.5</v>
      </c>
      <c r="U110" s="249">
        <f t="shared" si="25"/>
        <v>1.7000000000000455</v>
      </c>
      <c r="V110" s="19">
        <f t="shared" si="26"/>
        <v>15028.699999999953</v>
      </c>
      <c r="W110" s="249">
        <f t="shared" si="27"/>
        <v>12946</v>
      </c>
      <c r="X110" s="249">
        <f t="shared" si="28"/>
        <v>-2898</v>
      </c>
      <c r="Y110" s="249">
        <f t="shared" si="29"/>
        <v>4028</v>
      </c>
      <c r="AF110" s="277"/>
      <c r="AG110" s="278"/>
      <c r="AH110" s="278"/>
      <c r="AI110" s="278"/>
      <c r="AJ110" s="278"/>
      <c r="AK110" s="279"/>
      <c r="AL110" s="279"/>
    </row>
    <row r="111" spans="1:38" ht="13.15" customHeight="1" x14ac:dyDescent="0.2">
      <c r="A111" s="8">
        <v>45627</v>
      </c>
      <c r="B111">
        <f t="shared" si="30"/>
        <v>2024</v>
      </c>
      <c r="C111" t="str">
        <f t="shared" si="20"/>
        <v>Q4</v>
      </c>
      <c r="D111" s="249">
        <v>8183.3</v>
      </c>
      <c r="E111" s="249">
        <v>8176.6</v>
      </c>
      <c r="F111" s="249">
        <v>322.10000000000002</v>
      </c>
      <c r="G111" s="249">
        <v>322.3</v>
      </c>
      <c r="H111" s="249">
        <v>889453.6</v>
      </c>
      <c r="I111" s="249">
        <v>89520.3</v>
      </c>
      <c r="J111" s="249">
        <v>38651.800000000003</v>
      </c>
      <c r="K111" s="249">
        <v>92987.6</v>
      </c>
      <c r="L111" s="249">
        <v>77142.5</v>
      </c>
      <c r="M111" s="7">
        <v>893201</v>
      </c>
      <c r="N111" s="7">
        <v>88445</v>
      </c>
      <c r="O111" s="7">
        <v>14021</v>
      </c>
      <c r="P111" s="7">
        <v>37419</v>
      </c>
      <c r="Q111" s="7">
        <v>94398</v>
      </c>
      <c r="R111" s="249">
        <f t="shared" si="22"/>
        <v>130.40000000000055</v>
      </c>
      <c r="S111" s="249">
        <f t="shared" si="23"/>
        <v>127.60000000000036</v>
      </c>
      <c r="T111" s="249">
        <f t="shared" si="24"/>
        <v>-1.3999999999999773</v>
      </c>
      <c r="U111" s="249">
        <f t="shared" si="25"/>
        <v>1.3000000000000114</v>
      </c>
      <c r="V111" s="19">
        <f t="shared" si="26"/>
        <v>15028.699999999953</v>
      </c>
      <c r="W111" s="249">
        <f t="shared" si="27"/>
        <v>12946</v>
      </c>
      <c r="X111" s="249">
        <f t="shared" si="28"/>
        <v>-2898</v>
      </c>
      <c r="Y111" s="249">
        <f t="shared" si="29"/>
        <v>4028</v>
      </c>
      <c r="AF111" s="277"/>
      <c r="AG111" s="278"/>
      <c r="AH111" s="278"/>
      <c r="AI111" s="278"/>
      <c r="AJ111" s="278"/>
      <c r="AK111" s="279"/>
      <c r="AL111" s="279"/>
    </row>
    <row r="112" spans="1:38" ht="13.15" customHeight="1" x14ac:dyDescent="0.2">
      <c r="A112" s="8">
        <v>45658</v>
      </c>
      <c r="B112">
        <f t="shared" si="30"/>
        <v>2025</v>
      </c>
      <c r="C112" t="str">
        <f t="shared" si="20"/>
        <v>Q1</v>
      </c>
      <c r="D112" s="249">
        <v>8203.9</v>
      </c>
      <c r="E112" s="249">
        <v>8161.4</v>
      </c>
      <c r="F112" s="249">
        <v>324.5</v>
      </c>
      <c r="G112" s="249">
        <v>323.39999999999998</v>
      </c>
      <c r="H112" s="249">
        <v>900844.9</v>
      </c>
      <c r="I112" s="249">
        <v>88046.3</v>
      </c>
      <c r="J112" s="249">
        <v>39702.699999999997</v>
      </c>
      <c r="K112" s="249">
        <v>97656.9</v>
      </c>
      <c r="L112" s="249">
        <v>77016.5</v>
      </c>
      <c r="M112" s="7">
        <v>898185</v>
      </c>
      <c r="N112" s="7">
        <v>89800</v>
      </c>
      <c r="O112" s="7">
        <v>14304</v>
      </c>
      <c r="P112" s="7">
        <v>38119</v>
      </c>
      <c r="Q112" s="7">
        <v>94816</v>
      </c>
      <c r="R112" s="249">
        <f t="shared" ref="R112:R143" si="31">D112-D100</f>
        <v>147.89999999999964</v>
      </c>
      <c r="S112" s="249">
        <f t="shared" ref="S112:S143" si="32">E112-E100</f>
        <v>141.69999999999982</v>
      </c>
      <c r="T112" s="249">
        <f t="shared" ref="T112:T143" si="33">F112-F100</f>
        <v>2.3000000000000114</v>
      </c>
      <c r="U112" s="249">
        <f t="shared" ref="U112:U143" si="34">G112-G100</f>
        <v>4.1999999999999886</v>
      </c>
      <c r="V112" s="19">
        <f t="shared" ref="V112:V143" si="35">H112-H100</f>
        <v>11391.300000000047</v>
      </c>
      <c r="W112" s="249">
        <f t="shared" si="27"/>
        <v>12383</v>
      </c>
      <c r="X112" s="249">
        <f t="shared" si="28"/>
        <v>-1117</v>
      </c>
      <c r="Y112" s="249">
        <f t="shared" si="29"/>
        <v>3485</v>
      </c>
      <c r="AF112" s="277"/>
      <c r="AG112" s="278"/>
      <c r="AH112" s="278"/>
      <c r="AI112" s="278"/>
      <c r="AJ112" s="278"/>
      <c r="AK112" s="279"/>
      <c r="AL112" s="279"/>
    </row>
    <row r="113" spans="1:38" ht="13.15" customHeight="1" x14ac:dyDescent="0.2">
      <c r="A113" s="8">
        <v>45689</v>
      </c>
      <c r="B113">
        <f t="shared" si="30"/>
        <v>2025</v>
      </c>
      <c r="C113" t="str">
        <f t="shared" si="20"/>
        <v>Q1</v>
      </c>
      <c r="D113" s="249">
        <v>8233</v>
      </c>
      <c r="E113" s="249">
        <v>8165.5</v>
      </c>
      <c r="F113" s="249">
        <v>326.10000000000002</v>
      </c>
      <c r="G113" s="249">
        <v>322.8</v>
      </c>
      <c r="H113" s="249">
        <v>900844.9</v>
      </c>
      <c r="I113" s="249">
        <v>88046.3</v>
      </c>
      <c r="J113" s="249">
        <v>39702.699999999997</v>
      </c>
      <c r="K113" s="249">
        <v>97656.9</v>
      </c>
      <c r="L113" s="249">
        <v>77016.5</v>
      </c>
      <c r="M113" s="7">
        <v>898185</v>
      </c>
      <c r="N113" s="7">
        <v>89800</v>
      </c>
      <c r="O113" s="7">
        <v>14304</v>
      </c>
      <c r="P113" s="7">
        <v>38119</v>
      </c>
      <c r="Q113" s="7">
        <v>94816</v>
      </c>
      <c r="R113" s="249">
        <f t="shared" si="31"/>
        <v>177.30000000000018</v>
      </c>
      <c r="S113" s="249">
        <f t="shared" si="32"/>
        <v>174.10000000000036</v>
      </c>
      <c r="T113" s="249">
        <f t="shared" si="33"/>
        <v>5.1000000000000227</v>
      </c>
      <c r="U113" s="249">
        <f t="shared" si="34"/>
        <v>4.8000000000000114</v>
      </c>
      <c r="V113" s="19">
        <f t="shared" si="35"/>
        <v>11391.300000000047</v>
      </c>
      <c r="W113" s="249">
        <f t="shared" si="27"/>
        <v>12383</v>
      </c>
      <c r="X113" s="249">
        <f t="shared" si="28"/>
        <v>-1117</v>
      </c>
      <c r="Y113" s="249">
        <f t="shared" si="29"/>
        <v>3485</v>
      </c>
      <c r="AF113" s="277"/>
      <c r="AG113" s="278"/>
      <c r="AH113" s="278"/>
      <c r="AI113" s="278"/>
      <c r="AJ113" s="278"/>
      <c r="AK113" s="279"/>
      <c r="AL113" s="279"/>
    </row>
    <row r="114" spans="1:38" ht="13.15" customHeight="1" x14ac:dyDescent="0.2">
      <c r="A114" s="8">
        <v>45717</v>
      </c>
      <c r="B114">
        <f t="shared" si="30"/>
        <v>2025</v>
      </c>
      <c r="C114" t="str">
        <f t="shared" si="20"/>
        <v>Q1</v>
      </c>
      <c r="D114" s="249">
        <v>8242.5</v>
      </c>
      <c r="E114" s="249">
        <v>8155.5</v>
      </c>
      <c r="F114" s="249">
        <v>328.3</v>
      </c>
      <c r="G114" s="249">
        <v>324.2</v>
      </c>
      <c r="H114" s="249">
        <v>900844.9</v>
      </c>
      <c r="I114" s="249">
        <v>88046.3</v>
      </c>
      <c r="J114" s="249">
        <v>39702.699999999997</v>
      </c>
      <c r="K114" s="249">
        <v>97656.9</v>
      </c>
      <c r="L114" s="249">
        <v>77016.5</v>
      </c>
      <c r="M114" s="7">
        <v>898185</v>
      </c>
      <c r="N114" s="7">
        <v>89800</v>
      </c>
      <c r="O114" s="7">
        <v>14304</v>
      </c>
      <c r="P114" s="7">
        <v>38119</v>
      </c>
      <c r="Q114" s="7">
        <v>94816</v>
      </c>
      <c r="R114" s="249">
        <f t="shared" si="31"/>
        <v>167.19999999999982</v>
      </c>
      <c r="S114" s="249">
        <f t="shared" si="32"/>
        <v>166.89999999999964</v>
      </c>
      <c r="T114" s="249">
        <f t="shared" si="33"/>
        <v>7.4000000000000341</v>
      </c>
      <c r="U114" s="249">
        <f t="shared" si="34"/>
        <v>7.5</v>
      </c>
      <c r="V114" s="19">
        <f t="shared" si="35"/>
        <v>11391.300000000047</v>
      </c>
      <c r="W114" s="249">
        <f t="shared" si="27"/>
        <v>12383</v>
      </c>
      <c r="X114" s="249">
        <f t="shared" si="28"/>
        <v>-1117</v>
      </c>
      <c r="Y114" s="249">
        <f t="shared" si="29"/>
        <v>3485</v>
      </c>
      <c r="AF114" s="277"/>
      <c r="AG114" s="278"/>
      <c r="AH114" s="278"/>
      <c r="AI114" s="278"/>
      <c r="AJ114" s="278"/>
      <c r="AK114" s="279"/>
      <c r="AL114" s="279"/>
    </row>
    <row r="115" spans="1:38" ht="13.15" customHeight="1" x14ac:dyDescent="0.2">
      <c r="A115" s="8">
        <v>45748</v>
      </c>
      <c r="B115">
        <f t="shared" si="30"/>
        <v>2025</v>
      </c>
      <c r="C115" t="str">
        <f t="shared" si="20"/>
        <v>Q2</v>
      </c>
      <c r="D115" s="249">
        <v>8227.4</v>
      </c>
      <c r="E115" s="249">
        <v>8165.3</v>
      </c>
      <c r="F115" s="249">
        <v>326.5</v>
      </c>
      <c r="G115" s="249">
        <v>323.7</v>
      </c>
      <c r="H115" s="249">
        <v>900844.9</v>
      </c>
      <c r="I115" s="249">
        <v>88046.3</v>
      </c>
      <c r="J115" s="249">
        <v>39702.699999999997</v>
      </c>
      <c r="K115" s="249">
        <v>97656.9</v>
      </c>
      <c r="L115" s="249">
        <v>77016.5</v>
      </c>
      <c r="M115" s="7">
        <v>895773</v>
      </c>
      <c r="N115" s="7">
        <v>87573</v>
      </c>
      <c r="O115" s="7">
        <v>13890</v>
      </c>
      <c r="P115" s="7">
        <v>38216</v>
      </c>
      <c r="Q115" s="7">
        <v>95747</v>
      </c>
      <c r="R115" s="249">
        <f t="shared" si="31"/>
        <v>134</v>
      </c>
      <c r="S115" s="249">
        <f t="shared" si="32"/>
        <v>132</v>
      </c>
      <c r="T115" s="249">
        <f t="shared" si="33"/>
        <v>4.5</v>
      </c>
      <c r="U115" s="249">
        <f t="shared" si="34"/>
        <v>3.3999999999999773</v>
      </c>
      <c r="V115" s="19">
        <f t="shared" si="35"/>
        <v>11391.300000000047</v>
      </c>
      <c r="W115" s="249">
        <f t="shared" si="27"/>
        <v>7040</v>
      </c>
      <c r="X115" s="249">
        <f t="shared" si="28"/>
        <v>-2535</v>
      </c>
      <c r="Y115" s="249">
        <f t="shared" si="29"/>
        <v>3481</v>
      </c>
      <c r="AF115" s="277"/>
      <c r="AG115" s="278"/>
      <c r="AH115" s="278"/>
      <c r="AI115" s="278"/>
      <c r="AJ115" s="278"/>
      <c r="AK115" s="279"/>
      <c r="AL115" s="279"/>
    </row>
    <row r="116" spans="1:38" ht="13.15" customHeight="1" x14ac:dyDescent="0.2">
      <c r="A116" s="8">
        <v>45778</v>
      </c>
      <c r="B116">
        <f t="shared" si="30"/>
        <v>2025</v>
      </c>
      <c r="C116" t="str">
        <f t="shared" si="20"/>
        <v>Q2</v>
      </c>
      <c r="D116" s="249">
        <v>8207.9</v>
      </c>
      <c r="E116" s="249">
        <v>8198.1</v>
      </c>
      <c r="F116" s="249">
        <v>324.8</v>
      </c>
      <c r="G116" s="249">
        <v>324.8</v>
      </c>
      <c r="H116" s="249">
        <v>900844.9</v>
      </c>
      <c r="I116" s="249">
        <v>88046.3</v>
      </c>
      <c r="J116" s="249">
        <v>39702.699999999997</v>
      </c>
      <c r="K116" s="249">
        <v>97656.9</v>
      </c>
      <c r="L116" s="249">
        <v>77016.5</v>
      </c>
      <c r="M116" s="7">
        <v>895773</v>
      </c>
      <c r="N116" s="7">
        <v>87573</v>
      </c>
      <c r="O116" s="7">
        <v>13890</v>
      </c>
      <c r="P116" s="7">
        <v>38216</v>
      </c>
      <c r="Q116" s="7">
        <v>95747</v>
      </c>
      <c r="R116" s="249">
        <f t="shared" si="31"/>
        <v>88.599999999999454</v>
      </c>
      <c r="S116" s="249">
        <f t="shared" si="32"/>
        <v>84.5</v>
      </c>
      <c r="T116" s="249">
        <f t="shared" si="33"/>
        <v>0.69999999999998863</v>
      </c>
      <c r="U116" s="249">
        <f t="shared" si="34"/>
        <v>-0.39999999999997726</v>
      </c>
      <c r="V116" s="19">
        <f t="shared" si="35"/>
        <v>11391.300000000047</v>
      </c>
      <c r="W116" s="249">
        <f t="shared" si="27"/>
        <v>7040</v>
      </c>
      <c r="X116" s="249">
        <f t="shared" si="28"/>
        <v>-2535</v>
      </c>
      <c r="Y116" s="249">
        <f t="shared" si="29"/>
        <v>3481</v>
      </c>
      <c r="AF116" s="277"/>
      <c r="AG116" s="278"/>
      <c r="AH116" s="278"/>
      <c r="AI116" s="278"/>
      <c r="AJ116" s="278"/>
      <c r="AK116" s="279"/>
      <c r="AL116" s="279"/>
    </row>
    <row r="117" spans="1:38" ht="13.15" customHeight="1" x14ac:dyDescent="0.2">
      <c r="A117" s="8">
        <v>45809</v>
      </c>
      <c r="B117">
        <f t="shared" si="30"/>
        <v>2025</v>
      </c>
      <c r="C117" t="str">
        <f t="shared" si="20"/>
        <v>Q2</v>
      </c>
      <c r="D117" s="249">
        <v>8204.6</v>
      </c>
      <c r="E117" s="249">
        <v>8270</v>
      </c>
      <c r="F117" s="249">
        <v>323</v>
      </c>
      <c r="G117" s="249">
        <v>326.10000000000002</v>
      </c>
      <c r="H117" s="249">
        <v>900844.9</v>
      </c>
      <c r="I117" s="249">
        <v>88046.3</v>
      </c>
      <c r="J117" s="249">
        <v>39702.699999999997</v>
      </c>
      <c r="K117" s="249">
        <v>97656.9</v>
      </c>
      <c r="L117" s="249">
        <v>77016.5</v>
      </c>
      <c r="M117" s="7">
        <v>895773</v>
      </c>
      <c r="N117" s="7">
        <v>87573</v>
      </c>
      <c r="O117" s="7">
        <v>13890</v>
      </c>
      <c r="P117" s="7">
        <v>38216</v>
      </c>
      <c r="Q117" s="7">
        <v>95747</v>
      </c>
      <c r="R117" s="249">
        <f t="shared" si="31"/>
        <v>64.700000000000728</v>
      </c>
      <c r="S117" s="249">
        <f t="shared" si="32"/>
        <v>67.799999999999272</v>
      </c>
      <c r="T117" s="249">
        <f t="shared" si="33"/>
        <v>-0.19999999999998863</v>
      </c>
      <c r="U117" s="249">
        <f t="shared" si="34"/>
        <v>-9.9999999999965894E-2</v>
      </c>
      <c r="V117" s="19">
        <f t="shared" si="35"/>
        <v>11391.300000000047</v>
      </c>
      <c r="W117" s="249">
        <f t="shared" si="27"/>
        <v>7040</v>
      </c>
      <c r="X117" s="249">
        <f t="shared" si="28"/>
        <v>-2535</v>
      </c>
      <c r="Y117" s="249">
        <f t="shared" si="29"/>
        <v>3481</v>
      </c>
      <c r="AF117" s="277"/>
      <c r="AG117" s="278"/>
      <c r="AH117" s="278"/>
      <c r="AI117" s="278"/>
      <c r="AJ117" s="278"/>
      <c r="AK117" s="279"/>
      <c r="AL117" s="279"/>
    </row>
    <row r="118" spans="1:38" ht="13.15" customHeight="1" x14ac:dyDescent="0.2">
      <c r="A118" s="8">
        <v>45839</v>
      </c>
      <c r="B118">
        <f t="shared" si="30"/>
        <v>2025</v>
      </c>
      <c r="C118" t="str">
        <f t="shared" si="20"/>
        <v>Q3</v>
      </c>
      <c r="D118" s="249">
        <v>8211.7999999999993</v>
      </c>
      <c r="E118" s="249">
        <v>8308.4</v>
      </c>
      <c r="F118" s="249">
        <v>325.39999999999998</v>
      </c>
      <c r="G118" s="249">
        <v>329.3</v>
      </c>
      <c r="H118" s="249">
        <v>900844.9</v>
      </c>
      <c r="I118" s="249">
        <v>88046.3</v>
      </c>
      <c r="J118" s="249">
        <v>39702.699999999997</v>
      </c>
      <c r="K118" s="249">
        <v>97656.9</v>
      </c>
      <c r="L118" s="249">
        <v>77016.5</v>
      </c>
      <c r="M118" s="7">
        <v>901842</v>
      </c>
      <c r="N118" s="7">
        <v>88388</v>
      </c>
      <c r="O118" s="7">
        <v>13509</v>
      </c>
      <c r="P118" s="7">
        <v>38881</v>
      </c>
      <c r="Q118" s="7">
        <v>97517</v>
      </c>
      <c r="R118" s="249">
        <f t="shared" si="31"/>
        <v>53.899999999999636</v>
      </c>
      <c r="S118" s="249">
        <f t="shared" si="32"/>
        <v>55.299999999999272</v>
      </c>
      <c r="T118" s="249">
        <f t="shared" si="33"/>
        <v>3.5999999999999659</v>
      </c>
      <c r="U118" s="249">
        <f t="shared" si="34"/>
        <v>4.1999999999999886</v>
      </c>
      <c r="V118" s="19">
        <f t="shared" si="35"/>
        <v>11391.300000000047</v>
      </c>
      <c r="W118" s="249">
        <f t="shared" si="27"/>
        <v>11763</v>
      </c>
      <c r="X118" s="249">
        <f t="shared" si="28"/>
        <v>-224</v>
      </c>
      <c r="Y118" s="249">
        <f t="shared" si="29"/>
        <v>3562</v>
      </c>
      <c r="AF118" s="277"/>
      <c r="AG118" s="278"/>
      <c r="AH118" s="278"/>
      <c r="AI118" s="278"/>
      <c r="AJ118" s="278"/>
      <c r="AK118" s="279"/>
      <c r="AL118" s="279"/>
    </row>
    <row r="119" spans="1:38" ht="13.15" customHeight="1" x14ac:dyDescent="0.2">
      <c r="A119" s="8">
        <v>45870</v>
      </c>
      <c r="B119">
        <f t="shared" si="30"/>
        <v>2025</v>
      </c>
      <c r="C119" t="str">
        <f t="shared" si="20"/>
        <v>Q3</v>
      </c>
      <c r="D119" s="249">
        <v>8209.2999999999993</v>
      </c>
      <c r="E119" s="249">
        <v>8291.7000000000007</v>
      </c>
      <c r="F119" s="249">
        <v>327.2</v>
      </c>
      <c r="G119" s="249">
        <v>331.5</v>
      </c>
      <c r="H119" s="249">
        <v>900844.9</v>
      </c>
      <c r="I119" s="249">
        <v>88046.3</v>
      </c>
      <c r="J119" s="249">
        <v>39702.699999999997</v>
      </c>
      <c r="K119" s="249">
        <v>97656.9</v>
      </c>
      <c r="L119" s="249">
        <v>77016.5</v>
      </c>
      <c r="M119" s="7">
        <v>901842</v>
      </c>
      <c r="N119" s="7">
        <v>88388</v>
      </c>
      <c r="O119" s="7">
        <v>13509</v>
      </c>
      <c r="P119" s="7">
        <v>38881</v>
      </c>
      <c r="Q119" s="7">
        <v>97517</v>
      </c>
      <c r="R119" s="249">
        <f t="shared" si="31"/>
        <v>45.199999999998909</v>
      </c>
      <c r="S119" s="249">
        <f t="shared" si="32"/>
        <v>46.600000000000364</v>
      </c>
      <c r="T119" s="249">
        <f t="shared" si="33"/>
        <v>8.8000000000000114</v>
      </c>
      <c r="U119" s="249">
        <f t="shared" si="34"/>
        <v>10.100000000000023</v>
      </c>
      <c r="V119" s="19">
        <f t="shared" si="35"/>
        <v>11391.300000000047</v>
      </c>
      <c r="W119" s="249">
        <f t="shared" si="27"/>
        <v>11763</v>
      </c>
      <c r="X119" s="249">
        <f t="shared" si="28"/>
        <v>-224</v>
      </c>
      <c r="Y119" s="249">
        <f t="shared" si="29"/>
        <v>3562</v>
      </c>
      <c r="AF119" s="277"/>
      <c r="AG119" s="278"/>
      <c r="AH119" s="278"/>
      <c r="AI119" s="278"/>
      <c r="AJ119" s="278"/>
      <c r="AK119" s="279"/>
      <c r="AL119" s="279"/>
    </row>
    <row r="120" spans="1:38" ht="13.15" customHeight="1" x14ac:dyDescent="0.2">
      <c r="A120" s="8">
        <v>45901</v>
      </c>
      <c r="B120">
        <f t="shared" si="30"/>
        <v>2025</v>
      </c>
      <c r="C120" t="str">
        <f t="shared" si="20"/>
        <v>Q3</v>
      </c>
      <c r="D120" s="249">
        <v>8202.6</v>
      </c>
      <c r="E120" s="249">
        <v>8234.2999999999993</v>
      </c>
      <c r="F120" s="249">
        <v>330.9</v>
      </c>
      <c r="G120" s="249">
        <v>333.7</v>
      </c>
      <c r="H120" s="249">
        <v>900844.9</v>
      </c>
      <c r="I120" s="249">
        <v>88046.3</v>
      </c>
      <c r="J120" s="249">
        <v>39702.699999999997</v>
      </c>
      <c r="K120" s="249">
        <v>97656.9</v>
      </c>
      <c r="L120" s="249">
        <v>77016.5</v>
      </c>
      <c r="M120" s="7">
        <v>901842</v>
      </c>
      <c r="N120" s="7">
        <v>88388</v>
      </c>
      <c r="O120" s="7">
        <v>13509</v>
      </c>
      <c r="P120" s="7">
        <v>38881</v>
      </c>
      <c r="Q120" s="7">
        <v>97517</v>
      </c>
      <c r="R120" s="249">
        <f t="shared" si="31"/>
        <v>25.100000000000364</v>
      </c>
      <c r="S120" s="249">
        <f t="shared" si="32"/>
        <v>17.099999999998545</v>
      </c>
      <c r="T120" s="249">
        <f t="shared" si="33"/>
        <v>12.099999999999966</v>
      </c>
      <c r="U120" s="249">
        <f t="shared" si="34"/>
        <v>13</v>
      </c>
      <c r="V120" s="19">
        <f t="shared" si="35"/>
        <v>11391.300000000047</v>
      </c>
      <c r="W120" s="249">
        <f t="shared" si="27"/>
        <v>11763</v>
      </c>
      <c r="X120" s="249">
        <f t="shared" si="28"/>
        <v>-224</v>
      </c>
      <c r="Y120" s="249">
        <f t="shared" si="29"/>
        <v>3562</v>
      </c>
      <c r="AF120" s="277"/>
      <c r="AG120" s="278"/>
      <c r="AH120" s="278"/>
      <c r="AI120" s="278"/>
      <c r="AJ120" s="278"/>
      <c r="AK120" s="279"/>
      <c r="AL120" s="279"/>
    </row>
    <row r="121" spans="1:38" ht="13.15" customHeight="1" x14ac:dyDescent="0.2">
      <c r="A121" s="8">
        <v>45931</v>
      </c>
      <c r="B121">
        <f t="shared" si="30"/>
        <v>2025</v>
      </c>
      <c r="C121" t="str">
        <f t="shared" si="20"/>
        <v>Q4</v>
      </c>
      <c r="D121" s="249">
        <v>8215</v>
      </c>
      <c r="E121" s="249">
        <v>8223.9</v>
      </c>
      <c r="F121" s="249">
        <v>332.4</v>
      </c>
      <c r="G121" s="249">
        <v>334.3</v>
      </c>
      <c r="H121" s="249">
        <v>900844.9</v>
      </c>
      <c r="I121" s="249">
        <v>88046.3</v>
      </c>
      <c r="J121" s="249">
        <v>39702.699999999997</v>
      </c>
      <c r="K121" s="249">
        <v>97656.9</v>
      </c>
      <c r="L121" s="249">
        <v>77016.5</v>
      </c>
      <c r="M121" s="7">
        <v>900059</v>
      </c>
      <c r="N121" s="7">
        <v>86595</v>
      </c>
      <c r="O121" s="7">
        <v>13335</v>
      </c>
      <c r="P121" s="7">
        <v>39768</v>
      </c>
      <c r="Q121" s="7">
        <v>98473</v>
      </c>
      <c r="R121" s="249">
        <f t="shared" si="31"/>
        <v>35.199999999999818</v>
      </c>
      <c r="S121" s="249">
        <f t="shared" si="32"/>
        <v>26.299999999999272</v>
      </c>
      <c r="T121" s="249">
        <f t="shared" si="33"/>
        <v>13</v>
      </c>
      <c r="U121" s="249">
        <f t="shared" si="34"/>
        <v>13.699999999999989</v>
      </c>
      <c r="V121" s="19">
        <f t="shared" si="35"/>
        <v>11391.300000000047</v>
      </c>
      <c r="W121" s="249">
        <f t="shared" si="27"/>
        <v>6858</v>
      </c>
      <c r="X121" s="249">
        <f t="shared" si="28"/>
        <v>-1850</v>
      </c>
      <c r="Y121" s="249">
        <f t="shared" si="29"/>
        <v>4075</v>
      </c>
      <c r="AF121" s="277"/>
      <c r="AG121" s="278"/>
      <c r="AH121" s="278"/>
      <c r="AI121" s="278"/>
      <c r="AJ121" s="278"/>
      <c r="AK121" s="279"/>
      <c r="AL121" s="279"/>
    </row>
    <row r="122" spans="1:38" ht="13.15" customHeight="1" x14ac:dyDescent="0.2">
      <c r="A122" s="8">
        <v>45962</v>
      </c>
      <c r="B122">
        <f t="shared" si="30"/>
        <v>2025</v>
      </c>
      <c r="C122" t="str">
        <f t="shared" si="20"/>
        <v>Q4</v>
      </c>
      <c r="D122" s="249">
        <v>8238.2000000000007</v>
      </c>
      <c r="E122" s="249">
        <v>8231.2999999999993</v>
      </c>
      <c r="F122" s="249">
        <v>332.7</v>
      </c>
      <c r="G122" s="249">
        <v>332.9</v>
      </c>
      <c r="H122" s="249">
        <v>900844.9</v>
      </c>
      <c r="I122" s="249">
        <v>88046.3</v>
      </c>
      <c r="J122" s="249">
        <v>39702.699999999997</v>
      </c>
      <c r="K122" s="249">
        <v>97656.9</v>
      </c>
      <c r="L122" s="249">
        <v>77016.5</v>
      </c>
      <c r="M122" s="7">
        <v>900059</v>
      </c>
      <c r="N122" s="7">
        <v>86595</v>
      </c>
      <c r="O122" s="7">
        <v>13335</v>
      </c>
      <c r="P122" s="7">
        <v>39768</v>
      </c>
      <c r="Q122" s="7">
        <v>98473</v>
      </c>
      <c r="R122" s="249">
        <f t="shared" si="31"/>
        <v>56.200000000000728</v>
      </c>
      <c r="S122" s="249">
        <f t="shared" si="32"/>
        <v>46.199999999998909</v>
      </c>
      <c r="T122" s="249">
        <f t="shared" si="33"/>
        <v>10.899999999999977</v>
      </c>
      <c r="U122" s="249">
        <f t="shared" si="34"/>
        <v>10.799999999999955</v>
      </c>
      <c r="V122" s="19">
        <f t="shared" si="35"/>
        <v>11391.300000000047</v>
      </c>
      <c r="W122" s="249">
        <f t="shared" si="27"/>
        <v>6858</v>
      </c>
      <c r="X122" s="249">
        <f t="shared" si="28"/>
        <v>-1850</v>
      </c>
      <c r="Y122" s="249">
        <f t="shared" si="29"/>
        <v>4075</v>
      </c>
      <c r="AF122" s="277"/>
      <c r="AG122" s="278"/>
      <c r="AH122" s="278"/>
      <c r="AI122" s="278"/>
      <c r="AJ122" s="278"/>
      <c r="AK122" s="279"/>
      <c r="AL122" s="279"/>
    </row>
    <row r="123" spans="1:38" ht="13.15" customHeight="1" x14ac:dyDescent="0.2">
      <c r="A123" s="8">
        <v>45992</v>
      </c>
      <c r="B123">
        <f t="shared" si="30"/>
        <v>2025</v>
      </c>
      <c r="C123" t="str">
        <f t="shared" si="20"/>
        <v>Q4</v>
      </c>
      <c r="D123" s="249">
        <v>8262.6</v>
      </c>
      <c r="E123" s="249">
        <v>8248.1</v>
      </c>
      <c r="F123" s="249">
        <v>329.8</v>
      </c>
      <c r="G123" s="249">
        <v>328.6</v>
      </c>
      <c r="H123" s="249">
        <v>900844.9</v>
      </c>
      <c r="I123" s="249">
        <v>88046.3</v>
      </c>
      <c r="J123" s="249">
        <v>39702.699999999997</v>
      </c>
      <c r="K123" s="249">
        <v>97656.9</v>
      </c>
      <c r="L123" s="249">
        <v>77016.5</v>
      </c>
      <c r="M123" s="7">
        <v>900059</v>
      </c>
      <c r="N123" s="7">
        <v>86595</v>
      </c>
      <c r="O123" s="7">
        <v>13335</v>
      </c>
      <c r="P123" s="7">
        <v>39768</v>
      </c>
      <c r="Q123" s="7">
        <v>98473</v>
      </c>
      <c r="R123" s="249">
        <f t="shared" si="31"/>
        <v>79.300000000000182</v>
      </c>
      <c r="S123" s="249">
        <f t="shared" si="32"/>
        <v>71.5</v>
      </c>
      <c r="T123" s="249">
        <f t="shared" si="33"/>
        <v>7.6999999999999886</v>
      </c>
      <c r="U123" s="249">
        <f t="shared" si="34"/>
        <v>6.3000000000000114</v>
      </c>
      <c r="V123" s="19">
        <f t="shared" si="35"/>
        <v>11391.300000000047</v>
      </c>
      <c r="W123" s="249">
        <f t="shared" si="27"/>
        <v>6858</v>
      </c>
      <c r="X123" s="249">
        <f t="shared" si="28"/>
        <v>-1850</v>
      </c>
      <c r="Y123" s="249">
        <f t="shared" si="29"/>
        <v>4075</v>
      </c>
      <c r="AF123" s="277"/>
      <c r="AG123" s="278"/>
      <c r="AH123" s="278"/>
      <c r="AI123" s="278"/>
      <c r="AJ123" s="278"/>
      <c r="AK123" s="279"/>
      <c r="AL123" s="279"/>
    </row>
    <row r="124" spans="1:38" ht="13.15" customHeight="1" x14ac:dyDescent="0.2">
      <c r="A124" s="280">
        <v>46023</v>
      </c>
      <c r="B124" s="63">
        <f t="shared" si="30"/>
        <v>2026</v>
      </c>
      <c r="C124" s="63" t="str">
        <f t="shared" si="20"/>
        <v>Q1</v>
      </c>
      <c r="D124" s="250">
        <f t="shared" ref="D124:G135" si="36">D112*(1+$AF$32)</f>
        <v>8201.8490249999995</v>
      </c>
      <c r="E124" s="250">
        <f t="shared" si="36"/>
        <v>8159.3596499999994</v>
      </c>
      <c r="F124" s="250">
        <f t="shared" si="36"/>
        <v>324.41887500000001</v>
      </c>
      <c r="G124" s="250">
        <f t="shared" si="36"/>
        <v>323.31914999999998</v>
      </c>
      <c r="H124" s="250">
        <f t="shared" ref="H124:L135" si="37">H112*(1+$AF$26)</f>
        <v>908502.08164999995</v>
      </c>
      <c r="I124" s="250">
        <f t="shared" si="37"/>
        <v>88794.693549999996</v>
      </c>
      <c r="J124" s="250">
        <f t="shared" si="37"/>
        <v>40040.172949999993</v>
      </c>
      <c r="K124" s="250">
        <f t="shared" si="37"/>
        <v>98486.983649999995</v>
      </c>
      <c r="L124" s="250">
        <f t="shared" si="37"/>
        <v>77671.140249999997</v>
      </c>
      <c r="M124" s="250">
        <f t="shared" ref="M124:Q133" si="38">M112*(1+$AF$27)</f>
        <v>913903.23750000005</v>
      </c>
      <c r="N124" s="250">
        <f t="shared" si="38"/>
        <v>91371.5</v>
      </c>
      <c r="O124" s="250">
        <f t="shared" si="38"/>
        <v>14554.320000000002</v>
      </c>
      <c r="P124" s="250">
        <f t="shared" si="38"/>
        <v>38786.082500000004</v>
      </c>
      <c r="Q124" s="250">
        <f t="shared" si="38"/>
        <v>96475.280000000013</v>
      </c>
      <c r="R124" s="249">
        <f t="shared" si="31"/>
        <v>-2.0509750000001077</v>
      </c>
      <c r="S124" s="249">
        <f t="shared" si="32"/>
        <v>-2.0403500000002168</v>
      </c>
      <c r="T124" s="249">
        <f t="shared" si="33"/>
        <v>-8.1124999999985903E-2</v>
      </c>
      <c r="U124" s="249">
        <f t="shared" si="34"/>
        <v>-8.084999999999809E-2</v>
      </c>
      <c r="V124" s="19">
        <f t="shared" si="35"/>
        <v>7657.1816499999259</v>
      </c>
      <c r="W124" s="249">
        <f t="shared" si="27"/>
        <v>15718.237500000047</v>
      </c>
      <c r="X124" s="249">
        <f t="shared" si="28"/>
        <v>1571.5</v>
      </c>
      <c r="Y124" s="249">
        <f t="shared" si="29"/>
        <v>1659.2800000000134</v>
      </c>
      <c r="AF124" s="277"/>
      <c r="AG124" s="278"/>
      <c r="AH124" s="278"/>
      <c r="AI124" s="278"/>
      <c r="AJ124" s="278"/>
      <c r="AK124" s="279"/>
      <c r="AL124" s="279"/>
    </row>
    <row r="125" spans="1:38" ht="13.15" customHeight="1" x14ac:dyDescent="0.2">
      <c r="A125" s="280">
        <v>46054</v>
      </c>
      <c r="B125" s="63">
        <f t="shared" si="30"/>
        <v>2026</v>
      </c>
      <c r="C125" s="63" t="str">
        <f t="shared" ref="C125:C147" si="39">C113</f>
        <v>Q1</v>
      </c>
      <c r="D125" s="250">
        <f t="shared" si="36"/>
        <v>8230.94175</v>
      </c>
      <c r="E125" s="250">
        <f t="shared" si="36"/>
        <v>8163.4586250000002</v>
      </c>
      <c r="F125" s="250">
        <f t="shared" si="36"/>
        <v>326.01847500000002</v>
      </c>
      <c r="G125" s="250">
        <f t="shared" si="36"/>
        <v>322.71930000000003</v>
      </c>
      <c r="H125" s="250">
        <f t="shared" si="37"/>
        <v>908502.08164999995</v>
      </c>
      <c r="I125" s="250">
        <f t="shared" si="37"/>
        <v>88794.693549999996</v>
      </c>
      <c r="J125" s="250">
        <f t="shared" si="37"/>
        <v>40040.172949999993</v>
      </c>
      <c r="K125" s="250">
        <f t="shared" si="37"/>
        <v>98486.983649999995</v>
      </c>
      <c r="L125" s="250">
        <f t="shared" si="37"/>
        <v>77671.140249999997</v>
      </c>
      <c r="M125" s="250">
        <f t="shared" si="38"/>
        <v>913903.23750000005</v>
      </c>
      <c r="N125" s="250">
        <f t="shared" si="38"/>
        <v>91371.5</v>
      </c>
      <c r="O125" s="250">
        <f t="shared" si="38"/>
        <v>14554.320000000002</v>
      </c>
      <c r="P125" s="250">
        <f t="shared" si="38"/>
        <v>38786.082500000004</v>
      </c>
      <c r="Q125" s="250">
        <f t="shared" si="38"/>
        <v>96475.280000000013</v>
      </c>
      <c r="R125" s="249">
        <f t="shared" si="31"/>
        <v>-2.0582500000000437</v>
      </c>
      <c r="S125" s="249">
        <f t="shared" si="32"/>
        <v>-2.041374999999789</v>
      </c>
      <c r="T125" s="249">
        <f t="shared" si="33"/>
        <v>-8.1524999999999181E-2</v>
      </c>
      <c r="U125" s="249">
        <f t="shared" si="34"/>
        <v>-8.06999999999789E-2</v>
      </c>
      <c r="V125" s="19">
        <f t="shared" si="35"/>
        <v>7657.1816499999259</v>
      </c>
      <c r="W125" s="249">
        <f t="shared" si="27"/>
        <v>15718.237500000047</v>
      </c>
      <c r="X125" s="249">
        <f t="shared" ref="X125:X147" si="40">N125-N113</f>
        <v>1571.5</v>
      </c>
      <c r="Y125" s="249">
        <f t="shared" si="29"/>
        <v>1659.2800000000134</v>
      </c>
      <c r="AF125" s="277"/>
      <c r="AG125" s="278"/>
      <c r="AH125" s="278"/>
      <c r="AI125" s="278"/>
      <c r="AJ125" s="278"/>
      <c r="AK125" s="279"/>
      <c r="AL125" s="279"/>
    </row>
    <row r="126" spans="1:38" ht="13.15" customHeight="1" x14ac:dyDescent="0.2">
      <c r="A126" s="280">
        <v>46082</v>
      </c>
      <c r="B126" s="63">
        <f t="shared" si="30"/>
        <v>2026</v>
      </c>
      <c r="C126" s="63" t="str">
        <f t="shared" si="39"/>
        <v>Q1</v>
      </c>
      <c r="D126" s="250">
        <f t="shared" si="36"/>
        <v>8240.4393749999999</v>
      </c>
      <c r="E126" s="250">
        <f t="shared" si="36"/>
        <v>8153.4611249999998</v>
      </c>
      <c r="F126" s="250">
        <f t="shared" si="36"/>
        <v>328.21792500000004</v>
      </c>
      <c r="G126" s="250">
        <f t="shared" si="36"/>
        <v>324.11894999999998</v>
      </c>
      <c r="H126" s="250">
        <f t="shared" si="37"/>
        <v>908502.08164999995</v>
      </c>
      <c r="I126" s="250">
        <f t="shared" si="37"/>
        <v>88794.693549999996</v>
      </c>
      <c r="J126" s="250">
        <f t="shared" si="37"/>
        <v>40040.172949999993</v>
      </c>
      <c r="K126" s="250">
        <f t="shared" si="37"/>
        <v>98486.983649999995</v>
      </c>
      <c r="L126" s="250">
        <f t="shared" si="37"/>
        <v>77671.140249999997</v>
      </c>
      <c r="M126" s="250">
        <f t="shared" si="38"/>
        <v>913903.23750000005</v>
      </c>
      <c r="N126" s="250">
        <f t="shared" si="38"/>
        <v>91371.5</v>
      </c>
      <c r="O126" s="250">
        <f t="shared" si="38"/>
        <v>14554.320000000002</v>
      </c>
      <c r="P126" s="250">
        <f t="shared" si="38"/>
        <v>38786.082500000004</v>
      </c>
      <c r="Q126" s="250">
        <f t="shared" si="38"/>
        <v>96475.280000000013</v>
      </c>
      <c r="R126" s="249">
        <f t="shared" si="31"/>
        <v>-2.0606250000000728</v>
      </c>
      <c r="S126" s="249">
        <f t="shared" si="32"/>
        <v>-2.0388750000001892</v>
      </c>
      <c r="T126" s="249">
        <f t="shared" si="33"/>
        <v>-8.2074999999974807E-2</v>
      </c>
      <c r="U126" s="249">
        <f t="shared" si="34"/>
        <v>-8.1050000000004729E-2</v>
      </c>
      <c r="V126" s="19">
        <f t="shared" si="35"/>
        <v>7657.1816499999259</v>
      </c>
      <c r="W126" s="249">
        <f t="shared" si="27"/>
        <v>15718.237500000047</v>
      </c>
      <c r="X126" s="249">
        <f t="shared" si="40"/>
        <v>1571.5</v>
      </c>
      <c r="Y126" s="249">
        <f t="shared" si="29"/>
        <v>1659.2800000000134</v>
      </c>
      <c r="AF126" s="277"/>
      <c r="AG126" s="278"/>
      <c r="AH126" s="278"/>
      <c r="AI126" s="278"/>
      <c r="AJ126" s="278"/>
      <c r="AK126" s="279"/>
      <c r="AL126" s="279"/>
    </row>
    <row r="127" spans="1:38" ht="13.15" customHeight="1" x14ac:dyDescent="0.2">
      <c r="A127" s="280">
        <v>46113</v>
      </c>
      <c r="B127" s="63">
        <f t="shared" ref="B127:B135" si="41">YEAR(A127)</f>
        <v>2026</v>
      </c>
      <c r="C127" s="63" t="str">
        <f t="shared" si="39"/>
        <v>Q2</v>
      </c>
      <c r="D127" s="250">
        <f t="shared" si="36"/>
        <v>8225.3431500000006</v>
      </c>
      <c r="E127" s="250">
        <f t="shared" si="36"/>
        <v>8163.258675</v>
      </c>
      <c r="F127" s="250">
        <f t="shared" si="36"/>
        <v>326.41837500000003</v>
      </c>
      <c r="G127" s="250">
        <f t="shared" si="36"/>
        <v>323.61907500000001</v>
      </c>
      <c r="H127" s="250">
        <f t="shared" si="37"/>
        <v>908502.08164999995</v>
      </c>
      <c r="I127" s="250">
        <f t="shared" si="37"/>
        <v>88794.693549999996</v>
      </c>
      <c r="J127" s="250">
        <f t="shared" si="37"/>
        <v>40040.172949999993</v>
      </c>
      <c r="K127" s="250">
        <f t="shared" si="37"/>
        <v>98486.983649999995</v>
      </c>
      <c r="L127" s="250">
        <f t="shared" si="37"/>
        <v>77671.140249999997</v>
      </c>
      <c r="M127" s="250">
        <f t="shared" si="38"/>
        <v>911449.02750000008</v>
      </c>
      <c r="N127" s="250">
        <f t="shared" si="38"/>
        <v>89105.527500000011</v>
      </c>
      <c r="O127" s="250">
        <f t="shared" si="38"/>
        <v>14133.075000000001</v>
      </c>
      <c r="P127" s="250">
        <f t="shared" si="38"/>
        <v>38884.780000000006</v>
      </c>
      <c r="Q127" s="250">
        <f t="shared" si="38"/>
        <v>97422.572500000009</v>
      </c>
      <c r="R127" s="249">
        <f t="shared" si="31"/>
        <v>-2.0568499999990308</v>
      </c>
      <c r="S127" s="249">
        <f t="shared" si="32"/>
        <v>-2.0413250000001426</v>
      </c>
      <c r="T127" s="249">
        <f t="shared" si="33"/>
        <v>-8.1624999999974079E-2</v>
      </c>
      <c r="U127" s="249">
        <f t="shared" si="34"/>
        <v>-8.0924999999979264E-2</v>
      </c>
      <c r="V127" s="19">
        <f t="shared" si="35"/>
        <v>7657.1816499999259</v>
      </c>
      <c r="W127" s="249">
        <f t="shared" si="27"/>
        <v>15676.027500000084</v>
      </c>
      <c r="X127" s="249">
        <f t="shared" si="40"/>
        <v>1532.5275000000111</v>
      </c>
      <c r="Y127" s="249">
        <f t="shared" si="29"/>
        <v>1675.5725000000093</v>
      </c>
      <c r="AF127" s="277"/>
      <c r="AG127" s="278"/>
      <c r="AH127" s="278"/>
      <c r="AI127" s="278"/>
      <c r="AJ127" s="278"/>
      <c r="AK127" s="279"/>
      <c r="AL127" s="279"/>
    </row>
    <row r="128" spans="1:38" ht="13.15" customHeight="1" x14ac:dyDescent="0.2">
      <c r="A128" s="280">
        <v>46143</v>
      </c>
      <c r="B128" s="63">
        <f t="shared" si="41"/>
        <v>2026</v>
      </c>
      <c r="C128" s="63" t="str">
        <f t="shared" si="39"/>
        <v>Q2</v>
      </c>
      <c r="D128" s="250">
        <f t="shared" si="36"/>
        <v>8205.8480249999993</v>
      </c>
      <c r="E128" s="250">
        <f t="shared" si="36"/>
        <v>8196.050475</v>
      </c>
      <c r="F128" s="250">
        <f t="shared" si="36"/>
        <v>324.71880000000004</v>
      </c>
      <c r="G128" s="250">
        <f t="shared" si="36"/>
        <v>324.71880000000004</v>
      </c>
      <c r="H128" s="250">
        <f t="shared" si="37"/>
        <v>908502.08164999995</v>
      </c>
      <c r="I128" s="250">
        <f t="shared" si="37"/>
        <v>88794.693549999996</v>
      </c>
      <c r="J128" s="250">
        <f t="shared" si="37"/>
        <v>40040.172949999993</v>
      </c>
      <c r="K128" s="250">
        <f t="shared" si="37"/>
        <v>98486.983649999995</v>
      </c>
      <c r="L128" s="250">
        <f t="shared" si="37"/>
        <v>77671.140249999997</v>
      </c>
      <c r="M128" s="250">
        <f t="shared" si="38"/>
        <v>911449.02750000008</v>
      </c>
      <c r="N128" s="250">
        <f t="shared" si="38"/>
        <v>89105.527500000011</v>
      </c>
      <c r="O128" s="250">
        <f t="shared" si="38"/>
        <v>14133.075000000001</v>
      </c>
      <c r="P128" s="250">
        <f t="shared" si="38"/>
        <v>38884.780000000006</v>
      </c>
      <c r="Q128" s="250">
        <f t="shared" si="38"/>
        <v>97422.572500000009</v>
      </c>
      <c r="R128" s="249">
        <f t="shared" si="31"/>
        <v>-2.0519750000003114</v>
      </c>
      <c r="S128" s="249">
        <f t="shared" si="32"/>
        <v>-2.049525000000358</v>
      </c>
      <c r="T128" s="249">
        <f t="shared" si="33"/>
        <v>-8.1199999999967076E-2</v>
      </c>
      <c r="U128" s="249">
        <f t="shared" si="34"/>
        <v>-8.1199999999967076E-2</v>
      </c>
      <c r="V128" s="19">
        <f t="shared" si="35"/>
        <v>7657.1816499999259</v>
      </c>
      <c r="W128" s="249">
        <f t="shared" si="27"/>
        <v>15676.027500000084</v>
      </c>
      <c r="X128" s="249">
        <f t="shared" si="40"/>
        <v>1532.5275000000111</v>
      </c>
      <c r="Y128" s="249">
        <f t="shared" si="29"/>
        <v>1675.5725000000093</v>
      </c>
      <c r="AF128" s="277"/>
      <c r="AG128" s="278"/>
      <c r="AH128" s="278"/>
      <c r="AI128" s="278"/>
      <c r="AJ128" s="278"/>
      <c r="AK128" s="279"/>
      <c r="AL128" s="279"/>
    </row>
    <row r="129" spans="1:38" ht="13.15" customHeight="1" x14ac:dyDescent="0.2">
      <c r="A129" s="280">
        <v>46174</v>
      </c>
      <c r="B129" s="63">
        <f t="shared" si="41"/>
        <v>2026</v>
      </c>
      <c r="C129" s="63" t="str">
        <f t="shared" si="39"/>
        <v>Q2</v>
      </c>
      <c r="D129" s="250">
        <f t="shared" si="36"/>
        <v>8202.548850000001</v>
      </c>
      <c r="E129" s="250">
        <f t="shared" si="36"/>
        <v>8267.9325000000008</v>
      </c>
      <c r="F129" s="250">
        <f t="shared" si="36"/>
        <v>322.91925000000003</v>
      </c>
      <c r="G129" s="250">
        <f t="shared" si="36"/>
        <v>326.01847500000002</v>
      </c>
      <c r="H129" s="250">
        <f t="shared" si="37"/>
        <v>908502.08164999995</v>
      </c>
      <c r="I129" s="250">
        <f t="shared" si="37"/>
        <v>88794.693549999996</v>
      </c>
      <c r="J129" s="250">
        <f t="shared" si="37"/>
        <v>40040.172949999993</v>
      </c>
      <c r="K129" s="250">
        <f t="shared" si="37"/>
        <v>98486.983649999995</v>
      </c>
      <c r="L129" s="250">
        <f t="shared" si="37"/>
        <v>77671.140249999997</v>
      </c>
      <c r="M129" s="250">
        <f t="shared" si="38"/>
        <v>911449.02750000008</v>
      </c>
      <c r="N129" s="250">
        <f t="shared" si="38"/>
        <v>89105.527500000011</v>
      </c>
      <c r="O129" s="250">
        <f t="shared" si="38"/>
        <v>14133.075000000001</v>
      </c>
      <c r="P129" s="250">
        <f t="shared" si="38"/>
        <v>38884.780000000006</v>
      </c>
      <c r="Q129" s="250">
        <f t="shared" si="38"/>
        <v>97422.572500000009</v>
      </c>
      <c r="R129" s="249">
        <f t="shared" si="31"/>
        <v>-2.0511499999993248</v>
      </c>
      <c r="S129" s="249">
        <f t="shared" si="32"/>
        <v>-2.0674999999991996</v>
      </c>
      <c r="T129" s="249">
        <f t="shared" si="33"/>
        <v>-8.0749999999966349E-2</v>
      </c>
      <c r="U129" s="249">
        <f t="shared" si="34"/>
        <v>-8.1524999999999181E-2</v>
      </c>
      <c r="V129" s="19">
        <f t="shared" si="35"/>
        <v>7657.1816499999259</v>
      </c>
      <c r="W129" s="249">
        <f t="shared" si="27"/>
        <v>15676.027500000084</v>
      </c>
      <c r="X129" s="249">
        <f t="shared" si="40"/>
        <v>1532.5275000000111</v>
      </c>
      <c r="Y129" s="249">
        <f t="shared" si="29"/>
        <v>1675.5725000000093</v>
      </c>
      <c r="AF129" s="277"/>
      <c r="AG129" s="278"/>
      <c r="AH129" s="278"/>
      <c r="AI129" s="278"/>
      <c r="AJ129" s="278"/>
      <c r="AK129" s="279"/>
      <c r="AL129" s="279"/>
    </row>
    <row r="130" spans="1:38" ht="13.15" customHeight="1" x14ac:dyDescent="0.2">
      <c r="A130" s="280">
        <v>46204</v>
      </c>
      <c r="B130" s="63">
        <f t="shared" si="41"/>
        <v>2026</v>
      </c>
      <c r="C130" s="63" t="str">
        <f t="shared" si="39"/>
        <v>Q3</v>
      </c>
      <c r="D130" s="250">
        <f t="shared" si="36"/>
        <v>8209.7470499999999</v>
      </c>
      <c r="E130" s="250">
        <f t="shared" si="36"/>
        <v>8306.3228999999992</v>
      </c>
      <c r="F130" s="250">
        <f t="shared" si="36"/>
        <v>325.31864999999999</v>
      </c>
      <c r="G130" s="250">
        <f t="shared" si="36"/>
        <v>329.21767500000004</v>
      </c>
      <c r="H130" s="250">
        <f t="shared" si="37"/>
        <v>908502.08164999995</v>
      </c>
      <c r="I130" s="250">
        <f t="shared" si="37"/>
        <v>88794.693549999996</v>
      </c>
      <c r="J130" s="250">
        <f t="shared" si="37"/>
        <v>40040.172949999993</v>
      </c>
      <c r="K130" s="250">
        <f t="shared" si="37"/>
        <v>98486.983649999995</v>
      </c>
      <c r="L130" s="250">
        <f t="shared" si="37"/>
        <v>77671.140249999997</v>
      </c>
      <c r="M130" s="250">
        <f t="shared" si="38"/>
        <v>917624.2350000001</v>
      </c>
      <c r="N130" s="250">
        <f t="shared" si="38"/>
        <v>89934.790000000008</v>
      </c>
      <c r="O130" s="250">
        <f t="shared" si="38"/>
        <v>13745.407500000001</v>
      </c>
      <c r="P130" s="250">
        <f t="shared" si="38"/>
        <v>39561.417500000003</v>
      </c>
      <c r="Q130" s="250">
        <f t="shared" si="38"/>
        <v>99223.547500000001</v>
      </c>
      <c r="R130" s="249">
        <f t="shared" si="31"/>
        <v>-2.0529499999993277</v>
      </c>
      <c r="S130" s="249">
        <f t="shared" si="32"/>
        <v>-2.0771000000004278</v>
      </c>
      <c r="T130" s="249">
        <f t="shared" si="33"/>
        <v>-8.1349999999986267E-2</v>
      </c>
      <c r="U130" s="249">
        <f t="shared" si="34"/>
        <v>-8.2324999999968895E-2</v>
      </c>
      <c r="V130" s="19">
        <f t="shared" si="35"/>
        <v>7657.1816499999259</v>
      </c>
      <c r="W130" s="249">
        <f t="shared" si="27"/>
        <v>15782.235000000102</v>
      </c>
      <c r="X130" s="249">
        <f t="shared" si="40"/>
        <v>1546.7900000000081</v>
      </c>
      <c r="Y130" s="249">
        <f t="shared" si="29"/>
        <v>1706.5475000000006</v>
      </c>
      <c r="AF130" s="277"/>
      <c r="AG130" s="278"/>
      <c r="AH130" s="278"/>
      <c r="AI130" s="278"/>
      <c r="AJ130" s="278"/>
      <c r="AK130" s="279"/>
      <c r="AL130" s="279"/>
    </row>
    <row r="131" spans="1:38" ht="13.15" customHeight="1" x14ac:dyDescent="0.2">
      <c r="A131" s="280">
        <v>46235</v>
      </c>
      <c r="B131" s="63">
        <f t="shared" si="41"/>
        <v>2026</v>
      </c>
      <c r="C131" s="63" t="str">
        <f t="shared" si="39"/>
        <v>Q3</v>
      </c>
      <c r="D131" s="250">
        <f t="shared" si="36"/>
        <v>8207.2476749999987</v>
      </c>
      <c r="E131" s="250">
        <f t="shared" si="36"/>
        <v>8289.6270750000003</v>
      </c>
      <c r="F131" s="250">
        <f t="shared" si="36"/>
        <v>327.1182</v>
      </c>
      <c r="G131" s="250">
        <f t="shared" si="36"/>
        <v>331.417125</v>
      </c>
      <c r="H131" s="250">
        <f t="shared" si="37"/>
        <v>908502.08164999995</v>
      </c>
      <c r="I131" s="250">
        <f t="shared" si="37"/>
        <v>88794.693549999996</v>
      </c>
      <c r="J131" s="250">
        <f t="shared" si="37"/>
        <v>40040.172949999993</v>
      </c>
      <c r="K131" s="250">
        <f t="shared" si="37"/>
        <v>98486.983649999995</v>
      </c>
      <c r="L131" s="250">
        <f t="shared" si="37"/>
        <v>77671.140249999997</v>
      </c>
      <c r="M131" s="250">
        <f t="shared" si="38"/>
        <v>917624.2350000001</v>
      </c>
      <c r="N131" s="250">
        <f t="shared" si="38"/>
        <v>89934.790000000008</v>
      </c>
      <c r="O131" s="250">
        <f t="shared" si="38"/>
        <v>13745.407500000001</v>
      </c>
      <c r="P131" s="250">
        <f t="shared" si="38"/>
        <v>39561.417500000003</v>
      </c>
      <c r="Q131" s="250">
        <f t="shared" si="38"/>
        <v>99223.547500000001</v>
      </c>
      <c r="R131" s="249">
        <f t="shared" si="31"/>
        <v>-2.0523250000005646</v>
      </c>
      <c r="S131" s="249">
        <f t="shared" si="32"/>
        <v>-2.0729250000003958</v>
      </c>
      <c r="T131" s="249">
        <f t="shared" si="33"/>
        <v>-8.1799999999986994E-2</v>
      </c>
      <c r="U131" s="249">
        <f t="shared" si="34"/>
        <v>-8.2875000000001364E-2</v>
      </c>
      <c r="V131" s="19">
        <f t="shared" si="35"/>
        <v>7657.1816499999259</v>
      </c>
      <c r="W131" s="249">
        <f t="shared" si="27"/>
        <v>15782.235000000102</v>
      </c>
      <c r="X131" s="249">
        <f t="shared" si="40"/>
        <v>1546.7900000000081</v>
      </c>
      <c r="Y131" s="249">
        <f t="shared" si="29"/>
        <v>1706.5475000000006</v>
      </c>
      <c r="AF131" s="277"/>
      <c r="AG131" s="278"/>
      <c r="AH131" s="278"/>
      <c r="AI131" s="278"/>
      <c r="AJ131" s="278"/>
      <c r="AK131" s="279"/>
      <c r="AL131" s="279"/>
    </row>
    <row r="132" spans="1:38" ht="13.15" customHeight="1" x14ac:dyDescent="0.2">
      <c r="A132" s="280">
        <v>46266</v>
      </c>
      <c r="B132" s="63">
        <f t="shared" si="41"/>
        <v>2026</v>
      </c>
      <c r="C132" s="63" t="str">
        <f t="shared" si="39"/>
        <v>Q3</v>
      </c>
      <c r="D132" s="250">
        <f t="shared" si="36"/>
        <v>8200.5493500000011</v>
      </c>
      <c r="E132" s="250">
        <f t="shared" si="36"/>
        <v>8232.2414250000002</v>
      </c>
      <c r="F132" s="250">
        <f t="shared" si="36"/>
        <v>330.817275</v>
      </c>
      <c r="G132" s="250">
        <f t="shared" si="36"/>
        <v>333.61657500000001</v>
      </c>
      <c r="H132" s="250">
        <f t="shared" si="37"/>
        <v>908502.08164999995</v>
      </c>
      <c r="I132" s="250">
        <f t="shared" si="37"/>
        <v>88794.693549999996</v>
      </c>
      <c r="J132" s="250">
        <f t="shared" si="37"/>
        <v>40040.172949999993</v>
      </c>
      <c r="K132" s="250">
        <f t="shared" si="37"/>
        <v>98486.983649999995</v>
      </c>
      <c r="L132" s="250">
        <f t="shared" si="37"/>
        <v>77671.140249999997</v>
      </c>
      <c r="M132" s="250">
        <f t="shared" si="38"/>
        <v>917624.2350000001</v>
      </c>
      <c r="N132" s="250">
        <f t="shared" si="38"/>
        <v>89934.790000000008</v>
      </c>
      <c r="O132" s="250">
        <f t="shared" si="38"/>
        <v>13745.407500000001</v>
      </c>
      <c r="P132" s="250">
        <f t="shared" si="38"/>
        <v>39561.417500000003</v>
      </c>
      <c r="Q132" s="250">
        <f t="shared" si="38"/>
        <v>99223.547500000001</v>
      </c>
      <c r="R132" s="249">
        <f t="shared" si="31"/>
        <v>-2.0506499999992229</v>
      </c>
      <c r="S132" s="249">
        <f t="shared" si="32"/>
        <v>-2.0585749999991094</v>
      </c>
      <c r="T132" s="249">
        <f t="shared" si="33"/>
        <v>-8.2724999999982174E-2</v>
      </c>
      <c r="U132" s="249">
        <f t="shared" si="34"/>
        <v>-8.342499999997699E-2</v>
      </c>
      <c r="V132" s="19">
        <f t="shared" si="35"/>
        <v>7657.1816499999259</v>
      </c>
      <c r="W132" s="249">
        <f t="shared" si="27"/>
        <v>15782.235000000102</v>
      </c>
      <c r="X132" s="249">
        <f t="shared" si="40"/>
        <v>1546.7900000000081</v>
      </c>
      <c r="Y132" s="249">
        <f t="shared" si="29"/>
        <v>1706.5475000000006</v>
      </c>
      <c r="AF132" s="277"/>
      <c r="AG132" s="278"/>
      <c r="AH132" s="278"/>
      <c r="AI132" s="278"/>
      <c r="AJ132" s="278"/>
      <c r="AK132" s="279"/>
      <c r="AL132" s="279"/>
    </row>
    <row r="133" spans="1:38" ht="13.15" customHeight="1" x14ac:dyDescent="0.2">
      <c r="A133" s="280">
        <v>46296</v>
      </c>
      <c r="B133" s="63">
        <f t="shared" si="41"/>
        <v>2026</v>
      </c>
      <c r="C133" s="63" t="str">
        <f t="shared" si="39"/>
        <v>Q4</v>
      </c>
      <c r="D133" s="250">
        <f t="shared" si="36"/>
        <v>8212.9462500000009</v>
      </c>
      <c r="E133" s="250">
        <f t="shared" si="36"/>
        <v>8221.8440250000003</v>
      </c>
      <c r="F133" s="250">
        <f t="shared" si="36"/>
        <v>332.31689999999998</v>
      </c>
      <c r="G133" s="250">
        <f t="shared" si="36"/>
        <v>334.21642500000002</v>
      </c>
      <c r="H133" s="250">
        <f t="shared" si="37"/>
        <v>908502.08164999995</v>
      </c>
      <c r="I133" s="250">
        <f t="shared" si="37"/>
        <v>88794.693549999996</v>
      </c>
      <c r="J133" s="250">
        <f t="shared" si="37"/>
        <v>40040.172949999993</v>
      </c>
      <c r="K133" s="250">
        <f t="shared" si="37"/>
        <v>98486.983649999995</v>
      </c>
      <c r="L133" s="250">
        <f t="shared" si="37"/>
        <v>77671.140249999997</v>
      </c>
      <c r="M133" s="250">
        <f t="shared" si="38"/>
        <v>915810.03250000009</v>
      </c>
      <c r="N133" s="250">
        <f t="shared" si="38"/>
        <v>88110.412500000006</v>
      </c>
      <c r="O133" s="250">
        <f t="shared" si="38"/>
        <v>13568.362500000001</v>
      </c>
      <c r="P133" s="250">
        <f t="shared" si="38"/>
        <v>40463.94</v>
      </c>
      <c r="Q133" s="250">
        <f t="shared" si="38"/>
        <v>100196.27750000001</v>
      </c>
      <c r="R133" s="249">
        <f t="shared" si="31"/>
        <v>-2.0537499999991269</v>
      </c>
      <c r="S133" s="249">
        <f t="shared" si="32"/>
        <v>-2.0559749999993073</v>
      </c>
      <c r="T133" s="249">
        <f t="shared" si="33"/>
        <v>-8.3100000000001728E-2</v>
      </c>
      <c r="U133" s="249">
        <f t="shared" si="34"/>
        <v>-8.357499999999618E-2</v>
      </c>
      <c r="V133" s="19">
        <f t="shared" si="35"/>
        <v>7657.1816499999259</v>
      </c>
      <c r="W133" s="249">
        <f t="shared" si="27"/>
        <v>15751.032500000088</v>
      </c>
      <c r="X133" s="249">
        <f t="shared" si="40"/>
        <v>1515.4125000000058</v>
      </c>
      <c r="Y133" s="249">
        <f t="shared" si="29"/>
        <v>1723.2775000000111</v>
      </c>
      <c r="AF133" s="277"/>
      <c r="AG133" s="278"/>
      <c r="AH133" s="278"/>
      <c r="AI133" s="278"/>
      <c r="AJ133" s="278"/>
      <c r="AK133" s="279"/>
      <c r="AL133" s="279"/>
    </row>
    <row r="134" spans="1:38" ht="13.15" customHeight="1" x14ac:dyDescent="0.2">
      <c r="A134" s="280">
        <v>46327</v>
      </c>
      <c r="B134" s="63">
        <f t="shared" si="41"/>
        <v>2026</v>
      </c>
      <c r="C134" s="63" t="str">
        <f t="shared" si="39"/>
        <v>Q4</v>
      </c>
      <c r="D134" s="250">
        <f t="shared" si="36"/>
        <v>8236.1404500000008</v>
      </c>
      <c r="E134" s="250">
        <f t="shared" si="36"/>
        <v>8229.2421749999994</v>
      </c>
      <c r="F134" s="250">
        <f t="shared" si="36"/>
        <v>332.61682500000001</v>
      </c>
      <c r="G134" s="250">
        <f t="shared" si="36"/>
        <v>332.81677500000001</v>
      </c>
      <c r="H134" s="250">
        <f t="shared" si="37"/>
        <v>908502.08164999995</v>
      </c>
      <c r="I134" s="250">
        <f t="shared" si="37"/>
        <v>88794.693549999996</v>
      </c>
      <c r="J134" s="250">
        <f t="shared" si="37"/>
        <v>40040.172949999993</v>
      </c>
      <c r="K134" s="250">
        <f t="shared" si="37"/>
        <v>98486.983649999995</v>
      </c>
      <c r="L134" s="250">
        <f t="shared" si="37"/>
        <v>77671.140249999997</v>
      </c>
      <c r="M134" s="250">
        <f t="shared" ref="M134:Q143" si="42">M122*(1+$AF$27)</f>
        <v>915810.03250000009</v>
      </c>
      <c r="N134" s="250">
        <f t="shared" si="42"/>
        <v>88110.412500000006</v>
      </c>
      <c r="O134" s="250">
        <f t="shared" si="42"/>
        <v>13568.362500000001</v>
      </c>
      <c r="P134" s="250">
        <f t="shared" si="42"/>
        <v>40463.94</v>
      </c>
      <c r="Q134" s="250">
        <f t="shared" si="42"/>
        <v>100196.27750000001</v>
      </c>
      <c r="R134" s="249">
        <f t="shared" si="31"/>
        <v>-2.0595499999999447</v>
      </c>
      <c r="S134" s="249">
        <f t="shared" si="32"/>
        <v>-2.0578249999998661</v>
      </c>
      <c r="T134" s="249">
        <f t="shared" si="33"/>
        <v>-8.3174999999982901E-2</v>
      </c>
      <c r="U134" s="249">
        <f t="shared" si="34"/>
        <v>-8.322499999997035E-2</v>
      </c>
      <c r="V134" s="19">
        <f t="shared" si="35"/>
        <v>7657.1816499999259</v>
      </c>
      <c r="W134" s="249">
        <f t="shared" si="27"/>
        <v>15751.032500000088</v>
      </c>
      <c r="X134" s="249">
        <f t="shared" si="40"/>
        <v>1515.4125000000058</v>
      </c>
      <c r="Y134" s="249">
        <f t="shared" si="29"/>
        <v>1723.2775000000111</v>
      </c>
      <c r="AF134" s="277"/>
      <c r="AG134" s="278"/>
      <c r="AH134" s="278"/>
      <c r="AI134" s="278"/>
      <c r="AJ134" s="278"/>
      <c r="AK134" s="279"/>
      <c r="AL134" s="279"/>
    </row>
    <row r="135" spans="1:38" ht="13.15" customHeight="1" x14ac:dyDescent="0.2">
      <c r="A135" s="280">
        <v>46357</v>
      </c>
      <c r="B135" s="63">
        <f t="shared" si="41"/>
        <v>2026</v>
      </c>
      <c r="C135" s="63" t="str">
        <f t="shared" si="39"/>
        <v>Q4</v>
      </c>
      <c r="D135" s="250">
        <f t="shared" si="36"/>
        <v>8260.5343499999999</v>
      </c>
      <c r="E135" s="250">
        <f t="shared" si="36"/>
        <v>8246.0379750000011</v>
      </c>
      <c r="F135" s="250">
        <f t="shared" si="36"/>
        <v>329.71755000000002</v>
      </c>
      <c r="G135" s="250">
        <f t="shared" si="36"/>
        <v>328.51785000000001</v>
      </c>
      <c r="H135" s="250">
        <f t="shared" si="37"/>
        <v>908502.08164999995</v>
      </c>
      <c r="I135" s="250">
        <f t="shared" si="37"/>
        <v>88794.693549999996</v>
      </c>
      <c r="J135" s="250">
        <f t="shared" si="37"/>
        <v>40040.172949999993</v>
      </c>
      <c r="K135" s="250">
        <f t="shared" si="37"/>
        <v>98486.983649999995</v>
      </c>
      <c r="L135" s="250">
        <f t="shared" si="37"/>
        <v>77671.140249999997</v>
      </c>
      <c r="M135" s="250">
        <f t="shared" si="42"/>
        <v>915810.03250000009</v>
      </c>
      <c r="N135" s="250">
        <f t="shared" si="42"/>
        <v>88110.412500000006</v>
      </c>
      <c r="O135" s="250">
        <f t="shared" si="42"/>
        <v>13568.362500000001</v>
      </c>
      <c r="P135" s="250">
        <f t="shared" si="42"/>
        <v>40463.94</v>
      </c>
      <c r="Q135" s="250">
        <f t="shared" si="42"/>
        <v>100196.27750000001</v>
      </c>
      <c r="R135" s="249">
        <f t="shared" si="31"/>
        <v>-2.0656500000004598</v>
      </c>
      <c r="S135" s="249">
        <f t="shared" si="32"/>
        <v>-2.0620249999992666</v>
      </c>
      <c r="T135" s="249">
        <f t="shared" si="33"/>
        <v>-8.2449999999994361E-2</v>
      </c>
      <c r="U135" s="249">
        <f t="shared" si="34"/>
        <v>-8.2150000000012824E-2</v>
      </c>
      <c r="V135" s="19">
        <f t="shared" si="35"/>
        <v>7657.1816499999259</v>
      </c>
      <c r="W135" s="249">
        <f t="shared" si="27"/>
        <v>15751.032500000088</v>
      </c>
      <c r="X135" s="249">
        <f t="shared" si="40"/>
        <v>1515.4125000000058</v>
      </c>
      <c r="Y135" s="249">
        <f t="shared" si="29"/>
        <v>1723.2775000000111</v>
      </c>
      <c r="AF135" s="277"/>
      <c r="AG135" s="278"/>
      <c r="AH135" s="278"/>
      <c r="AI135" s="278"/>
      <c r="AJ135" s="278"/>
      <c r="AK135" s="279"/>
      <c r="AL135" s="279"/>
    </row>
    <row r="136" spans="1:38" ht="13.15" customHeight="1" x14ac:dyDescent="0.2">
      <c r="A136" s="280">
        <v>46388</v>
      </c>
      <c r="B136" s="63">
        <f t="shared" ref="B136:B147" si="43">YEAR(A136)</f>
        <v>2027</v>
      </c>
      <c r="C136" s="63" t="str">
        <f t="shared" si="39"/>
        <v>Q1</v>
      </c>
      <c r="D136" s="250">
        <f t="shared" ref="D136:G147" si="44">D124*(1+$AF$33)</f>
        <v>8246.9591946375003</v>
      </c>
      <c r="E136" s="250">
        <f t="shared" si="44"/>
        <v>8204.2361280749992</v>
      </c>
      <c r="F136" s="250">
        <f t="shared" si="44"/>
        <v>326.20317881250003</v>
      </c>
      <c r="G136" s="250">
        <f t="shared" si="44"/>
        <v>325.09740532500001</v>
      </c>
      <c r="H136" s="250">
        <f t="shared" ref="H136:L147" si="45">H124*(1+$AF$27)</f>
        <v>924400.86807887501</v>
      </c>
      <c r="I136" s="250">
        <f t="shared" si="45"/>
        <v>90348.600687124999</v>
      </c>
      <c r="J136" s="250">
        <f t="shared" si="45"/>
        <v>40740.875976624993</v>
      </c>
      <c r="K136" s="250">
        <f t="shared" si="45"/>
        <v>100210.50586387501</v>
      </c>
      <c r="L136" s="250">
        <f t="shared" si="45"/>
        <v>79030.385204375008</v>
      </c>
      <c r="M136" s="250">
        <f t="shared" si="42"/>
        <v>929896.54415625008</v>
      </c>
      <c r="N136" s="250">
        <f t="shared" si="42"/>
        <v>92970.501250000001</v>
      </c>
      <c r="O136" s="250">
        <f t="shared" si="42"/>
        <v>14809.020600000003</v>
      </c>
      <c r="P136" s="250">
        <f t="shared" si="42"/>
        <v>39464.838943750008</v>
      </c>
      <c r="Q136" s="250">
        <f t="shared" si="42"/>
        <v>98163.597400000013</v>
      </c>
      <c r="R136" s="249">
        <f t="shared" si="31"/>
        <v>45.110169637500803</v>
      </c>
      <c r="S136" s="249">
        <f t="shared" si="32"/>
        <v>44.876478074999795</v>
      </c>
      <c r="T136" s="249">
        <f t="shared" si="33"/>
        <v>1.7843038125000135</v>
      </c>
      <c r="U136" s="249">
        <f t="shared" si="34"/>
        <v>1.7782553250000319</v>
      </c>
      <c r="V136" s="19">
        <f t="shared" si="35"/>
        <v>15898.786428875057</v>
      </c>
      <c r="W136" s="249">
        <f t="shared" ref="W136:W147" si="46">M136-M124</f>
        <v>15993.306656250032</v>
      </c>
      <c r="X136" s="249">
        <f t="shared" si="40"/>
        <v>1599.0012500000012</v>
      </c>
      <c r="Y136" s="249">
        <f t="shared" si="29"/>
        <v>1688.3173999999999</v>
      </c>
      <c r="AF136" s="277"/>
      <c r="AG136" s="278"/>
      <c r="AH136" s="278"/>
      <c r="AI136" s="278"/>
      <c r="AJ136" s="278"/>
      <c r="AK136" s="279"/>
      <c r="AL136" s="279"/>
    </row>
    <row r="137" spans="1:38" ht="13.15" customHeight="1" x14ac:dyDescent="0.2">
      <c r="A137" s="280">
        <v>46419</v>
      </c>
      <c r="B137" s="63">
        <f t="shared" si="43"/>
        <v>2027</v>
      </c>
      <c r="C137" s="63" t="str">
        <f t="shared" si="39"/>
        <v>Q1</v>
      </c>
      <c r="D137" s="250">
        <f t="shared" si="44"/>
        <v>8276.2119296250003</v>
      </c>
      <c r="E137" s="250">
        <f t="shared" si="44"/>
        <v>8208.3576474375004</v>
      </c>
      <c r="F137" s="250">
        <f t="shared" si="44"/>
        <v>327.81157661250006</v>
      </c>
      <c r="G137" s="250">
        <f t="shared" si="44"/>
        <v>324.49425615000007</v>
      </c>
      <c r="H137" s="250">
        <f t="shared" si="45"/>
        <v>924400.86807887501</v>
      </c>
      <c r="I137" s="250">
        <f t="shared" si="45"/>
        <v>90348.600687124999</v>
      </c>
      <c r="J137" s="250">
        <f t="shared" si="45"/>
        <v>40740.875976624993</v>
      </c>
      <c r="K137" s="250">
        <f t="shared" si="45"/>
        <v>100210.50586387501</v>
      </c>
      <c r="L137" s="250">
        <f t="shared" si="45"/>
        <v>79030.385204375008</v>
      </c>
      <c r="M137" s="250">
        <f t="shared" si="42"/>
        <v>929896.54415625008</v>
      </c>
      <c r="N137" s="250">
        <f t="shared" si="42"/>
        <v>92970.501250000001</v>
      </c>
      <c r="O137" s="250">
        <f t="shared" si="42"/>
        <v>14809.020600000003</v>
      </c>
      <c r="P137" s="250">
        <f t="shared" si="42"/>
        <v>39464.838943750008</v>
      </c>
      <c r="Q137" s="250">
        <f t="shared" si="42"/>
        <v>98163.597400000013</v>
      </c>
      <c r="R137" s="249">
        <f t="shared" si="31"/>
        <v>45.27017962500031</v>
      </c>
      <c r="S137" s="249">
        <f t="shared" si="32"/>
        <v>44.899022437500207</v>
      </c>
      <c r="T137" s="249">
        <f t="shared" si="33"/>
        <v>1.7931016125000383</v>
      </c>
      <c r="U137" s="249">
        <f t="shared" si="34"/>
        <v>1.7749561500000368</v>
      </c>
      <c r="V137" s="19">
        <f t="shared" si="35"/>
        <v>15898.786428875057</v>
      </c>
      <c r="W137" s="249">
        <f t="shared" si="46"/>
        <v>15993.306656250032</v>
      </c>
      <c r="X137" s="249">
        <f t="shared" si="40"/>
        <v>1599.0012500000012</v>
      </c>
      <c r="Y137" s="249">
        <f t="shared" si="29"/>
        <v>1688.3173999999999</v>
      </c>
      <c r="AF137" s="277"/>
      <c r="AG137" s="278"/>
      <c r="AH137" s="278"/>
      <c r="AI137" s="278"/>
      <c r="AJ137" s="278"/>
      <c r="AK137" s="279"/>
      <c r="AL137" s="279"/>
    </row>
    <row r="138" spans="1:38" ht="13.15" customHeight="1" x14ac:dyDescent="0.2">
      <c r="A138" s="280">
        <v>46447</v>
      </c>
      <c r="B138" s="63">
        <f t="shared" si="43"/>
        <v>2027</v>
      </c>
      <c r="C138" s="63" t="str">
        <f t="shared" si="39"/>
        <v>Q1</v>
      </c>
      <c r="D138" s="250">
        <f t="shared" si="44"/>
        <v>8285.7617915624996</v>
      </c>
      <c r="E138" s="250">
        <f t="shared" si="44"/>
        <v>8198.3051611874998</v>
      </c>
      <c r="F138" s="250">
        <f t="shared" si="44"/>
        <v>330.02312358750004</v>
      </c>
      <c r="G138" s="250">
        <f t="shared" si="44"/>
        <v>325.90160422500003</v>
      </c>
      <c r="H138" s="250">
        <f t="shared" si="45"/>
        <v>924400.86807887501</v>
      </c>
      <c r="I138" s="250">
        <f t="shared" si="45"/>
        <v>90348.600687124999</v>
      </c>
      <c r="J138" s="250">
        <f t="shared" si="45"/>
        <v>40740.875976624993</v>
      </c>
      <c r="K138" s="250">
        <f t="shared" si="45"/>
        <v>100210.50586387501</v>
      </c>
      <c r="L138" s="250">
        <f t="shared" si="45"/>
        <v>79030.385204375008</v>
      </c>
      <c r="M138" s="250">
        <f t="shared" si="42"/>
        <v>929896.54415625008</v>
      </c>
      <c r="N138" s="250">
        <f t="shared" si="42"/>
        <v>92970.501250000001</v>
      </c>
      <c r="O138" s="250">
        <f t="shared" si="42"/>
        <v>14809.020600000003</v>
      </c>
      <c r="P138" s="250">
        <f t="shared" si="42"/>
        <v>39464.838943750008</v>
      </c>
      <c r="Q138" s="250">
        <f t="shared" si="42"/>
        <v>98163.597400000013</v>
      </c>
      <c r="R138" s="249">
        <f t="shared" si="31"/>
        <v>45.322416562499711</v>
      </c>
      <c r="S138" s="249">
        <f t="shared" si="32"/>
        <v>44.844036187500024</v>
      </c>
      <c r="T138" s="249">
        <f t="shared" si="33"/>
        <v>1.8051985875000014</v>
      </c>
      <c r="U138" s="249">
        <f t="shared" si="34"/>
        <v>1.7826542250000443</v>
      </c>
      <c r="V138" s="19">
        <f t="shared" si="35"/>
        <v>15898.786428875057</v>
      </c>
      <c r="W138" s="249">
        <f t="shared" si="46"/>
        <v>15993.306656250032</v>
      </c>
      <c r="X138" s="249">
        <f t="shared" si="40"/>
        <v>1599.0012500000012</v>
      </c>
      <c r="Y138" s="249">
        <f t="shared" si="29"/>
        <v>1688.3173999999999</v>
      </c>
      <c r="Z138" s="276"/>
      <c r="AA138" s="276"/>
      <c r="AB138" s="276"/>
      <c r="AF138" s="277"/>
      <c r="AG138" s="278"/>
      <c r="AH138" s="278"/>
      <c r="AI138" s="278"/>
      <c r="AJ138" s="278"/>
      <c r="AK138" s="279"/>
      <c r="AL138" s="279"/>
    </row>
    <row r="139" spans="1:38" ht="13.15" customHeight="1" x14ac:dyDescent="0.2">
      <c r="A139" s="280">
        <v>46478</v>
      </c>
      <c r="B139" s="63">
        <f t="shared" si="43"/>
        <v>2027</v>
      </c>
      <c r="C139" s="63" t="str">
        <f t="shared" si="39"/>
        <v>Q2</v>
      </c>
      <c r="D139" s="250">
        <f t="shared" si="44"/>
        <v>8270.5825373250009</v>
      </c>
      <c r="E139" s="250">
        <f t="shared" si="44"/>
        <v>8208.156597712501</v>
      </c>
      <c r="F139" s="250">
        <f t="shared" si="44"/>
        <v>328.21367606250004</v>
      </c>
      <c r="G139" s="250">
        <f t="shared" si="44"/>
        <v>325.39897991250001</v>
      </c>
      <c r="H139" s="250">
        <f t="shared" si="45"/>
        <v>924400.86807887501</v>
      </c>
      <c r="I139" s="250">
        <f t="shared" si="45"/>
        <v>90348.600687124999</v>
      </c>
      <c r="J139" s="250">
        <f t="shared" si="45"/>
        <v>40740.875976624993</v>
      </c>
      <c r="K139" s="250">
        <f t="shared" si="45"/>
        <v>100210.50586387501</v>
      </c>
      <c r="L139" s="250">
        <f t="shared" si="45"/>
        <v>79030.385204375008</v>
      </c>
      <c r="M139" s="250">
        <f t="shared" si="42"/>
        <v>927399.38548125012</v>
      </c>
      <c r="N139" s="250">
        <f t="shared" si="42"/>
        <v>90664.874231250011</v>
      </c>
      <c r="O139" s="250">
        <f t="shared" si="42"/>
        <v>14380.403812500002</v>
      </c>
      <c r="P139" s="250">
        <f t="shared" si="42"/>
        <v>39565.263650000008</v>
      </c>
      <c r="Q139" s="250">
        <f t="shared" si="42"/>
        <v>99127.467518750011</v>
      </c>
      <c r="R139" s="249">
        <f t="shared" si="31"/>
        <v>45.23938732500028</v>
      </c>
      <c r="S139" s="249">
        <f t="shared" si="32"/>
        <v>44.897922712500986</v>
      </c>
      <c r="T139" s="249">
        <f t="shared" si="33"/>
        <v>1.7953010625000161</v>
      </c>
      <c r="U139" s="249">
        <f t="shared" si="34"/>
        <v>1.779904912500001</v>
      </c>
      <c r="V139" s="19">
        <f t="shared" si="35"/>
        <v>15898.786428875057</v>
      </c>
      <c r="W139" s="249">
        <f t="shared" si="46"/>
        <v>15950.357981250039</v>
      </c>
      <c r="X139" s="249">
        <f t="shared" si="40"/>
        <v>1559.3467312499997</v>
      </c>
      <c r="Y139" s="249">
        <f t="shared" si="29"/>
        <v>1704.8950187500013</v>
      </c>
      <c r="Z139" s="276"/>
      <c r="AA139" s="276"/>
      <c r="AB139" s="276"/>
      <c r="AF139" s="277"/>
      <c r="AG139" s="278"/>
      <c r="AH139" s="278"/>
      <c r="AI139" s="278"/>
      <c r="AJ139" s="278"/>
      <c r="AK139" s="279"/>
      <c r="AL139" s="279"/>
    </row>
    <row r="140" spans="1:38" ht="13.15" customHeight="1" x14ac:dyDescent="0.2">
      <c r="A140" s="280">
        <v>46508</v>
      </c>
      <c r="B140" s="63">
        <f t="shared" si="43"/>
        <v>2027</v>
      </c>
      <c r="C140" s="63" t="str">
        <f t="shared" si="39"/>
        <v>Q2</v>
      </c>
      <c r="D140" s="250">
        <f t="shared" si="44"/>
        <v>8250.9801891374991</v>
      </c>
      <c r="E140" s="250">
        <f t="shared" si="44"/>
        <v>8241.1287526124997</v>
      </c>
      <c r="F140" s="250">
        <f t="shared" si="44"/>
        <v>326.50475340000008</v>
      </c>
      <c r="G140" s="250">
        <f t="shared" si="44"/>
        <v>326.50475340000008</v>
      </c>
      <c r="H140" s="250">
        <f t="shared" si="45"/>
        <v>924400.86807887501</v>
      </c>
      <c r="I140" s="250">
        <f t="shared" si="45"/>
        <v>90348.600687124999</v>
      </c>
      <c r="J140" s="250">
        <f t="shared" si="45"/>
        <v>40740.875976624993</v>
      </c>
      <c r="K140" s="250">
        <f t="shared" si="45"/>
        <v>100210.50586387501</v>
      </c>
      <c r="L140" s="250">
        <f t="shared" si="45"/>
        <v>79030.385204375008</v>
      </c>
      <c r="M140" s="250">
        <f t="shared" si="42"/>
        <v>927399.38548125012</v>
      </c>
      <c r="N140" s="250">
        <f t="shared" si="42"/>
        <v>90664.874231250011</v>
      </c>
      <c r="O140" s="250">
        <f t="shared" si="42"/>
        <v>14380.403812500002</v>
      </c>
      <c r="P140" s="250">
        <f t="shared" si="42"/>
        <v>39565.263650000008</v>
      </c>
      <c r="Q140" s="250">
        <f t="shared" si="42"/>
        <v>99127.467518750011</v>
      </c>
      <c r="R140" s="249">
        <f t="shared" si="31"/>
        <v>45.132164137499785</v>
      </c>
      <c r="S140" s="249">
        <f t="shared" si="32"/>
        <v>45.078277612499733</v>
      </c>
      <c r="T140" s="249">
        <f t="shared" si="33"/>
        <v>1.7859534000000394</v>
      </c>
      <c r="U140" s="249">
        <f t="shared" si="34"/>
        <v>1.7859534000000394</v>
      </c>
      <c r="V140" s="19">
        <f t="shared" si="35"/>
        <v>15898.786428875057</v>
      </c>
      <c r="W140" s="249">
        <f t="shared" si="46"/>
        <v>15950.357981250039</v>
      </c>
      <c r="X140" s="249">
        <f t="shared" si="40"/>
        <v>1559.3467312499997</v>
      </c>
      <c r="Y140" s="249">
        <f t="shared" si="29"/>
        <v>1704.8950187500013</v>
      </c>
      <c r="Z140" s="276"/>
      <c r="AA140" s="276"/>
      <c r="AB140" s="276"/>
      <c r="AF140" s="277"/>
      <c r="AG140" s="278"/>
      <c r="AH140" s="278"/>
      <c r="AI140" s="278"/>
      <c r="AJ140" s="278"/>
      <c r="AK140" s="279"/>
      <c r="AL140" s="279"/>
    </row>
    <row r="141" spans="1:38" ht="13.15" customHeight="1" x14ac:dyDescent="0.2">
      <c r="A141" s="280">
        <v>46539</v>
      </c>
      <c r="B141" s="63">
        <f t="shared" si="43"/>
        <v>2027</v>
      </c>
      <c r="C141" s="63" t="str">
        <f t="shared" si="39"/>
        <v>Q2</v>
      </c>
      <c r="D141" s="250">
        <f t="shared" si="44"/>
        <v>8247.6628686750009</v>
      </c>
      <c r="E141" s="250">
        <f t="shared" si="44"/>
        <v>8313.4061287500008</v>
      </c>
      <c r="F141" s="250">
        <f t="shared" si="44"/>
        <v>324.69530587500003</v>
      </c>
      <c r="G141" s="250">
        <f t="shared" si="44"/>
        <v>327.81157661250006</v>
      </c>
      <c r="H141" s="250">
        <f t="shared" si="45"/>
        <v>924400.86807887501</v>
      </c>
      <c r="I141" s="250">
        <f t="shared" si="45"/>
        <v>90348.600687124999</v>
      </c>
      <c r="J141" s="250">
        <f t="shared" si="45"/>
        <v>40740.875976624993</v>
      </c>
      <c r="K141" s="250">
        <f t="shared" si="45"/>
        <v>100210.50586387501</v>
      </c>
      <c r="L141" s="250">
        <f t="shared" si="45"/>
        <v>79030.385204375008</v>
      </c>
      <c r="M141" s="250">
        <f t="shared" si="42"/>
        <v>927399.38548125012</v>
      </c>
      <c r="N141" s="250">
        <f t="shared" si="42"/>
        <v>90664.874231250011</v>
      </c>
      <c r="O141" s="250">
        <f t="shared" si="42"/>
        <v>14380.403812500002</v>
      </c>
      <c r="P141" s="250">
        <f t="shared" si="42"/>
        <v>39565.263650000008</v>
      </c>
      <c r="Q141" s="250">
        <f t="shared" si="42"/>
        <v>99127.467518750011</v>
      </c>
      <c r="R141" s="249">
        <f t="shared" si="31"/>
        <v>45.114018674999897</v>
      </c>
      <c r="S141" s="249">
        <f t="shared" si="32"/>
        <v>45.473628749999989</v>
      </c>
      <c r="T141" s="249">
        <f t="shared" si="33"/>
        <v>1.7760558749999973</v>
      </c>
      <c r="U141" s="249">
        <f t="shared" si="34"/>
        <v>1.7931016125000383</v>
      </c>
      <c r="V141" s="19">
        <f t="shared" si="35"/>
        <v>15898.786428875057</v>
      </c>
      <c r="W141" s="249">
        <f t="shared" si="46"/>
        <v>15950.357981250039</v>
      </c>
      <c r="X141" s="249">
        <f t="shared" si="40"/>
        <v>1559.3467312499997</v>
      </c>
      <c r="Y141" s="249">
        <f t="shared" si="29"/>
        <v>1704.8950187500013</v>
      </c>
      <c r="Z141" s="276"/>
      <c r="AA141" s="276"/>
      <c r="AB141" s="276"/>
      <c r="AF141" s="277"/>
      <c r="AG141" s="278"/>
      <c r="AH141" s="278"/>
      <c r="AI141" s="278"/>
      <c r="AJ141" s="278"/>
      <c r="AK141" s="279"/>
      <c r="AL141" s="279"/>
    </row>
    <row r="142" spans="1:38" ht="13.15" customHeight="1" x14ac:dyDescent="0.2">
      <c r="A142" s="280">
        <v>46569</v>
      </c>
      <c r="B142" s="63">
        <f t="shared" si="43"/>
        <v>2027</v>
      </c>
      <c r="C142" s="63" t="str">
        <f t="shared" si="39"/>
        <v>Q3</v>
      </c>
      <c r="D142" s="250">
        <f t="shared" si="44"/>
        <v>8254.9006587750009</v>
      </c>
      <c r="E142" s="250">
        <f t="shared" si="44"/>
        <v>8352.0076759499989</v>
      </c>
      <c r="F142" s="250">
        <f t="shared" si="44"/>
        <v>327.10790257500003</v>
      </c>
      <c r="G142" s="250">
        <f t="shared" si="44"/>
        <v>331.02837221250007</v>
      </c>
      <c r="H142" s="250">
        <f t="shared" si="45"/>
        <v>924400.86807887501</v>
      </c>
      <c r="I142" s="250">
        <f t="shared" si="45"/>
        <v>90348.600687124999</v>
      </c>
      <c r="J142" s="250">
        <f t="shared" si="45"/>
        <v>40740.875976624993</v>
      </c>
      <c r="K142" s="250">
        <f t="shared" si="45"/>
        <v>100210.50586387501</v>
      </c>
      <c r="L142" s="250">
        <f t="shared" si="45"/>
        <v>79030.385204375008</v>
      </c>
      <c r="M142" s="250">
        <f t="shared" si="42"/>
        <v>933682.65911250014</v>
      </c>
      <c r="N142" s="250">
        <f t="shared" si="42"/>
        <v>91508.648825000011</v>
      </c>
      <c r="O142" s="250">
        <f t="shared" si="42"/>
        <v>13985.952131250002</v>
      </c>
      <c r="P142" s="250">
        <f t="shared" si="42"/>
        <v>40253.742306250009</v>
      </c>
      <c r="Q142" s="250">
        <f t="shared" si="42"/>
        <v>100959.95958125</v>
      </c>
      <c r="R142" s="249">
        <f t="shared" si="31"/>
        <v>45.153608775000976</v>
      </c>
      <c r="S142" s="249">
        <f t="shared" si="32"/>
        <v>45.684775949999676</v>
      </c>
      <c r="T142" s="249">
        <f t="shared" si="33"/>
        <v>1.7892525750000345</v>
      </c>
      <c r="U142" s="249">
        <f t="shared" si="34"/>
        <v>1.8106972125000311</v>
      </c>
      <c r="V142" s="19">
        <f t="shared" si="35"/>
        <v>15898.786428875057</v>
      </c>
      <c r="W142" s="249">
        <f t="shared" si="46"/>
        <v>16058.424112500041</v>
      </c>
      <c r="X142" s="249">
        <f t="shared" si="40"/>
        <v>1573.858825000003</v>
      </c>
      <c r="Y142" s="249">
        <f t="shared" si="29"/>
        <v>1736.4120812500041</v>
      </c>
      <c r="AF142" s="277"/>
      <c r="AG142" s="278"/>
      <c r="AH142" s="278"/>
      <c r="AI142" s="278"/>
      <c r="AJ142" s="278"/>
      <c r="AK142" s="279"/>
      <c r="AL142" s="279"/>
    </row>
    <row r="143" spans="1:38" ht="13.15" customHeight="1" x14ac:dyDescent="0.2">
      <c r="A143" s="280">
        <v>46600</v>
      </c>
      <c r="B143" s="63">
        <f t="shared" si="43"/>
        <v>2027</v>
      </c>
      <c r="C143" s="63" t="str">
        <f t="shared" si="39"/>
        <v>Q3</v>
      </c>
      <c r="D143" s="250">
        <f t="shared" si="44"/>
        <v>8252.3875372124985</v>
      </c>
      <c r="E143" s="250">
        <f t="shared" si="44"/>
        <v>8335.2200239125013</v>
      </c>
      <c r="F143" s="250">
        <f t="shared" si="44"/>
        <v>328.91735010000002</v>
      </c>
      <c r="G143" s="250">
        <f t="shared" si="44"/>
        <v>333.23991918749999</v>
      </c>
      <c r="H143" s="250">
        <f t="shared" si="45"/>
        <v>924400.86807887501</v>
      </c>
      <c r="I143" s="250">
        <f t="shared" si="45"/>
        <v>90348.600687124999</v>
      </c>
      <c r="J143" s="250">
        <f t="shared" si="45"/>
        <v>40740.875976624993</v>
      </c>
      <c r="K143" s="250">
        <f t="shared" si="45"/>
        <v>100210.50586387501</v>
      </c>
      <c r="L143" s="250">
        <f t="shared" si="45"/>
        <v>79030.385204375008</v>
      </c>
      <c r="M143" s="250">
        <f t="shared" si="42"/>
        <v>933682.65911250014</v>
      </c>
      <c r="N143" s="250">
        <f t="shared" si="42"/>
        <v>91508.648825000011</v>
      </c>
      <c r="O143" s="250">
        <f t="shared" si="42"/>
        <v>13985.952131250002</v>
      </c>
      <c r="P143" s="250">
        <f t="shared" si="42"/>
        <v>40253.742306250009</v>
      </c>
      <c r="Q143" s="250">
        <f t="shared" si="42"/>
        <v>100959.95958125</v>
      </c>
      <c r="R143" s="249">
        <f t="shared" si="31"/>
        <v>45.139862212499793</v>
      </c>
      <c r="S143" s="249">
        <f t="shared" si="32"/>
        <v>45.592948912501015</v>
      </c>
      <c r="T143" s="249">
        <f t="shared" si="33"/>
        <v>1.7991501000000198</v>
      </c>
      <c r="U143" s="249">
        <f t="shared" si="34"/>
        <v>1.8227941874999942</v>
      </c>
      <c r="V143" s="19">
        <f t="shared" si="35"/>
        <v>15898.786428875057</v>
      </c>
      <c r="W143" s="249">
        <f t="shared" si="46"/>
        <v>16058.424112500041</v>
      </c>
      <c r="X143" s="249">
        <f t="shared" si="40"/>
        <v>1573.858825000003</v>
      </c>
      <c r="Y143" s="249">
        <f t="shared" si="29"/>
        <v>1736.4120812500041</v>
      </c>
      <c r="AF143" s="277"/>
      <c r="AG143" s="278"/>
      <c r="AH143" s="278"/>
      <c r="AI143" s="278"/>
      <c r="AJ143" s="278"/>
      <c r="AK143" s="279"/>
      <c r="AL143" s="279"/>
    </row>
    <row r="144" spans="1:38" ht="13.15" customHeight="1" x14ac:dyDescent="0.2">
      <c r="A144" s="280">
        <v>46631</v>
      </c>
      <c r="B144" s="63">
        <f t="shared" si="43"/>
        <v>2027</v>
      </c>
      <c r="C144" s="63" t="str">
        <f t="shared" si="39"/>
        <v>Q3</v>
      </c>
      <c r="D144" s="250">
        <f t="shared" si="44"/>
        <v>8245.6523714250015</v>
      </c>
      <c r="E144" s="250">
        <f t="shared" si="44"/>
        <v>8277.5187528375009</v>
      </c>
      <c r="F144" s="250">
        <f t="shared" si="44"/>
        <v>332.63677001249999</v>
      </c>
      <c r="G144" s="250">
        <f t="shared" si="44"/>
        <v>335.45146616250003</v>
      </c>
      <c r="H144" s="250">
        <f t="shared" si="45"/>
        <v>924400.86807887501</v>
      </c>
      <c r="I144" s="250">
        <f t="shared" si="45"/>
        <v>90348.600687124999</v>
      </c>
      <c r="J144" s="250">
        <f t="shared" si="45"/>
        <v>40740.875976624993</v>
      </c>
      <c r="K144" s="250">
        <f t="shared" si="45"/>
        <v>100210.50586387501</v>
      </c>
      <c r="L144" s="250">
        <f t="shared" si="45"/>
        <v>79030.385204375008</v>
      </c>
      <c r="M144" s="250">
        <f t="shared" ref="M144:Q147" si="47">M132*(1+$AF$27)</f>
        <v>933682.65911250014</v>
      </c>
      <c r="N144" s="250">
        <f t="shared" si="47"/>
        <v>91508.648825000011</v>
      </c>
      <c r="O144" s="250">
        <f t="shared" si="47"/>
        <v>13985.952131250002</v>
      </c>
      <c r="P144" s="250">
        <f t="shared" si="47"/>
        <v>40253.742306250009</v>
      </c>
      <c r="Q144" s="250">
        <f t="shared" si="47"/>
        <v>100959.95958125</v>
      </c>
      <c r="R144" s="249">
        <f t="shared" ref="R144:V147" si="48">D144-D132</f>
        <v>45.103021425000406</v>
      </c>
      <c r="S144" s="249">
        <f t="shared" si="48"/>
        <v>45.277327837500707</v>
      </c>
      <c r="T144" s="249">
        <f t="shared" si="48"/>
        <v>1.8194950124999991</v>
      </c>
      <c r="U144" s="249">
        <f t="shared" si="48"/>
        <v>1.8348911625000142</v>
      </c>
      <c r="V144" s="19">
        <f t="shared" si="48"/>
        <v>15898.786428875057</v>
      </c>
      <c r="W144" s="249">
        <f t="shared" si="46"/>
        <v>16058.424112500041</v>
      </c>
      <c r="X144" s="249">
        <f t="shared" si="40"/>
        <v>1573.858825000003</v>
      </c>
      <c r="Y144" s="249">
        <f t="shared" si="29"/>
        <v>1736.4120812500041</v>
      </c>
      <c r="AF144" s="277"/>
      <c r="AG144" s="278"/>
      <c r="AH144" s="278"/>
      <c r="AI144" s="278"/>
      <c r="AJ144" s="278"/>
      <c r="AK144" s="279"/>
      <c r="AL144" s="279"/>
    </row>
    <row r="145" spans="1:38" ht="13.15" customHeight="1" x14ac:dyDescent="0.2">
      <c r="A145" s="280">
        <v>46661</v>
      </c>
      <c r="B145" s="63">
        <f t="shared" si="43"/>
        <v>2027</v>
      </c>
      <c r="C145" s="63" t="str">
        <f t="shared" si="39"/>
        <v>Q4</v>
      </c>
      <c r="D145" s="250">
        <f t="shared" si="44"/>
        <v>8258.1174543750021</v>
      </c>
      <c r="E145" s="250">
        <f t="shared" si="44"/>
        <v>8267.0641671375015</v>
      </c>
      <c r="F145" s="250">
        <f t="shared" si="44"/>
        <v>334.14464294999999</v>
      </c>
      <c r="G145" s="250">
        <f t="shared" si="44"/>
        <v>336.05461533750002</v>
      </c>
      <c r="H145" s="250">
        <f t="shared" si="45"/>
        <v>924400.86807887501</v>
      </c>
      <c r="I145" s="250">
        <f t="shared" si="45"/>
        <v>90348.600687124999</v>
      </c>
      <c r="J145" s="250">
        <f t="shared" si="45"/>
        <v>40740.875976624993</v>
      </c>
      <c r="K145" s="250">
        <f t="shared" si="45"/>
        <v>100210.50586387501</v>
      </c>
      <c r="L145" s="250">
        <f t="shared" si="45"/>
        <v>79030.385204375008</v>
      </c>
      <c r="M145" s="250">
        <f t="shared" si="47"/>
        <v>931836.7080687501</v>
      </c>
      <c r="N145" s="250">
        <f t="shared" si="47"/>
        <v>89652.344718750013</v>
      </c>
      <c r="O145" s="250">
        <f t="shared" si="47"/>
        <v>13805.808843750003</v>
      </c>
      <c r="P145" s="250">
        <f t="shared" si="47"/>
        <v>41172.058950000006</v>
      </c>
      <c r="Q145" s="250">
        <f t="shared" si="47"/>
        <v>101949.71235625002</v>
      </c>
      <c r="R145" s="249">
        <f t="shared" si="48"/>
        <v>45.171204375001253</v>
      </c>
      <c r="S145" s="249">
        <f t="shared" si="48"/>
        <v>45.220142137501171</v>
      </c>
      <c r="T145" s="249">
        <f t="shared" si="48"/>
        <v>1.8277429500000153</v>
      </c>
      <c r="U145" s="249">
        <f t="shared" si="48"/>
        <v>1.8381903375000093</v>
      </c>
      <c r="V145" s="19">
        <f t="shared" si="48"/>
        <v>15898.786428875057</v>
      </c>
      <c r="W145" s="249">
        <f t="shared" si="46"/>
        <v>16026.675568750012</v>
      </c>
      <c r="X145" s="249">
        <f t="shared" si="40"/>
        <v>1541.9322187500075</v>
      </c>
      <c r="Y145" s="249">
        <f t="shared" si="29"/>
        <v>1753.434856250009</v>
      </c>
      <c r="AF145" s="277"/>
      <c r="AG145" s="278"/>
      <c r="AH145" s="278"/>
      <c r="AI145" s="278"/>
      <c r="AJ145" s="278"/>
      <c r="AK145" s="279"/>
      <c r="AL145" s="279"/>
    </row>
    <row r="146" spans="1:38" ht="13.15" customHeight="1" x14ac:dyDescent="0.2">
      <c r="A146" s="280">
        <v>46692</v>
      </c>
      <c r="B146" s="63">
        <f t="shared" si="43"/>
        <v>2027</v>
      </c>
      <c r="C146" s="63" t="str">
        <f t="shared" si="39"/>
        <v>Q4</v>
      </c>
      <c r="D146" s="250">
        <f t="shared" si="44"/>
        <v>8281.4392224750009</v>
      </c>
      <c r="E146" s="250">
        <f t="shared" si="44"/>
        <v>8274.5030069624991</v>
      </c>
      <c r="F146" s="250">
        <f t="shared" si="44"/>
        <v>334.44621753750005</v>
      </c>
      <c r="G146" s="250">
        <f t="shared" si="44"/>
        <v>334.64726726250001</v>
      </c>
      <c r="H146" s="250">
        <f t="shared" si="45"/>
        <v>924400.86807887501</v>
      </c>
      <c r="I146" s="250">
        <f t="shared" si="45"/>
        <v>90348.600687124999</v>
      </c>
      <c r="J146" s="250">
        <f t="shared" si="45"/>
        <v>40740.875976624993</v>
      </c>
      <c r="K146" s="250">
        <f t="shared" si="45"/>
        <v>100210.50586387501</v>
      </c>
      <c r="L146" s="250">
        <f t="shared" si="45"/>
        <v>79030.385204375008</v>
      </c>
      <c r="M146" s="250">
        <f t="shared" si="47"/>
        <v>931836.7080687501</v>
      </c>
      <c r="N146" s="250">
        <f t="shared" si="47"/>
        <v>89652.344718750013</v>
      </c>
      <c r="O146" s="250">
        <f t="shared" si="47"/>
        <v>13805.808843750003</v>
      </c>
      <c r="P146" s="250">
        <f t="shared" si="47"/>
        <v>41172.058950000006</v>
      </c>
      <c r="Q146" s="250">
        <f t="shared" si="47"/>
        <v>101949.71235625002</v>
      </c>
      <c r="R146" s="249">
        <f t="shared" si="48"/>
        <v>45.298772475000078</v>
      </c>
      <c r="S146" s="249">
        <f t="shared" si="48"/>
        <v>45.260831962499651</v>
      </c>
      <c r="T146" s="249">
        <f t="shared" si="48"/>
        <v>1.8293925375000413</v>
      </c>
      <c r="U146" s="249">
        <f t="shared" si="48"/>
        <v>1.8304922625000017</v>
      </c>
      <c r="V146" s="19">
        <f t="shared" si="48"/>
        <v>15898.786428875057</v>
      </c>
      <c r="W146" s="249">
        <f t="shared" si="46"/>
        <v>16026.675568750012</v>
      </c>
      <c r="X146" s="249">
        <f t="shared" si="40"/>
        <v>1541.9322187500075</v>
      </c>
      <c r="Y146" s="249">
        <f t="shared" si="29"/>
        <v>1753.434856250009</v>
      </c>
      <c r="AF146" s="277"/>
      <c r="AG146" s="278"/>
      <c r="AH146" s="278"/>
      <c r="AI146" s="278"/>
      <c r="AJ146" s="278"/>
      <c r="AK146" s="279"/>
      <c r="AL146" s="279"/>
    </row>
    <row r="147" spans="1:38" ht="13.15" customHeight="1" x14ac:dyDescent="0.2">
      <c r="A147" s="280">
        <v>46722</v>
      </c>
      <c r="B147" s="63">
        <f t="shared" si="43"/>
        <v>2027</v>
      </c>
      <c r="C147" s="63" t="str">
        <f t="shared" si="39"/>
        <v>Q4</v>
      </c>
      <c r="D147" s="250">
        <f t="shared" si="44"/>
        <v>8305.9672889249996</v>
      </c>
      <c r="E147" s="250">
        <f t="shared" si="44"/>
        <v>8291.3911838625008</v>
      </c>
      <c r="F147" s="250">
        <f t="shared" si="44"/>
        <v>331.53099652500003</v>
      </c>
      <c r="G147" s="250">
        <f t="shared" si="44"/>
        <v>330.32469817500004</v>
      </c>
      <c r="H147" s="250">
        <f t="shared" si="45"/>
        <v>924400.86807887501</v>
      </c>
      <c r="I147" s="250">
        <f t="shared" si="45"/>
        <v>90348.600687124999</v>
      </c>
      <c r="J147" s="250">
        <f t="shared" si="45"/>
        <v>40740.875976624993</v>
      </c>
      <c r="K147" s="250">
        <f t="shared" si="45"/>
        <v>100210.50586387501</v>
      </c>
      <c r="L147" s="250">
        <f t="shared" si="45"/>
        <v>79030.385204375008</v>
      </c>
      <c r="M147" s="250">
        <f t="shared" si="47"/>
        <v>931836.7080687501</v>
      </c>
      <c r="N147" s="250">
        <f t="shared" si="47"/>
        <v>89652.344718750013</v>
      </c>
      <c r="O147" s="250">
        <f t="shared" si="47"/>
        <v>13805.808843750003</v>
      </c>
      <c r="P147" s="250">
        <f t="shared" si="47"/>
        <v>41172.058950000006</v>
      </c>
      <c r="Q147" s="250">
        <f t="shared" si="47"/>
        <v>101949.71235625002</v>
      </c>
      <c r="R147" s="249">
        <f t="shared" si="48"/>
        <v>45.432938924999689</v>
      </c>
      <c r="S147" s="249">
        <f t="shared" si="48"/>
        <v>45.353208862499741</v>
      </c>
      <c r="T147" s="249">
        <f t="shared" si="48"/>
        <v>1.8134465250000176</v>
      </c>
      <c r="U147" s="249">
        <f t="shared" si="48"/>
        <v>1.8068481750000274</v>
      </c>
      <c r="V147" s="19">
        <f t="shared" si="48"/>
        <v>15898.786428875057</v>
      </c>
      <c r="W147" s="249">
        <f t="shared" si="46"/>
        <v>16026.675568750012</v>
      </c>
      <c r="X147" s="249">
        <f t="shared" si="40"/>
        <v>1541.9322187500075</v>
      </c>
      <c r="Y147" s="249">
        <f t="shared" si="29"/>
        <v>1753.434856250009</v>
      </c>
      <c r="AF147" s="277"/>
      <c r="AG147" s="278"/>
      <c r="AH147" s="278"/>
      <c r="AI147" s="278"/>
      <c r="AJ147" s="278"/>
      <c r="AK147" s="279"/>
      <c r="AL147" s="279"/>
    </row>
    <row r="148" spans="1:38" ht="13.15" customHeight="1" x14ac:dyDescent="0.2">
      <c r="A148" s="280"/>
      <c r="B148" s="63"/>
      <c r="C148" s="63"/>
      <c r="D148" s="250"/>
      <c r="E148" s="250"/>
      <c r="F148" s="250"/>
      <c r="G148" s="250"/>
      <c r="H148" s="250"/>
      <c r="I148" s="250"/>
      <c r="J148" s="250"/>
      <c r="K148" s="250"/>
      <c r="L148" s="250"/>
      <c r="M148" s="250"/>
      <c r="N148" s="250"/>
      <c r="O148" s="250"/>
      <c r="P148" s="250"/>
      <c r="Q148" s="250"/>
      <c r="R148" s="249"/>
      <c r="S148" s="249"/>
      <c r="T148" s="249"/>
      <c r="U148" s="249"/>
      <c r="V148" s="19"/>
      <c r="W148" s="249"/>
      <c r="X148" s="249"/>
      <c r="Y148" s="249"/>
      <c r="AF148" s="277"/>
      <c r="AG148" s="278"/>
      <c r="AH148" s="278"/>
      <c r="AI148" s="278"/>
      <c r="AJ148" s="278"/>
      <c r="AK148" s="279"/>
      <c r="AL148" s="279"/>
    </row>
    <row r="149" spans="1:38" ht="13.15" customHeight="1" x14ac:dyDescent="0.2">
      <c r="A149" s="8" t="s">
        <v>471</v>
      </c>
      <c r="B149" s="63"/>
      <c r="C149" s="63"/>
      <c r="D149" s="250"/>
      <c r="E149" s="250"/>
      <c r="F149" s="250"/>
      <c r="G149" s="250"/>
      <c r="H149" s="285" t="s">
        <v>459</v>
      </c>
      <c r="I149" s="285" t="s">
        <v>460</v>
      </c>
      <c r="J149" s="285" t="s">
        <v>461</v>
      </c>
      <c r="K149" s="285" t="s">
        <v>462</v>
      </c>
      <c r="L149" s="285" t="s">
        <v>463</v>
      </c>
      <c r="M149" s="285" t="s">
        <v>500</v>
      </c>
      <c r="N149" s="285" t="s">
        <v>501</v>
      </c>
      <c r="O149" s="285" t="s">
        <v>502</v>
      </c>
      <c r="P149" s="285" t="s">
        <v>503</v>
      </c>
      <c r="Q149" s="285" t="s">
        <v>504</v>
      </c>
      <c r="R149" s="249"/>
      <c r="S149" s="249"/>
      <c r="T149" s="249"/>
      <c r="U149" s="249"/>
      <c r="V149" s="19"/>
      <c r="W149" s="249"/>
      <c r="X149" s="249"/>
      <c r="Y149" s="249"/>
      <c r="AF149" s="277"/>
      <c r="AG149" s="278"/>
      <c r="AH149" s="278"/>
      <c r="AI149" s="278"/>
      <c r="AJ149" s="278"/>
      <c r="AK149" s="279"/>
      <c r="AL149" s="279"/>
    </row>
    <row r="150" spans="1:38" ht="13.15" customHeight="1" x14ac:dyDescent="0.2">
      <c r="A150" s="280"/>
      <c r="B150" s="63"/>
      <c r="C150" s="63"/>
      <c r="D150" s="250"/>
      <c r="E150" s="250"/>
      <c r="F150" s="250"/>
      <c r="G150" s="250"/>
      <c r="H150" s="250"/>
      <c r="I150" s="250"/>
      <c r="J150" s="250"/>
      <c r="K150" s="250"/>
      <c r="L150" s="250"/>
      <c r="M150" s="250"/>
      <c r="N150" s="250"/>
      <c r="O150" s="250"/>
      <c r="P150" s="250"/>
      <c r="Q150" s="250"/>
      <c r="R150" s="249"/>
      <c r="S150" s="249"/>
      <c r="T150" s="249"/>
      <c r="U150" s="249"/>
      <c r="V150" s="19"/>
      <c r="W150" s="249"/>
      <c r="X150" s="249"/>
      <c r="Y150" s="249"/>
      <c r="AF150" s="277"/>
      <c r="AG150" s="278"/>
      <c r="AH150" s="278"/>
      <c r="AI150" s="278"/>
      <c r="AJ150" s="278"/>
      <c r="AK150" s="279"/>
      <c r="AL150" s="279"/>
    </row>
    <row r="151" spans="1:38" ht="13.15" customHeight="1" x14ac:dyDescent="0.25">
      <c r="A151" s="281"/>
      <c r="B151" s="282"/>
      <c r="C151" s="282"/>
      <c r="D151" s="276"/>
      <c r="E151" s="276"/>
      <c r="F151" s="276"/>
      <c r="G151" s="276"/>
      <c r="H151" s="283"/>
      <c r="I151" s="283"/>
      <c r="J151" s="283"/>
      <c r="K151" s="283"/>
      <c r="L151" s="284"/>
      <c r="M151" s="7"/>
      <c r="N151" s="7"/>
      <c r="O151" s="7"/>
      <c r="P151" s="7"/>
      <c r="Q151" s="7"/>
      <c r="AF151" s="277"/>
      <c r="AG151" s="278"/>
      <c r="AH151" s="278"/>
      <c r="AI151" s="278"/>
      <c r="AJ151" s="278"/>
      <c r="AK151" s="279"/>
      <c r="AL151" s="279"/>
    </row>
    <row r="152" spans="1:38" ht="13.15" customHeight="1" x14ac:dyDescent="0.25">
      <c r="A152" s="281"/>
      <c r="B152" s="282"/>
      <c r="C152" s="282"/>
      <c r="D152" s="276"/>
      <c r="E152" s="276"/>
      <c r="F152" s="276"/>
      <c r="G152" s="276"/>
      <c r="H152" s="283"/>
      <c r="I152" s="283"/>
      <c r="J152" s="283"/>
      <c r="K152" s="283"/>
      <c r="L152" s="284"/>
      <c r="M152" s="7"/>
      <c r="N152" s="7"/>
      <c r="O152" s="7"/>
      <c r="P152" s="7"/>
      <c r="Q152" s="7"/>
      <c r="AF152" s="277"/>
      <c r="AG152" s="278"/>
      <c r="AH152" s="278"/>
      <c r="AI152" s="278"/>
      <c r="AJ152" s="278"/>
      <c r="AK152" s="279"/>
      <c r="AL152" s="279"/>
    </row>
    <row r="153" spans="1:38" ht="13.15" customHeight="1" x14ac:dyDescent="0.2">
      <c r="A153" s="281"/>
      <c r="B153" s="282">
        <v>2017</v>
      </c>
      <c r="C153" s="282"/>
      <c r="D153" s="276">
        <f>AVERAGEIFS(D$4:D$147,$B$4:$B$147,$B153)</f>
        <v>7093.166666666667</v>
      </c>
      <c r="E153" s="276">
        <f t="shared" ref="E153:Q153" si="49">AVERAGEIFS(E$4:E$147,$B$4:$B$147,$B153)</f>
        <v>7090.4583333333321</v>
      </c>
      <c r="F153" s="276">
        <f t="shared" si="49"/>
        <v>247.85833333333335</v>
      </c>
      <c r="G153" s="276">
        <f t="shared" si="49"/>
        <v>247.35</v>
      </c>
      <c r="H153" s="276">
        <f t="shared" si="49"/>
        <v>764465</v>
      </c>
      <c r="I153" s="276">
        <f t="shared" si="49"/>
        <v>91847.599999999991</v>
      </c>
      <c r="J153" s="276">
        <f t="shared" si="49"/>
        <v>29151.900000000005</v>
      </c>
      <c r="K153" s="276">
        <f t="shared" si="49"/>
        <v>71039.199999999983</v>
      </c>
      <c r="L153" s="276">
        <f t="shared" si="49"/>
        <v>53985.69999999999</v>
      </c>
      <c r="M153" s="276">
        <f t="shared" si="49"/>
        <v>764465.25</v>
      </c>
      <c r="N153" s="276">
        <f t="shared" si="49"/>
        <v>91847.75</v>
      </c>
      <c r="O153" s="276">
        <f t="shared" si="49"/>
        <v>13416</v>
      </c>
      <c r="P153" s="276">
        <f t="shared" si="49"/>
        <v>29152.25</v>
      </c>
      <c r="Q153" s="276">
        <f t="shared" si="49"/>
        <v>71039</v>
      </c>
      <c r="AF153" s="277"/>
      <c r="AG153" s="278"/>
      <c r="AH153" s="278"/>
      <c r="AI153" s="278"/>
      <c r="AJ153" s="278"/>
      <c r="AK153" s="279"/>
      <c r="AL153" s="279"/>
    </row>
    <row r="154" spans="1:38" ht="13.15" customHeight="1" x14ac:dyDescent="0.2">
      <c r="A154" s="281"/>
      <c r="B154" s="282">
        <f>B153+1</f>
        <v>2018</v>
      </c>
      <c r="C154" s="282"/>
      <c r="D154" s="276">
        <f t="shared" ref="D154:Q163" si="50">AVERAGEIFS(D$4:D$147,$B$4:$B$147,$B154)</f>
        <v>7234.6916666666657</v>
      </c>
      <c r="E154" s="276">
        <f t="shared" si="50"/>
        <v>7231.8833333333323</v>
      </c>
      <c r="F154" s="276">
        <f t="shared" si="50"/>
        <v>258.23333333333329</v>
      </c>
      <c r="G154" s="276">
        <f t="shared" si="50"/>
        <v>257.92500000000001</v>
      </c>
      <c r="H154" s="276">
        <f t="shared" si="50"/>
        <v>789828.09999999974</v>
      </c>
      <c r="I154" s="276">
        <f t="shared" si="50"/>
        <v>95159.5</v>
      </c>
      <c r="J154" s="276">
        <f t="shared" si="50"/>
        <v>30609.700000000008</v>
      </c>
      <c r="K154" s="276">
        <f t="shared" si="50"/>
        <v>72894</v>
      </c>
      <c r="L154" s="276">
        <f t="shared" si="50"/>
        <v>57384.80000000001</v>
      </c>
      <c r="M154" s="276">
        <f t="shared" si="50"/>
        <v>789828.25</v>
      </c>
      <c r="N154" s="276">
        <f t="shared" si="50"/>
        <v>95159.5</v>
      </c>
      <c r="O154" s="276">
        <f t="shared" si="50"/>
        <v>13502.5</v>
      </c>
      <c r="P154" s="276">
        <f t="shared" si="50"/>
        <v>30609.75</v>
      </c>
      <c r="Q154" s="276">
        <f t="shared" si="50"/>
        <v>72894</v>
      </c>
      <c r="AF154" s="277"/>
      <c r="AG154" s="278"/>
      <c r="AH154" s="278"/>
      <c r="AI154" s="278"/>
      <c r="AJ154" s="278"/>
      <c r="AK154" s="279"/>
      <c r="AL154" s="279"/>
    </row>
    <row r="155" spans="1:38" ht="13.15" customHeight="1" x14ac:dyDescent="0.2">
      <c r="A155" s="281"/>
      <c r="B155" s="282">
        <f t="shared" ref="B155:B161" si="51">B154+1</f>
        <v>2019</v>
      </c>
      <c r="C155" s="282"/>
      <c r="D155" s="276">
        <f t="shared" si="50"/>
        <v>7395.0333333333328</v>
      </c>
      <c r="E155" s="276">
        <f t="shared" si="50"/>
        <v>7397.8083333333343</v>
      </c>
      <c r="F155" s="276">
        <f t="shared" si="50"/>
        <v>255.75</v>
      </c>
      <c r="G155" s="276">
        <f t="shared" si="50"/>
        <v>255.76666666666668</v>
      </c>
      <c r="H155" s="276">
        <f t="shared" si="50"/>
        <v>807583.09999999974</v>
      </c>
      <c r="I155" s="276">
        <f t="shared" si="50"/>
        <v>94617.300000000032</v>
      </c>
      <c r="J155" s="276">
        <f t="shared" si="50"/>
        <v>33264.099999999991</v>
      </c>
      <c r="K155" s="276">
        <f t="shared" si="50"/>
        <v>75322.900000000009</v>
      </c>
      <c r="L155" s="276">
        <f t="shared" si="50"/>
        <v>59802.69999999999</v>
      </c>
      <c r="M155" s="276">
        <f t="shared" si="50"/>
        <v>807583.25</v>
      </c>
      <c r="N155" s="276">
        <f t="shared" si="50"/>
        <v>94617.25</v>
      </c>
      <c r="O155" s="276">
        <f t="shared" si="50"/>
        <v>14235</v>
      </c>
      <c r="P155" s="276">
        <f t="shared" si="50"/>
        <v>33264</v>
      </c>
      <c r="Q155" s="276">
        <f t="shared" si="50"/>
        <v>75323</v>
      </c>
      <c r="AF155" s="277"/>
      <c r="AG155" s="278"/>
      <c r="AH155" s="278"/>
      <c r="AI155" s="278"/>
      <c r="AJ155" s="278"/>
      <c r="AK155" s="279"/>
      <c r="AL155" s="279"/>
    </row>
    <row r="156" spans="1:38" ht="13.15" customHeight="1" x14ac:dyDescent="0.2">
      <c r="A156" s="281"/>
      <c r="B156" s="282">
        <f t="shared" si="51"/>
        <v>2020</v>
      </c>
      <c r="C156" s="282"/>
      <c r="D156" s="276">
        <f t="shared" si="50"/>
        <v>7062.7833333333338</v>
      </c>
      <c r="E156" s="276">
        <f t="shared" si="50"/>
        <v>7059.8500000000013</v>
      </c>
      <c r="F156" s="276">
        <f t="shared" si="50"/>
        <v>258.76666666666665</v>
      </c>
      <c r="G156" s="276">
        <f t="shared" si="50"/>
        <v>258.70833333333331</v>
      </c>
      <c r="H156" s="276">
        <f t="shared" si="50"/>
        <v>770641</v>
      </c>
      <c r="I156" s="276">
        <f t="shared" si="50"/>
        <v>85970.900000000009</v>
      </c>
      <c r="J156" s="276">
        <f t="shared" si="50"/>
        <v>32860.599999999991</v>
      </c>
      <c r="K156" s="276">
        <f t="shared" si="50"/>
        <v>78307.099999999991</v>
      </c>
      <c r="L156" s="276">
        <f t="shared" si="50"/>
        <v>58237.80000000001</v>
      </c>
      <c r="M156" s="276">
        <f t="shared" si="50"/>
        <v>770641</v>
      </c>
      <c r="N156" s="276">
        <f t="shared" si="50"/>
        <v>85971</v>
      </c>
      <c r="O156" s="276">
        <f t="shared" si="50"/>
        <v>13932.75</v>
      </c>
      <c r="P156" s="276">
        <f t="shared" si="50"/>
        <v>32860.5</v>
      </c>
      <c r="Q156" s="276">
        <f t="shared" si="50"/>
        <v>78307</v>
      </c>
      <c r="AF156" s="277"/>
      <c r="AG156" s="278"/>
      <c r="AH156" s="278"/>
      <c r="AI156" s="278"/>
      <c r="AJ156" s="278"/>
      <c r="AK156" s="279"/>
      <c r="AL156" s="279"/>
    </row>
    <row r="157" spans="1:38" ht="13.15" customHeight="1" x14ac:dyDescent="0.2">
      <c r="A157" s="281"/>
      <c r="B157" s="282">
        <f t="shared" si="51"/>
        <v>2021</v>
      </c>
      <c r="C157" s="282"/>
      <c r="D157" s="276">
        <f t="shared" si="50"/>
        <v>7373.2</v>
      </c>
      <c r="E157" s="276">
        <f t="shared" si="50"/>
        <v>7371.4583333333348</v>
      </c>
      <c r="F157" s="276">
        <f t="shared" si="50"/>
        <v>281.83333333333331</v>
      </c>
      <c r="G157" s="276">
        <f t="shared" si="50"/>
        <v>281.43333333333334</v>
      </c>
      <c r="H157" s="276">
        <f t="shared" si="50"/>
        <v>818746.09999999974</v>
      </c>
      <c r="I157" s="276">
        <f t="shared" si="50"/>
        <v>92448.900000000009</v>
      </c>
      <c r="J157" s="276">
        <f t="shared" si="50"/>
        <v>35353</v>
      </c>
      <c r="K157" s="276">
        <f t="shared" si="50"/>
        <v>84915.599999999991</v>
      </c>
      <c r="L157" s="276">
        <f t="shared" si="50"/>
        <v>64969.19999999999</v>
      </c>
      <c r="M157" s="276">
        <f t="shared" si="50"/>
        <v>818746</v>
      </c>
      <c r="N157" s="276">
        <f t="shared" si="50"/>
        <v>92449</v>
      </c>
      <c r="O157" s="276">
        <f t="shared" si="50"/>
        <v>14380</v>
      </c>
      <c r="P157" s="276">
        <f t="shared" si="50"/>
        <v>35353</v>
      </c>
      <c r="Q157" s="276">
        <f t="shared" si="50"/>
        <v>84915.75</v>
      </c>
      <c r="AF157" s="277"/>
      <c r="AG157" s="278"/>
      <c r="AH157" s="278"/>
      <c r="AI157" s="278"/>
      <c r="AJ157" s="278"/>
      <c r="AK157" s="279"/>
      <c r="AL157" s="279"/>
    </row>
    <row r="158" spans="1:38" ht="13.15" customHeight="1" x14ac:dyDescent="0.2">
      <c r="A158" s="281"/>
      <c r="B158" s="282">
        <f t="shared" si="51"/>
        <v>2022</v>
      </c>
      <c r="C158" s="282"/>
      <c r="D158" s="276">
        <f t="shared" si="50"/>
        <v>7753.4000000000005</v>
      </c>
      <c r="E158" s="276">
        <f t="shared" si="50"/>
        <v>7751.7416666666659</v>
      </c>
      <c r="F158" s="276">
        <f t="shared" si="50"/>
        <v>300.27499999999998</v>
      </c>
      <c r="G158" s="276">
        <f t="shared" si="50"/>
        <v>300.06666666666666</v>
      </c>
      <c r="H158" s="276">
        <f t="shared" si="50"/>
        <v>854001.90000000026</v>
      </c>
      <c r="I158" s="276">
        <f t="shared" si="50"/>
        <v>93618.5</v>
      </c>
      <c r="J158" s="276">
        <f t="shared" si="50"/>
        <v>35584.299999999996</v>
      </c>
      <c r="K158" s="276">
        <f t="shared" si="50"/>
        <v>87698.400000000009</v>
      </c>
      <c r="L158" s="276">
        <f t="shared" si="50"/>
        <v>71366.900000000009</v>
      </c>
      <c r="M158" s="276">
        <f t="shared" si="50"/>
        <v>854001.75</v>
      </c>
      <c r="N158" s="276">
        <f t="shared" si="50"/>
        <v>93618.5</v>
      </c>
      <c r="O158" s="276">
        <f t="shared" si="50"/>
        <v>14527.75</v>
      </c>
      <c r="P158" s="276">
        <f t="shared" si="50"/>
        <v>35584.5</v>
      </c>
      <c r="Q158" s="276">
        <f t="shared" si="50"/>
        <v>87698.5</v>
      </c>
      <c r="AF158" s="277"/>
      <c r="AG158" s="278"/>
      <c r="AH158" s="278"/>
      <c r="AI158" s="278"/>
      <c r="AJ158" s="278"/>
      <c r="AK158" s="279"/>
      <c r="AL158" s="279"/>
    </row>
    <row r="159" spans="1:38" ht="13.15" customHeight="1" x14ac:dyDescent="0.2">
      <c r="A159" s="281"/>
      <c r="B159" s="282">
        <f t="shared" si="51"/>
        <v>2023</v>
      </c>
      <c r="C159" s="282"/>
      <c r="D159" s="276">
        <f t="shared" si="50"/>
        <v>7992.9166666666652</v>
      </c>
      <c r="E159" s="276">
        <f t="shared" si="50"/>
        <v>7989.75</v>
      </c>
      <c r="F159" s="276">
        <f t="shared" si="50"/>
        <v>314.36666666666667</v>
      </c>
      <c r="G159" s="276">
        <f t="shared" si="50"/>
        <v>313.78333333333336</v>
      </c>
      <c r="H159" s="276">
        <f t="shared" si="50"/>
        <v>874424.90000000026</v>
      </c>
      <c r="I159" s="276">
        <f t="shared" si="50"/>
        <v>93813.599999999991</v>
      </c>
      <c r="J159" s="276">
        <f t="shared" si="50"/>
        <v>37591.799999999996</v>
      </c>
      <c r="K159" s="276">
        <f t="shared" si="50"/>
        <v>88409.300000000032</v>
      </c>
      <c r="L159" s="276">
        <f t="shared" si="50"/>
        <v>75049.199999999983</v>
      </c>
      <c r="M159" s="276">
        <f t="shared" si="50"/>
        <v>874425</v>
      </c>
      <c r="N159" s="276">
        <f t="shared" si="50"/>
        <v>93813.5</v>
      </c>
      <c r="O159" s="276">
        <f t="shared" si="50"/>
        <v>14387.75</v>
      </c>
      <c r="P159" s="276">
        <f t="shared" si="50"/>
        <v>37591.75</v>
      </c>
      <c r="Q159" s="276">
        <f t="shared" si="50"/>
        <v>88409.25</v>
      </c>
      <c r="AF159" s="277"/>
      <c r="AG159" s="278"/>
      <c r="AH159" s="278"/>
      <c r="AI159" s="278"/>
      <c r="AJ159" s="278"/>
      <c r="AK159" s="279"/>
      <c r="AL159" s="279"/>
    </row>
    <row r="160" spans="1:38" ht="13.15" customHeight="1" x14ac:dyDescent="0.2">
      <c r="A160" s="281"/>
      <c r="B160" s="282">
        <f t="shared" si="51"/>
        <v>2024</v>
      </c>
      <c r="C160" s="282"/>
      <c r="D160" s="276">
        <f t="shared" si="50"/>
        <v>8132.0166666666673</v>
      </c>
      <c r="E160" s="276">
        <f t="shared" si="50"/>
        <v>8135.2916666666679</v>
      </c>
      <c r="F160" s="276">
        <f t="shared" si="50"/>
        <v>321.30833333333334</v>
      </c>
      <c r="G160" s="276">
        <f t="shared" si="50"/>
        <v>321.48333333333335</v>
      </c>
      <c r="H160" s="276">
        <f t="shared" si="50"/>
        <v>889453.59999999974</v>
      </c>
      <c r="I160" s="276">
        <f t="shared" si="50"/>
        <v>89520.300000000032</v>
      </c>
      <c r="J160" s="276">
        <f t="shared" si="50"/>
        <v>38651.799999999996</v>
      </c>
      <c r="K160" s="276">
        <f t="shared" si="50"/>
        <v>92987.599999999991</v>
      </c>
      <c r="L160" s="276">
        <f t="shared" si="50"/>
        <v>77142.5</v>
      </c>
      <c r="M160" s="276">
        <f t="shared" si="50"/>
        <v>889453.75</v>
      </c>
      <c r="N160" s="276">
        <f t="shared" si="50"/>
        <v>89520.5</v>
      </c>
      <c r="O160" s="276">
        <f t="shared" si="50"/>
        <v>14061.5</v>
      </c>
      <c r="P160" s="276">
        <f t="shared" si="50"/>
        <v>38651.75</v>
      </c>
      <c r="Q160" s="276">
        <f t="shared" si="50"/>
        <v>92987.5</v>
      </c>
      <c r="AF160" s="277"/>
      <c r="AG160" s="278"/>
      <c r="AH160" s="278"/>
      <c r="AI160" s="278"/>
      <c r="AJ160" s="278"/>
      <c r="AK160" s="279"/>
      <c r="AL160" s="279"/>
    </row>
    <row r="161" spans="1:38" ht="13.15" customHeight="1" x14ac:dyDescent="0.2">
      <c r="A161" s="281"/>
      <c r="B161" s="282">
        <f t="shared" si="51"/>
        <v>2025</v>
      </c>
      <c r="C161" s="282"/>
      <c r="D161" s="276">
        <f t="shared" si="50"/>
        <v>8221.5666666666675</v>
      </c>
      <c r="E161" s="276">
        <f t="shared" si="50"/>
        <v>8221.1250000000018</v>
      </c>
      <c r="F161" s="276">
        <f t="shared" si="50"/>
        <v>327.63333333333333</v>
      </c>
      <c r="G161" s="276">
        <f t="shared" si="50"/>
        <v>327.94166666666666</v>
      </c>
      <c r="H161" s="276">
        <f t="shared" si="50"/>
        <v>900844.90000000026</v>
      </c>
      <c r="I161" s="276">
        <f t="shared" si="50"/>
        <v>88046.300000000032</v>
      </c>
      <c r="J161" s="276">
        <f t="shared" si="50"/>
        <v>39702.700000000004</v>
      </c>
      <c r="K161" s="276">
        <f t="shared" si="50"/>
        <v>97656.900000000009</v>
      </c>
      <c r="L161" s="276">
        <f t="shared" si="50"/>
        <v>77016.5</v>
      </c>
      <c r="M161" s="276">
        <f t="shared" si="50"/>
        <v>898964.75</v>
      </c>
      <c r="N161" s="276">
        <f t="shared" si="50"/>
        <v>88089</v>
      </c>
      <c r="O161" s="276">
        <f t="shared" si="50"/>
        <v>13759.5</v>
      </c>
      <c r="P161" s="276">
        <f t="shared" si="50"/>
        <v>38746</v>
      </c>
      <c r="Q161" s="276">
        <f t="shared" si="50"/>
        <v>96638.25</v>
      </c>
      <c r="AF161" s="277"/>
      <c r="AG161" s="278"/>
      <c r="AH161" s="278"/>
      <c r="AI161" s="278"/>
      <c r="AJ161" s="278"/>
      <c r="AK161" s="279"/>
      <c r="AL161" s="279"/>
    </row>
    <row r="162" spans="1:38" ht="13.15" customHeight="1" x14ac:dyDescent="0.2">
      <c r="A162" s="281"/>
      <c r="B162" s="282">
        <f>B161+1</f>
        <v>2026</v>
      </c>
      <c r="C162" s="282"/>
      <c r="D162" s="276">
        <f t="shared" si="50"/>
        <v>8219.5112749999989</v>
      </c>
      <c r="E162" s="276">
        <f t="shared" si="50"/>
        <v>8219.0697187500009</v>
      </c>
      <c r="F162" s="276">
        <f t="shared" si="50"/>
        <v>327.55142499999999</v>
      </c>
      <c r="G162" s="276">
        <f t="shared" si="50"/>
        <v>327.85968125000005</v>
      </c>
      <c r="H162" s="276">
        <f t="shared" si="50"/>
        <v>908502.08164999995</v>
      </c>
      <c r="I162" s="276">
        <f t="shared" si="50"/>
        <v>88794.693549999982</v>
      </c>
      <c r="J162" s="276">
        <f t="shared" si="50"/>
        <v>40040.172949999986</v>
      </c>
      <c r="K162" s="276">
        <f t="shared" si="50"/>
        <v>98486.983649999995</v>
      </c>
      <c r="L162" s="276">
        <f t="shared" si="50"/>
        <v>77671.140249999982</v>
      </c>
      <c r="M162" s="276">
        <f t="shared" si="50"/>
        <v>914696.63312500017</v>
      </c>
      <c r="N162" s="276">
        <f t="shared" si="50"/>
        <v>89630.55750000001</v>
      </c>
      <c r="O162" s="276">
        <f t="shared" si="50"/>
        <v>14000.291249999997</v>
      </c>
      <c r="P162" s="276">
        <f t="shared" si="50"/>
        <v>39424.055</v>
      </c>
      <c r="Q162" s="276">
        <f t="shared" si="50"/>
        <v>98329.419375000012</v>
      </c>
      <c r="AF162" s="277"/>
      <c r="AG162" s="278"/>
      <c r="AH162" s="278"/>
      <c r="AI162" s="278"/>
      <c r="AJ162" s="278"/>
      <c r="AK162" s="279"/>
      <c r="AL162" s="279"/>
    </row>
    <row r="163" spans="1:38" ht="13.15" customHeight="1" x14ac:dyDescent="0.2">
      <c r="A163" s="281"/>
      <c r="B163" s="282">
        <f>B162+1</f>
        <v>2027</v>
      </c>
      <c r="C163" s="282"/>
      <c r="D163" s="276">
        <f t="shared" si="50"/>
        <v>8264.7185870125031</v>
      </c>
      <c r="E163" s="276">
        <f t="shared" si="50"/>
        <v>8264.2746022031242</v>
      </c>
      <c r="F163" s="276">
        <f t="shared" si="50"/>
        <v>329.35295783750001</v>
      </c>
      <c r="G163" s="276">
        <f t="shared" si="50"/>
        <v>329.66290949687499</v>
      </c>
      <c r="H163" s="276">
        <f t="shared" si="50"/>
        <v>924400.86807887501</v>
      </c>
      <c r="I163" s="276">
        <f t="shared" si="50"/>
        <v>90348.600687124999</v>
      </c>
      <c r="J163" s="276">
        <f t="shared" si="50"/>
        <v>40740.875976625</v>
      </c>
      <c r="K163" s="276">
        <f t="shared" si="50"/>
        <v>100210.50586387502</v>
      </c>
      <c r="L163" s="276">
        <f t="shared" si="50"/>
        <v>79030.385204375008</v>
      </c>
      <c r="M163" s="276">
        <f t="shared" si="50"/>
        <v>930703.82420468784</v>
      </c>
      <c r="N163" s="276">
        <f t="shared" si="50"/>
        <v>91199.09225625002</v>
      </c>
      <c r="O163" s="276">
        <f t="shared" si="50"/>
        <v>14245.296346875004</v>
      </c>
      <c r="P163" s="276">
        <f t="shared" si="50"/>
        <v>40113.975962500008</v>
      </c>
      <c r="Q163" s="276">
        <f t="shared" si="50"/>
        <v>100050.18421406251</v>
      </c>
      <c r="AF163" s="277"/>
      <c r="AG163" s="278"/>
      <c r="AH163" s="278"/>
      <c r="AI163" s="278"/>
      <c r="AJ163" s="278"/>
      <c r="AK163" s="279"/>
      <c r="AL163" s="279"/>
    </row>
    <row r="164" spans="1:38" ht="13.15" customHeight="1" x14ac:dyDescent="0.2">
      <c r="A164" s="281"/>
      <c r="B164" s="282"/>
      <c r="C164" s="282"/>
      <c r="D164" s="551">
        <f>D154/D153-1</f>
        <v>1.9952301510843595E-2</v>
      </c>
      <c r="E164" s="551">
        <f t="shared" ref="E164:Q164" si="52">E154/E153-1</f>
        <v>1.9945819205387627E-2</v>
      </c>
      <c r="F164" s="551">
        <f t="shared" si="52"/>
        <v>4.1858588575462985E-2</v>
      </c>
      <c r="G164" s="551">
        <f t="shared" si="52"/>
        <v>4.2753183747725965E-2</v>
      </c>
      <c r="H164" s="551">
        <f t="shared" si="52"/>
        <v>3.3177581707468207E-2</v>
      </c>
      <c r="I164" s="551">
        <f t="shared" si="52"/>
        <v>3.6058644972759346E-2</v>
      </c>
      <c r="J164" s="551">
        <f t="shared" si="52"/>
        <v>5.0007032131696549E-2</v>
      </c>
      <c r="K164" s="551">
        <f t="shared" si="52"/>
        <v>2.6109528260453541E-2</v>
      </c>
      <c r="L164" s="551">
        <f t="shared" si="52"/>
        <v>6.2962969823490589E-2</v>
      </c>
      <c r="M164" s="551">
        <f t="shared" si="52"/>
        <v>3.3177440047144069E-2</v>
      </c>
      <c r="N164" s="551">
        <f t="shared" si="52"/>
        <v>3.6056952946588172E-2</v>
      </c>
      <c r="O164" s="551">
        <f t="shared" si="52"/>
        <v>6.447525342874183E-3</v>
      </c>
      <c r="P164" s="551">
        <f t="shared" si="52"/>
        <v>4.9996140949669421E-2</v>
      </c>
      <c r="Q164" s="551">
        <f t="shared" si="52"/>
        <v>2.6112417122988729E-2</v>
      </c>
      <c r="AF164" s="277"/>
      <c r="AG164" s="278"/>
      <c r="AH164" s="278"/>
      <c r="AI164" s="278"/>
      <c r="AJ164" s="278"/>
      <c r="AK164" s="279"/>
      <c r="AL164" s="279"/>
    </row>
    <row r="165" spans="1:38" ht="13.15" customHeight="1" x14ac:dyDescent="0.2">
      <c r="A165" s="281"/>
      <c r="B165" s="282"/>
      <c r="C165" s="282"/>
      <c r="D165" s="551">
        <f t="shared" ref="D165:Q171" si="53">D155/D154-1</f>
        <v>2.2162888766280142E-2</v>
      </c>
      <c r="E165" s="551">
        <f t="shared" si="53"/>
        <v>2.2943539373100341E-2</v>
      </c>
      <c r="F165" s="551">
        <f t="shared" si="53"/>
        <v>-9.6166257906284969E-3</v>
      </c>
      <c r="G165" s="551">
        <f t="shared" si="53"/>
        <v>-8.3680656521598618E-3</v>
      </c>
      <c r="H165" s="551">
        <f t="shared" si="53"/>
        <v>2.2479574986000062E-2</v>
      </c>
      <c r="I165" s="551">
        <f t="shared" si="53"/>
        <v>-5.6978021111919741E-3</v>
      </c>
      <c r="J165" s="551">
        <f t="shared" si="53"/>
        <v>8.6717609123904582E-2</v>
      </c>
      <c r="K165" s="551">
        <f t="shared" si="53"/>
        <v>3.33209866381321E-2</v>
      </c>
      <c r="L165" s="551">
        <f t="shared" si="53"/>
        <v>4.2134851040693366E-2</v>
      </c>
      <c r="M165" s="551">
        <f t="shared" si="53"/>
        <v>2.2479570716798181E-2</v>
      </c>
      <c r="N165" s="551">
        <f t="shared" si="53"/>
        <v>-5.6983275448063697E-3</v>
      </c>
      <c r="O165" s="551">
        <f t="shared" si="53"/>
        <v>5.424921310868358E-2</v>
      </c>
      <c r="P165" s="551">
        <f t="shared" si="53"/>
        <v>8.6712567074216595E-2</v>
      </c>
      <c r="Q165" s="551">
        <f t="shared" si="53"/>
        <v>3.3322358493154347E-2</v>
      </c>
      <c r="AF165" s="277"/>
      <c r="AG165" s="278"/>
      <c r="AH165" s="278"/>
      <c r="AI165" s="278"/>
      <c r="AJ165" s="278"/>
      <c r="AK165" s="279"/>
      <c r="AL165" s="279"/>
    </row>
    <row r="166" spans="1:38" ht="13.15" customHeight="1" x14ac:dyDescent="0.2">
      <c r="A166" s="281"/>
      <c r="B166" s="282"/>
      <c r="C166" s="282"/>
      <c r="D166" s="551">
        <f t="shared" si="53"/>
        <v>-4.4928803566357534E-2</v>
      </c>
      <c r="E166" s="551">
        <f t="shared" si="53"/>
        <v>-4.5683575203016136E-2</v>
      </c>
      <c r="F166" s="551">
        <f t="shared" si="53"/>
        <v>1.1795373085695671E-2</v>
      </c>
      <c r="G166" s="551">
        <f t="shared" si="53"/>
        <v>1.150136843477112E-2</v>
      </c>
      <c r="H166" s="551">
        <f t="shared" si="53"/>
        <v>-4.5744023122821331E-2</v>
      </c>
      <c r="I166" s="551">
        <f t="shared" si="53"/>
        <v>-9.1382865501340893E-2</v>
      </c>
      <c r="J166" s="551">
        <f t="shared" si="53"/>
        <v>-1.2130194413797479E-2</v>
      </c>
      <c r="K166" s="551">
        <f t="shared" si="53"/>
        <v>3.9618761359426991E-2</v>
      </c>
      <c r="L166" s="551">
        <f t="shared" si="53"/>
        <v>-2.6167714835617417E-2</v>
      </c>
      <c r="M166" s="551">
        <f t="shared" si="53"/>
        <v>-4.57442003657208E-2</v>
      </c>
      <c r="N166" s="551">
        <f t="shared" si="53"/>
        <v>-9.138132845754865E-2</v>
      </c>
      <c r="O166" s="551">
        <f t="shared" si="53"/>
        <v>-2.1232876712328763E-2</v>
      </c>
      <c r="P166" s="551">
        <f t="shared" si="53"/>
        <v>-1.2130230880230908E-2</v>
      </c>
      <c r="Q166" s="551">
        <f t="shared" si="53"/>
        <v>3.9616053529466511E-2</v>
      </c>
      <c r="AF166" s="277"/>
      <c r="AG166" s="278"/>
      <c r="AH166" s="278"/>
      <c r="AI166" s="278"/>
      <c r="AJ166" s="278"/>
      <c r="AK166" s="279"/>
      <c r="AL166" s="279"/>
    </row>
    <row r="167" spans="1:38" ht="13.15" customHeight="1" x14ac:dyDescent="0.2">
      <c r="A167" s="281"/>
      <c r="B167" s="282"/>
      <c r="C167" s="282"/>
      <c r="D167" s="551">
        <f t="shared" si="53"/>
        <v>4.3951039132353209E-2</v>
      </c>
      <c r="E167" s="551">
        <f t="shared" si="53"/>
        <v>4.4138095474172134E-2</v>
      </c>
      <c r="F167" s="551">
        <f t="shared" si="53"/>
        <v>8.9140796083988061E-2</v>
      </c>
      <c r="G167" s="551">
        <f t="shared" si="53"/>
        <v>8.7840231921404444E-2</v>
      </c>
      <c r="H167" s="551">
        <f t="shared" si="53"/>
        <v>6.2422191396512394E-2</v>
      </c>
      <c r="I167" s="551">
        <f t="shared" si="53"/>
        <v>7.5351078097356083E-2</v>
      </c>
      <c r="J167" s="551">
        <f t="shared" si="53"/>
        <v>7.5847671679762696E-2</v>
      </c>
      <c r="K167" s="551">
        <f t="shared" si="53"/>
        <v>8.4392092160225474E-2</v>
      </c>
      <c r="L167" s="551">
        <f t="shared" si="53"/>
        <v>0.11558472332402636</v>
      </c>
      <c r="M167" s="551">
        <f t="shared" si="53"/>
        <v>6.2422061634405557E-2</v>
      </c>
      <c r="N167" s="551">
        <f t="shared" si="53"/>
        <v>7.5350990450268052E-2</v>
      </c>
      <c r="O167" s="551">
        <f t="shared" si="53"/>
        <v>3.2100626222389739E-2</v>
      </c>
      <c r="P167" s="551">
        <f t="shared" si="53"/>
        <v>7.5850945664247327E-2</v>
      </c>
      <c r="Q167" s="551">
        <f t="shared" si="53"/>
        <v>8.4395392493646693E-2</v>
      </c>
      <c r="AF167" s="277"/>
      <c r="AG167" s="278"/>
      <c r="AH167" s="278"/>
      <c r="AI167" s="278"/>
      <c r="AJ167" s="278"/>
      <c r="AK167" s="279"/>
      <c r="AL167" s="279"/>
    </row>
    <row r="168" spans="1:38" ht="13.15" customHeight="1" x14ac:dyDescent="0.2">
      <c r="A168" s="281"/>
      <c r="B168" s="282"/>
      <c r="C168" s="282"/>
      <c r="D168" s="551">
        <f t="shared" si="53"/>
        <v>5.1565127759995777E-2</v>
      </c>
      <c r="E168" s="551">
        <f t="shared" si="53"/>
        <v>5.158861600203446E-2</v>
      </c>
      <c r="F168" s="551">
        <f t="shared" si="53"/>
        <v>6.5434654050857466E-2</v>
      </c>
      <c r="G168" s="551">
        <f t="shared" si="53"/>
        <v>6.6208693592324952E-2</v>
      </c>
      <c r="H168" s="551">
        <f t="shared" si="53"/>
        <v>4.3060724197648836E-2</v>
      </c>
      <c r="I168" s="551">
        <f t="shared" si="53"/>
        <v>1.2651313320115154E-2</v>
      </c>
      <c r="J168" s="551">
        <f t="shared" si="53"/>
        <v>6.5425847877123022E-3</v>
      </c>
      <c r="K168" s="551">
        <f t="shared" si="53"/>
        <v>3.2771363565705425E-2</v>
      </c>
      <c r="L168" s="551">
        <f t="shared" si="53"/>
        <v>9.8472814810710574E-2</v>
      </c>
      <c r="M168" s="551">
        <f t="shared" si="53"/>
        <v>4.3060668387998158E-2</v>
      </c>
      <c r="N168" s="551">
        <f t="shared" si="53"/>
        <v>1.2650217958009247E-2</v>
      </c>
      <c r="O168" s="551">
        <f t="shared" si="53"/>
        <v>1.0274687065368493E-2</v>
      </c>
      <c r="P168" s="551">
        <f t="shared" si="53"/>
        <v>6.548242016236161E-3</v>
      </c>
      <c r="Q168" s="551">
        <f t="shared" si="53"/>
        <v>3.2770716857591253E-2</v>
      </c>
      <c r="AF168" s="277"/>
      <c r="AG168" s="278"/>
      <c r="AH168" s="278"/>
      <c r="AI168" s="278"/>
      <c r="AJ168" s="278"/>
      <c r="AK168" s="279"/>
      <c r="AL168" s="279"/>
    </row>
    <row r="169" spans="1:38" ht="13.15" customHeight="1" x14ac:dyDescent="0.2">
      <c r="A169" s="281"/>
      <c r="B169" s="282"/>
      <c r="C169" s="282"/>
      <c r="D169" s="551">
        <f t="shared" si="53"/>
        <v>3.0891823802030594E-2</v>
      </c>
      <c r="E169" s="551">
        <f t="shared" si="53"/>
        <v>3.070385257506647E-2</v>
      </c>
      <c r="F169" s="551">
        <f t="shared" si="53"/>
        <v>4.6929203785418983E-2</v>
      </c>
      <c r="G169" s="551">
        <f t="shared" si="53"/>
        <v>4.5712063985781093E-2</v>
      </c>
      <c r="H169" s="551">
        <f t="shared" si="53"/>
        <v>2.3914466700835302E-2</v>
      </c>
      <c r="I169" s="551">
        <f t="shared" si="53"/>
        <v>2.0839898097062548E-3</v>
      </c>
      <c r="J169" s="551">
        <f t="shared" si="53"/>
        <v>5.641532923227377E-2</v>
      </c>
      <c r="K169" s="551">
        <f t="shared" si="53"/>
        <v>8.1061912189963614E-3</v>
      </c>
      <c r="L169" s="551">
        <f t="shared" si="53"/>
        <v>5.1596748632769085E-2</v>
      </c>
      <c r="M169" s="551">
        <f t="shared" si="53"/>
        <v>2.3914763640706882E-2</v>
      </c>
      <c r="N169" s="551">
        <f t="shared" si="53"/>
        <v>2.0829216447604271E-3</v>
      </c>
      <c r="O169" s="551">
        <f t="shared" si="53"/>
        <v>-9.6367297069401836E-3</v>
      </c>
      <c r="P169" s="551">
        <f t="shared" si="53"/>
        <v>5.6407986623389306E-2</v>
      </c>
      <c r="Q169" s="551">
        <f t="shared" si="53"/>
        <v>8.1044715702092152E-3</v>
      </c>
      <c r="AF169" s="277"/>
      <c r="AG169" s="278"/>
      <c r="AH169" s="278"/>
      <c r="AI169" s="278"/>
      <c r="AJ169" s="278"/>
      <c r="AK169" s="279"/>
      <c r="AL169" s="279"/>
    </row>
    <row r="170" spans="1:38" ht="13.15" customHeight="1" x14ac:dyDescent="0.2">
      <c r="A170" s="281"/>
      <c r="B170" s="282"/>
      <c r="C170" s="282"/>
      <c r="D170" s="551">
        <f t="shared" si="53"/>
        <v>1.7402908825522978E-2</v>
      </c>
      <c r="E170" s="551">
        <f t="shared" si="53"/>
        <v>1.8216047644377786E-2</v>
      </c>
      <c r="F170" s="551">
        <f t="shared" si="53"/>
        <v>2.2081433570140918E-2</v>
      </c>
      <c r="G170" s="551">
        <f t="shared" si="53"/>
        <v>2.4539225580283652E-2</v>
      </c>
      <c r="H170" s="551">
        <f t="shared" si="53"/>
        <v>1.7186953390736504E-2</v>
      </c>
      <c r="I170" s="551">
        <f t="shared" si="53"/>
        <v>-4.576415359819852E-2</v>
      </c>
      <c r="J170" s="551">
        <f t="shared" si="53"/>
        <v>2.8197638846769735E-2</v>
      </c>
      <c r="K170" s="551">
        <f t="shared" si="53"/>
        <v>5.1785275983408541E-2</v>
      </c>
      <c r="L170" s="551">
        <f t="shared" si="53"/>
        <v>2.7892369272424222E-2</v>
      </c>
      <c r="M170" s="551">
        <f t="shared" si="53"/>
        <v>1.7187008605655141E-2</v>
      </c>
      <c r="N170" s="551">
        <f t="shared" si="53"/>
        <v>-4.5761004546253981E-2</v>
      </c>
      <c r="O170" s="551">
        <f t="shared" si="53"/>
        <v>-2.2675539955865243E-2</v>
      </c>
      <c r="P170" s="551">
        <f t="shared" si="53"/>
        <v>2.8197676351859213E-2</v>
      </c>
      <c r="Q170" s="551">
        <f t="shared" si="53"/>
        <v>5.1784739718977457E-2</v>
      </c>
      <c r="AF170" s="277"/>
      <c r="AG170" s="278"/>
      <c r="AH170" s="278"/>
      <c r="AI170" s="278"/>
      <c r="AJ170" s="278"/>
      <c r="AK170" s="279"/>
      <c r="AL170" s="279"/>
    </row>
    <row r="171" spans="1:38" ht="13.15" customHeight="1" x14ac:dyDescent="0.2">
      <c r="A171" s="281"/>
      <c r="B171" s="282"/>
      <c r="C171" s="282"/>
      <c r="D171" s="551">
        <f t="shared" si="53"/>
        <v>1.1012028586594891E-2</v>
      </c>
      <c r="E171" s="551">
        <f t="shared" si="53"/>
        <v>1.0550738295594941E-2</v>
      </c>
      <c r="F171" s="551">
        <f t="shared" si="53"/>
        <v>1.9685141478849477E-2</v>
      </c>
      <c r="G171" s="551">
        <f t="shared" si="53"/>
        <v>2.0089169993260381E-2</v>
      </c>
      <c r="H171" s="551">
        <f t="shared" si="53"/>
        <v>1.2807076164513376E-2</v>
      </c>
      <c r="I171" s="551">
        <f t="shared" si="53"/>
        <v>-1.6465539101187088E-2</v>
      </c>
      <c r="J171" s="551">
        <f>J161/J160-1</f>
        <v>2.7188901939884103E-2</v>
      </c>
      <c r="K171" s="551">
        <f>K161/K160-1</f>
        <v>5.0214222111335527E-2</v>
      </c>
      <c r="L171" s="551">
        <f t="shared" si="53"/>
        <v>-1.6333408950967021E-3</v>
      </c>
      <c r="M171" s="551">
        <f t="shared" si="53"/>
        <v>1.069307988189383E-2</v>
      </c>
      <c r="N171" s="551">
        <f t="shared" si="53"/>
        <v>-1.5990750721901703E-2</v>
      </c>
      <c r="O171" s="551">
        <f t="shared" si="53"/>
        <v>-2.1477082814777892E-2</v>
      </c>
      <c r="P171" s="551">
        <f t="shared" si="53"/>
        <v>2.4384406915598511E-3</v>
      </c>
      <c r="Q171" s="551">
        <f t="shared" si="53"/>
        <v>3.92606533136175E-2</v>
      </c>
      <c r="AF171" s="277"/>
      <c r="AG171" s="278"/>
      <c r="AH171" s="278"/>
      <c r="AI171" s="278"/>
      <c r="AJ171" s="278"/>
      <c r="AK171" s="279"/>
      <c r="AL171" s="279"/>
    </row>
    <row r="172" spans="1:38" ht="13.15" customHeight="1" x14ac:dyDescent="0.2">
      <c r="A172" s="281"/>
      <c r="B172" s="282"/>
      <c r="C172" s="282"/>
      <c r="D172" s="551">
        <f>D162/D161-1</f>
        <v>-2.5000000000019451E-4</v>
      </c>
      <c r="E172" s="551">
        <f t="shared" ref="E172:Q173" si="54">E162/E161-1</f>
        <v>-2.5000000000008349E-4</v>
      </c>
      <c r="F172" s="551">
        <f t="shared" si="54"/>
        <v>-2.4999999999997247E-4</v>
      </c>
      <c r="G172" s="551">
        <f t="shared" si="54"/>
        <v>-2.4999999999986144E-4</v>
      </c>
      <c r="H172" s="551">
        <f t="shared" si="54"/>
        <v>8.49999999999973E-3</v>
      </c>
      <c r="I172" s="551">
        <f t="shared" si="54"/>
        <v>8.4999999999995079E-3</v>
      </c>
      <c r="J172" s="551">
        <f t="shared" si="54"/>
        <v>8.4999999999995079E-3</v>
      </c>
      <c r="K172" s="551">
        <f t="shared" si="54"/>
        <v>8.499999999999952E-3</v>
      </c>
      <c r="L172" s="551">
        <f t="shared" si="54"/>
        <v>8.49999999999973E-3</v>
      </c>
      <c r="M172" s="551">
        <f t="shared" si="54"/>
        <v>1.7500000000000293E-2</v>
      </c>
      <c r="N172" s="551">
        <f t="shared" si="54"/>
        <v>1.7500000000000071E-2</v>
      </c>
      <c r="O172" s="551">
        <f t="shared" si="54"/>
        <v>1.7499999999999849E-2</v>
      </c>
      <c r="P172" s="551">
        <f t="shared" si="54"/>
        <v>1.7500000000000071E-2</v>
      </c>
      <c r="Q172" s="551">
        <f t="shared" si="54"/>
        <v>1.7500000000000071E-2</v>
      </c>
      <c r="AF172" s="277"/>
      <c r="AG172" s="278"/>
      <c r="AH172" s="278"/>
      <c r="AI172" s="278"/>
      <c r="AJ172" s="278"/>
      <c r="AK172" s="279"/>
      <c r="AL172" s="279"/>
    </row>
    <row r="173" spans="1:38" ht="13.15" customHeight="1" x14ac:dyDescent="0.2">
      <c r="A173" s="281"/>
      <c r="B173" s="282"/>
      <c r="C173" s="282"/>
      <c r="D173" s="551">
        <f>D163/D162-1</f>
        <v>5.5000000000005045E-3</v>
      </c>
      <c r="E173" s="551">
        <f t="shared" si="54"/>
        <v>5.4999999999998384E-3</v>
      </c>
      <c r="F173" s="551">
        <f t="shared" si="54"/>
        <v>5.5000000000000604E-3</v>
      </c>
      <c r="G173" s="551">
        <f t="shared" si="54"/>
        <v>5.4999999999998384E-3</v>
      </c>
      <c r="H173" s="551">
        <f t="shared" si="54"/>
        <v>1.7500000000000071E-2</v>
      </c>
      <c r="I173" s="551">
        <f t="shared" si="54"/>
        <v>1.7500000000000293E-2</v>
      </c>
      <c r="J173" s="551">
        <f t="shared" si="54"/>
        <v>1.7500000000000293E-2</v>
      </c>
      <c r="K173" s="551">
        <f t="shared" si="54"/>
        <v>1.7500000000000293E-2</v>
      </c>
      <c r="L173" s="551">
        <f t="shared" si="54"/>
        <v>1.7500000000000293E-2</v>
      </c>
      <c r="M173" s="551">
        <f t="shared" si="54"/>
        <v>1.7500000000000293E-2</v>
      </c>
      <c r="N173" s="551">
        <f t="shared" si="54"/>
        <v>1.7500000000000071E-2</v>
      </c>
      <c r="O173" s="551">
        <f t="shared" si="54"/>
        <v>1.7500000000000515E-2</v>
      </c>
      <c r="P173" s="551">
        <f t="shared" si="54"/>
        <v>1.7500000000000293E-2</v>
      </c>
      <c r="Q173" s="551">
        <f t="shared" si="54"/>
        <v>1.7500000000000071E-2</v>
      </c>
      <c r="AF173" s="277"/>
      <c r="AG173" s="278"/>
      <c r="AH173" s="278"/>
      <c r="AI173" s="278"/>
      <c r="AJ173" s="278"/>
      <c r="AK173" s="279"/>
      <c r="AL173" s="279"/>
    </row>
    <row r="174" spans="1:38" ht="13.15" customHeight="1" x14ac:dyDescent="0.2">
      <c r="A174" s="281"/>
      <c r="B174" s="282"/>
      <c r="C174" s="282"/>
      <c r="D174" s="276"/>
      <c r="E174" s="276"/>
      <c r="F174" s="276"/>
      <c r="G174" s="276"/>
      <c r="H174" s="282"/>
      <c r="I174" s="276"/>
      <c r="J174" s="276"/>
      <c r="K174" s="276"/>
      <c r="L174" s="276"/>
      <c r="M174" s="276"/>
      <c r="N174" s="276"/>
      <c r="O174" s="276"/>
      <c r="P174" s="276"/>
      <c r="Q174" s="276"/>
      <c r="AF174" s="277"/>
      <c r="AG174" s="278"/>
      <c r="AH174" s="278"/>
      <c r="AI174" s="278"/>
      <c r="AJ174" s="278"/>
      <c r="AK174" s="279"/>
      <c r="AL174" s="279"/>
    </row>
    <row r="175" spans="1:38" ht="13.15" customHeight="1" x14ac:dyDescent="0.2">
      <c r="A175" s="281"/>
      <c r="B175" s="282"/>
      <c r="C175" s="282"/>
      <c r="D175" s="276"/>
      <c r="E175" s="276"/>
      <c r="F175" s="276"/>
      <c r="G175" s="276"/>
      <c r="H175" s="282"/>
      <c r="I175" s="276"/>
      <c r="J175" s="276"/>
      <c r="K175" s="276"/>
      <c r="L175" s="276"/>
      <c r="M175" s="276"/>
      <c r="N175" s="276"/>
      <c r="O175" s="276"/>
      <c r="P175" s="276"/>
      <c r="Q175" s="276"/>
      <c r="AF175" s="277"/>
      <c r="AG175" s="278"/>
      <c r="AH175" s="278"/>
      <c r="AI175" s="278"/>
      <c r="AJ175" s="278"/>
      <c r="AK175" s="279"/>
      <c r="AL175" s="279"/>
    </row>
    <row r="176" spans="1:38" ht="13.15" customHeight="1" x14ac:dyDescent="0.2">
      <c r="A176" s="281"/>
      <c r="B176" s="282"/>
      <c r="C176" s="282"/>
      <c r="D176" s="276"/>
      <c r="E176" s="276"/>
      <c r="F176" s="276"/>
      <c r="G176" s="276"/>
      <c r="H176" s="282"/>
      <c r="I176" s="276"/>
      <c r="J176" s="276"/>
      <c r="K176" s="276"/>
      <c r="L176" s="276"/>
      <c r="M176" s="276"/>
      <c r="N176" s="276"/>
      <c r="O176" s="276"/>
      <c r="P176" s="276"/>
      <c r="Q176" s="276"/>
      <c r="AF176" s="277"/>
      <c r="AG176" s="278"/>
      <c r="AH176" s="278"/>
      <c r="AI176" s="278"/>
      <c r="AJ176" s="278"/>
      <c r="AK176" s="279"/>
      <c r="AL176" s="279"/>
    </row>
    <row r="177" spans="1:38" ht="13.15" customHeight="1" x14ac:dyDescent="0.2">
      <c r="A177" s="281"/>
      <c r="B177" s="282"/>
      <c r="C177" s="282"/>
      <c r="D177" s="276"/>
      <c r="E177" s="276"/>
      <c r="F177" s="276"/>
      <c r="G177" s="276"/>
      <c r="H177" s="282"/>
      <c r="I177" s="276"/>
      <c r="J177" s="276"/>
      <c r="K177" s="276"/>
      <c r="L177" s="276"/>
      <c r="M177" s="276"/>
      <c r="N177" s="276"/>
      <c r="O177" s="276"/>
      <c r="P177" s="276"/>
      <c r="Q177" s="276"/>
      <c r="AF177" s="277"/>
      <c r="AG177" s="278"/>
      <c r="AH177" s="278"/>
      <c r="AI177" s="278"/>
      <c r="AJ177" s="278"/>
      <c r="AK177" s="279"/>
      <c r="AL177" s="279"/>
    </row>
    <row r="178" spans="1:38" ht="13.15" customHeight="1" x14ac:dyDescent="0.2">
      <c r="A178" s="281"/>
      <c r="B178" s="282"/>
      <c r="C178" s="282"/>
      <c r="D178" s="276"/>
      <c r="E178" s="276"/>
      <c r="F178" s="276"/>
      <c r="G178" s="276"/>
      <c r="H178" s="282"/>
      <c r="I178" s="276"/>
      <c r="J178" s="276"/>
      <c r="K178" s="276"/>
      <c r="L178" s="276"/>
      <c r="M178" s="276"/>
      <c r="N178" s="276"/>
      <c r="O178" s="276"/>
      <c r="P178" s="276"/>
      <c r="Q178" s="276"/>
      <c r="AF178" s="277"/>
      <c r="AG178" s="278"/>
      <c r="AH178" s="278"/>
      <c r="AI178" s="278"/>
      <c r="AJ178" s="278"/>
      <c r="AK178" s="279"/>
      <c r="AL178" s="279"/>
    </row>
    <row r="179" spans="1:38" ht="13.15" customHeight="1" x14ac:dyDescent="0.2">
      <c r="A179" s="281"/>
      <c r="B179" s="282"/>
      <c r="C179" s="282"/>
      <c r="D179" s="276"/>
      <c r="E179" s="276"/>
      <c r="F179" s="276"/>
      <c r="G179" s="276"/>
      <c r="H179" s="282"/>
      <c r="I179" s="276"/>
      <c r="J179" s="276"/>
      <c r="K179" s="276"/>
      <c r="L179" s="276"/>
      <c r="M179" s="276"/>
      <c r="N179" s="276"/>
      <c r="O179" s="276"/>
      <c r="P179" s="276"/>
      <c r="Q179" s="276"/>
      <c r="AF179" s="277"/>
      <c r="AG179" s="278"/>
      <c r="AH179" s="278"/>
      <c r="AI179" s="278"/>
      <c r="AJ179" s="278"/>
      <c r="AK179" s="279"/>
      <c r="AL179" s="279"/>
    </row>
    <row r="180" spans="1:38" ht="13.15" customHeight="1" x14ac:dyDescent="0.2">
      <c r="A180" s="281"/>
      <c r="B180" s="282"/>
      <c r="C180" s="282"/>
      <c r="D180" s="276"/>
      <c r="E180" s="276"/>
      <c r="F180" s="276"/>
      <c r="G180" s="276"/>
      <c r="H180" s="282"/>
      <c r="I180" s="276"/>
      <c r="J180" s="276"/>
      <c r="K180" s="276"/>
      <c r="L180" s="276"/>
      <c r="M180" s="276"/>
      <c r="N180" s="276"/>
      <c r="O180" s="276"/>
      <c r="P180" s="276"/>
      <c r="Q180" s="276"/>
      <c r="AF180" s="277"/>
      <c r="AG180" s="278"/>
      <c r="AH180" s="278"/>
      <c r="AI180" s="278"/>
      <c r="AJ180" s="278"/>
      <c r="AK180" s="279"/>
      <c r="AL180" s="279"/>
    </row>
    <row r="181" spans="1:38" ht="13.15" customHeight="1" x14ac:dyDescent="0.2">
      <c r="AF181" s="277"/>
      <c r="AG181" s="278"/>
      <c r="AH181" s="278"/>
      <c r="AI181" s="278"/>
      <c r="AJ181" s="278"/>
      <c r="AK181" s="279"/>
      <c r="AL181" s="279"/>
    </row>
    <row r="182" spans="1:38" ht="13.15" customHeight="1" x14ac:dyDescent="0.2">
      <c r="AF182" s="277"/>
      <c r="AG182" s="278"/>
      <c r="AH182" s="278"/>
      <c r="AI182" s="278"/>
      <c r="AJ182" s="278"/>
      <c r="AK182" s="279"/>
      <c r="AL182" s="279"/>
    </row>
    <row r="183" spans="1:38" ht="13.15" customHeight="1" x14ac:dyDescent="0.2">
      <c r="AF183" s="277"/>
      <c r="AG183" s="278"/>
      <c r="AH183" s="278"/>
      <c r="AI183" s="278"/>
      <c r="AJ183" s="278"/>
      <c r="AK183" s="279"/>
      <c r="AL183" s="279"/>
    </row>
    <row r="184" spans="1:38" ht="13.15" customHeight="1" x14ac:dyDescent="0.2">
      <c r="AF184" s="277"/>
      <c r="AG184" s="278"/>
      <c r="AH184" s="278"/>
      <c r="AI184" s="278"/>
      <c r="AJ184" s="278"/>
      <c r="AK184" s="279"/>
      <c r="AL184" s="279"/>
    </row>
    <row r="185" spans="1:38" ht="13.15" customHeight="1" x14ac:dyDescent="0.2">
      <c r="AF185" s="277"/>
      <c r="AG185" s="278"/>
      <c r="AH185" s="278"/>
      <c r="AI185" s="278"/>
      <c r="AJ185" s="278"/>
      <c r="AK185" s="279"/>
      <c r="AL185" s="279"/>
    </row>
    <row r="186" spans="1:38" ht="13.15" customHeight="1" x14ac:dyDescent="0.2">
      <c r="AF186" s="277"/>
      <c r="AG186" s="278"/>
      <c r="AH186" s="278"/>
      <c r="AI186" s="278"/>
      <c r="AJ186" s="278"/>
      <c r="AK186" s="279"/>
      <c r="AL186" s="279"/>
    </row>
    <row r="187" spans="1:38" ht="13.15" customHeight="1" x14ac:dyDescent="0.2">
      <c r="AF187" s="277"/>
      <c r="AG187" s="278"/>
      <c r="AH187" s="278"/>
      <c r="AI187" s="278"/>
      <c r="AJ187" s="278"/>
      <c r="AK187" s="279"/>
      <c r="AL187" s="279"/>
    </row>
    <row r="188" spans="1:38" ht="13.15" customHeight="1" x14ac:dyDescent="0.2">
      <c r="AF188" s="277"/>
      <c r="AG188" s="278"/>
      <c r="AH188" s="278"/>
      <c r="AI188" s="278"/>
      <c r="AJ188" s="278"/>
      <c r="AK188" s="279"/>
      <c r="AL188" s="279"/>
    </row>
    <row r="189" spans="1:38" ht="13.15" customHeight="1" x14ac:dyDescent="0.2">
      <c r="AF189" s="277"/>
      <c r="AG189" s="278"/>
      <c r="AH189" s="278"/>
      <c r="AI189" s="278"/>
      <c r="AJ189" s="278"/>
      <c r="AK189" s="279"/>
      <c r="AL189" s="279"/>
    </row>
    <row r="190" spans="1:38" ht="13.15" customHeight="1" x14ac:dyDescent="0.2">
      <c r="AF190" s="277"/>
      <c r="AG190" s="278"/>
      <c r="AH190" s="278"/>
      <c r="AI190" s="278"/>
      <c r="AJ190" s="278"/>
      <c r="AK190" s="279"/>
      <c r="AL190" s="279"/>
    </row>
    <row r="191" spans="1:38" ht="13.15" customHeight="1" x14ac:dyDescent="0.2">
      <c r="AF191" s="277"/>
      <c r="AG191" s="278"/>
      <c r="AH191" s="278"/>
      <c r="AI191" s="278"/>
      <c r="AJ191" s="278"/>
      <c r="AK191" s="279"/>
      <c r="AL191" s="279"/>
    </row>
    <row r="192" spans="1:38" ht="13.15" customHeight="1" x14ac:dyDescent="0.2">
      <c r="AF192" s="277"/>
      <c r="AG192" s="278"/>
      <c r="AH192" s="278"/>
      <c r="AI192" s="278"/>
      <c r="AJ192" s="278"/>
      <c r="AK192" s="279"/>
      <c r="AL192" s="279"/>
    </row>
    <row r="193" spans="32:38" ht="13.15" customHeight="1" x14ac:dyDescent="0.2">
      <c r="AF193" s="277"/>
      <c r="AG193" s="278"/>
      <c r="AH193" s="278"/>
      <c r="AI193" s="278"/>
      <c r="AJ193" s="278"/>
      <c r="AK193" s="279"/>
      <c r="AL193" s="279"/>
    </row>
    <row r="194" spans="32:38" ht="13.15" customHeight="1" x14ac:dyDescent="0.2">
      <c r="AF194" s="277"/>
      <c r="AG194" s="278"/>
      <c r="AH194" s="278"/>
      <c r="AI194" s="278"/>
      <c r="AJ194" s="278"/>
      <c r="AK194" s="279"/>
      <c r="AL194" s="279"/>
    </row>
    <row r="195" spans="32:38" ht="13.15" customHeight="1" x14ac:dyDescent="0.2">
      <c r="AF195" s="277"/>
      <c r="AG195" s="278"/>
      <c r="AH195" s="278"/>
      <c r="AI195" s="278"/>
      <c r="AJ195" s="278"/>
      <c r="AK195" s="279"/>
      <c r="AL195" s="279"/>
    </row>
    <row r="196" spans="32:38" ht="13.15" customHeight="1" x14ac:dyDescent="0.2">
      <c r="AF196" s="277"/>
      <c r="AG196" s="278"/>
      <c r="AH196" s="278"/>
      <c r="AI196" s="278"/>
      <c r="AJ196" s="278"/>
      <c r="AK196" s="279"/>
      <c r="AL196" s="279"/>
    </row>
    <row r="197" spans="32:38" ht="13.15" customHeight="1" x14ac:dyDescent="0.2">
      <c r="AF197" s="277"/>
      <c r="AG197" s="278"/>
      <c r="AH197" s="278"/>
      <c r="AI197" s="278"/>
      <c r="AJ197" s="278"/>
      <c r="AK197" s="279"/>
      <c r="AL197" s="279"/>
    </row>
    <row r="198" spans="32:38" ht="13.15" customHeight="1" x14ac:dyDescent="0.2">
      <c r="AF198" s="277"/>
      <c r="AG198" s="278"/>
      <c r="AH198" s="278"/>
      <c r="AI198" s="278"/>
      <c r="AJ198" s="278"/>
      <c r="AK198" s="279"/>
      <c r="AL198" s="279"/>
    </row>
    <row r="199" spans="32:38" ht="13.15" customHeight="1" x14ac:dyDescent="0.2">
      <c r="AF199" s="277"/>
      <c r="AG199" s="278"/>
      <c r="AH199" s="278"/>
      <c r="AI199" s="278"/>
      <c r="AJ199" s="278"/>
      <c r="AK199" s="279"/>
      <c r="AL199" s="279"/>
    </row>
    <row r="200" spans="32:38" ht="13.15" customHeight="1" x14ac:dyDescent="0.2">
      <c r="AF200" s="277"/>
      <c r="AG200" s="278"/>
      <c r="AH200" s="278"/>
      <c r="AI200" s="278"/>
      <c r="AJ200" s="278"/>
      <c r="AK200" s="279"/>
      <c r="AL200" s="279"/>
    </row>
    <row r="201" spans="32:38" ht="13.15" customHeight="1" x14ac:dyDescent="0.2">
      <c r="AF201" s="277"/>
      <c r="AG201" s="278"/>
      <c r="AH201" s="278"/>
      <c r="AI201" s="278"/>
      <c r="AJ201" s="278"/>
      <c r="AK201" s="279"/>
      <c r="AL201" s="279"/>
    </row>
    <row r="202" spans="32:38" ht="13.15" customHeight="1" x14ac:dyDescent="0.2">
      <c r="AF202" s="277"/>
      <c r="AG202" s="278"/>
      <c r="AH202" s="278"/>
      <c r="AI202" s="278"/>
      <c r="AJ202" s="278"/>
      <c r="AK202" s="279"/>
      <c r="AL202" s="279"/>
    </row>
    <row r="203" spans="32:38" ht="13.15" customHeight="1" x14ac:dyDescent="0.2">
      <c r="AF203" s="277"/>
      <c r="AG203" s="278"/>
      <c r="AH203" s="278"/>
      <c r="AI203" s="278"/>
      <c r="AJ203" s="278"/>
      <c r="AK203" s="279"/>
      <c r="AL203" s="279"/>
    </row>
    <row r="204" spans="32:38" ht="13.15" customHeight="1" x14ac:dyDescent="0.2">
      <c r="AF204" s="277"/>
      <c r="AG204" s="278"/>
      <c r="AH204" s="278"/>
      <c r="AI204" s="278"/>
      <c r="AJ204" s="278"/>
      <c r="AK204" s="279"/>
      <c r="AL204" s="279"/>
    </row>
    <row r="205" spans="32:38" ht="13.15" customHeight="1" x14ac:dyDescent="0.2">
      <c r="AF205" s="277"/>
      <c r="AG205" s="278"/>
      <c r="AH205" s="278"/>
      <c r="AI205" s="278"/>
      <c r="AJ205" s="278"/>
      <c r="AK205" s="279"/>
      <c r="AL205" s="279"/>
    </row>
    <row r="206" spans="32:38" ht="13.15" customHeight="1" x14ac:dyDescent="0.2">
      <c r="AF206" s="277"/>
      <c r="AG206" s="278"/>
      <c r="AH206" s="278"/>
      <c r="AI206" s="278"/>
      <c r="AJ206" s="278"/>
      <c r="AK206" s="279"/>
      <c r="AL206" s="279"/>
    </row>
    <row r="207" spans="32:38" ht="13.15" customHeight="1" x14ac:dyDescent="0.2">
      <c r="AF207" s="277"/>
      <c r="AG207" s="278"/>
      <c r="AH207" s="278"/>
      <c r="AI207" s="278"/>
      <c r="AJ207" s="278"/>
      <c r="AK207" s="279"/>
      <c r="AL207" s="279"/>
    </row>
    <row r="208" spans="32:38" ht="13.15" customHeight="1" x14ac:dyDescent="0.2">
      <c r="AF208" s="277"/>
      <c r="AG208" s="278"/>
      <c r="AH208" s="278"/>
      <c r="AI208" s="278"/>
      <c r="AJ208" s="278"/>
      <c r="AK208" s="279"/>
      <c r="AL208" s="279"/>
    </row>
    <row r="209" spans="32:38" ht="13.15" customHeight="1" x14ac:dyDescent="0.2">
      <c r="AF209" s="277"/>
      <c r="AG209" s="278"/>
      <c r="AH209" s="278"/>
      <c r="AI209" s="278"/>
      <c r="AJ209" s="278"/>
      <c r="AK209" s="279"/>
      <c r="AL209" s="279"/>
    </row>
    <row r="210" spans="32:38" ht="13.15" customHeight="1" x14ac:dyDescent="0.2">
      <c r="AF210" s="277"/>
      <c r="AG210" s="278"/>
      <c r="AH210" s="278"/>
      <c r="AI210" s="278"/>
      <c r="AJ210" s="278"/>
      <c r="AK210" s="279"/>
      <c r="AL210" s="279"/>
    </row>
    <row r="211" spans="32:38" ht="13.15" customHeight="1" x14ac:dyDescent="0.2">
      <c r="AF211" s="277"/>
      <c r="AG211" s="278"/>
      <c r="AH211" s="278"/>
      <c r="AI211" s="278"/>
      <c r="AJ211" s="278"/>
      <c r="AK211" s="279"/>
      <c r="AL211" s="279"/>
    </row>
    <row r="212" spans="32:38" ht="13.15" customHeight="1" x14ac:dyDescent="0.2">
      <c r="AF212" s="277"/>
      <c r="AG212" s="278"/>
      <c r="AH212" s="278"/>
      <c r="AI212" s="278"/>
      <c r="AJ212" s="278"/>
      <c r="AK212" s="279"/>
      <c r="AL212" s="279"/>
    </row>
    <row r="213" spans="32:38" ht="13.15" customHeight="1" x14ac:dyDescent="0.2">
      <c r="AF213" s="277"/>
      <c r="AG213" s="278"/>
      <c r="AH213" s="278"/>
      <c r="AI213" s="278"/>
      <c r="AJ213" s="278"/>
      <c r="AK213" s="279"/>
      <c r="AL213" s="279"/>
    </row>
    <row r="214" spans="32:38" ht="13.15" customHeight="1" x14ac:dyDescent="0.2">
      <c r="AF214" s="277"/>
      <c r="AG214" s="278"/>
      <c r="AH214" s="278"/>
      <c r="AI214" s="278"/>
      <c r="AJ214" s="278"/>
      <c r="AK214" s="279"/>
      <c r="AL214" s="279"/>
    </row>
    <row r="215" spans="32:38" ht="13.15" customHeight="1" x14ac:dyDescent="0.2">
      <c r="AF215" s="277"/>
      <c r="AG215" s="278"/>
      <c r="AH215" s="278"/>
      <c r="AI215" s="278"/>
      <c r="AJ215" s="278"/>
      <c r="AK215" s="279"/>
      <c r="AL215" s="279"/>
    </row>
    <row r="216" spans="32:38" ht="13.15" customHeight="1" x14ac:dyDescent="0.2">
      <c r="AF216" s="277"/>
      <c r="AG216" s="278"/>
      <c r="AH216" s="278"/>
      <c r="AI216" s="278"/>
      <c r="AJ216" s="278"/>
      <c r="AK216" s="279"/>
      <c r="AL216" s="279"/>
    </row>
    <row r="217" spans="32:38" ht="13.15" customHeight="1" x14ac:dyDescent="0.2">
      <c r="AF217" s="277"/>
      <c r="AG217" s="278"/>
      <c r="AH217" s="278"/>
      <c r="AI217" s="278"/>
      <c r="AJ217" s="278"/>
      <c r="AK217" s="279"/>
      <c r="AL217" s="279"/>
    </row>
    <row r="218" spans="32:38" ht="13.15" customHeight="1" x14ac:dyDescent="0.2">
      <c r="AF218" s="277"/>
      <c r="AG218" s="278"/>
      <c r="AH218" s="278"/>
      <c r="AI218" s="278"/>
      <c r="AJ218" s="278"/>
      <c r="AK218" s="279"/>
      <c r="AL218" s="279"/>
    </row>
    <row r="219" spans="32:38" ht="13.15" customHeight="1" x14ac:dyDescent="0.2">
      <c r="AF219" s="277"/>
      <c r="AG219" s="278"/>
      <c r="AH219" s="278"/>
      <c r="AI219" s="278"/>
      <c r="AJ219" s="278"/>
      <c r="AK219" s="279"/>
      <c r="AL219" s="279"/>
    </row>
    <row r="220" spans="32:38" ht="13.15" customHeight="1" x14ac:dyDescent="0.2">
      <c r="AF220" s="277"/>
      <c r="AG220" s="278"/>
      <c r="AH220" s="278"/>
      <c r="AI220" s="278"/>
      <c r="AJ220" s="278"/>
      <c r="AK220" s="279"/>
      <c r="AL220" s="279"/>
    </row>
    <row r="221" spans="32:38" ht="13.15" customHeight="1" x14ac:dyDescent="0.2">
      <c r="AF221" s="277"/>
      <c r="AG221" s="278"/>
      <c r="AH221" s="278"/>
      <c r="AI221" s="278"/>
      <c r="AJ221" s="278"/>
      <c r="AK221" s="279"/>
      <c r="AL221" s="279"/>
    </row>
    <row r="222" spans="32:38" ht="13.15" customHeight="1" x14ac:dyDescent="0.2">
      <c r="AF222" s="277"/>
      <c r="AG222" s="278"/>
      <c r="AH222" s="278"/>
      <c r="AI222" s="278"/>
      <c r="AJ222" s="278"/>
      <c r="AK222" s="279"/>
      <c r="AL222" s="279"/>
    </row>
    <row r="223" spans="32:38" ht="13.15" customHeight="1" x14ac:dyDescent="0.2">
      <c r="AF223" s="277"/>
      <c r="AG223" s="278"/>
      <c r="AH223" s="278"/>
      <c r="AI223" s="278"/>
      <c r="AJ223" s="278"/>
      <c r="AK223" s="279"/>
      <c r="AL223" s="279"/>
    </row>
  </sheetData>
  <mergeCells count="3">
    <mergeCell ref="D3:G3"/>
    <mergeCell ref="M3:Q3"/>
    <mergeCell ref="H3:L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theme="7" tint="0.79998168889431442"/>
  </sheetPr>
  <dimension ref="A1:EH318"/>
  <sheetViews>
    <sheetView workbookViewId="0">
      <pane xSplit="2" ySplit="1" topLeftCell="AX26" activePane="bottomRight" state="frozen"/>
      <selection activeCell="M13" sqref="M13"/>
      <selection pane="topRight" activeCell="M13" sqref="M13"/>
      <selection pane="bottomLeft" activeCell="M13" sqref="M13"/>
      <selection pane="bottomRight" activeCell="AH13" sqref="AH13"/>
    </sheetView>
  </sheetViews>
  <sheetFormatPr defaultColWidth="8.83203125" defaultRowHeight="12.75" x14ac:dyDescent="0.2"/>
  <cols>
    <col min="1" max="2" width="9" style="1" bestFit="1" customWidth="1"/>
    <col min="3" max="3" width="11.83203125" style="1" bestFit="1" customWidth="1"/>
    <col min="4" max="5" width="11.33203125" style="1" customWidth="1"/>
    <col min="6" max="17" width="9" style="1" bestFit="1" customWidth="1"/>
    <col min="18" max="18" width="14.83203125" style="55" bestFit="1" customWidth="1"/>
    <col min="19" max="19" width="16" style="55" customWidth="1"/>
    <col min="20" max="20" width="8.6640625" style="55" customWidth="1"/>
    <col min="21" max="31" width="8.6640625" style="1" customWidth="1"/>
    <col min="32" max="32" width="8.83203125" style="1" customWidth="1"/>
    <col min="33" max="33" width="16" style="55" customWidth="1"/>
    <col min="34" max="34" width="8.83203125" style="1"/>
    <col min="35" max="47" width="9" style="1" bestFit="1" customWidth="1"/>
    <col min="48" max="48" width="9.5" style="1" bestFit="1" customWidth="1"/>
    <col min="49" max="61" width="9" style="1" bestFit="1" customWidth="1"/>
    <col min="62" max="62" width="8.83203125" style="1"/>
    <col min="63" max="75" width="9" style="1" bestFit="1" customWidth="1"/>
    <col min="76" max="76" width="8.83203125" style="1"/>
    <col min="77" max="89" width="9" style="1" bestFit="1" customWidth="1"/>
    <col min="90" max="90" width="8.83203125" style="1"/>
    <col min="91" max="103" width="9" style="1" bestFit="1" customWidth="1"/>
    <col min="104" max="104" width="8.83203125" style="1"/>
    <col min="105" max="117" width="9" style="1" bestFit="1" customWidth="1"/>
    <col min="118" max="118" width="8.83203125" style="1"/>
    <col min="119" max="124" width="13.83203125" style="1" bestFit="1" customWidth="1"/>
    <col min="125" max="134" width="8.83203125" style="1"/>
    <col min="135" max="135" width="12.33203125" style="1" bestFit="1" customWidth="1"/>
    <col min="136" max="136" width="9" style="1" bestFit="1" customWidth="1"/>
    <col min="137" max="137" width="11" style="1" bestFit="1" customWidth="1"/>
    <col min="138" max="138" width="9" style="1" bestFit="1" customWidth="1"/>
    <col min="139" max="16384" width="8.83203125" style="1"/>
  </cols>
  <sheetData>
    <row r="1" spans="1:138" x14ac:dyDescent="0.2">
      <c r="C1" s="1" t="s">
        <v>25</v>
      </c>
      <c r="D1" s="1" t="s">
        <v>140</v>
      </c>
      <c r="E1" s="1" t="s">
        <v>141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142</v>
      </c>
      <c r="O1" s="1" t="s">
        <v>143</v>
      </c>
      <c r="P1" s="1" t="s">
        <v>144</v>
      </c>
      <c r="Q1" s="1" t="s">
        <v>145</v>
      </c>
      <c r="DO1" s="1" t="str">
        <f>'Monthly Data'!F1</f>
        <v>Res_NoCDM</v>
      </c>
      <c r="DP1" s="1" t="str">
        <f>'Monthly Data'!J1</f>
        <v>GS_lt_50_NoCDM</v>
      </c>
      <c r="DQ1" s="5" t="str">
        <f>'Monthly Data'!N1</f>
        <v>GS_gt_50_NoCDM</v>
      </c>
      <c r="DR1" s="1" t="str">
        <f>DO1</f>
        <v>Res_NoCDM</v>
      </c>
      <c r="DS1" s="1" t="str">
        <f>DP1</f>
        <v>GS_lt_50_NoCDM</v>
      </c>
      <c r="DT1" s="1" t="str">
        <f>DQ1</f>
        <v>GS_gt_50_NoCDM</v>
      </c>
    </row>
    <row r="2" spans="1:138" x14ac:dyDescent="0.2">
      <c r="A2" s="1">
        <v>2016</v>
      </c>
      <c r="B2" s="1">
        <v>1</v>
      </c>
      <c r="C2" s="220">
        <v>-4.2267473118279577</v>
      </c>
      <c r="D2" s="220">
        <v>751.0291666666667</v>
      </c>
      <c r="E2" s="220">
        <v>0</v>
      </c>
      <c r="F2" s="220">
        <v>689.02916666666681</v>
      </c>
      <c r="G2" s="220">
        <v>0</v>
      </c>
      <c r="H2" s="220">
        <v>627.0291666666667</v>
      </c>
      <c r="I2" s="220">
        <v>0</v>
      </c>
      <c r="J2" s="220">
        <v>565.02916666666658</v>
      </c>
      <c r="K2" s="220">
        <v>0</v>
      </c>
      <c r="L2" s="220">
        <v>503.02916666666658</v>
      </c>
      <c r="M2" s="220">
        <v>0</v>
      </c>
      <c r="N2" s="220">
        <v>441.02916666666658</v>
      </c>
      <c r="O2" s="220">
        <v>0</v>
      </c>
      <c r="P2" s="220">
        <v>379.0291666666667</v>
      </c>
      <c r="Q2" s="220">
        <v>0</v>
      </c>
      <c r="U2" s="1">
        <v>1</v>
      </c>
      <c r="V2" s="1">
        <f>U2+1</f>
        <v>2</v>
      </c>
      <c r="W2" s="1">
        <f t="shared" ref="W2:AF2" si="0">V2+1</f>
        <v>3</v>
      </c>
      <c r="X2" s="1">
        <f t="shared" si="0"/>
        <v>4</v>
      </c>
      <c r="Y2" s="1">
        <f t="shared" si="0"/>
        <v>5</v>
      </c>
      <c r="Z2" s="1">
        <f t="shared" si="0"/>
        <v>6</v>
      </c>
      <c r="AA2" s="1">
        <f t="shared" si="0"/>
        <v>7</v>
      </c>
      <c r="AB2" s="1">
        <f t="shared" si="0"/>
        <v>8</v>
      </c>
      <c r="AC2" s="1">
        <f t="shared" si="0"/>
        <v>9</v>
      </c>
      <c r="AD2" s="1">
        <f t="shared" si="0"/>
        <v>10</v>
      </c>
      <c r="AE2" s="1">
        <f t="shared" si="0"/>
        <v>11</v>
      </c>
      <c r="AF2" s="1">
        <f t="shared" si="0"/>
        <v>12</v>
      </c>
      <c r="AJ2" s="1">
        <v>1</v>
      </c>
      <c r="AK2" s="1">
        <f>AJ2+1</f>
        <v>2</v>
      </c>
      <c r="AL2" s="1">
        <f t="shared" ref="AL2:AU2" si="1">AK2+1</f>
        <v>3</v>
      </c>
      <c r="AM2" s="1">
        <f t="shared" si="1"/>
        <v>4</v>
      </c>
      <c r="AN2" s="1">
        <f t="shared" si="1"/>
        <v>5</v>
      </c>
      <c r="AO2" s="1">
        <f t="shared" si="1"/>
        <v>6</v>
      </c>
      <c r="AP2" s="1">
        <f t="shared" si="1"/>
        <v>7</v>
      </c>
      <c r="AQ2" s="1">
        <f t="shared" si="1"/>
        <v>8</v>
      </c>
      <c r="AR2" s="1">
        <f t="shared" si="1"/>
        <v>9</v>
      </c>
      <c r="AS2" s="1">
        <f t="shared" si="1"/>
        <v>10</v>
      </c>
      <c r="AT2" s="1">
        <f t="shared" si="1"/>
        <v>11</v>
      </c>
      <c r="AU2" s="1">
        <f t="shared" si="1"/>
        <v>12</v>
      </c>
      <c r="AX2" s="1">
        <v>1</v>
      </c>
      <c r="AY2" s="1">
        <f>AX2+1</f>
        <v>2</v>
      </c>
      <c r="AZ2" s="1">
        <f t="shared" ref="AZ2:BI2" si="2">AY2+1</f>
        <v>3</v>
      </c>
      <c r="BA2" s="1">
        <f t="shared" si="2"/>
        <v>4</v>
      </c>
      <c r="BB2" s="1">
        <f t="shared" si="2"/>
        <v>5</v>
      </c>
      <c r="BC2" s="1">
        <f t="shared" si="2"/>
        <v>6</v>
      </c>
      <c r="BD2" s="1">
        <f t="shared" si="2"/>
        <v>7</v>
      </c>
      <c r="BE2" s="1">
        <f t="shared" si="2"/>
        <v>8</v>
      </c>
      <c r="BF2" s="1">
        <f t="shared" si="2"/>
        <v>9</v>
      </c>
      <c r="BG2" s="1">
        <f t="shared" si="2"/>
        <v>10</v>
      </c>
      <c r="BH2" s="1">
        <f t="shared" si="2"/>
        <v>11</v>
      </c>
      <c r="BI2" s="1">
        <f t="shared" si="2"/>
        <v>12</v>
      </c>
      <c r="BL2" s="1">
        <v>1</v>
      </c>
      <c r="BM2" s="1">
        <f>BL2+1</f>
        <v>2</v>
      </c>
      <c r="BN2" s="1">
        <f t="shared" ref="BN2:BW2" si="3">BM2+1</f>
        <v>3</v>
      </c>
      <c r="BO2" s="1">
        <f t="shared" si="3"/>
        <v>4</v>
      </c>
      <c r="BP2" s="1">
        <f t="shared" si="3"/>
        <v>5</v>
      </c>
      <c r="BQ2" s="1">
        <f t="shared" si="3"/>
        <v>6</v>
      </c>
      <c r="BR2" s="1">
        <f t="shared" si="3"/>
        <v>7</v>
      </c>
      <c r="BS2" s="1">
        <f t="shared" si="3"/>
        <v>8</v>
      </c>
      <c r="BT2" s="1">
        <f t="shared" si="3"/>
        <v>9</v>
      </c>
      <c r="BU2" s="1">
        <f t="shared" si="3"/>
        <v>10</v>
      </c>
      <c r="BV2" s="1">
        <f t="shared" si="3"/>
        <v>11</v>
      </c>
      <c r="BW2" s="1">
        <f t="shared" si="3"/>
        <v>12</v>
      </c>
      <c r="BZ2" s="1">
        <v>1</v>
      </c>
      <c r="CA2" s="1">
        <f>BZ2+1</f>
        <v>2</v>
      </c>
      <c r="CB2" s="1">
        <f t="shared" ref="CB2:CK2" si="4">CA2+1</f>
        <v>3</v>
      </c>
      <c r="CC2" s="1">
        <f t="shared" si="4"/>
        <v>4</v>
      </c>
      <c r="CD2" s="1">
        <f t="shared" si="4"/>
        <v>5</v>
      </c>
      <c r="CE2" s="1">
        <f t="shared" si="4"/>
        <v>6</v>
      </c>
      <c r="CF2" s="1">
        <f t="shared" si="4"/>
        <v>7</v>
      </c>
      <c r="CG2" s="1">
        <f t="shared" si="4"/>
        <v>8</v>
      </c>
      <c r="CH2" s="1">
        <f t="shared" si="4"/>
        <v>9</v>
      </c>
      <c r="CI2" s="1">
        <f t="shared" si="4"/>
        <v>10</v>
      </c>
      <c r="CJ2" s="1">
        <f t="shared" si="4"/>
        <v>11</v>
      </c>
      <c r="CK2" s="1">
        <f t="shared" si="4"/>
        <v>12</v>
      </c>
      <c r="CN2" s="1">
        <v>1</v>
      </c>
      <c r="CO2" s="1">
        <f>CN2+1</f>
        <v>2</v>
      </c>
      <c r="CP2" s="1">
        <f t="shared" ref="CP2:CY2" si="5">CO2+1</f>
        <v>3</v>
      </c>
      <c r="CQ2" s="1">
        <f t="shared" si="5"/>
        <v>4</v>
      </c>
      <c r="CR2" s="1">
        <f t="shared" si="5"/>
        <v>5</v>
      </c>
      <c r="CS2" s="1">
        <f t="shared" si="5"/>
        <v>6</v>
      </c>
      <c r="CT2" s="1">
        <f t="shared" si="5"/>
        <v>7</v>
      </c>
      <c r="CU2" s="1">
        <f t="shared" si="5"/>
        <v>8</v>
      </c>
      <c r="CV2" s="1">
        <f t="shared" si="5"/>
        <v>9</v>
      </c>
      <c r="CW2" s="1">
        <f t="shared" si="5"/>
        <v>10</v>
      </c>
      <c r="CX2" s="1">
        <f t="shared" si="5"/>
        <v>11</v>
      </c>
      <c r="CY2" s="1">
        <f t="shared" si="5"/>
        <v>12</v>
      </c>
      <c r="DB2" s="1">
        <v>1</v>
      </c>
      <c r="DC2" s="1">
        <f>DB2+1</f>
        <v>2</v>
      </c>
      <c r="DD2" s="1">
        <f t="shared" ref="DD2:DM2" si="6">DC2+1</f>
        <v>3</v>
      </c>
      <c r="DE2" s="1">
        <f t="shared" si="6"/>
        <v>4</v>
      </c>
      <c r="DF2" s="1">
        <f t="shared" si="6"/>
        <v>5</v>
      </c>
      <c r="DG2" s="1">
        <f t="shared" si="6"/>
        <v>6</v>
      </c>
      <c r="DH2" s="1">
        <f t="shared" si="6"/>
        <v>7</v>
      </c>
      <c r="DI2" s="1">
        <f t="shared" si="6"/>
        <v>8</v>
      </c>
      <c r="DJ2" s="1">
        <f t="shared" si="6"/>
        <v>9</v>
      </c>
      <c r="DK2" s="1">
        <f t="shared" si="6"/>
        <v>10</v>
      </c>
      <c r="DL2" s="1">
        <f t="shared" si="6"/>
        <v>11</v>
      </c>
      <c r="DM2" s="1">
        <f t="shared" si="6"/>
        <v>12</v>
      </c>
      <c r="DN2" s="55"/>
    </row>
    <row r="3" spans="1:138" x14ac:dyDescent="0.2">
      <c r="A3" s="1">
        <v>2016</v>
      </c>
      <c r="B3" s="1">
        <v>2</v>
      </c>
      <c r="C3" s="220">
        <v>-2.5020114942528746</v>
      </c>
      <c r="D3" s="220">
        <v>652.55833333333328</v>
      </c>
      <c r="E3" s="220">
        <v>0</v>
      </c>
      <c r="F3" s="220">
        <v>594.55833333333339</v>
      </c>
      <c r="G3" s="220">
        <v>0</v>
      </c>
      <c r="H3" s="220">
        <v>536.55833333333328</v>
      </c>
      <c r="I3" s="220">
        <v>0</v>
      </c>
      <c r="J3" s="220">
        <v>478.55833333333328</v>
      </c>
      <c r="K3" s="220">
        <v>0</v>
      </c>
      <c r="L3" s="220">
        <v>420.55833333333328</v>
      </c>
      <c r="M3" s="220">
        <v>0</v>
      </c>
      <c r="N3" s="220">
        <v>362.55833333333328</v>
      </c>
      <c r="O3" s="220">
        <v>0</v>
      </c>
      <c r="P3" s="220">
        <v>304.65833333333325</v>
      </c>
      <c r="Q3" s="220">
        <v>9.9999999999997868E-2</v>
      </c>
      <c r="T3" s="221" t="s">
        <v>140</v>
      </c>
      <c r="U3" s="222" t="s">
        <v>43</v>
      </c>
      <c r="V3" s="222" t="s">
        <v>44</v>
      </c>
      <c r="W3" s="222" t="s">
        <v>45</v>
      </c>
      <c r="X3" s="222" t="s">
        <v>46</v>
      </c>
      <c r="Y3" s="222" t="s">
        <v>47</v>
      </c>
      <c r="Z3" s="222" t="s">
        <v>85</v>
      </c>
      <c r="AA3" s="222" t="s">
        <v>86</v>
      </c>
      <c r="AB3" s="222" t="s">
        <v>87</v>
      </c>
      <c r="AC3" s="222" t="s">
        <v>51</v>
      </c>
      <c r="AD3" s="222" t="s">
        <v>52</v>
      </c>
      <c r="AE3" s="222" t="s">
        <v>53</v>
      </c>
      <c r="AF3" s="222" t="s">
        <v>54</v>
      </c>
      <c r="AI3" s="221" t="s">
        <v>26</v>
      </c>
      <c r="AJ3" s="222" t="s">
        <v>43</v>
      </c>
      <c r="AK3" s="222" t="s">
        <v>44</v>
      </c>
      <c r="AL3" s="222" t="s">
        <v>45</v>
      </c>
      <c r="AM3" s="222" t="s">
        <v>46</v>
      </c>
      <c r="AN3" s="222" t="s">
        <v>47</v>
      </c>
      <c r="AO3" s="222" t="s">
        <v>85</v>
      </c>
      <c r="AP3" s="222" t="s">
        <v>86</v>
      </c>
      <c r="AQ3" s="222" t="s">
        <v>87</v>
      </c>
      <c r="AR3" s="222" t="s">
        <v>51</v>
      </c>
      <c r="AS3" s="222" t="s">
        <v>52</v>
      </c>
      <c r="AT3" s="222" t="s">
        <v>53</v>
      </c>
      <c r="AU3" s="222" t="s">
        <v>54</v>
      </c>
      <c r="AW3" s="221" t="s">
        <v>28</v>
      </c>
      <c r="AX3" s="222" t="s">
        <v>43</v>
      </c>
      <c r="AY3" s="222" t="s">
        <v>44</v>
      </c>
      <c r="AZ3" s="222" t="s">
        <v>45</v>
      </c>
      <c r="BA3" s="222" t="s">
        <v>46</v>
      </c>
      <c r="BB3" s="222" t="s">
        <v>47</v>
      </c>
      <c r="BC3" s="222" t="s">
        <v>85</v>
      </c>
      <c r="BD3" s="222" t="s">
        <v>86</v>
      </c>
      <c r="BE3" s="222" t="s">
        <v>87</v>
      </c>
      <c r="BF3" s="222" t="s">
        <v>51</v>
      </c>
      <c r="BG3" s="222" t="s">
        <v>52</v>
      </c>
      <c r="BH3" s="222" t="s">
        <v>53</v>
      </c>
      <c r="BI3" s="222" t="s">
        <v>54</v>
      </c>
      <c r="BK3" s="221" t="s">
        <v>30</v>
      </c>
      <c r="BL3" s="222" t="s">
        <v>43</v>
      </c>
      <c r="BM3" s="222" t="s">
        <v>44</v>
      </c>
      <c r="BN3" s="222" t="s">
        <v>45</v>
      </c>
      <c r="BO3" s="222" t="s">
        <v>46</v>
      </c>
      <c r="BP3" s="222" t="s">
        <v>47</v>
      </c>
      <c r="BQ3" s="222" t="s">
        <v>85</v>
      </c>
      <c r="BR3" s="222" t="s">
        <v>86</v>
      </c>
      <c r="BS3" s="222" t="s">
        <v>87</v>
      </c>
      <c r="BT3" s="222" t="s">
        <v>51</v>
      </c>
      <c r="BU3" s="222" t="s">
        <v>52</v>
      </c>
      <c r="BV3" s="222" t="s">
        <v>53</v>
      </c>
      <c r="BW3" s="222" t="s">
        <v>54</v>
      </c>
      <c r="BY3" s="221" t="s">
        <v>32</v>
      </c>
      <c r="BZ3" s="222" t="s">
        <v>43</v>
      </c>
      <c r="CA3" s="222" t="s">
        <v>44</v>
      </c>
      <c r="CB3" s="222" t="s">
        <v>45</v>
      </c>
      <c r="CC3" s="222" t="s">
        <v>46</v>
      </c>
      <c r="CD3" s="222" t="s">
        <v>47</v>
      </c>
      <c r="CE3" s="222" t="s">
        <v>85</v>
      </c>
      <c r="CF3" s="222" t="s">
        <v>86</v>
      </c>
      <c r="CG3" s="222" t="s">
        <v>87</v>
      </c>
      <c r="CH3" s="222" t="s">
        <v>51</v>
      </c>
      <c r="CI3" s="222" t="s">
        <v>52</v>
      </c>
      <c r="CJ3" s="222" t="s">
        <v>53</v>
      </c>
      <c r="CK3" s="222" t="s">
        <v>54</v>
      </c>
      <c r="CM3" s="221" t="s">
        <v>142</v>
      </c>
      <c r="CN3" s="222" t="s">
        <v>43</v>
      </c>
      <c r="CO3" s="222" t="s">
        <v>44</v>
      </c>
      <c r="CP3" s="222" t="s">
        <v>45</v>
      </c>
      <c r="CQ3" s="222" t="s">
        <v>46</v>
      </c>
      <c r="CR3" s="222" t="s">
        <v>47</v>
      </c>
      <c r="CS3" s="222" t="s">
        <v>85</v>
      </c>
      <c r="CT3" s="222" t="s">
        <v>86</v>
      </c>
      <c r="CU3" s="222" t="s">
        <v>87</v>
      </c>
      <c r="CV3" s="222" t="s">
        <v>51</v>
      </c>
      <c r="CW3" s="222" t="s">
        <v>52</v>
      </c>
      <c r="CX3" s="222" t="s">
        <v>53</v>
      </c>
      <c r="CY3" s="222" t="s">
        <v>54</v>
      </c>
      <c r="DA3" s="221" t="s">
        <v>144</v>
      </c>
      <c r="DB3" s="222" t="s">
        <v>43</v>
      </c>
      <c r="DC3" s="222" t="s">
        <v>44</v>
      </c>
      <c r="DD3" s="222" t="s">
        <v>45</v>
      </c>
      <c r="DE3" s="222" t="s">
        <v>46</v>
      </c>
      <c r="DF3" s="222" t="s">
        <v>47</v>
      </c>
      <c r="DG3" s="222" t="s">
        <v>85</v>
      </c>
      <c r="DH3" s="222" t="s">
        <v>86</v>
      </c>
      <c r="DI3" s="222" t="s">
        <v>87</v>
      </c>
      <c r="DJ3" s="222" t="s">
        <v>51</v>
      </c>
      <c r="DK3" s="222" t="s">
        <v>52</v>
      </c>
      <c r="DL3" s="222" t="s">
        <v>53</v>
      </c>
      <c r="DM3" s="222" t="s">
        <v>54</v>
      </c>
      <c r="DO3" s="55"/>
    </row>
    <row r="4" spans="1:138" x14ac:dyDescent="0.2">
      <c r="A4" s="1">
        <v>2016</v>
      </c>
      <c r="B4" s="1">
        <v>3</v>
      </c>
      <c r="C4" s="220">
        <v>2.9725134408602152</v>
      </c>
      <c r="D4" s="220">
        <v>527.85208333333333</v>
      </c>
      <c r="E4" s="220">
        <v>0</v>
      </c>
      <c r="F4" s="220">
        <v>465.85208333333333</v>
      </c>
      <c r="G4" s="220">
        <v>0</v>
      </c>
      <c r="H4" s="220">
        <v>403.85208333333333</v>
      </c>
      <c r="I4" s="220">
        <v>0</v>
      </c>
      <c r="J4" s="220">
        <v>341.85208333333327</v>
      </c>
      <c r="K4" s="220">
        <v>0</v>
      </c>
      <c r="L4" s="220">
        <v>281.84375</v>
      </c>
      <c r="M4" s="220">
        <v>1.9916666666666671</v>
      </c>
      <c r="N4" s="220">
        <v>224.80416666666667</v>
      </c>
      <c r="O4" s="220">
        <v>6.9520833333333378</v>
      </c>
      <c r="P4" s="220">
        <v>172.0291666666667</v>
      </c>
      <c r="Q4" s="220">
        <v>16.177083333333339</v>
      </c>
      <c r="T4" s="1">
        <v>2016</v>
      </c>
      <c r="U4" s="2">
        <f t="shared" ref="U4:AF13" si="7">SUMIFS($D:$D,$A:$A,$T4,$B:$B,U$2)</f>
        <v>751.0291666666667</v>
      </c>
      <c r="V4" s="2">
        <f t="shared" si="7"/>
        <v>652.55833333333328</v>
      </c>
      <c r="W4" s="2">
        <f t="shared" si="7"/>
        <v>527.85208333333333</v>
      </c>
      <c r="X4" s="2">
        <f t="shared" si="7"/>
        <v>445.38749999999987</v>
      </c>
      <c r="Y4" s="2">
        <f t="shared" si="7"/>
        <v>192.73333333333332</v>
      </c>
      <c r="Z4" s="2">
        <f t="shared" si="7"/>
        <v>66.858333333333334</v>
      </c>
      <c r="AA4" s="2">
        <f t="shared" si="7"/>
        <v>12.566666666666659</v>
      </c>
      <c r="AB4" s="2">
        <f t="shared" si="7"/>
        <v>3.0791666666666622</v>
      </c>
      <c r="AC4" s="2">
        <f t="shared" si="7"/>
        <v>78.550000000000026</v>
      </c>
      <c r="AD4" s="2">
        <f t="shared" si="7"/>
        <v>276.37916666666666</v>
      </c>
      <c r="AE4" s="2">
        <f t="shared" si="7"/>
        <v>418.91249999999997</v>
      </c>
      <c r="AF4" s="2">
        <f t="shared" si="7"/>
        <v>696.13750000000005</v>
      </c>
      <c r="AI4" s="1">
        <v>2016</v>
      </c>
      <c r="AJ4" s="228">
        <f t="shared" ref="AJ4:AU13" si="8">SUMIFS($F:$F,$A:$A,$AI4,$B:$B,AJ$2)</f>
        <v>689.02916666666681</v>
      </c>
      <c r="AK4" s="228">
        <f t="shared" si="8"/>
        <v>594.55833333333339</v>
      </c>
      <c r="AL4" s="228">
        <f t="shared" si="8"/>
        <v>465.85208333333333</v>
      </c>
      <c r="AM4" s="228">
        <f t="shared" si="8"/>
        <v>385.38749999999987</v>
      </c>
      <c r="AN4" s="228">
        <f t="shared" si="8"/>
        <v>144.64166666666668</v>
      </c>
      <c r="AO4" s="228">
        <f t="shared" si="8"/>
        <v>34.929166666666674</v>
      </c>
      <c r="AP4" s="228">
        <f t="shared" si="8"/>
        <v>2.3208333333333364</v>
      </c>
      <c r="AQ4" s="228">
        <f t="shared" si="8"/>
        <v>0.30833333333333002</v>
      </c>
      <c r="AR4" s="228">
        <f t="shared" si="8"/>
        <v>40.550000000000011</v>
      </c>
      <c r="AS4" s="228">
        <f t="shared" si="8"/>
        <v>218.86666666666665</v>
      </c>
      <c r="AT4" s="228">
        <f t="shared" si="8"/>
        <v>358.91250000000002</v>
      </c>
      <c r="AU4" s="228">
        <f t="shared" si="8"/>
        <v>634.13750000000016</v>
      </c>
      <c r="AV4" s="223">
        <f t="shared" ref="AV4:AV15" si="9">SUM(AJ4:AU4)</f>
        <v>3569.4937500000005</v>
      </c>
      <c r="AW4" s="1">
        <v>2016</v>
      </c>
      <c r="AX4" s="228">
        <f t="shared" ref="AX4:BI13" si="10">SUMIFS($H:$H,$A:$A,$AW4,$B:$B,AX$2)</f>
        <v>627.0291666666667</v>
      </c>
      <c r="AY4" s="228">
        <f t="shared" si="10"/>
        <v>536.55833333333328</v>
      </c>
      <c r="AZ4" s="228">
        <f t="shared" si="10"/>
        <v>403.85208333333333</v>
      </c>
      <c r="BA4" s="228">
        <f t="shared" si="10"/>
        <v>325.7083333333332</v>
      </c>
      <c r="BB4" s="228">
        <f t="shared" si="10"/>
        <v>100.37083333333332</v>
      </c>
      <c r="BC4" s="228">
        <f t="shared" si="10"/>
        <v>16.44166666666667</v>
      </c>
      <c r="BD4" s="228">
        <f t="shared" si="10"/>
        <v>0</v>
      </c>
      <c r="BE4" s="228">
        <f t="shared" si="10"/>
        <v>0</v>
      </c>
      <c r="BF4" s="228">
        <f t="shared" si="10"/>
        <v>14.045833333333334</v>
      </c>
      <c r="BG4" s="228">
        <f t="shared" si="10"/>
        <v>166.60833333333332</v>
      </c>
      <c r="BH4" s="228">
        <f t="shared" si="10"/>
        <v>298.91249999999997</v>
      </c>
      <c r="BI4" s="228">
        <f t="shared" si="10"/>
        <v>572.13750000000005</v>
      </c>
      <c r="BK4" s="1">
        <v>2016</v>
      </c>
      <c r="BL4" s="228">
        <f t="shared" ref="BL4:BW13" si="11">SUMIFS($J:$J,$A:$A,$BK4,$B:$B,BL$2)</f>
        <v>565.02916666666658</v>
      </c>
      <c r="BM4" s="228">
        <f t="shared" si="11"/>
        <v>478.55833333333328</v>
      </c>
      <c r="BN4" s="228">
        <f t="shared" si="11"/>
        <v>341.85208333333327</v>
      </c>
      <c r="BO4" s="228">
        <f t="shared" si="11"/>
        <v>269.09999999999997</v>
      </c>
      <c r="BP4" s="228">
        <f t="shared" si="11"/>
        <v>65.074999999999989</v>
      </c>
      <c r="BQ4" s="228">
        <f t="shared" si="11"/>
        <v>6.3875000000000064</v>
      </c>
      <c r="BR4" s="228">
        <f t="shared" si="11"/>
        <v>0</v>
      </c>
      <c r="BS4" s="228">
        <f t="shared" si="11"/>
        <v>0</v>
      </c>
      <c r="BT4" s="228">
        <f t="shared" si="11"/>
        <v>2.1874999999999982</v>
      </c>
      <c r="BU4" s="228">
        <f t="shared" si="11"/>
        <v>121.71666666666664</v>
      </c>
      <c r="BV4" s="228">
        <f t="shared" si="11"/>
        <v>240.65</v>
      </c>
      <c r="BW4" s="228">
        <f t="shared" si="11"/>
        <v>510.13750000000005</v>
      </c>
      <c r="BY4" s="1">
        <v>2016</v>
      </c>
      <c r="BZ4" s="228">
        <f t="shared" ref="BZ4:CK13" si="12">SUMIFS($L:$L,$A:$A,$BY4,$B:$B,BZ$2)</f>
        <v>503.02916666666658</v>
      </c>
      <c r="CA4" s="228">
        <f t="shared" si="12"/>
        <v>420.55833333333328</v>
      </c>
      <c r="CB4" s="228">
        <f t="shared" si="12"/>
        <v>281.84375</v>
      </c>
      <c r="CC4" s="228">
        <f t="shared" si="12"/>
        <v>213.7</v>
      </c>
      <c r="CD4" s="228">
        <f t="shared" si="12"/>
        <v>35.416666666666664</v>
      </c>
      <c r="CE4" s="228">
        <f t="shared" si="12"/>
        <v>1.7000000000000011</v>
      </c>
      <c r="CF4" s="228">
        <f t="shared" si="12"/>
        <v>0</v>
      </c>
      <c r="CG4" s="228">
        <f t="shared" si="12"/>
        <v>0</v>
      </c>
      <c r="CH4" s="228">
        <f t="shared" si="12"/>
        <v>0</v>
      </c>
      <c r="CI4" s="228">
        <f t="shared" si="12"/>
        <v>86.354166666666671</v>
      </c>
      <c r="CJ4" s="228">
        <f t="shared" si="12"/>
        <v>183.92499999999998</v>
      </c>
      <c r="CK4" s="228">
        <f t="shared" si="12"/>
        <v>448.13750000000005</v>
      </c>
      <c r="CM4" s="1">
        <v>2016</v>
      </c>
      <c r="CN4" s="228">
        <f t="shared" ref="CN4:CY13" si="13">SUMIFS($N:$N,$A:$A,$CM4,$B:$B,CN$2)</f>
        <v>441.02916666666658</v>
      </c>
      <c r="CO4" s="228">
        <f t="shared" si="13"/>
        <v>362.55833333333328</v>
      </c>
      <c r="CP4" s="228">
        <f t="shared" si="13"/>
        <v>224.80416666666667</v>
      </c>
      <c r="CQ4" s="228">
        <f t="shared" si="13"/>
        <v>163.88333333333333</v>
      </c>
      <c r="CR4" s="228">
        <f t="shared" si="13"/>
        <v>14.370833333333332</v>
      </c>
      <c r="CS4" s="228">
        <f t="shared" si="13"/>
        <v>0</v>
      </c>
      <c r="CT4" s="228">
        <f t="shared" si="13"/>
        <v>0</v>
      </c>
      <c r="CU4" s="228">
        <f t="shared" si="13"/>
        <v>0</v>
      </c>
      <c r="CV4" s="228">
        <f t="shared" si="13"/>
        <v>0</v>
      </c>
      <c r="CW4" s="228">
        <f t="shared" si="13"/>
        <v>56.041666666666657</v>
      </c>
      <c r="CX4" s="228">
        <f t="shared" si="13"/>
        <v>131.05000000000001</v>
      </c>
      <c r="CY4" s="228">
        <f t="shared" si="13"/>
        <v>386.13750000000005</v>
      </c>
      <c r="DA4" s="1">
        <v>2016</v>
      </c>
      <c r="DB4" s="228">
        <f t="shared" ref="DB4:DM13" si="14">SUMIFS($P:$P,$A:$A,$DA4,$B:$B,DB$2)</f>
        <v>379.0291666666667</v>
      </c>
      <c r="DC4" s="228">
        <f t="shared" si="14"/>
        <v>304.65833333333325</v>
      </c>
      <c r="DD4" s="228">
        <f t="shared" si="14"/>
        <v>172.0291666666667</v>
      </c>
      <c r="DE4" s="228">
        <f t="shared" si="14"/>
        <v>120.75833333333337</v>
      </c>
      <c r="DF4" s="228">
        <f t="shared" si="14"/>
        <v>4.7666666666666648</v>
      </c>
      <c r="DG4" s="228">
        <f t="shared" si="14"/>
        <v>0</v>
      </c>
      <c r="DH4" s="228">
        <f t="shared" si="14"/>
        <v>0</v>
      </c>
      <c r="DI4" s="228">
        <f t="shared" si="14"/>
        <v>0</v>
      </c>
      <c r="DJ4" s="228">
        <f t="shared" si="14"/>
        <v>0</v>
      </c>
      <c r="DK4" s="228">
        <f t="shared" si="14"/>
        <v>30.387499999999999</v>
      </c>
      <c r="DL4" s="228">
        <f t="shared" si="14"/>
        <v>83.079166666666694</v>
      </c>
      <c r="DM4" s="228">
        <f t="shared" si="14"/>
        <v>324.13750000000005</v>
      </c>
    </row>
    <row r="5" spans="1:138" x14ac:dyDescent="0.2">
      <c r="A5" s="1">
        <v>2016</v>
      </c>
      <c r="B5" s="1">
        <v>4</v>
      </c>
      <c r="C5" s="220">
        <v>5.1537499999999996</v>
      </c>
      <c r="D5" s="220">
        <v>445.38749999999987</v>
      </c>
      <c r="E5" s="220">
        <v>0</v>
      </c>
      <c r="F5" s="220">
        <v>385.38749999999987</v>
      </c>
      <c r="G5" s="220">
        <v>0</v>
      </c>
      <c r="H5" s="220">
        <v>325.7083333333332</v>
      </c>
      <c r="I5" s="220">
        <v>0.32083333333333286</v>
      </c>
      <c r="J5" s="220">
        <v>269.09999999999997</v>
      </c>
      <c r="K5" s="220">
        <v>3.7125000000000004</v>
      </c>
      <c r="L5" s="220">
        <v>213.7</v>
      </c>
      <c r="M5" s="220">
        <v>8.3125000000000018</v>
      </c>
      <c r="N5" s="220">
        <v>163.88333333333333</v>
      </c>
      <c r="O5" s="220">
        <v>18.495833333333337</v>
      </c>
      <c r="P5" s="220">
        <v>120.75833333333337</v>
      </c>
      <c r="Q5" s="220">
        <v>35.370833333333337</v>
      </c>
      <c r="T5" s="1">
        <f t="shared" ref="T5:T15" si="15">T4+1</f>
        <v>2017</v>
      </c>
      <c r="U5" s="2">
        <f t="shared" si="7"/>
        <v>693.0916666666667</v>
      </c>
      <c r="V5" s="2">
        <f t="shared" si="7"/>
        <v>561.97916666666674</v>
      </c>
      <c r="W5" s="2">
        <f t="shared" si="7"/>
        <v>625.39166666666665</v>
      </c>
      <c r="X5" s="2">
        <f t="shared" si="7"/>
        <v>318.87083333333334</v>
      </c>
      <c r="Y5" s="2">
        <f t="shared" si="7"/>
        <v>247.3</v>
      </c>
      <c r="Z5" s="2">
        <f t="shared" si="7"/>
        <v>66.325000000000003</v>
      </c>
      <c r="AA5" s="2">
        <f t="shared" si="7"/>
        <v>10.095833333333328</v>
      </c>
      <c r="AB5" s="2">
        <f t="shared" si="7"/>
        <v>49.708333333333336</v>
      </c>
      <c r="AC5" s="2">
        <f t="shared" si="7"/>
        <v>107.17083333333331</v>
      </c>
      <c r="AD5" s="2">
        <f t="shared" si="7"/>
        <v>241.64583333333334</v>
      </c>
      <c r="AE5" s="2">
        <f t="shared" si="7"/>
        <v>511.08124999999984</v>
      </c>
      <c r="AF5" s="2">
        <f t="shared" si="7"/>
        <v>778.54583333333335</v>
      </c>
      <c r="AI5" s="1">
        <v>2016</v>
      </c>
      <c r="AJ5" s="228">
        <f t="shared" si="8"/>
        <v>689.02916666666681</v>
      </c>
      <c r="AK5" s="228">
        <f t="shared" si="8"/>
        <v>594.55833333333339</v>
      </c>
      <c r="AL5" s="228">
        <f t="shared" si="8"/>
        <v>465.85208333333333</v>
      </c>
      <c r="AM5" s="228">
        <f t="shared" si="8"/>
        <v>385.38749999999987</v>
      </c>
      <c r="AN5" s="228">
        <f t="shared" si="8"/>
        <v>144.64166666666668</v>
      </c>
      <c r="AO5" s="228">
        <f t="shared" si="8"/>
        <v>34.929166666666674</v>
      </c>
      <c r="AP5" s="228">
        <f t="shared" si="8"/>
        <v>2.3208333333333364</v>
      </c>
      <c r="AQ5" s="228">
        <f t="shared" si="8"/>
        <v>0.30833333333333002</v>
      </c>
      <c r="AR5" s="228">
        <f t="shared" si="8"/>
        <v>40.550000000000011</v>
      </c>
      <c r="AS5" s="228">
        <f t="shared" si="8"/>
        <v>218.86666666666665</v>
      </c>
      <c r="AT5" s="228">
        <f t="shared" si="8"/>
        <v>358.91250000000002</v>
      </c>
      <c r="AU5" s="228">
        <f t="shared" si="8"/>
        <v>634.13750000000016</v>
      </c>
      <c r="AV5" s="223">
        <f t="shared" si="9"/>
        <v>3569.4937500000005</v>
      </c>
      <c r="AW5" s="1">
        <f t="shared" ref="AW5:AW15" si="16">AW4+1</f>
        <v>2017</v>
      </c>
      <c r="AX5" s="228">
        <f t="shared" si="10"/>
        <v>569.09166666666658</v>
      </c>
      <c r="AY5" s="228">
        <f t="shared" si="10"/>
        <v>449.97916666666669</v>
      </c>
      <c r="AZ5" s="228">
        <f t="shared" si="10"/>
        <v>501.39166666666665</v>
      </c>
      <c r="BA5" s="228">
        <f t="shared" si="10"/>
        <v>202.63749999999996</v>
      </c>
      <c r="BB5" s="228">
        <f t="shared" si="10"/>
        <v>136.45833333333337</v>
      </c>
      <c r="BC5" s="228">
        <f t="shared" si="10"/>
        <v>11.108333333333343</v>
      </c>
      <c r="BD5" s="228">
        <f t="shared" si="10"/>
        <v>0</v>
      </c>
      <c r="BE5" s="228">
        <f t="shared" si="10"/>
        <v>5.6166666666666707</v>
      </c>
      <c r="BF5" s="228">
        <f t="shared" si="10"/>
        <v>43.908333333333324</v>
      </c>
      <c r="BG5" s="228">
        <f t="shared" si="10"/>
        <v>129.94583333333333</v>
      </c>
      <c r="BH5" s="228">
        <f t="shared" si="10"/>
        <v>391.08124999999995</v>
      </c>
      <c r="BI5" s="228">
        <f t="shared" si="10"/>
        <v>654.54583333333335</v>
      </c>
      <c r="BK5" s="1">
        <f t="shared" ref="BK5:BK15" si="17">BK4+1</f>
        <v>2017</v>
      </c>
      <c r="BL5" s="228">
        <f t="shared" si="11"/>
        <v>507.0916666666667</v>
      </c>
      <c r="BM5" s="228">
        <f t="shared" si="11"/>
        <v>393.97916666666669</v>
      </c>
      <c r="BN5" s="228">
        <f t="shared" si="11"/>
        <v>439.39166666666665</v>
      </c>
      <c r="BO5" s="228">
        <f t="shared" si="11"/>
        <v>150.22500000000002</v>
      </c>
      <c r="BP5" s="228">
        <f t="shared" si="11"/>
        <v>92.170833333333348</v>
      </c>
      <c r="BQ5" s="228">
        <f t="shared" si="11"/>
        <v>0.98333333333333428</v>
      </c>
      <c r="BR5" s="228">
        <f t="shared" si="11"/>
        <v>0</v>
      </c>
      <c r="BS5" s="228">
        <f t="shared" si="11"/>
        <v>0</v>
      </c>
      <c r="BT5" s="228">
        <f t="shared" si="11"/>
        <v>20.80416666666666</v>
      </c>
      <c r="BU5" s="228">
        <f t="shared" si="11"/>
        <v>90.324999999999989</v>
      </c>
      <c r="BV5" s="228">
        <f t="shared" si="11"/>
        <v>331.08124999999995</v>
      </c>
      <c r="BW5" s="228">
        <f t="shared" si="11"/>
        <v>592.54583333333346</v>
      </c>
      <c r="BY5" s="1">
        <f t="shared" ref="BY5:BY15" si="18">BY4+1</f>
        <v>2017</v>
      </c>
      <c r="BZ5" s="228">
        <f t="shared" si="12"/>
        <v>445.0916666666667</v>
      </c>
      <c r="CA5" s="228">
        <f t="shared" si="12"/>
        <v>337.97916666666674</v>
      </c>
      <c r="CB5" s="228">
        <f t="shared" si="12"/>
        <v>377.39166666666677</v>
      </c>
      <c r="CC5" s="228">
        <f t="shared" si="12"/>
        <v>102.53749999999998</v>
      </c>
      <c r="CD5" s="228">
        <f t="shared" si="12"/>
        <v>54.95</v>
      </c>
      <c r="CE5" s="228">
        <f t="shared" si="12"/>
        <v>0</v>
      </c>
      <c r="CF5" s="228">
        <f t="shared" si="12"/>
        <v>0</v>
      </c>
      <c r="CG5" s="228">
        <f t="shared" si="12"/>
        <v>0</v>
      </c>
      <c r="CH5" s="228">
        <f t="shared" si="12"/>
        <v>4.6958333333333293</v>
      </c>
      <c r="CI5" s="228">
        <f t="shared" si="12"/>
        <v>59.745833333333337</v>
      </c>
      <c r="CJ5" s="228">
        <f t="shared" si="12"/>
        <v>271.19791666666663</v>
      </c>
      <c r="CK5" s="228">
        <f t="shared" si="12"/>
        <v>530.54583333333335</v>
      </c>
      <c r="CM5" s="1">
        <f t="shared" ref="CM5:CM15" si="19">CM4+1</f>
        <v>2017</v>
      </c>
      <c r="CN5" s="228">
        <f t="shared" si="13"/>
        <v>383.0916666666667</v>
      </c>
      <c r="CO5" s="228">
        <f t="shared" si="13"/>
        <v>282.74583333333328</v>
      </c>
      <c r="CP5" s="228">
        <f t="shared" si="13"/>
        <v>315.91666666666663</v>
      </c>
      <c r="CQ5" s="228">
        <f t="shared" si="13"/>
        <v>61.175000000000026</v>
      </c>
      <c r="CR5" s="228">
        <f t="shared" si="13"/>
        <v>29.462500000000006</v>
      </c>
      <c r="CS5" s="228">
        <f t="shared" si="13"/>
        <v>0</v>
      </c>
      <c r="CT5" s="228">
        <f t="shared" si="13"/>
        <v>0</v>
      </c>
      <c r="CU5" s="228">
        <f t="shared" si="13"/>
        <v>0</v>
      </c>
      <c r="CV5" s="228">
        <f t="shared" si="13"/>
        <v>0.10416666666666607</v>
      </c>
      <c r="CW5" s="228">
        <f t="shared" si="13"/>
        <v>36.958333333333336</v>
      </c>
      <c r="CX5" s="228">
        <f t="shared" si="13"/>
        <v>214.85624999999996</v>
      </c>
      <c r="CY5" s="228">
        <f t="shared" si="13"/>
        <v>468.54583333333341</v>
      </c>
      <c r="DA5" s="1">
        <f t="shared" ref="DA5:DA15" si="20">DA4+1</f>
        <v>2017</v>
      </c>
      <c r="DB5" s="228">
        <f t="shared" si="14"/>
        <v>321.0916666666667</v>
      </c>
      <c r="DC5" s="228">
        <f t="shared" si="14"/>
        <v>230.00416666666666</v>
      </c>
      <c r="DD5" s="228">
        <f t="shared" si="14"/>
        <v>259.54583333333329</v>
      </c>
      <c r="DE5" s="228">
        <f t="shared" si="14"/>
        <v>28.69166666666667</v>
      </c>
      <c r="DF5" s="228">
        <f t="shared" si="14"/>
        <v>12.970833333333339</v>
      </c>
      <c r="DG5" s="228">
        <f t="shared" si="14"/>
        <v>0</v>
      </c>
      <c r="DH5" s="228">
        <f t="shared" si="14"/>
        <v>0</v>
      </c>
      <c r="DI5" s="228">
        <f t="shared" si="14"/>
        <v>0</v>
      </c>
      <c r="DJ5" s="228">
        <f t="shared" si="14"/>
        <v>0</v>
      </c>
      <c r="DK5" s="228">
        <f t="shared" si="14"/>
        <v>22.65</v>
      </c>
      <c r="DL5" s="228">
        <f t="shared" si="14"/>
        <v>159.84375</v>
      </c>
      <c r="DM5" s="228">
        <f t="shared" si="14"/>
        <v>406.54583333333329</v>
      </c>
    </row>
    <row r="6" spans="1:138" x14ac:dyDescent="0.2">
      <c r="A6" s="1">
        <v>2016</v>
      </c>
      <c r="B6" s="1">
        <v>5</v>
      </c>
      <c r="C6" s="220">
        <v>14.211424731182795</v>
      </c>
      <c r="D6" s="220">
        <v>192.73333333333332</v>
      </c>
      <c r="E6" s="220">
        <v>13.287500000000009</v>
      </c>
      <c r="F6" s="220">
        <v>144.64166666666668</v>
      </c>
      <c r="G6" s="220">
        <v>27.19583333333334</v>
      </c>
      <c r="H6" s="220">
        <v>100.37083333333332</v>
      </c>
      <c r="I6" s="220">
        <v>44.924999999999997</v>
      </c>
      <c r="J6" s="220">
        <v>65.074999999999989</v>
      </c>
      <c r="K6" s="220">
        <v>71.629166666666663</v>
      </c>
      <c r="L6" s="220">
        <v>35.416666666666664</v>
      </c>
      <c r="M6" s="220">
        <v>103.97083333333333</v>
      </c>
      <c r="N6" s="220">
        <v>14.370833333333332</v>
      </c>
      <c r="O6" s="220">
        <v>144.92499999999998</v>
      </c>
      <c r="P6" s="220">
        <v>4.7666666666666648</v>
      </c>
      <c r="Q6" s="220">
        <v>197.32083333333335</v>
      </c>
      <c r="T6" s="1">
        <f t="shared" si="15"/>
        <v>2018</v>
      </c>
      <c r="U6" s="2">
        <f t="shared" si="7"/>
        <v>812.29583333333323</v>
      </c>
      <c r="V6" s="2">
        <f t="shared" si="7"/>
        <v>630.37083333333339</v>
      </c>
      <c r="W6" s="2">
        <f t="shared" si="7"/>
        <v>657.81666666666672</v>
      </c>
      <c r="X6" s="2">
        <f t="shared" si="7"/>
        <v>520.90000000000009</v>
      </c>
      <c r="Y6" s="2">
        <f t="shared" si="7"/>
        <v>117.82500000000002</v>
      </c>
      <c r="Z6" s="2">
        <f t="shared" si="7"/>
        <v>55.550000000000011</v>
      </c>
      <c r="AA6" s="2">
        <f t="shared" si="7"/>
        <v>15.339583333333312</v>
      </c>
      <c r="AB6" s="2">
        <f t="shared" si="7"/>
        <v>9.9416666666666771</v>
      </c>
      <c r="AC6" s="2">
        <f t="shared" si="7"/>
        <v>101.08749999999999</v>
      </c>
      <c r="AD6" s="2">
        <f t="shared" si="7"/>
        <v>348</v>
      </c>
      <c r="AE6" s="2">
        <f t="shared" si="7"/>
        <v>578.42499999999995</v>
      </c>
      <c r="AF6" s="2">
        <f t="shared" si="7"/>
        <v>635.4708333333333</v>
      </c>
      <c r="AI6" s="1">
        <f t="shared" ref="AI6:AI15" si="21">AI5+1</f>
        <v>2017</v>
      </c>
      <c r="AJ6" s="228">
        <f t="shared" si="8"/>
        <v>631.09166666666658</v>
      </c>
      <c r="AK6" s="228">
        <f t="shared" si="8"/>
        <v>505.97916666666669</v>
      </c>
      <c r="AL6" s="228">
        <f t="shared" si="8"/>
        <v>563.39166666666665</v>
      </c>
      <c r="AM6" s="228">
        <f t="shared" si="8"/>
        <v>259.11666666666662</v>
      </c>
      <c r="AN6" s="228">
        <f t="shared" si="8"/>
        <v>189.45833333333337</v>
      </c>
      <c r="AO6" s="228">
        <f t="shared" si="8"/>
        <v>33.816666666666677</v>
      </c>
      <c r="AP6" s="228">
        <f t="shared" si="8"/>
        <v>0.49166666666666714</v>
      </c>
      <c r="AQ6" s="228">
        <f t="shared" si="8"/>
        <v>20.012500000000003</v>
      </c>
      <c r="AR6" s="228">
        <f t="shared" si="8"/>
        <v>71.945833333333312</v>
      </c>
      <c r="AS6" s="228">
        <f t="shared" si="8"/>
        <v>183.64583333333334</v>
      </c>
      <c r="AT6" s="228">
        <f t="shared" si="8"/>
        <v>451.08124999999984</v>
      </c>
      <c r="AU6" s="228">
        <f t="shared" si="8"/>
        <v>716.54583333333335</v>
      </c>
      <c r="AV6" s="223">
        <f t="shared" si="9"/>
        <v>3626.5770833333327</v>
      </c>
      <c r="AW6" s="1">
        <f t="shared" si="16"/>
        <v>2018</v>
      </c>
      <c r="AX6" s="228">
        <f t="shared" si="10"/>
        <v>688.29583333333312</v>
      </c>
      <c r="AY6" s="228">
        <f t="shared" si="10"/>
        <v>518.37083333333339</v>
      </c>
      <c r="AZ6" s="228">
        <f t="shared" si="10"/>
        <v>533.81666666666672</v>
      </c>
      <c r="BA6" s="228">
        <f t="shared" si="10"/>
        <v>400.90000000000003</v>
      </c>
      <c r="BB6" s="228">
        <f t="shared" si="10"/>
        <v>36.74583333333333</v>
      </c>
      <c r="BC6" s="228">
        <f t="shared" si="10"/>
        <v>8.9958333333333336</v>
      </c>
      <c r="BD6" s="228">
        <f t="shared" si="10"/>
        <v>0</v>
      </c>
      <c r="BE6" s="228">
        <f t="shared" si="10"/>
        <v>0</v>
      </c>
      <c r="BF6" s="228">
        <f t="shared" si="10"/>
        <v>39.587500000000006</v>
      </c>
      <c r="BG6" s="228">
        <f t="shared" si="10"/>
        <v>233.96249999999998</v>
      </c>
      <c r="BH6" s="228">
        <f t="shared" si="10"/>
        <v>458.42500000000001</v>
      </c>
      <c r="BI6" s="228">
        <f t="shared" si="10"/>
        <v>511.4708333333333</v>
      </c>
      <c r="BK6" s="1">
        <f t="shared" si="17"/>
        <v>2018</v>
      </c>
      <c r="BL6" s="228">
        <f t="shared" si="11"/>
        <v>626.29583333333323</v>
      </c>
      <c r="BM6" s="228">
        <f t="shared" si="11"/>
        <v>462.37083333333339</v>
      </c>
      <c r="BN6" s="228">
        <f t="shared" si="11"/>
        <v>471.81666666666666</v>
      </c>
      <c r="BO6" s="228">
        <f t="shared" si="11"/>
        <v>340.9</v>
      </c>
      <c r="BP6" s="228">
        <f t="shared" si="11"/>
        <v>15.375000000000002</v>
      </c>
      <c r="BQ6" s="228">
        <f t="shared" si="11"/>
        <v>4.6208333333333336</v>
      </c>
      <c r="BR6" s="228">
        <f t="shared" si="11"/>
        <v>0</v>
      </c>
      <c r="BS6" s="228">
        <f t="shared" si="11"/>
        <v>0</v>
      </c>
      <c r="BT6" s="228">
        <f t="shared" si="11"/>
        <v>20.0625</v>
      </c>
      <c r="BU6" s="228">
        <f t="shared" si="11"/>
        <v>181.64999999999998</v>
      </c>
      <c r="BV6" s="228">
        <f t="shared" si="11"/>
        <v>398.42499999999995</v>
      </c>
      <c r="BW6" s="228">
        <f t="shared" si="11"/>
        <v>449.47083333333325</v>
      </c>
      <c r="BY6" s="1">
        <f t="shared" si="18"/>
        <v>2018</v>
      </c>
      <c r="BZ6" s="228">
        <f t="shared" si="12"/>
        <v>564.29583333333323</v>
      </c>
      <c r="CA6" s="228">
        <f t="shared" si="12"/>
        <v>406.37083333333339</v>
      </c>
      <c r="CB6" s="228">
        <f t="shared" si="12"/>
        <v>409.81666666666661</v>
      </c>
      <c r="CC6" s="228">
        <f t="shared" si="12"/>
        <v>281.00416666666666</v>
      </c>
      <c r="CD6" s="228">
        <f t="shared" si="12"/>
        <v>8.4958333333333336</v>
      </c>
      <c r="CE6" s="228">
        <f t="shared" si="12"/>
        <v>0.82500000000000107</v>
      </c>
      <c r="CF6" s="228">
        <f t="shared" si="12"/>
        <v>0</v>
      </c>
      <c r="CG6" s="228">
        <f t="shared" si="12"/>
        <v>0</v>
      </c>
      <c r="CH6" s="228">
        <f t="shared" si="12"/>
        <v>5.2124999999999968</v>
      </c>
      <c r="CI6" s="228">
        <f t="shared" si="12"/>
        <v>137.12499999999994</v>
      </c>
      <c r="CJ6" s="228">
        <f t="shared" si="12"/>
        <v>338.42500000000007</v>
      </c>
      <c r="CK6" s="228">
        <f t="shared" si="12"/>
        <v>387.4708333333333</v>
      </c>
      <c r="CM6" s="1">
        <f t="shared" si="19"/>
        <v>2018</v>
      </c>
      <c r="CN6" s="228">
        <f t="shared" si="13"/>
        <v>502.29583333333318</v>
      </c>
      <c r="CO6" s="228">
        <f t="shared" si="13"/>
        <v>351.93333333333339</v>
      </c>
      <c r="CP6" s="228">
        <f t="shared" si="13"/>
        <v>347.81666666666661</v>
      </c>
      <c r="CQ6" s="228">
        <f t="shared" si="13"/>
        <v>223.94583333333333</v>
      </c>
      <c r="CR6" s="228">
        <f t="shared" si="13"/>
        <v>4.4958333333333345</v>
      </c>
      <c r="CS6" s="228">
        <f t="shared" si="13"/>
        <v>0</v>
      </c>
      <c r="CT6" s="228">
        <f t="shared" si="13"/>
        <v>0</v>
      </c>
      <c r="CU6" s="228">
        <f t="shared" si="13"/>
        <v>0</v>
      </c>
      <c r="CV6" s="228">
        <f t="shared" si="13"/>
        <v>1.2500000000001066E-2</v>
      </c>
      <c r="CW6" s="228">
        <f t="shared" si="13"/>
        <v>93.125</v>
      </c>
      <c r="CX6" s="228">
        <f t="shared" si="13"/>
        <v>278.42500000000001</v>
      </c>
      <c r="CY6" s="228">
        <f t="shared" si="13"/>
        <v>325.4708333333333</v>
      </c>
      <c r="DA6" s="1">
        <f t="shared" si="20"/>
        <v>2018</v>
      </c>
      <c r="DB6" s="228">
        <f t="shared" si="14"/>
        <v>440.3624999999999</v>
      </c>
      <c r="DC6" s="228">
        <f t="shared" si="14"/>
        <v>297.93333333333334</v>
      </c>
      <c r="DD6" s="228">
        <f t="shared" si="14"/>
        <v>285.81666666666655</v>
      </c>
      <c r="DE6" s="228">
        <f t="shared" si="14"/>
        <v>169.39999999999998</v>
      </c>
      <c r="DF6" s="228">
        <f t="shared" si="14"/>
        <v>1.8166666666666655</v>
      </c>
      <c r="DG6" s="228">
        <f t="shared" si="14"/>
        <v>0</v>
      </c>
      <c r="DH6" s="228">
        <f t="shared" si="14"/>
        <v>0</v>
      </c>
      <c r="DI6" s="228">
        <f t="shared" si="14"/>
        <v>0</v>
      </c>
      <c r="DJ6" s="228">
        <f t="shared" si="14"/>
        <v>0</v>
      </c>
      <c r="DK6" s="228">
        <f t="shared" si="14"/>
        <v>52.849999999999994</v>
      </c>
      <c r="DL6" s="228">
        <f t="shared" si="14"/>
        <v>220.35416666666669</v>
      </c>
      <c r="DM6" s="228">
        <f t="shared" si="14"/>
        <v>263.4708333333333</v>
      </c>
    </row>
    <row r="7" spans="1:138" x14ac:dyDescent="0.2">
      <c r="A7" s="1">
        <v>2016</v>
      </c>
      <c r="B7" s="1">
        <v>6</v>
      </c>
      <c r="C7" s="220">
        <v>18.638333333333335</v>
      </c>
      <c r="D7" s="220">
        <v>66.858333333333334</v>
      </c>
      <c r="E7" s="220">
        <v>26.00833333333334</v>
      </c>
      <c r="F7" s="220">
        <v>34.929166666666674</v>
      </c>
      <c r="G7" s="220">
        <v>54.07916666666668</v>
      </c>
      <c r="H7" s="220">
        <v>16.44166666666667</v>
      </c>
      <c r="I7" s="220">
        <v>95.591666666666669</v>
      </c>
      <c r="J7" s="220">
        <v>6.3875000000000064</v>
      </c>
      <c r="K7" s="220">
        <v>145.53750000000005</v>
      </c>
      <c r="L7" s="220">
        <v>1.7000000000000011</v>
      </c>
      <c r="M7" s="220">
        <v>200.85000000000005</v>
      </c>
      <c r="N7" s="220">
        <v>0</v>
      </c>
      <c r="O7" s="220">
        <v>259.15000000000003</v>
      </c>
      <c r="P7" s="220">
        <v>0</v>
      </c>
      <c r="Q7" s="220">
        <v>319.14999999999998</v>
      </c>
      <c r="T7" s="1">
        <f t="shared" si="15"/>
        <v>2019</v>
      </c>
      <c r="U7" s="2">
        <f t="shared" si="7"/>
        <v>840.33749999999986</v>
      </c>
      <c r="V7" s="2">
        <f t="shared" si="7"/>
        <v>685.91250000000002</v>
      </c>
      <c r="W7" s="2">
        <f t="shared" si="7"/>
        <v>674.37083333333317</v>
      </c>
      <c r="X7" s="2">
        <f t="shared" si="7"/>
        <v>415.04791666666677</v>
      </c>
      <c r="Y7" s="2">
        <f t="shared" si="7"/>
        <v>240.42499999999998</v>
      </c>
      <c r="Z7" s="2">
        <f t="shared" si="7"/>
        <v>69.822916666666686</v>
      </c>
      <c r="AA7" s="2">
        <f t="shared" si="7"/>
        <v>5.9499999999999886</v>
      </c>
      <c r="AB7" s="2">
        <f t="shared" si="7"/>
        <v>28.045833333333334</v>
      </c>
      <c r="AC7" s="2">
        <f t="shared" si="7"/>
        <v>86.468749999999986</v>
      </c>
      <c r="AD7" s="2">
        <f t="shared" si="7"/>
        <v>302.80416666666667</v>
      </c>
      <c r="AE7" s="2">
        <f t="shared" si="7"/>
        <v>583.46666666666658</v>
      </c>
      <c r="AF7" s="2">
        <f t="shared" si="7"/>
        <v>642.13125000000002</v>
      </c>
      <c r="AI7" s="1">
        <f t="shared" si="21"/>
        <v>2018</v>
      </c>
      <c r="AJ7" s="228">
        <f t="shared" si="8"/>
        <v>750.29583333333323</v>
      </c>
      <c r="AK7" s="228">
        <f t="shared" si="8"/>
        <v>574.37083333333339</v>
      </c>
      <c r="AL7" s="228">
        <f t="shared" si="8"/>
        <v>595.81666666666683</v>
      </c>
      <c r="AM7" s="228">
        <f t="shared" si="8"/>
        <v>460.90000000000003</v>
      </c>
      <c r="AN7" s="228">
        <f t="shared" si="8"/>
        <v>73.595833333333331</v>
      </c>
      <c r="AO7" s="228">
        <f t="shared" si="8"/>
        <v>21.091666666666665</v>
      </c>
      <c r="AP7" s="228">
        <f t="shared" si="8"/>
        <v>0.97083333333332433</v>
      </c>
      <c r="AQ7" s="228">
        <f t="shared" si="8"/>
        <v>1.7291666666666643</v>
      </c>
      <c r="AR7" s="228">
        <f t="shared" si="8"/>
        <v>67.079166666666666</v>
      </c>
      <c r="AS7" s="228">
        <f t="shared" si="8"/>
        <v>290</v>
      </c>
      <c r="AT7" s="228">
        <f t="shared" si="8"/>
        <v>518.42500000000007</v>
      </c>
      <c r="AU7" s="228">
        <f t="shared" si="8"/>
        <v>573.47083333333342</v>
      </c>
      <c r="AV7" s="223">
        <f t="shared" si="9"/>
        <v>3927.7458333333334</v>
      </c>
      <c r="AW7" s="1">
        <f t="shared" si="16"/>
        <v>2019</v>
      </c>
      <c r="AX7" s="228">
        <f t="shared" si="10"/>
        <v>716.33749999999986</v>
      </c>
      <c r="AY7" s="228">
        <f t="shared" si="10"/>
        <v>573.91250000000002</v>
      </c>
      <c r="AZ7" s="228">
        <f t="shared" si="10"/>
        <v>550.37083333333328</v>
      </c>
      <c r="BA7" s="228">
        <f t="shared" si="10"/>
        <v>295.04791666666671</v>
      </c>
      <c r="BB7" s="228">
        <f t="shared" si="10"/>
        <v>123.21250000000001</v>
      </c>
      <c r="BC7" s="228">
        <f t="shared" si="10"/>
        <v>11.320833333333331</v>
      </c>
      <c r="BD7" s="228">
        <f t="shared" si="10"/>
        <v>0</v>
      </c>
      <c r="BE7" s="228">
        <f t="shared" si="10"/>
        <v>1.0958333333333385</v>
      </c>
      <c r="BF7" s="228">
        <f t="shared" si="10"/>
        <v>11.541666666666663</v>
      </c>
      <c r="BG7" s="228">
        <f t="shared" si="10"/>
        <v>182.8041666666667</v>
      </c>
      <c r="BH7" s="228">
        <f t="shared" si="10"/>
        <v>463.4666666666667</v>
      </c>
      <c r="BI7" s="228">
        <f t="shared" si="10"/>
        <v>518.13125000000002</v>
      </c>
      <c r="BK7" s="1">
        <f t="shared" si="17"/>
        <v>2019</v>
      </c>
      <c r="BL7" s="228">
        <f t="shared" si="11"/>
        <v>654.33749999999986</v>
      </c>
      <c r="BM7" s="228">
        <f t="shared" si="11"/>
        <v>517.91250000000002</v>
      </c>
      <c r="BN7" s="228">
        <f t="shared" si="11"/>
        <v>488.37083333333339</v>
      </c>
      <c r="BO7" s="228">
        <f t="shared" si="11"/>
        <v>235.04791666666668</v>
      </c>
      <c r="BP7" s="228">
        <f t="shared" si="11"/>
        <v>74.912499999999994</v>
      </c>
      <c r="BQ7" s="228">
        <f t="shared" si="11"/>
        <v>4.4958333333333336</v>
      </c>
      <c r="BR7" s="228">
        <f t="shared" si="11"/>
        <v>0</v>
      </c>
      <c r="BS7" s="228">
        <f t="shared" si="11"/>
        <v>0</v>
      </c>
      <c r="BT7" s="228">
        <f t="shared" si="11"/>
        <v>1.8833333333333364</v>
      </c>
      <c r="BU7" s="228">
        <f t="shared" si="11"/>
        <v>126.96250000000001</v>
      </c>
      <c r="BV7" s="228">
        <f t="shared" si="11"/>
        <v>403.4666666666667</v>
      </c>
      <c r="BW7" s="228">
        <f t="shared" si="11"/>
        <v>456.13125000000002</v>
      </c>
      <c r="BY7" s="1">
        <f t="shared" si="18"/>
        <v>2019</v>
      </c>
      <c r="BZ7" s="228">
        <f t="shared" si="12"/>
        <v>592.33749999999986</v>
      </c>
      <c r="CA7" s="228">
        <f t="shared" si="12"/>
        <v>461.91249999999997</v>
      </c>
      <c r="CB7" s="228">
        <f t="shared" si="12"/>
        <v>426.37083333333345</v>
      </c>
      <c r="CC7" s="228">
        <f t="shared" si="12"/>
        <v>177.16041666666663</v>
      </c>
      <c r="CD7" s="228">
        <f t="shared" si="12"/>
        <v>36.966666666666669</v>
      </c>
      <c r="CE7" s="228">
        <f t="shared" si="12"/>
        <v>2.0958333333333332</v>
      </c>
      <c r="CF7" s="228">
        <f t="shared" si="12"/>
        <v>0</v>
      </c>
      <c r="CG7" s="228">
        <f t="shared" si="12"/>
        <v>0</v>
      </c>
      <c r="CH7" s="228">
        <f t="shared" si="12"/>
        <v>0</v>
      </c>
      <c r="CI7" s="228">
        <f t="shared" si="12"/>
        <v>75.183333333333351</v>
      </c>
      <c r="CJ7" s="228">
        <f t="shared" si="12"/>
        <v>343.46666666666664</v>
      </c>
      <c r="CK7" s="228">
        <f t="shared" si="12"/>
        <v>394.13125000000002</v>
      </c>
      <c r="CM7" s="1">
        <f t="shared" si="19"/>
        <v>2019</v>
      </c>
      <c r="CN7" s="228">
        <f t="shared" si="13"/>
        <v>530.33749999999986</v>
      </c>
      <c r="CO7" s="228">
        <f t="shared" si="13"/>
        <v>405.91249999999997</v>
      </c>
      <c r="CP7" s="228">
        <f t="shared" si="13"/>
        <v>364.37083333333345</v>
      </c>
      <c r="CQ7" s="228">
        <f t="shared" si="13"/>
        <v>122.43541666666665</v>
      </c>
      <c r="CR7" s="228">
        <f t="shared" si="13"/>
        <v>14.195833333333336</v>
      </c>
      <c r="CS7" s="228">
        <f t="shared" si="13"/>
        <v>9.5833333333333215E-2</v>
      </c>
      <c r="CT7" s="228">
        <f t="shared" si="13"/>
        <v>0</v>
      </c>
      <c r="CU7" s="228">
        <f t="shared" si="13"/>
        <v>0</v>
      </c>
      <c r="CV7" s="228">
        <f t="shared" si="13"/>
        <v>0</v>
      </c>
      <c r="CW7" s="228">
        <f t="shared" si="13"/>
        <v>35.958333333333329</v>
      </c>
      <c r="CX7" s="228">
        <f t="shared" si="13"/>
        <v>283.46666666666664</v>
      </c>
      <c r="CY7" s="228">
        <f t="shared" si="13"/>
        <v>332.13125000000002</v>
      </c>
      <c r="DA7" s="1">
        <f t="shared" si="20"/>
        <v>2019</v>
      </c>
      <c r="DB7" s="228">
        <f t="shared" si="14"/>
        <v>468.33749999999998</v>
      </c>
      <c r="DC7" s="228">
        <f t="shared" si="14"/>
        <v>349.91249999999997</v>
      </c>
      <c r="DD7" s="228">
        <f t="shared" si="14"/>
        <v>302.37083333333339</v>
      </c>
      <c r="DE7" s="228">
        <f t="shared" si="14"/>
        <v>78.685416666666683</v>
      </c>
      <c r="DF7" s="228">
        <f t="shared" si="14"/>
        <v>4.0791666666666666</v>
      </c>
      <c r="DG7" s="228">
        <f t="shared" si="14"/>
        <v>0</v>
      </c>
      <c r="DH7" s="228">
        <f t="shared" si="14"/>
        <v>0</v>
      </c>
      <c r="DI7" s="228">
        <f t="shared" si="14"/>
        <v>0</v>
      </c>
      <c r="DJ7" s="228">
        <f t="shared" si="14"/>
        <v>0</v>
      </c>
      <c r="DK7" s="228">
        <f t="shared" si="14"/>
        <v>10.741666666666664</v>
      </c>
      <c r="DL7" s="228">
        <f t="shared" si="14"/>
        <v>223.46666666666667</v>
      </c>
      <c r="DM7" s="228">
        <f t="shared" si="14"/>
        <v>270.13124999999991</v>
      </c>
    </row>
    <row r="8" spans="1:138" x14ac:dyDescent="0.2">
      <c r="A8" s="1">
        <v>2016</v>
      </c>
      <c r="B8" s="1">
        <v>7</v>
      </c>
      <c r="C8" s="220">
        <v>21.888575268817206</v>
      </c>
      <c r="D8" s="220">
        <v>12.566666666666659</v>
      </c>
      <c r="E8" s="220">
        <v>71.112499999999983</v>
      </c>
      <c r="F8" s="220">
        <v>2.3208333333333364</v>
      </c>
      <c r="G8" s="220">
        <v>122.86666666666666</v>
      </c>
      <c r="H8" s="220">
        <v>0</v>
      </c>
      <c r="I8" s="220">
        <v>182.54583333333335</v>
      </c>
      <c r="J8" s="220">
        <v>0</v>
      </c>
      <c r="K8" s="220">
        <v>244.54583333333335</v>
      </c>
      <c r="L8" s="220">
        <v>0</v>
      </c>
      <c r="M8" s="220">
        <v>306.54583333333329</v>
      </c>
      <c r="N8" s="220">
        <v>0</v>
      </c>
      <c r="O8" s="220">
        <v>368.54583333333329</v>
      </c>
      <c r="P8" s="220">
        <v>0</v>
      </c>
      <c r="Q8" s="220">
        <v>430.54583333333323</v>
      </c>
      <c r="T8" s="1">
        <f t="shared" si="15"/>
        <v>2020</v>
      </c>
      <c r="U8" s="2">
        <f t="shared" si="7"/>
        <v>664.31249999999989</v>
      </c>
      <c r="V8" s="2">
        <f t="shared" si="7"/>
        <v>670.01666666666654</v>
      </c>
      <c r="W8" s="2">
        <f t="shared" si="7"/>
        <v>532.72083333333342</v>
      </c>
      <c r="X8" s="2">
        <f t="shared" si="7"/>
        <v>445.07083333333321</v>
      </c>
      <c r="Y8" s="2">
        <f t="shared" si="7"/>
        <v>259.70833333333331</v>
      </c>
      <c r="Z8" s="2">
        <f t="shared" si="7"/>
        <v>47.600000000000009</v>
      </c>
      <c r="AA8" s="2">
        <f t="shared" si="7"/>
        <v>1.3625000000000007</v>
      </c>
      <c r="AB8" s="2">
        <f t="shared" si="7"/>
        <v>22.308333333333337</v>
      </c>
      <c r="AC8" s="2">
        <f t="shared" si="7"/>
        <v>137.5333333333333</v>
      </c>
      <c r="AD8" s="2">
        <f t="shared" si="7"/>
        <v>347.44791666666663</v>
      </c>
      <c r="AE8" s="2">
        <f t="shared" si="7"/>
        <v>415.85416666666657</v>
      </c>
      <c r="AF8" s="2">
        <f t="shared" si="7"/>
        <v>641.59791666666649</v>
      </c>
      <c r="AI8" s="1">
        <f t="shared" si="21"/>
        <v>2019</v>
      </c>
      <c r="AJ8" s="228">
        <f t="shared" si="8"/>
        <v>778.33750000000009</v>
      </c>
      <c r="AK8" s="228">
        <f t="shared" si="8"/>
        <v>629.91250000000002</v>
      </c>
      <c r="AL8" s="228">
        <f t="shared" si="8"/>
        <v>612.37083333333328</v>
      </c>
      <c r="AM8" s="228">
        <f t="shared" si="8"/>
        <v>355.04791666666671</v>
      </c>
      <c r="AN8" s="228">
        <f t="shared" si="8"/>
        <v>178.66250000000002</v>
      </c>
      <c r="AO8" s="228">
        <f t="shared" si="8"/>
        <v>31.910416666666663</v>
      </c>
      <c r="AP8" s="228">
        <f t="shared" si="8"/>
        <v>0</v>
      </c>
      <c r="AQ8" s="228">
        <f t="shared" si="8"/>
        <v>8.2541666666666735</v>
      </c>
      <c r="AR8" s="228">
        <f t="shared" si="8"/>
        <v>40.506249999999994</v>
      </c>
      <c r="AS8" s="228">
        <f t="shared" si="8"/>
        <v>242.8041666666667</v>
      </c>
      <c r="AT8" s="228">
        <f t="shared" si="8"/>
        <v>523.4666666666667</v>
      </c>
      <c r="AU8" s="228">
        <f t="shared" si="8"/>
        <v>580.13125000000002</v>
      </c>
      <c r="AV8" s="223">
        <f t="shared" si="9"/>
        <v>3981.4041666666667</v>
      </c>
      <c r="AW8" s="1">
        <f t="shared" si="16"/>
        <v>2020</v>
      </c>
      <c r="AX8" s="228">
        <f t="shared" si="10"/>
        <v>540.3125</v>
      </c>
      <c r="AY8" s="228">
        <f t="shared" si="10"/>
        <v>554.01666666666665</v>
      </c>
      <c r="AZ8" s="228">
        <f t="shared" si="10"/>
        <v>408.72083333333325</v>
      </c>
      <c r="BA8" s="228">
        <f t="shared" si="10"/>
        <v>325.07083333333333</v>
      </c>
      <c r="BB8" s="228">
        <f t="shared" si="10"/>
        <v>160.06249999999997</v>
      </c>
      <c r="BC8" s="228">
        <f t="shared" si="10"/>
        <v>11.395833333333332</v>
      </c>
      <c r="BD8" s="228">
        <f t="shared" si="10"/>
        <v>0</v>
      </c>
      <c r="BE8" s="228">
        <f t="shared" si="10"/>
        <v>0</v>
      </c>
      <c r="BF8" s="228">
        <f t="shared" si="10"/>
        <v>51.81666666666667</v>
      </c>
      <c r="BG8" s="228">
        <f t="shared" si="10"/>
        <v>223.65625</v>
      </c>
      <c r="BH8" s="228">
        <f t="shared" si="10"/>
        <v>296.94583333333333</v>
      </c>
      <c r="BI8" s="228">
        <f t="shared" si="10"/>
        <v>517.59791666666661</v>
      </c>
      <c r="BK8" s="1">
        <f t="shared" si="17"/>
        <v>2020</v>
      </c>
      <c r="BL8" s="228">
        <f t="shared" si="11"/>
        <v>478.31249999999994</v>
      </c>
      <c r="BM8" s="228">
        <f t="shared" si="11"/>
        <v>496.01666666666659</v>
      </c>
      <c r="BN8" s="228">
        <f t="shared" si="11"/>
        <v>346.7208333333333</v>
      </c>
      <c r="BO8" s="228">
        <f t="shared" si="11"/>
        <v>265.07083333333338</v>
      </c>
      <c r="BP8" s="228">
        <f t="shared" si="11"/>
        <v>117.34583333333333</v>
      </c>
      <c r="BQ8" s="228">
        <f t="shared" si="11"/>
        <v>3.7708333333333339</v>
      </c>
      <c r="BR8" s="228">
        <f t="shared" si="11"/>
        <v>0</v>
      </c>
      <c r="BS8" s="228">
        <f t="shared" si="11"/>
        <v>0</v>
      </c>
      <c r="BT8" s="228">
        <f t="shared" si="11"/>
        <v>25.787499999999994</v>
      </c>
      <c r="BU8" s="228">
        <f t="shared" si="11"/>
        <v>165.45833333333334</v>
      </c>
      <c r="BV8" s="228">
        <f t="shared" si="11"/>
        <v>238.94583333333335</v>
      </c>
      <c r="BW8" s="228">
        <f t="shared" si="11"/>
        <v>455.59791666666672</v>
      </c>
      <c r="BY8" s="1">
        <f t="shared" si="18"/>
        <v>2020</v>
      </c>
      <c r="BZ8" s="228">
        <f t="shared" si="12"/>
        <v>416.31249999999994</v>
      </c>
      <c r="CA8" s="228">
        <f t="shared" si="12"/>
        <v>438.01666666666665</v>
      </c>
      <c r="CB8" s="228">
        <f t="shared" si="12"/>
        <v>284.72083333333325</v>
      </c>
      <c r="CC8" s="228">
        <f t="shared" si="12"/>
        <v>205.07083333333335</v>
      </c>
      <c r="CD8" s="228">
        <f t="shared" si="12"/>
        <v>82.520833333333329</v>
      </c>
      <c r="CE8" s="228">
        <f t="shared" si="12"/>
        <v>0</v>
      </c>
      <c r="CF8" s="228">
        <f t="shared" si="12"/>
        <v>0</v>
      </c>
      <c r="CG8" s="228">
        <f t="shared" si="12"/>
        <v>0</v>
      </c>
      <c r="CH8" s="228">
        <f t="shared" si="12"/>
        <v>9.6500000000000057</v>
      </c>
      <c r="CI8" s="228">
        <f t="shared" si="12"/>
        <v>112.08750000000001</v>
      </c>
      <c r="CJ8" s="228">
        <f t="shared" si="12"/>
        <v>184.32083333333333</v>
      </c>
      <c r="CK8" s="228">
        <f t="shared" si="12"/>
        <v>393.59791666666666</v>
      </c>
      <c r="CM8" s="1">
        <f t="shared" si="19"/>
        <v>2020</v>
      </c>
      <c r="CN8" s="228">
        <f t="shared" si="13"/>
        <v>354.31249999999989</v>
      </c>
      <c r="CO8" s="228">
        <f t="shared" si="13"/>
        <v>380.01666666666665</v>
      </c>
      <c r="CP8" s="228">
        <f t="shared" si="13"/>
        <v>223.76666666666662</v>
      </c>
      <c r="CQ8" s="228">
        <f t="shared" si="13"/>
        <v>149.02500000000001</v>
      </c>
      <c r="CR8" s="228">
        <f t="shared" si="13"/>
        <v>55.441666666666677</v>
      </c>
      <c r="CS8" s="228">
        <f t="shared" si="13"/>
        <v>0</v>
      </c>
      <c r="CT8" s="228">
        <f t="shared" si="13"/>
        <v>0</v>
      </c>
      <c r="CU8" s="228">
        <f t="shared" si="13"/>
        <v>0</v>
      </c>
      <c r="CV8" s="228">
        <f t="shared" si="13"/>
        <v>2.929166666666668</v>
      </c>
      <c r="CW8" s="228">
        <f t="shared" si="13"/>
        <v>69.74166666666666</v>
      </c>
      <c r="CX8" s="228">
        <f t="shared" si="13"/>
        <v>140.25833333333333</v>
      </c>
      <c r="CY8" s="228">
        <f t="shared" si="13"/>
        <v>331.59791666666666</v>
      </c>
      <c r="DA8" s="1">
        <f t="shared" si="20"/>
        <v>2020</v>
      </c>
      <c r="DB8" s="228">
        <f t="shared" si="14"/>
        <v>292.3125</v>
      </c>
      <c r="DC8" s="228">
        <f t="shared" si="14"/>
        <v>322.01666666666665</v>
      </c>
      <c r="DD8" s="228">
        <f t="shared" si="14"/>
        <v>165.75416666666669</v>
      </c>
      <c r="DE8" s="228">
        <f t="shared" si="14"/>
        <v>97.537499999999966</v>
      </c>
      <c r="DF8" s="228">
        <f t="shared" si="14"/>
        <v>32.854166666666664</v>
      </c>
      <c r="DG8" s="228">
        <f t="shared" si="14"/>
        <v>0</v>
      </c>
      <c r="DH8" s="228">
        <f t="shared" si="14"/>
        <v>0</v>
      </c>
      <c r="DI8" s="228">
        <f t="shared" si="14"/>
        <v>0</v>
      </c>
      <c r="DJ8" s="228">
        <f t="shared" si="14"/>
        <v>0.13333333333333375</v>
      </c>
      <c r="DK8" s="228">
        <f t="shared" si="14"/>
        <v>37.6875</v>
      </c>
      <c r="DL8" s="228">
        <f t="shared" si="14"/>
        <v>100.12083333333332</v>
      </c>
      <c r="DM8" s="228">
        <f t="shared" si="14"/>
        <v>269.59791666666672</v>
      </c>
    </row>
    <row r="9" spans="1:138" x14ac:dyDescent="0.2">
      <c r="A9" s="1">
        <v>2016</v>
      </c>
      <c r="B9" s="1">
        <v>8</v>
      </c>
      <c r="C9" s="220">
        <v>22.075672043010748</v>
      </c>
      <c r="D9" s="220">
        <v>3.0791666666666622</v>
      </c>
      <c r="E9" s="220">
        <v>67.425000000000026</v>
      </c>
      <c r="F9" s="220">
        <v>0.30833333333333002</v>
      </c>
      <c r="G9" s="220">
        <v>126.65416666666671</v>
      </c>
      <c r="H9" s="220">
        <v>0</v>
      </c>
      <c r="I9" s="220">
        <v>188.34583333333333</v>
      </c>
      <c r="J9" s="220">
        <v>0</v>
      </c>
      <c r="K9" s="220">
        <v>250.34583333333333</v>
      </c>
      <c r="L9" s="220">
        <v>0</v>
      </c>
      <c r="M9" s="220">
        <v>312.34583333333336</v>
      </c>
      <c r="N9" s="220">
        <v>0</v>
      </c>
      <c r="O9" s="220">
        <v>374.34583333333336</v>
      </c>
      <c r="P9" s="220">
        <v>0</v>
      </c>
      <c r="Q9" s="220">
        <v>436.34583333333336</v>
      </c>
      <c r="T9" s="1">
        <f t="shared" si="15"/>
        <v>2021</v>
      </c>
      <c r="U9" s="2">
        <f t="shared" si="7"/>
        <v>709.92083333333335</v>
      </c>
      <c r="V9" s="2">
        <f t="shared" si="7"/>
        <v>738.5</v>
      </c>
      <c r="W9" s="2">
        <f t="shared" si="7"/>
        <v>514.07083333333333</v>
      </c>
      <c r="X9" s="2">
        <f t="shared" si="7"/>
        <v>367.14166666666665</v>
      </c>
      <c r="Y9" s="2">
        <f t="shared" si="7"/>
        <v>224.60833333333335</v>
      </c>
      <c r="Z9" s="2">
        <f t="shared" si="7"/>
        <v>34.541666666666664</v>
      </c>
      <c r="AA9" s="2">
        <f t="shared" si="7"/>
        <v>27.74375000000002</v>
      </c>
      <c r="AB9" s="2">
        <f t="shared" si="7"/>
        <v>14.214583333333341</v>
      </c>
      <c r="AC9" s="2">
        <f t="shared" si="7"/>
        <v>102.52500000000001</v>
      </c>
      <c r="AD9" s="2">
        <f t="shared" si="7"/>
        <v>215.85</v>
      </c>
      <c r="AE9" s="2">
        <f t="shared" si="7"/>
        <v>508.07916666666659</v>
      </c>
      <c r="AF9" s="2">
        <f t="shared" si="7"/>
        <v>589.17083333333335</v>
      </c>
      <c r="AI9" s="1">
        <f t="shared" si="21"/>
        <v>2020</v>
      </c>
      <c r="AJ9" s="228">
        <f t="shared" si="8"/>
        <v>602.31249999999977</v>
      </c>
      <c r="AK9" s="228">
        <f t="shared" si="8"/>
        <v>612.01666666666665</v>
      </c>
      <c r="AL9" s="228">
        <f t="shared" si="8"/>
        <v>470.72083333333336</v>
      </c>
      <c r="AM9" s="228">
        <f t="shared" si="8"/>
        <v>385.07083333333333</v>
      </c>
      <c r="AN9" s="228">
        <f t="shared" si="8"/>
        <v>207.87083333333328</v>
      </c>
      <c r="AO9" s="228">
        <f t="shared" si="8"/>
        <v>25.245833333333337</v>
      </c>
      <c r="AP9" s="228">
        <f t="shared" si="8"/>
        <v>0</v>
      </c>
      <c r="AQ9" s="228">
        <f t="shared" si="8"/>
        <v>3.3250000000000028</v>
      </c>
      <c r="AR9" s="228">
        <f t="shared" si="8"/>
        <v>88.633333333333326</v>
      </c>
      <c r="AS9" s="228">
        <f t="shared" si="8"/>
        <v>285.44791666666663</v>
      </c>
      <c r="AT9" s="228">
        <f t="shared" si="8"/>
        <v>355.85416666666663</v>
      </c>
      <c r="AU9" s="228">
        <f t="shared" si="8"/>
        <v>579.59791666666661</v>
      </c>
      <c r="AV9" s="223">
        <f t="shared" si="9"/>
        <v>3616.0958333333324</v>
      </c>
      <c r="AW9" s="1">
        <f t="shared" si="16"/>
        <v>2021</v>
      </c>
      <c r="AX9" s="228">
        <f t="shared" si="10"/>
        <v>585.92083333333335</v>
      </c>
      <c r="AY9" s="228">
        <f t="shared" si="10"/>
        <v>626.5</v>
      </c>
      <c r="AZ9" s="228">
        <f t="shared" si="10"/>
        <v>390.07083333333338</v>
      </c>
      <c r="BA9" s="228">
        <f t="shared" si="10"/>
        <v>248.47500000000002</v>
      </c>
      <c r="BB9" s="228">
        <f t="shared" si="10"/>
        <v>133.16666666666669</v>
      </c>
      <c r="BC9" s="228">
        <f t="shared" si="10"/>
        <v>4.779166666666665</v>
      </c>
      <c r="BD9" s="228">
        <f t="shared" si="10"/>
        <v>0</v>
      </c>
      <c r="BE9" s="228">
        <f t="shared" si="10"/>
        <v>0</v>
      </c>
      <c r="BF9" s="228">
        <f t="shared" si="10"/>
        <v>25.479166666666657</v>
      </c>
      <c r="BG9" s="228">
        <f t="shared" si="10"/>
        <v>114.46666666666667</v>
      </c>
      <c r="BH9" s="228">
        <f t="shared" si="10"/>
        <v>388.07916666666659</v>
      </c>
      <c r="BI9" s="228">
        <f t="shared" si="10"/>
        <v>465.17083333333329</v>
      </c>
      <c r="BK9" s="1">
        <f t="shared" si="17"/>
        <v>2021</v>
      </c>
      <c r="BL9" s="228">
        <f t="shared" si="11"/>
        <v>523.92083333333335</v>
      </c>
      <c r="BM9" s="228">
        <f t="shared" si="11"/>
        <v>570.50000000000011</v>
      </c>
      <c r="BN9" s="228">
        <f t="shared" si="11"/>
        <v>328.07083333333333</v>
      </c>
      <c r="BO9" s="228">
        <f t="shared" si="11"/>
        <v>195.19166666666669</v>
      </c>
      <c r="BP9" s="228">
        <f t="shared" si="11"/>
        <v>93.4375</v>
      </c>
      <c r="BQ9" s="228">
        <f t="shared" si="11"/>
        <v>1.1083333333333361</v>
      </c>
      <c r="BR9" s="228">
        <f t="shared" si="11"/>
        <v>0</v>
      </c>
      <c r="BS9" s="228">
        <f t="shared" si="11"/>
        <v>0</v>
      </c>
      <c r="BT9" s="228">
        <f t="shared" si="11"/>
        <v>6.8624999999999954</v>
      </c>
      <c r="BU9" s="228">
        <f t="shared" si="11"/>
        <v>80.245833333333309</v>
      </c>
      <c r="BV9" s="228">
        <f t="shared" si="11"/>
        <v>328.07916666666665</v>
      </c>
      <c r="BW9" s="228">
        <f t="shared" si="11"/>
        <v>403.17083333333323</v>
      </c>
      <c r="BY9" s="1">
        <f t="shared" si="18"/>
        <v>2021</v>
      </c>
      <c r="BZ9" s="228">
        <f t="shared" si="12"/>
        <v>461.92083333333329</v>
      </c>
      <c r="CA9" s="228">
        <f t="shared" si="12"/>
        <v>514.5</v>
      </c>
      <c r="CB9" s="228">
        <f t="shared" si="12"/>
        <v>270.91250000000002</v>
      </c>
      <c r="CC9" s="228">
        <f t="shared" si="12"/>
        <v>148.07083333333335</v>
      </c>
      <c r="CD9" s="228">
        <f t="shared" si="12"/>
        <v>60.229166666666664</v>
      </c>
      <c r="CE9" s="228">
        <f t="shared" si="12"/>
        <v>0</v>
      </c>
      <c r="CF9" s="228">
        <f t="shared" si="12"/>
        <v>0</v>
      </c>
      <c r="CG9" s="228">
        <f t="shared" si="12"/>
        <v>0</v>
      </c>
      <c r="CH9" s="228">
        <f t="shared" si="12"/>
        <v>0.15000000000000036</v>
      </c>
      <c r="CI9" s="228">
        <f t="shared" si="12"/>
        <v>51.204166666666659</v>
      </c>
      <c r="CJ9" s="228">
        <f t="shared" si="12"/>
        <v>268.07916666666665</v>
      </c>
      <c r="CK9" s="228">
        <f t="shared" si="12"/>
        <v>341.17083333333323</v>
      </c>
      <c r="CM9" s="1">
        <f t="shared" si="19"/>
        <v>2021</v>
      </c>
      <c r="CN9" s="228">
        <f t="shared" si="13"/>
        <v>399.92083333333329</v>
      </c>
      <c r="CO9" s="228">
        <f t="shared" si="13"/>
        <v>458.50000000000006</v>
      </c>
      <c r="CP9" s="228">
        <f t="shared" si="13"/>
        <v>215.92500000000001</v>
      </c>
      <c r="CQ9" s="228">
        <f t="shared" si="13"/>
        <v>106.03333333333333</v>
      </c>
      <c r="CR9" s="228">
        <f t="shared" si="13"/>
        <v>34.38333333333334</v>
      </c>
      <c r="CS9" s="228">
        <f t="shared" si="13"/>
        <v>0</v>
      </c>
      <c r="CT9" s="228">
        <f t="shared" si="13"/>
        <v>0</v>
      </c>
      <c r="CU9" s="228">
        <f t="shared" si="13"/>
        <v>0</v>
      </c>
      <c r="CV9" s="228">
        <f t="shared" si="13"/>
        <v>0</v>
      </c>
      <c r="CW9" s="228">
        <f t="shared" si="13"/>
        <v>26.791666666666664</v>
      </c>
      <c r="CX9" s="228">
        <f t="shared" si="13"/>
        <v>208.07916666666665</v>
      </c>
      <c r="CY9" s="228">
        <f t="shared" si="13"/>
        <v>280.55</v>
      </c>
      <c r="DA9" s="1">
        <f t="shared" si="20"/>
        <v>2021</v>
      </c>
      <c r="DB9" s="228">
        <f t="shared" si="14"/>
        <v>337.92083333333329</v>
      </c>
      <c r="DC9" s="228">
        <f t="shared" si="14"/>
        <v>402.50000000000006</v>
      </c>
      <c r="DD9" s="228">
        <f t="shared" si="14"/>
        <v>166.11666666666665</v>
      </c>
      <c r="DE9" s="228">
        <f t="shared" si="14"/>
        <v>69.625000000000014</v>
      </c>
      <c r="DF9" s="228">
        <f t="shared" si="14"/>
        <v>14.616666666666664</v>
      </c>
      <c r="DG9" s="228">
        <f t="shared" si="14"/>
        <v>0</v>
      </c>
      <c r="DH9" s="228">
        <f t="shared" si="14"/>
        <v>0</v>
      </c>
      <c r="DI9" s="228">
        <f t="shared" si="14"/>
        <v>0</v>
      </c>
      <c r="DJ9" s="228">
        <f t="shared" si="14"/>
        <v>0</v>
      </c>
      <c r="DK9" s="228">
        <f t="shared" si="14"/>
        <v>10.4375</v>
      </c>
      <c r="DL9" s="228">
        <f t="shared" si="14"/>
        <v>153.4</v>
      </c>
      <c r="DM9" s="228">
        <f t="shared" si="14"/>
        <v>220.5500000000001</v>
      </c>
    </row>
    <row r="10" spans="1:138" x14ac:dyDescent="0.2">
      <c r="A10" s="1">
        <v>2016</v>
      </c>
      <c r="B10" s="1">
        <v>9</v>
      </c>
      <c r="C10" s="220">
        <v>18.008819444444445</v>
      </c>
      <c r="D10" s="220">
        <v>78.550000000000026</v>
      </c>
      <c r="E10" s="220">
        <v>18.814583333333335</v>
      </c>
      <c r="F10" s="220">
        <v>40.550000000000011</v>
      </c>
      <c r="G10" s="220">
        <v>40.814583333333331</v>
      </c>
      <c r="H10" s="220">
        <v>14.045833333333334</v>
      </c>
      <c r="I10" s="220">
        <v>74.310416666666683</v>
      </c>
      <c r="J10" s="220">
        <v>2.1874999999999982</v>
      </c>
      <c r="K10" s="220">
        <v>122.45208333333333</v>
      </c>
      <c r="L10" s="220">
        <v>0</v>
      </c>
      <c r="M10" s="220">
        <v>180.26458333333332</v>
      </c>
      <c r="N10" s="220">
        <v>0</v>
      </c>
      <c r="O10" s="220">
        <v>240.26458333333332</v>
      </c>
      <c r="P10" s="220">
        <v>0</v>
      </c>
      <c r="Q10" s="220">
        <v>300.26458333333335</v>
      </c>
      <c r="T10" s="1">
        <f t="shared" si="15"/>
        <v>2022</v>
      </c>
      <c r="U10" s="2">
        <f t="shared" si="7"/>
        <v>866.12083333333339</v>
      </c>
      <c r="V10" s="2">
        <f t="shared" si="7"/>
        <v>696.55208333333348</v>
      </c>
      <c r="W10" s="2">
        <f t="shared" si="7"/>
        <v>598.21041666666656</v>
      </c>
      <c r="X10" s="2">
        <f t="shared" si="7"/>
        <v>427.91249999999997</v>
      </c>
      <c r="Y10" s="2">
        <f t="shared" si="7"/>
        <v>159.17708333333337</v>
      </c>
      <c r="Z10" s="2">
        <f t="shared" si="7"/>
        <v>72.906249999999986</v>
      </c>
      <c r="AA10" s="2">
        <f t="shared" si="7"/>
        <v>8.5125000000000135</v>
      </c>
      <c r="AB10" s="2">
        <f t="shared" si="7"/>
        <v>13.745833333333337</v>
      </c>
      <c r="AC10" s="2">
        <f t="shared" si="7"/>
        <v>109.90833333333333</v>
      </c>
      <c r="AD10" s="2">
        <f t="shared" si="7"/>
        <v>320.52083333333326</v>
      </c>
      <c r="AE10" s="2">
        <f t="shared" si="7"/>
        <v>461.26249999999993</v>
      </c>
      <c r="AF10" s="2">
        <f t="shared" si="7"/>
        <v>655.42499999999984</v>
      </c>
      <c r="AI10" s="1">
        <f t="shared" si="21"/>
        <v>2021</v>
      </c>
      <c r="AJ10" s="228">
        <f t="shared" si="8"/>
        <v>647.92083333333335</v>
      </c>
      <c r="AK10" s="228">
        <f t="shared" si="8"/>
        <v>682.5</v>
      </c>
      <c r="AL10" s="228">
        <f t="shared" si="8"/>
        <v>452.07083333333338</v>
      </c>
      <c r="AM10" s="228">
        <f t="shared" si="8"/>
        <v>307.14166666666665</v>
      </c>
      <c r="AN10" s="228">
        <f t="shared" si="8"/>
        <v>176.10416666666669</v>
      </c>
      <c r="AO10" s="228">
        <f t="shared" si="8"/>
        <v>15.86666666666666</v>
      </c>
      <c r="AP10" s="228">
        <f t="shared" si="8"/>
        <v>6.0229166666666707</v>
      </c>
      <c r="AQ10" s="228">
        <f t="shared" si="8"/>
        <v>2.7687500000000078</v>
      </c>
      <c r="AR10" s="228">
        <f t="shared" si="8"/>
        <v>56.387499999999989</v>
      </c>
      <c r="AS10" s="228">
        <f t="shared" si="8"/>
        <v>158.2208333333333</v>
      </c>
      <c r="AT10" s="228">
        <f t="shared" si="8"/>
        <v>448.07916666666659</v>
      </c>
      <c r="AU10" s="228">
        <f t="shared" si="8"/>
        <v>527.17083333333335</v>
      </c>
      <c r="AV10" s="223">
        <f t="shared" si="9"/>
        <v>3480.2541666666666</v>
      </c>
      <c r="AW10" s="1">
        <f t="shared" si="16"/>
        <v>2022</v>
      </c>
      <c r="AX10" s="228">
        <f t="shared" si="10"/>
        <v>742.12083333333339</v>
      </c>
      <c r="AY10" s="228">
        <f t="shared" si="10"/>
        <v>584.55208333333337</v>
      </c>
      <c r="AZ10" s="228">
        <f t="shared" si="10"/>
        <v>474.21041666666667</v>
      </c>
      <c r="BA10" s="228">
        <f t="shared" si="10"/>
        <v>307.91249999999997</v>
      </c>
      <c r="BB10" s="228">
        <f t="shared" si="10"/>
        <v>77.116666666666688</v>
      </c>
      <c r="BC10" s="228">
        <f t="shared" si="10"/>
        <v>11.835416666666665</v>
      </c>
      <c r="BD10" s="228">
        <f t="shared" si="10"/>
        <v>0</v>
      </c>
      <c r="BE10" s="228">
        <f t="shared" si="10"/>
        <v>0</v>
      </c>
      <c r="BF10" s="228">
        <f t="shared" si="10"/>
        <v>45.320833333333333</v>
      </c>
      <c r="BG10" s="228">
        <f t="shared" si="10"/>
        <v>196.92083333333329</v>
      </c>
      <c r="BH10" s="228">
        <f t="shared" si="10"/>
        <v>343.49583333333334</v>
      </c>
      <c r="BI10" s="228">
        <f t="shared" si="10"/>
        <v>531.42499999999995</v>
      </c>
      <c r="BK10" s="1">
        <f t="shared" si="17"/>
        <v>2022</v>
      </c>
      <c r="BL10" s="228">
        <f t="shared" si="11"/>
        <v>680.12083333333328</v>
      </c>
      <c r="BM10" s="228">
        <f t="shared" si="11"/>
        <v>528.55208333333337</v>
      </c>
      <c r="BN10" s="228">
        <f t="shared" si="11"/>
        <v>412.21041666666667</v>
      </c>
      <c r="BO10" s="228">
        <f t="shared" si="11"/>
        <v>250.45416666666662</v>
      </c>
      <c r="BP10" s="228">
        <f t="shared" si="11"/>
        <v>44.104166666666664</v>
      </c>
      <c r="BQ10" s="228">
        <f t="shared" si="11"/>
        <v>0.97291666666666998</v>
      </c>
      <c r="BR10" s="228">
        <f t="shared" si="11"/>
        <v>0</v>
      </c>
      <c r="BS10" s="228">
        <f t="shared" si="11"/>
        <v>0</v>
      </c>
      <c r="BT10" s="228">
        <f t="shared" si="11"/>
        <v>24.349999999999994</v>
      </c>
      <c r="BU10" s="228">
        <f t="shared" si="11"/>
        <v>138.87083333333328</v>
      </c>
      <c r="BV10" s="228">
        <f t="shared" si="11"/>
        <v>285.52916666666664</v>
      </c>
      <c r="BW10" s="228">
        <f t="shared" si="11"/>
        <v>469.42500000000007</v>
      </c>
      <c r="BY10" s="1">
        <f t="shared" si="18"/>
        <v>2022</v>
      </c>
      <c r="BZ10" s="228">
        <f t="shared" si="12"/>
        <v>618.12083333333339</v>
      </c>
      <c r="CA10" s="228">
        <f t="shared" si="12"/>
        <v>472.55208333333331</v>
      </c>
      <c r="CB10" s="228">
        <f t="shared" si="12"/>
        <v>350.21041666666667</v>
      </c>
      <c r="CC10" s="228">
        <f t="shared" si="12"/>
        <v>196.37083333333328</v>
      </c>
      <c r="CD10" s="228">
        <f t="shared" si="12"/>
        <v>19.479166666666664</v>
      </c>
      <c r="CE10" s="228">
        <f t="shared" si="12"/>
        <v>0</v>
      </c>
      <c r="CF10" s="228">
        <f t="shared" si="12"/>
        <v>0</v>
      </c>
      <c r="CG10" s="228">
        <f t="shared" si="12"/>
        <v>0</v>
      </c>
      <c r="CH10" s="228">
        <f t="shared" si="12"/>
        <v>8.1375000000000011</v>
      </c>
      <c r="CI10" s="228">
        <f t="shared" si="12"/>
        <v>91.854166666666643</v>
      </c>
      <c r="CJ10" s="228">
        <f t="shared" si="12"/>
        <v>231.7916666666666</v>
      </c>
      <c r="CK10" s="228">
        <f t="shared" si="12"/>
        <v>407.42500000000013</v>
      </c>
      <c r="CM10" s="1">
        <f t="shared" si="19"/>
        <v>2022</v>
      </c>
      <c r="CN10" s="228">
        <f t="shared" si="13"/>
        <v>556.12083333333328</v>
      </c>
      <c r="CO10" s="228">
        <f t="shared" si="13"/>
        <v>416.55208333333331</v>
      </c>
      <c r="CP10" s="228">
        <f t="shared" si="13"/>
        <v>288.21041666666667</v>
      </c>
      <c r="CQ10" s="228">
        <f t="shared" si="13"/>
        <v>144.5958333333333</v>
      </c>
      <c r="CR10" s="228">
        <f t="shared" si="13"/>
        <v>2.9666666666666668</v>
      </c>
      <c r="CS10" s="228">
        <f t="shared" si="13"/>
        <v>0</v>
      </c>
      <c r="CT10" s="228">
        <f t="shared" si="13"/>
        <v>0</v>
      </c>
      <c r="CU10" s="228">
        <f t="shared" si="13"/>
        <v>0</v>
      </c>
      <c r="CV10" s="228">
        <f t="shared" si="13"/>
        <v>0.26250000000000107</v>
      </c>
      <c r="CW10" s="228">
        <f t="shared" si="13"/>
        <v>52.683333333333337</v>
      </c>
      <c r="CX10" s="228">
        <f t="shared" si="13"/>
        <v>183.33333333333329</v>
      </c>
      <c r="CY10" s="228">
        <f t="shared" si="13"/>
        <v>345.42500000000013</v>
      </c>
      <c r="DA10" s="1">
        <f t="shared" si="20"/>
        <v>2022</v>
      </c>
      <c r="DB10" s="228">
        <f t="shared" si="14"/>
        <v>494.12083333333328</v>
      </c>
      <c r="DC10" s="228">
        <f t="shared" si="14"/>
        <v>360.55208333333331</v>
      </c>
      <c r="DD10" s="228">
        <f t="shared" si="14"/>
        <v>231.35208333333333</v>
      </c>
      <c r="DE10" s="228">
        <f t="shared" si="14"/>
        <v>100.91666666666667</v>
      </c>
      <c r="DF10" s="228">
        <f t="shared" si="14"/>
        <v>0</v>
      </c>
      <c r="DG10" s="228">
        <f t="shared" si="14"/>
        <v>0</v>
      </c>
      <c r="DH10" s="228">
        <f t="shared" si="14"/>
        <v>0</v>
      </c>
      <c r="DI10" s="228">
        <f t="shared" si="14"/>
        <v>0</v>
      </c>
      <c r="DJ10" s="228">
        <f t="shared" si="14"/>
        <v>0</v>
      </c>
      <c r="DK10" s="228">
        <f t="shared" si="14"/>
        <v>24.558333333333337</v>
      </c>
      <c r="DL10" s="228">
        <f t="shared" si="14"/>
        <v>138.65</v>
      </c>
      <c r="DM10" s="228">
        <f t="shared" si="14"/>
        <v>285.38749999999999</v>
      </c>
    </row>
    <row r="11" spans="1:138" x14ac:dyDescent="0.2">
      <c r="A11" s="1">
        <v>2016</v>
      </c>
      <c r="B11" s="1">
        <v>10</v>
      </c>
      <c r="C11" s="220">
        <v>11.089784946236557</v>
      </c>
      <c r="D11" s="220">
        <v>276.37916666666666</v>
      </c>
      <c r="E11" s="220">
        <v>0.16249999999999787</v>
      </c>
      <c r="F11" s="220">
        <v>218.86666666666665</v>
      </c>
      <c r="G11" s="220">
        <v>4.6500000000000021</v>
      </c>
      <c r="H11" s="220">
        <v>166.60833333333332</v>
      </c>
      <c r="I11" s="220">
        <v>14.391666666666673</v>
      </c>
      <c r="J11" s="220">
        <v>121.71666666666664</v>
      </c>
      <c r="K11" s="220">
        <v>31.500000000000007</v>
      </c>
      <c r="L11" s="220">
        <v>86.354166666666671</v>
      </c>
      <c r="M11" s="220">
        <v>58.13750000000001</v>
      </c>
      <c r="N11" s="220">
        <v>56.041666666666657</v>
      </c>
      <c r="O11" s="220">
        <v>89.825000000000017</v>
      </c>
      <c r="P11" s="220">
        <v>30.387499999999999</v>
      </c>
      <c r="Q11" s="220">
        <v>126.17083333333336</v>
      </c>
      <c r="T11" s="1">
        <f t="shared" si="15"/>
        <v>2023</v>
      </c>
      <c r="U11" s="2">
        <f t="shared" si="7"/>
        <v>651.55416666666667</v>
      </c>
      <c r="V11" s="2">
        <f t="shared" si="7"/>
        <v>601.21666666666681</v>
      </c>
      <c r="W11" s="2">
        <f t="shared" si="7"/>
        <v>614.04583333333323</v>
      </c>
      <c r="X11" s="2">
        <f t="shared" si="7"/>
        <v>350.69166666666666</v>
      </c>
      <c r="Y11" s="2">
        <f t="shared" si="7"/>
        <v>203.40416666666667</v>
      </c>
      <c r="Z11" s="2">
        <f t="shared" si="7"/>
        <v>68.92083333333332</v>
      </c>
      <c r="AA11" s="2">
        <f t="shared" si="7"/>
        <v>15.633333333333322</v>
      </c>
      <c r="AB11" s="2">
        <f t="shared" si="7"/>
        <v>52.10416666666665</v>
      </c>
      <c r="AC11" s="2">
        <f t="shared" si="7"/>
        <v>108.74583333333334</v>
      </c>
      <c r="AD11" s="2">
        <f t="shared" si="7"/>
        <v>275.44166666666666</v>
      </c>
      <c r="AE11" s="2">
        <f t="shared" si="7"/>
        <v>503.11666666666662</v>
      </c>
      <c r="AF11" s="2">
        <f t="shared" si="7"/>
        <v>542.10416666666663</v>
      </c>
      <c r="AI11" s="1">
        <f t="shared" si="21"/>
        <v>2022</v>
      </c>
      <c r="AJ11" s="228">
        <f t="shared" si="8"/>
        <v>804.12083333333339</v>
      </c>
      <c r="AK11" s="228">
        <f t="shared" si="8"/>
        <v>640.55208333333348</v>
      </c>
      <c r="AL11" s="228">
        <f t="shared" si="8"/>
        <v>536.21041666666656</v>
      </c>
      <c r="AM11" s="228">
        <f t="shared" si="8"/>
        <v>367.91249999999997</v>
      </c>
      <c r="AN11" s="228">
        <f t="shared" si="8"/>
        <v>115.30833333333334</v>
      </c>
      <c r="AO11" s="228">
        <f t="shared" si="8"/>
        <v>37.135416666666671</v>
      </c>
      <c r="AP11" s="228">
        <f t="shared" si="8"/>
        <v>0.14166666666666217</v>
      </c>
      <c r="AQ11" s="228">
        <f t="shared" si="8"/>
        <v>1.0333333333333314</v>
      </c>
      <c r="AR11" s="228">
        <f t="shared" si="8"/>
        <v>68.80416666666666</v>
      </c>
      <c r="AS11" s="228">
        <f t="shared" si="8"/>
        <v>258.52083333333331</v>
      </c>
      <c r="AT11" s="228">
        <f t="shared" si="8"/>
        <v>401.49583333333328</v>
      </c>
      <c r="AU11" s="228">
        <f t="shared" si="8"/>
        <v>593.42499999999984</v>
      </c>
      <c r="AV11" s="223">
        <f t="shared" si="9"/>
        <v>3824.6604166666671</v>
      </c>
      <c r="AW11" s="1">
        <f t="shared" si="16"/>
        <v>2023</v>
      </c>
      <c r="AX11" s="228">
        <f t="shared" si="10"/>
        <v>527.55416666666667</v>
      </c>
      <c r="AY11" s="228">
        <f t="shared" si="10"/>
        <v>489.21666666666664</v>
      </c>
      <c r="AZ11" s="228">
        <f t="shared" si="10"/>
        <v>490.04583333333318</v>
      </c>
      <c r="BA11" s="228">
        <f t="shared" si="10"/>
        <v>242.47500000000005</v>
      </c>
      <c r="BB11" s="228">
        <f t="shared" si="10"/>
        <v>102.83333333333331</v>
      </c>
      <c r="BC11" s="228">
        <f t="shared" si="10"/>
        <v>9.9166666666666519</v>
      </c>
      <c r="BD11" s="228">
        <f t="shared" si="10"/>
        <v>0</v>
      </c>
      <c r="BE11" s="228">
        <f t="shared" si="10"/>
        <v>4.5208333333333321</v>
      </c>
      <c r="BF11" s="228">
        <f t="shared" si="10"/>
        <v>21.199999999999996</v>
      </c>
      <c r="BG11" s="228">
        <f t="shared" si="10"/>
        <v>170.82499999999999</v>
      </c>
      <c r="BH11" s="228">
        <f t="shared" si="10"/>
        <v>383.11666666666667</v>
      </c>
      <c r="BI11" s="228">
        <f t="shared" si="10"/>
        <v>418.10416666666674</v>
      </c>
      <c r="BK11" s="1">
        <f t="shared" si="17"/>
        <v>2023</v>
      </c>
      <c r="BL11" s="228">
        <f t="shared" si="11"/>
        <v>465.55416666666667</v>
      </c>
      <c r="BM11" s="228">
        <f t="shared" si="11"/>
        <v>433.21666666666664</v>
      </c>
      <c r="BN11" s="228">
        <f t="shared" si="11"/>
        <v>428.04583333333323</v>
      </c>
      <c r="BO11" s="228">
        <f t="shared" si="11"/>
        <v>192.73750000000004</v>
      </c>
      <c r="BP11" s="228">
        <f t="shared" si="11"/>
        <v>62.808333333333323</v>
      </c>
      <c r="BQ11" s="228">
        <f t="shared" si="11"/>
        <v>1.8374999999999932</v>
      </c>
      <c r="BR11" s="228">
        <f t="shared" si="11"/>
        <v>0</v>
      </c>
      <c r="BS11" s="228">
        <f t="shared" si="11"/>
        <v>4.1666666666646535E-3</v>
      </c>
      <c r="BT11" s="228">
        <f t="shared" si="11"/>
        <v>3.8624999999999901</v>
      </c>
      <c r="BU11" s="228">
        <f t="shared" si="11"/>
        <v>126.92083333333335</v>
      </c>
      <c r="BV11" s="228">
        <f t="shared" si="11"/>
        <v>323.11666666666673</v>
      </c>
      <c r="BW11" s="228">
        <f t="shared" si="11"/>
        <v>356.10416666666674</v>
      </c>
      <c r="BY11" s="1">
        <f t="shared" si="18"/>
        <v>2023</v>
      </c>
      <c r="BZ11" s="228">
        <f t="shared" si="12"/>
        <v>403.55416666666662</v>
      </c>
      <c r="CA11" s="228">
        <f t="shared" si="12"/>
        <v>377.21666666666658</v>
      </c>
      <c r="CB11" s="228">
        <f t="shared" si="12"/>
        <v>366.04583333333329</v>
      </c>
      <c r="CC11" s="228">
        <f t="shared" si="12"/>
        <v>144.73750000000001</v>
      </c>
      <c r="CD11" s="228">
        <f t="shared" si="12"/>
        <v>39.608333333333327</v>
      </c>
      <c r="CE11" s="228">
        <f t="shared" si="12"/>
        <v>0</v>
      </c>
      <c r="CF11" s="228">
        <f t="shared" si="12"/>
        <v>0</v>
      </c>
      <c r="CG11" s="228">
        <f t="shared" si="12"/>
        <v>0</v>
      </c>
      <c r="CH11" s="228">
        <f t="shared" si="12"/>
        <v>0</v>
      </c>
      <c r="CI11" s="228">
        <f t="shared" si="12"/>
        <v>85.066666666666677</v>
      </c>
      <c r="CJ11" s="228">
        <f t="shared" si="12"/>
        <v>263.11666666666667</v>
      </c>
      <c r="CK11" s="228">
        <f t="shared" si="12"/>
        <v>294.10416666666669</v>
      </c>
      <c r="CM11" s="1">
        <f t="shared" si="19"/>
        <v>2023</v>
      </c>
      <c r="CN11" s="228">
        <f t="shared" si="13"/>
        <v>341.55416666666667</v>
      </c>
      <c r="CO11" s="228">
        <f t="shared" si="13"/>
        <v>321.21666666666658</v>
      </c>
      <c r="CP11" s="228">
        <f t="shared" si="13"/>
        <v>304.04583333333341</v>
      </c>
      <c r="CQ11" s="228">
        <f t="shared" si="13"/>
        <v>97.987499999999983</v>
      </c>
      <c r="CR11" s="228">
        <f t="shared" si="13"/>
        <v>23.162499999999994</v>
      </c>
      <c r="CS11" s="228">
        <f t="shared" si="13"/>
        <v>0</v>
      </c>
      <c r="CT11" s="228">
        <f t="shared" si="13"/>
        <v>0</v>
      </c>
      <c r="CU11" s="228">
        <f t="shared" si="13"/>
        <v>0</v>
      </c>
      <c r="CV11" s="228">
        <f t="shared" si="13"/>
        <v>0</v>
      </c>
      <c r="CW11" s="228">
        <f t="shared" si="13"/>
        <v>46.991666666666667</v>
      </c>
      <c r="CX11" s="228">
        <f t="shared" si="13"/>
        <v>203.11666666666667</v>
      </c>
      <c r="CY11" s="228">
        <f t="shared" si="13"/>
        <v>232.7166666666667</v>
      </c>
      <c r="DA11" s="1">
        <f t="shared" si="20"/>
        <v>2023</v>
      </c>
      <c r="DB11" s="228">
        <f t="shared" si="14"/>
        <v>279.55416666666667</v>
      </c>
      <c r="DC11" s="228">
        <f t="shared" si="14"/>
        <v>266.54583333333329</v>
      </c>
      <c r="DD11" s="228">
        <f t="shared" si="14"/>
        <v>242.04583333333335</v>
      </c>
      <c r="DE11" s="228">
        <f t="shared" si="14"/>
        <v>57.670833333333334</v>
      </c>
      <c r="DF11" s="228">
        <f t="shared" si="14"/>
        <v>12.425000000000001</v>
      </c>
      <c r="DG11" s="228">
        <f t="shared" si="14"/>
        <v>0</v>
      </c>
      <c r="DH11" s="228">
        <f t="shared" si="14"/>
        <v>0</v>
      </c>
      <c r="DI11" s="228">
        <f t="shared" si="14"/>
        <v>0</v>
      </c>
      <c r="DJ11" s="228">
        <f t="shared" si="14"/>
        <v>0</v>
      </c>
      <c r="DK11" s="228">
        <f t="shared" si="14"/>
        <v>19.479166666666671</v>
      </c>
      <c r="DL11" s="228">
        <f t="shared" si="14"/>
        <v>146.61666666666667</v>
      </c>
      <c r="DM11" s="228">
        <f t="shared" si="14"/>
        <v>172.71666666666673</v>
      </c>
    </row>
    <row r="12" spans="1:138" x14ac:dyDescent="0.2">
      <c r="A12" s="1">
        <v>2016</v>
      </c>
      <c r="B12" s="1">
        <v>11</v>
      </c>
      <c r="C12" s="220">
        <v>6.0362500000000008</v>
      </c>
      <c r="D12" s="220">
        <v>418.91249999999997</v>
      </c>
      <c r="E12" s="220">
        <v>0</v>
      </c>
      <c r="F12" s="220">
        <v>358.91250000000002</v>
      </c>
      <c r="G12" s="220">
        <v>0</v>
      </c>
      <c r="H12" s="220">
        <v>298.91249999999997</v>
      </c>
      <c r="I12" s="220">
        <v>0</v>
      </c>
      <c r="J12" s="220">
        <v>240.65</v>
      </c>
      <c r="K12" s="220">
        <v>1.7375000000000025</v>
      </c>
      <c r="L12" s="220">
        <v>183.92499999999998</v>
      </c>
      <c r="M12" s="220">
        <v>5.0125000000000064</v>
      </c>
      <c r="N12" s="220">
        <v>131.05000000000001</v>
      </c>
      <c r="O12" s="220">
        <v>12.137500000000006</v>
      </c>
      <c r="P12" s="220">
        <v>83.079166666666694</v>
      </c>
      <c r="Q12" s="220">
        <v>24.166666666666675</v>
      </c>
      <c r="T12" s="1">
        <f t="shared" si="15"/>
        <v>2024</v>
      </c>
      <c r="U12" s="2">
        <f t="shared" si="7"/>
        <v>716.65208333333339</v>
      </c>
      <c r="V12" s="2">
        <f t="shared" si="7"/>
        <v>581.16041666666661</v>
      </c>
      <c r="W12" s="2">
        <f t="shared" si="7"/>
        <v>518.44375000000002</v>
      </c>
      <c r="X12" s="2">
        <f t="shared" si="7"/>
        <v>329.75833333333321</v>
      </c>
      <c r="Y12" s="2">
        <f t="shared" si="7"/>
        <v>132.82083333333333</v>
      </c>
      <c r="Z12" s="2">
        <f t="shared" si="7"/>
        <v>54.983333333333327</v>
      </c>
      <c r="AA12" s="2">
        <f t="shared" si="7"/>
        <v>12.45416666666668</v>
      </c>
      <c r="AB12" s="2">
        <f t="shared" si="7"/>
        <v>36.158333333333331</v>
      </c>
      <c r="AC12" s="2">
        <f t="shared" si="7"/>
        <v>65.035416666666649</v>
      </c>
      <c r="AD12" s="2">
        <f t="shared" si="7"/>
        <v>276.22916666666669</v>
      </c>
      <c r="AE12" s="2">
        <f t="shared" si="7"/>
        <v>420.79374999999999</v>
      </c>
      <c r="AF12" s="2">
        <f t="shared" si="7"/>
        <v>663.23749999999995</v>
      </c>
      <c r="AI12" s="1">
        <f t="shared" si="21"/>
        <v>2023</v>
      </c>
      <c r="AJ12" s="228">
        <f t="shared" si="8"/>
        <v>589.55416666666667</v>
      </c>
      <c r="AK12" s="228">
        <f t="shared" si="8"/>
        <v>545.2166666666667</v>
      </c>
      <c r="AL12" s="228">
        <f t="shared" si="8"/>
        <v>552.04583333333323</v>
      </c>
      <c r="AM12" s="228">
        <f t="shared" si="8"/>
        <v>294.47500000000002</v>
      </c>
      <c r="AN12" s="228">
        <f t="shared" si="8"/>
        <v>150.63750000000002</v>
      </c>
      <c r="AO12" s="228">
        <f t="shared" si="8"/>
        <v>30.762499999999971</v>
      </c>
      <c r="AP12" s="228">
        <f t="shared" si="8"/>
        <v>1.87083333333333</v>
      </c>
      <c r="AQ12" s="228">
        <f t="shared" si="8"/>
        <v>19.533333333333324</v>
      </c>
      <c r="AR12" s="228">
        <f t="shared" si="8"/>
        <v>59.375</v>
      </c>
      <c r="AS12" s="228">
        <f t="shared" si="8"/>
        <v>219.74166666666665</v>
      </c>
      <c r="AT12" s="228">
        <f t="shared" si="8"/>
        <v>443.11666666666662</v>
      </c>
      <c r="AU12" s="228">
        <f t="shared" si="8"/>
        <v>480.10416666666674</v>
      </c>
      <c r="AV12" s="223">
        <f t="shared" si="9"/>
        <v>3386.4333333333334</v>
      </c>
      <c r="AW12" s="1">
        <f t="shared" si="16"/>
        <v>2024</v>
      </c>
      <c r="AX12" s="228">
        <f t="shared" si="10"/>
        <v>592.65208333333339</v>
      </c>
      <c r="AY12" s="228">
        <f t="shared" si="10"/>
        <v>465.16041666666661</v>
      </c>
      <c r="AZ12" s="228">
        <f t="shared" si="10"/>
        <v>394.44375000000008</v>
      </c>
      <c r="BA12" s="228">
        <f t="shared" si="10"/>
        <v>212.34583333333333</v>
      </c>
      <c r="BB12" s="228">
        <f t="shared" si="10"/>
        <v>40.391666666666666</v>
      </c>
      <c r="BC12" s="228">
        <f t="shared" si="10"/>
        <v>8.9291666666666707</v>
      </c>
      <c r="BD12" s="228">
        <f t="shared" si="10"/>
        <v>0</v>
      </c>
      <c r="BE12" s="228">
        <f t="shared" si="10"/>
        <v>4.287500000000005</v>
      </c>
      <c r="BF12" s="228">
        <f t="shared" si="10"/>
        <v>11.983333333333331</v>
      </c>
      <c r="BG12" s="228">
        <f t="shared" si="10"/>
        <v>160.20416666666665</v>
      </c>
      <c r="BH12" s="228">
        <f t="shared" si="10"/>
        <v>304.15208333333339</v>
      </c>
      <c r="BI12" s="228">
        <f t="shared" si="10"/>
        <v>539.23749999999995</v>
      </c>
      <c r="BK12" s="1">
        <f t="shared" si="17"/>
        <v>2024</v>
      </c>
      <c r="BL12" s="228">
        <f t="shared" si="11"/>
        <v>530.65208333333339</v>
      </c>
      <c r="BM12" s="228">
        <f t="shared" si="11"/>
        <v>407.16041666666661</v>
      </c>
      <c r="BN12" s="228">
        <f t="shared" si="11"/>
        <v>332.44375000000008</v>
      </c>
      <c r="BO12" s="228">
        <f t="shared" si="11"/>
        <v>158.17500000000004</v>
      </c>
      <c r="BP12" s="228">
        <f t="shared" si="11"/>
        <v>14.683333333333328</v>
      </c>
      <c r="BQ12" s="228">
        <f t="shared" si="11"/>
        <v>1.9666666666666686</v>
      </c>
      <c r="BR12" s="228">
        <f t="shared" si="11"/>
        <v>0</v>
      </c>
      <c r="BS12" s="228">
        <f t="shared" si="11"/>
        <v>0.30000000000000426</v>
      </c>
      <c r="BT12" s="228">
        <f t="shared" si="11"/>
        <v>4.2874999999999979</v>
      </c>
      <c r="BU12" s="228">
        <f t="shared" si="11"/>
        <v>109.52916666666667</v>
      </c>
      <c r="BV12" s="228">
        <f t="shared" si="11"/>
        <v>248.15208333333331</v>
      </c>
      <c r="BW12" s="228">
        <f t="shared" si="11"/>
        <v>477.23749999999995</v>
      </c>
      <c r="BY12" s="1">
        <f t="shared" si="18"/>
        <v>2024</v>
      </c>
      <c r="BZ12" s="228">
        <f t="shared" si="12"/>
        <v>468.65208333333322</v>
      </c>
      <c r="CA12" s="228">
        <f t="shared" si="12"/>
        <v>349.16041666666655</v>
      </c>
      <c r="CB12" s="228">
        <f t="shared" si="12"/>
        <v>270.44375000000002</v>
      </c>
      <c r="CC12" s="228">
        <f t="shared" si="12"/>
        <v>109.35833333333333</v>
      </c>
      <c r="CD12" s="228">
        <f t="shared" si="12"/>
        <v>3.9333333333333318</v>
      </c>
      <c r="CE12" s="228">
        <f t="shared" si="12"/>
        <v>0</v>
      </c>
      <c r="CF12" s="228">
        <f t="shared" si="12"/>
        <v>0</v>
      </c>
      <c r="CG12" s="228">
        <f t="shared" si="12"/>
        <v>0</v>
      </c>
      <c r="CH12" s="228">
        <f t="shared" si="12"/>
        <v>0.85416666666666607</v>
      </c>
      <c r="CI12" s="228">
        <f t="shared" si="12"/>
        <v>69.74166666666666</v>
      </c>
      <c r="CJ12" s="228">
        <f t="shared" si="12"/>
        <v>193.25624999999999</v>
      </c>
      <c r="CK12" s="228">
        <f t="shared" si="12"/>
        <v>415.23749999999995</v>
      </c>
      <c r="CM12" s="1">
        <f t="shared" si="19"/>
        <v>2024</v>
      </c>
      <c r="CN12" s="228">
        <f t="shared" si="13"/>
        <v>406.65208333333334</v>
      </c>
      <c r="CO12" s="228">
        <f t="shared" si="13"/>
        <v>291.51874999999995</v>
      </c>
      <c r="CP12" s="228">
        <f t="shared" si="13"/>
        <v>211.31666666666666</v>
      </c>
      <c r="CQ12" s="228">
        <f t="shared" si="13"/>
        <v>67.545833333333334</v>
      </c>
      <c r="CR12" s="228">
        <f t="shared" si="13"/>
        <v>1.1541666666666668</v>
      </c>
      <c r="CS12" s="228">
        <f t="shared" si="13"/>
        <v>0</v>
      </c>
      <c r="CT12" s="228">
        <f t="shared" si="13"/>
        <v>0</v>
      </c>
      <c r="CU12" s="228">
        <f t="shared" si="13"/>
        <v>0</v>
      </c>
      <c r="CV12" s="228">
        <f t="shared" si="13"/>
        <v>0</v>
      </c>
      <c r="CW12" s="228">
        <f t="shared" si="13"/>
        <v>39.6</v>
      </c>
      <c r="CX12" s="228">
        <f t="shared" si="13"/>
        <v>139.25624999999999</v>
      </c>
      <c r="CY12" s="228">
        <f t="shared" si="13"/>
        <v>353.23749999999995</v>
      </c>
      <c r="DA12" s="1">
        <f t="shared" si="20"/>
        <v>2024</v>
      </c>
      <c r="DB12" s="228">
        <f t="shared" si="14"/>
        <v>344.65208333333334</v>
      </c>
      <c r="DC12" s="228">
        <f t="shared" si="14"/>
        <v>235.97916666666674</v>
      </c>
      <c r="DD12" s="228">
        <f t="shared" si="14"/>
        <v>156.82083333333335</v>
      </c>
      <c r="DE12" s="228">
        <f t="shared" si="14"/>
        <v>36.341666666666669</v>
      </c>
      <c r="DF12" s="228">
        <f t="shared" si="14"/>
        <v>0</v>
      </c>
      <c r="DG12" s="228">
        <f t="shared" si="14"/>
        <v>0</v>
      </c>
      <c r="DH12" s="228">
        <f t="shared" si="14"/>
        <v>0</v>
      </c>
      <c r="DI12" s="228">
        <f t="shared" si="14"/>
        <v>0</v>
      </c>
      <c r="DJ12" s="228">
        <f t="shared" si="14"/>
        <v>0</v>
      </c>
      <c r="DK12" s="228">
        <f t="shared" si="14"/>
        <v>14.145833333333336</v>
      </c>
      <c r="DL12" s="228">
        <f t="shared" si="14"/>
        <v>89.641666666666652</v>
      </c>
      <c r="DM12" s="228">
        <f t="shared" si="14"/>
        <v>291.23749999999995</v>
      </c>
      <c r="ED12" s="1" t="s">
        <v>394</v>
      </c>
    </row>
    <row r="13" spans="1:138" x14ac:dyDescent="0.2">
      <c r="A13" s="1">
        <v>2016</v>
      </c>
      <c r="B13" s="1">
        <v>12</v>
      </c>
      <c r="C13" s="220">
        <v>-2.4560483870967746</v>
      </c>
      <c r="D13" s="220">
        <v>696.13750000000005</v>
      </c>
      <c r="E13" s="220">
        <v>0</v>
      </c>
      <c r="F13" s="220">
        <v>634.13750000000016</v>
      </c>
      <c r="G13" s="220">
        <v>0</v>
      </c>
      <c r="H13" s="220">
        <v>572.13750000000005</v>
      </c>
      <c r="I13" s="220">
        <v>0</v>
      </c>
      <c r="J13" s="220">
        <v>510.13750000000005</v>
      </c>
      <c r="K13" s="220">
        <v>0</v>
      </c>
      <c r="L13" s="220">
        <v>448.13750000000005</v>
      </c>
      <c r="M13" s="220">
        <v>0</v>
      </c>
      <c r="N13" s="220">
        <v>386.13750000000005</v>
      </c>
      <c r="O13" s="220">
        <v>0</v>
      </c>
      <c r="P13" s="220">
        <v>324.13750000000005</v>
      </c>
      <c r="Q13" s="220">
        <v>0</v>
      </c>
      <c r="T13" s="1">
        <f t="shared" si="15"/>
        <v>2025</v>
      </c>
      <c r="U13" s="2">
        <f t="shared" si="7"/>
        <v>817.72708333333321</v>
      </c>
      <c r="V13" s="2">
        <f t="shared" si="7"/>
        <v>715.1875</v>
      </c>
      <c r="W13" s="2">
        <f t="shared" si="7"/>
        <v>536.71041666666667</v>
      </c>
      <c r="X13" s="2">
        <f t="shared" si="7"/>
        <v>380.0541666666669</v>
      </c>
      <c r="Y13" s="2">
        <f t="shared" si="7"/>
        <v>229.72916666666663</v>
      </c>
      <c r="Z13" s="2">
        <f t="shared" si="7"/>
        <v>40.020833333333329</v>
      </c>
      <c r="AA13" s="2">
        <f t="shared" si="7"/>
        <v>8.80416666666666</v>
      </c>
      <c r="AB13" s="2">
        <f t="shared" si="7"/>
        <v>51</v>
      </c>
      <c r="AC13" s="2">
        <f t="shared" si="7"/>
        <v>81.033333333333346</v>
      </c>
      <c r="AD13" s="2">
        <f t="shared" si="7"/>
        <v>276.58333333333331</v>
      </c>
      <c r="AE13" s="2">
        <f t="shared" si="7"/>
        <v>506.62291666666675</v>
      </c>
      <c r="AF13" s="2">
        <f t="shared" si="7"/>
        <v>751.42916666666679</v>
      </c>
      <c r="AI13" s="1">
        <f t="shared" si="21"/>
        <v>2024</v>
      </c>
      <c r="AJ13" s="228">
        <f t="shared" si="8"/>
        <v>654.65208333333351</v>
      </c>
      <c r="AK13" s="228">
        <f t="shared" si="8"/>
        <v>523.16041666666661</v>
      </c>
      <c r="AL13" s="228">
        <f t="shared" si="8"/>
        <v>456.44375000000002</v>
      </c>
      <c r="AM13" s="228">
        <f t="shared" si="8"/>
        <v>269.75833333333333</v>
      </c>
      <c r="AN13" s="228">
        <f t="shared" si="8"/>
        <v>79.26666666666668</v>
      </c>
      <c r="AO13" s="228">
        <f t="shared" si="8"/>
        <v>27.666666666666664</v>
      </c>
      <c r="AP13" s="228">
        <f t="shared" si="8"/>
        <v>2.591666666666665</v>
      </c>
      <c r="AQ13" s="228">
        <f t="shared" si="8"/>
        <v>14.333333333333332</v>
      </c>
      <c r="AR13" s="228">
        <f t="shared" si="8"/>
        <v>27.772916666666664</v>
      </c>
      <c r="AS13" s="228">
        <f t="shared" si="8"/>
        <v>215.50416666666672</v>
      </c>
      <c r="AT13" s="228">
        <f t="shared" si="8"/>
        <v>361.28958333333338</v>
      </c>
      <c r="AU13" s="228">
        <f t="shared" si="8"/>
        <v>601.23750000000007</v>
      </c>
      <c r="AV13" s="223">
        <f t="shared" si="9"/>
        <v>3233.677083333333</v>
      </c>
      <c r="AW13" s="1">
        <f t="shared" si="16"/>
        <v>2025</v>
      </c>
      <c r="AX13" s="228">
        <f t="shared" si="10"/>
        <v>693.72708333333333</v>
      </c>
      <c r="AY13" s="228">
        <f t="shared" si="10"/>
        <v>603.1875</v>
      </c>
      <c r="AZ13" s="228">
        <f t="shared" si="10"/>
        <v>412.71041666666679</v>
      </c>
      <c r="BA13" s="228">
        <f t="shared" si="10"/>
        <v>263.45416666666659</v>
      </c>
      <c r="BB13" s="228">
        <f t="shared" si="10"/>
        <v>119.79583333333333</v>
      </c>
      <c r="BC13" s="228">
        <f t="shared" si="10"/>
        <v>8.4541666666666675</v>
      </c>
      <c r="BD13" s="228">
        <f t="shared" si="10"/>
        <v>0</v>
      </c>
      <c r="BE13" s="228">
        <f t="shared" si="10"/>
        <v>10.766666666666669</v>
      </c>
      <c r="BF13" s="228">
        <f t="shared" si="10"/>
        <v>12.950000000000001</v>
      </c>
      <c r="BG13" s="228">
        <f t="shared" si="10"/>
        <v>167.44583333333333</v>
      </c>
      <c r="BH13" s="228">
        <f t="shared" si="10"/>
        <v>386.62291666666675</v>
      </c>
      <c r="BI13" s="228">
        <f t="shared" si="10"/>
        <v>627.42916666666667</v>
      </c>
      <c r="BK13" s="224">
        <f t="shared" si="17"/>
        <v>2025</v>
      </c>
      <c r="BL13" s="228">
        <f t="shared" si="11"/>
        <v>631.72708333333333</v>
      </c>
      <c r="BM13" s="228">
        <f t="shared" si="11"/>
        <v>547.18750000000011</v>
      </c>
      <c r="BN13" s="228">
        <f t="shared" si="11"/>
        <v>350.71041666666673</v>
      </c>
      <c r="BO13" s="228">
        <f t="shared" si="11"/>
        <v>209.11249999999995</v>
      </c>
      <c r="BP13" s="228">
        <f t="shared" si="11"/>
        <v>73.445833333333326</v>
      </c>
      <c r="BQ13" s="228">
        <f t="shared" si="11"/>
        <v>4.3041666666666671</v>
      </c>
      <c r="BR13" s="228">
        <f t="shared" si="11"/>
        <v>0</v>
      </c>
      <c r="BS13" s="228">
        <f t="shared" si="11"/>
        <v>2.4833333333333378</v>
      </c>
      <c r="BT13" s="228">
        <f t="shared" si="11"/>
        <v>3.1125000000000025</v>
      </c>
      <c r="BU13" s="228">
        <f t="shared" si="11"/>
        <v>119.57916666666667</v>
      </c>
      <c r="BV13" s="228">
        <f t="shared" si="11"/>
        <v>326.6229166666667</v>
      </c>
      <c r="BW13" s="228">
        <f t="shared" si="11"/>
        <v>565.42916666666667</v>
      </c>
      <c r="BY13" s="1">
        <f t="shared" si="18"/>
        <v>2025</v>
      </c>
      <c r="BZ13" s="228">
        <f t="shared" si="12"/>
        <v>569.72708333333333</v>
      </c>
      <c r="CA13" s="228">
        <f t="shared" si="12"/>
        <v>491.1875</v>
      </c>
      <c r="CB13" s="228">
        <f t="shared" si="12"/>
        <v>291.18125000000003</v>
      </c>
      <c r="CC13" s="228">
        <f t="shared" si="12"/>
        <v>161.79583333333332</v>
      </c>
      <c r="CD13" s="228">
        <f t="shared" si="12"/>
        <v>37.133333333333326</v>
      </c>
      <c r="CE13" s="228">
        <f t="shared" si="12"/>
        <v>2.2916666666666661</v>
      </c>
      <c r="CF13" s="228">
        <f t="shared" si="12"/>
        <v>0</v>
      </c>
      <c r="CG13" s="228">
        <f t="shared" si="12"/>
        <v>0</v>
      </c>
      <c r="CH13" s="228">
        <f t="shared" si="12"/>
        <v>1.6666666666667496E-2</v>
      </c>
      <c r="CI13" s="228">
        <f t="shared" si="12"/>
        <v>78.25</v>
      </c>
      <c r="CJ13" s="228">
        <f t="shared" si="12"/>
        <v>266.62291666666664</v>
      </c>
      <c r="CK13" s="228">
        <f t="shared" si="12"/>
        <v>503.42916666666662</v>
      </c>
      <c r="CM13" s="1">
        <f t="shared" si="19"/>
        <v>2025</v>
      </c>
      <c r="CN13" s="228">
        <f t="shared" si="13"/>
        <v>507.72708333333344</v>
      </c>
      <c r="CO13" s="228">
        <f t="shared" si="13"/>
        <v>435.1875</v>
      </c>
      <c r="CP13" s="228">
        <f t="shared" si="13"/>
        <v>233.18125000000003</v>
      </c>
      <c r="CQ13" s="228">
        <f t="shared" si="13"/>
        <v>121.79583333333335</v>
      </c>
      <c r="CR13" s="228">
        <f t="shared" si="13"/>
        <v>10.712499999999995</v>
      </c>
      <c r="CS13" s="228">
        <f t="shared" si="13"/>
        <v>0.29166666666666607</v>
      </c>
      <c r="CT13" s="228">
        <f t="shared" si="13"/>
        <v>0</v>
      </c>
      <c r="CU13" s="228">
        <f t="shared" si="13"/>
        <v>0</v>
      </c>
      <c r="CV13" s="228">
        <f t="shared" si="13"/>
        <v>0</v>
      </c>
      <c r="CW13" s="228">
        <f t="shared" si="13"/>
        <v>43.833333333333329</v>
      </c>
      <c r="CX13" s="228">
        <f t="shared" si="13"/>
        <v>206.62291666666664</v>
      </c>
      <c r="CY13" s="228">
        <f t="shared" si="13"/>
        <v>441.42916666666667</v>
      </c>
      <c r="DA13" s="224">
        <f t="shared" si="20"/>
        <v>2025</v>
      </c>
      <c r="DB13" s="228">
        <f t="shared" si="14"/>
        <v>445.72708333333333</v>
      </c>
      <c r="DC13" s="228">
        <f t="shared" si="14"/>
        <v>379.1875</v>
      </c>
      <c r="DD13" s="228">
        <f t="shared" si="14"/>
        <v>176.21875000000003</v>
      </c>
      <c r="DE13" s="228">
        <f t="shared" si="14"/>
        <v>84.654166666666669</v>
      </c>
      <c r="DF13" s="228">
        <f t="shared" si="14"/>
        <v>0.42916666666666448</v>
      </c>
      <c r="DG13" s="228">
        <f t="shared" si="14"/>
        <v>0</v>
      </c>
      <c r="DH13" s="228">
        <f t="shared" si="14"/>
        <v>0</v>
      </c>
      <c r="DI13" s="228">
        <f t="shared" si="14"/>
        <v>0</v>
      </c>
      <c r="DJ13" s="228">
        <f t="shared" si="14"/>
        <v>0</v>
      </c>
      <c r="DK13" s="228">
        <f t="shared" si="14"/>
        <v>18.454166666666669</v>
      </c>
      <c r="DL13" s="228">
        <f t="shared" si="14"/>
        <v>147.16874999999996</v>
      </c>
      <c r="DM13" s="228">
        <f t="shared" si="14"/>
        <v>379.42916666666667</v>
      </c>
      <c r="ED13" s="1" t="s">
        <v>177</v>
      </c>
    </row>
    <row r="14" spans="1:138" x14ac:dyDescent="0.2">
      <c r="A14" s="1">
        <v>2017</v>
      </c>
      <c r="B14" s="1">
        <v>1</v>
      </c>
      <c r="C14" s="220">
        <v>-2.3577956989247313</v>
      </c>
      <c r="D14" s="220">
        <v>693.0916666666667</v>
      </c>
      <c r="E14" s="220">
        <v>0</v>
      </c>
      <c r="F14" s="220">
        <v>631.09166666666658</v>
      </c>
      <c r="G14" s="220">
        <v>0</v>
      </c>
      <c r="H14" s="220">
        <v>569.09166666666658</v>
      </c>
      <c r="I14" s="220">
        <v>0</v>
      </c>
      <c r="J14" s="220">
        <v>507.0916666666667</v>
      </c>
      <c r="K14" s="220">
        <v>0</v>
      </c>
      <c r="L14" s="220">
        <v>445.0916666666667</v>
      </c>
      <c r="M14" s="220">
        <v>0</v>
      </c>
      <c r="N14" s="220">
        <v>383.0916666666667</v>
      </c>
      <c r="O14" s="220">
        <v>0</v>
      </c>
      <c r="P14" s="220">
        <v>321.0916666666667</v>
      </c>
      <c r="Q14" s="220">
        <v>0</v>
      </c>
      <c r="T14" s="224">
        <f t="shared" si="15"/>
        <v>2026</v>
      </c>
      <c r="U14" s="286">
        <f>AVERAGE(U4:U13)</f>
        <v>752.30416666666667</v>
      </c>
      <c r="V14" s="286">
        <f>AVERAGE(V4:V13)</f>
        <v>653.34541666666678</v>
      </c>
      <c r="W14" s="286">
        <f>AVERAGE(W4:W13)</f>
        <v>579.96333333333337</v>
      </c>
      <c r="X14" s="286">
        <f t="shared" ref="X14:AF14" si="22">AVERAGE(X4:X13)</f>
        <v>400.08354166666663</v>
      </c>
      <c r="Y14" s="286">
        <f t="shared" si="22"/>
        <v>200.77312499999999</v>
      </c>
      <c r="Z14" s="286">
        <f t="shared" si="22"/>
        <v>57.752916666666678</v>
      </c>
      <c r="AA14" s="286">
        <f t="shared" si="22"/>
        <v>11.84625</v>
      </c>
      <c r="AB14" s="286">
        <f t="shared" si="22"/>
        <v>28.030624999999997</v>
      </c>
      <c r="AC14" s="286">
        <f t="shared" si="22"/>
        <v>97.805833333333311</v>
      </c>
      <c r="AD14" s="286">
        <f t="shared" si="22"/>
        <v>288.09020833333335</v>
      </c>
      <c r="AE14" s="286">
        <f t="shared" si="22"/>
        <v>490.76145833333328</v>
      </c>
      <c r="AF14" s="286">
        <f t="shared" si="22"/>
        <v>659.52500000000009</v>
      </c>
      <c r="AI14" s="224">
        <f t="shared" si="21"/>
        <v>2025</v>
      </c>
      <c r="AJ14" s="287">
        <f t="shared" ref="AJ14:AL15" si="23">AVERAGE(AJ4:AJ13)</f>
        <v>683.63437499999998</v>
      </c>
      <c r="AK14" s="287">
        <f t="shared" si="23"/>
        <v>590.28250000000014</v>
      </c>
      <c r="AL14" s="287">
        <f t="shared" si="23"/>
        <v>517.0775000000001</v>
      </c>
      <c r="AM14" s="287">
        <f t="shared" ref="AM14:AU15" si="24">AVERAGE(AM4:AM13)</f>
        <v>347.01979166666661</v>
      </c>
      <c r="AN14" s="287">
        <f t="shared" si="24"/>
        <v>146.01875000000001</v>
      </c>
      <c r="AO14" s="287">
        <f t="shared" si="24"/>
        <v>29.335416666666674</v>
      </c>
      <c r="AP14" s="287">
        <f t="shared" si="24"/>
        <v>1.6731249999999993</v>
      </c>
      <c r="AQ14" s="287">
        <f t="shared" si="24"/>
        <v>7.1606250000000005</v>
      </c>
      <c r="AR14" s="287">
        <f t="shared" si="24"/>
        <v>56.160416666666663</v>
      </c>
      <c r="AS14" s="287">
        <f t="shared" si="24"/>
        <v>229.16187499999995</v>
      </c>
      <c r="AT14" s="287">
        <f t="shared" si="24"/>
        <v>422.06333333333333</v>
      </c>
      <c r="AU14" s="287">
        <f t="shared" si="24"/>
        <v>591.99583333333339</v>
      </c>
      <c r="AV14" s="223">
        <f t="shared" si="9"/>
        <v>3621.5835416666669</v>
      </c>
      <c r="AW14" s="224">
        <f t="shared" si="16"/>
        <v>2026</v>
      </c>
      <c r="AX14" s="287">
        <f>AVERAGE(AX4:AX13)</f>
        <v>628.30416666666667</v>
      </c>
      <c r="AY14" s="287">
        <f>AVERAGE(AY4:AY13)</f>
        <v>540.14541666666662</v>
      </c>
      <c r="AZ14" s="287">
        <f>AVERAGE(AZ4:AZ13)</f>
        <v>455.96333333333331</v>
      </c>
      <c r="BA14" s="287">
        <f t="shared" ref="BA14:BI14" si="25">AVERAGE(BA4:BA13)</f>
        <v>282.40270833333324</v>
      </c>
      <c r="BB14" s="287">
        <f t="shared" si="25"/>
        <v>103.01541666666667</v>
      </c>
      <c r="BC14" s="287">
        <f t="shared" si="25"/>
        <v>10.317708333333334</v>
      </c>
      <c r="BD14" s="287">
        <f t="shared" si="25"/>
        <v>0</v>
      </c>
      <c r="BE14" s="287">
        <f t="shared" si="25"/>
        <v>2.6287500000000015</v>
      </c>
      <c r="BF14" s="287">
        <f t="shared" si="25"/>
        <v>27.783333333333324</v>
      </c>
      <c r="BG14" s="287">
        <f t="shared" si="25"/>
        <v>174.68395833333335</v>
      </c>
      <c r="BH14" s="287">
        <f t="shared" si="25"/>
        <v>371.42979166666663</v>
      </c>
      <c r="BI14" s="287">
        <f t="shared" si="25"/>
        <v>535.52499999999998</v>
      </c>
      <c r="BK14" s="224">
        <f t="shared" si="17"/>
        <v>2026</v>
      </c>
      <c r="BL14" s="287">
        <f>AVERAGE(BL4:BL13)</f>
        <v>566.30416666666667</v>
      </c>
      <c r="BM14" s="287">
        <f>AVERAGE(BM4:BM13)</f>
        <v>483.54541666666665</v>
      </c>
      <c r="BN14" s="287">
        <f>AVERAGE(BN4:BN13)</f>
        <v>393.96333333333331</v>
      </c>
      <c r="BO14" s="287">
        <f t="shared" ref="BO14:BW14" si="26">AVERAGE(BO4:BO13)</f>
        <v>226.60145833333337</v>
      </c>
      <c r="BP14" s="287">
        <f t="shared" si="26"/>
        <v>65.335833333333326</v>
      </c>
      <c r="BQ14" s="287">
        <f t="shared" si="26"/>
        <v>3.0447916666666672</v>
      </c>
      <c r="BR14" s="287">
        <f t="shared" si="26"/>
        <v>0</v>
      </c>
      <c r="BS14" s="287">
        <f t="shared" si="26"/>
        <v>0.27875000000000066</v>
      </c>
      <c r="BT14" s="287">
        <f t="shared" si="26"/>
        <v>11.319999999999997</v>
      </c>
      <c r="BU14" s="287">
        <f t="shared" si="26"/>
        <v>126.12583333333332</v>
      </c>
      <c r="BV14" s="287">
        <f t="shared" si="26"/>
        <v>312.40687500000001</v>
      </c>
      <c r="BW14" s="287">
        <f t="shared" si="26"/>
        <v>473.52499999999998</v>
      </c>
      <c r="BY14" s="224">
        <f t="shared" si="18"/>
        <v>2026</v>
      </c>
      <c r="BZ14" s="287">
        <f>AVERAGE(BZ4:BZ13)</f>
        <v>504.30416666666662</v>
      </c>
      <c r="CA14" s="287">
        <f t="shared" ref="CA14:CK14" si="27">AVERAGE(CA4:CA13)</f>
        <v>426.94541666666663</v>
      </c>
      <c r="CB14" s="287">
        <f t="shared" si="27"/>
        <v>332.89375000000001</v>
      </c>
      <c r="CC14" s="287">
        <f t="shared" si="27"/>
        <v>173.98062499999997</v>
      </c>
      <c r="CD14" s="287">
        <f t="shared" si="27"/>
        <v>37.873333333333342</v>
      </c>
      <c r="CE14" s="287">
        <f t="shared" si="27"/>
        <v>0.69125000000000014</v>
      </c>
      <c r="CF14" s="287">
        <f t="shared" si="27"/>
        <v>0</v>
      </c>
      <c r="CG14" s="287">
        <f t="shared" si="27"/>
        <v>0</v>
      </c>
      <c r="CH14" s="287">
        <f t="shared" si="27"/>
        <v>2.8716666666666661</v>
      </c>
      <c r="CI14" s="287">
        <f t="shared" si="27"/>
        <v>84.661249999999995</v>
      </c>
      <c r="CJ14" s="287">
        <f t="shared" si="27"/>
        <v>254.42020833333331</v>
      </c>
      <c r="CK14" s="287">
        <f t="shared" si="27"/>
        <v>411.52499999999998</v>
      </c>
      <c r="CM14" s="224">
        <f t="shared" si="19"/>
        <v>2026</v>
      </c>
      <c r="CN14" s="287">
        <f>AVERAGE(CN4:CN13)</f>
        <v>442.30416666666662</v>
      </c>
      <c r="CO14" s="287">
        <f>AVERAGE(CO4:CO13)</f>
        <v>370.61416666666662</v>
      </c>
      <c r="CP14" s="287">
        <f>AVERAGE(CP4:CP13)</f>
        <v>272.9354166666667</v>
      </c>
      <c r="CQ14" s="287">
        <f t="shared" ref="CQ14:CY14" si="28">AVERAGE(CQ4:CQ13)</f>
        <v>125.84229166666667</v>
      </c>
      <c r="CR14" s="287">
        <f t="shared" si="28"/>
        <v>19.034583333333337</v>
      </c>
      <c r="CS14" s="287">
        <f t="shared" si="28"/>
        <v>3.874999999999993E-2</v>
      </c>
      <c r="CT14" s="287">
        <f t="shared" si="28"/>
        <v>0</v>
      </c>
      <c r="CU14" s="287">
        <f t="shared" si="28"/>
        <v>0</v>
      </c>
      <c r="CV14" s="287">
        <f t="shared" si="28"/>
        <v>0.33083333333333365</v>
      </c>
      <c r="CW14" s="287">
        <f t="shared" si="28"/>
        <v>50.172499999999999</v>
      </c>
      <c r="CX14" s="287">
        <f t="shared" si="28"/>
        <v>198.84645833333335</v>
      </c>
      <c r="CY14" s="287">
        <f t="shared" si="28"/>
        <v>349.72416666666669</v>
      </c>
      <c r="DA14" s="224">
        <f t="shared" si="20"/>
        <v>2026</v>
      </c>
      <c r="DB14" s="287">
        <f>AVERAGE(DB4:DB13)</f>
        <v>380.31083333333333</v>
      </c>
      <c r="DC14" s="287">
        <f>AVERAGE(DC4:DC13)</f>
        <v>314.9289583333333</v>
      </c>
      <c r="DD14" s="287">
        <f>AVERAGE(DD4:DD13)</f>
        <v>215.80708333333331</v>
      </c>
      <c r="DE14" s="287">
        <f t="shared" ref="DE14:DM14" si="29">AVERAGE(DE4:DE13)</f>
        <v>84.428125000000009</v>
      </c>
      <c r="DF14" s="287">
        <f t="shared" si="29"/>
        <v>8.3958333333333321</v>
      </c>
      <c r="DG14" s="287">
        <f t="shared" si="29"/>
        <v>0</v>
      </c>
      <c r="DH14" s="287">
        <f t="shared" si="29"/>
        <v>0</v>
      </c>
      <c r="DI14" s="287">
        <f t="shared" si="29"/>
        <v>0</v>
      </c>
      <c r="DJ14" s="287">
        <f t="shared" si="29"/>
        <v>1.3333333333333374E-2</v>
      </c>
      <c r="DK14" s="287">
        <f t="shared" si="29"/>
        <v>24.139166666666672</v>
      </c>
      <c r="DL14" s="287">
        <f t="shared" si="29"/>
        <v>146.23416666666668</v>
      </c>
      <c r="DM14" s="287">
        <f t="shared" si="29"/>
        <v>288.32041666666674</v>
      </c>
      <c r="ED14" s="1" t="s">
        <v>395</v>
      </c>
    </row>
    <row r="15" spans="1:138" x14ac:dyDescent="0.2">
      <c r="A15" s="1">
        <v>2017</v>
      </c>
      <c r="B15" s="1">
        <v>2</v>
      </c>
      <c r="C15" s="220">
        <v>-7.0684523809523572E-2</v>
      </c>
      <c r="D15" s="220">
        <v>561.97916666666674</v>
      </c>
      <c r="E15" s="220">
        <v>0</v>
      </c>
      <c r="F15" s="220">
        <v>505.97916666666669</v>
      </c>
      <c r="G15" s="220">
        <v>0</v>
      </c>
      <c r="H15" s="220">
        <v>449.97916666666669</v>
      </c>
      <c r="I15" s="220">
        <v>0</v>
      </c>
      <c r="J15" s="220">
        <v>393.97916666666669</v>
      </c>
      <c r="K15" s="220">
        <v>0</v>
      </c>
      <c r="L15" s="220">
        <v>337.97916666666674</v>
      </c>
      <c r="M15" s="220">
        <v>0</v>
      </c>
      <c r="N15" s="220">
        <v>282.74583333333328</v>
      </c>
      <c r="O15" s="220">
        <v>0.76666666666666572</v>
      </c>
      <c r="P15" s="220">
        <v>230.00416666666666</v>
      </c>
      <c r="Q15" s="220">
        <v>4.0249999999999986</v>
      </c>
      <c r="T15" s="224">
        <f t="shared" si="15"/>
        <v>2027</v>
      </c>
      <c r="U15" s="286">
        <f>U14</f>
        <v>752.30416666666667</v>
      </c>
      <c r="V15" s="286">
        <f t="shared" ref="V15:AF15" si="30">V14</f>
        <v>653.34541666666678</v>
      </c>
      <c r="W15" s="286">
        <f t="shared" si="30"/>
        <v>579.96333333333337</v>
      </c>
      <c r="X15" s="286">
        <f t="shared" si="30"/>
        <v>400.08354166666663</v>
      </c>
      <c r="Y15" s="286">
        <f t="shared" si="30"/>
        <v>200.77312499999999</v>
      </c>
      <c r="Z15" s="286">
        <f t="shared" si="30"/>
        <v>57.752916666666678</v>
      </c>
      <c r="AA15" s="286">
        <f t="shared" si="30"/>
        <v>11.84625</v>
      </c>
      <c r="AB15" s="286">
        <f t="shared" si="30"/>
        <v>28.030624999999997</v>
      </c>
      <c r="AC15" s="286">
        <f t="shared" si="30"/>
        <v>97.805833333333311</v>
      </c>
      <c r="AD15" s="286">
        <f t="shared" si="30"/>
        <v>288.09020833333335</v>
      </c>
      <c r="AE15" s="286">
        <f t="shared" si="30"/>
        <v>490.76145833333328</v>
      </c>
      <c r="AF15" s="286">
        <f t="shared" si="30"/>
        <v>659.52500000000009</v>
      </c>
      <c r="AI15" s="224">
        <f t="shared" si="21"/>
        <v>2026</v>
      </c>
      <c r="AJ15" s="287">
        <f t="shared" si="23"/>
        <v>683.09489583333334</v>
      </c>
      <c r="AK15" s="287">
        <f t="shared" si="23"/>
        <v>589.85491666666678</v>
      </c>
      <c r="AL15" s="287">
        <f t="shared" si="23"/>
        <v>522.20004166666672</v>
      </c>
      <c r="AM15" s="287">
        <f t="shared" si="24"/>
        <v>343.18302083333327</v>
      </c>
      <c r="AN15" s="287">
        <f t="shared" si="24"/>
        <v>146.15645833333332</v>
      </c>
      <c r="AO15" s="287">
        <f t="shared" ref="AO15:AU15" si="31">AO14</f>
        <v>29.335416666666674</v>
      </c>
      <c r="AP15" s="287">
        <f t="shared" si="31"/>
        <v>1.6731249999999993</v>
      </c>
      <c r="AQ15" s="287">
        <f t="shared" si="31"/>
        <v>7.1606250000000005</v>
      </c>
      <c r="AR15" s="287">
        <f t="shared" si="31"/>
        <v>56.160416666666663</v>
      </c>
      <c r="AS15" s="287">
        <f t="shared" si="31"/>
        <v>229.16187499999995</v>
      </c>
      <c r="AT15" s="287">
        <f t="shared" si="31"/>
        <v>422.06333333333333</v>
      </c>
      <c r="AU15" s="287">
        <f t="shared" si="31"/>
        <v>591.99583333333339</v>
      </c>
      <c r="AV15" s="223">
        <f t="shared" si="9"/>
        <v>3622.0399583333333</v>
      </c>
      <c r="AW15" s="224">
        <f t="shared" si="16"/>
        <v>2027</v>
      </c>
      <c r="AX15" s="287">
        <f>AX14</f>
        <v>628.30416666666667</v>
      </c>
      <c r="AY15" s="287">
        <f t="shared" ref="AY15:BI15" si="32">AY14</f>
        <v>540.14541666666662</v>
      </c>
      <c r="AZ15" s="287">
        <f t="shared" si="32"/>
        <v>455.96333333333331</v>
      </c>
      <c r="BA15" s="287">
        <f t="shared" si="32"/>
        <v>282.40270833333324</v>
      </c>
      <c r="BB15" s="287">
        <f t="shared" si="32"/>
        <v>103.01541666666667</v>
      </c>
      <c r="BC15" s="287">
        <f t="shared" si="32"/>
        <v>10.317708333333334</v>
      </c>
      <c r="BD15" s="287">
        <f t="shared" si="32"/>
        <v>0</v>
      </c>
      <c r="BE15" s="287">
        <f t="shared" si="32"/>
        <v>2.6287500000000015</v>
      </c>
      <c r="BF15" s="287">
        <f t="shared" si="32"/>
        <v>27.783333333333324</v>
      </c>
      <c r="BG15" s="287">
        <f t="shared" si="32"/>
        <v>174.68395833333335</v>
      </c>
      <c r="BH15" s="287">
        <f t="shared" si="32"/>
        <v>371.42979166666663</v>
      </c>
      <c r="BI15" s="287">
        <f t="shared" si="32"/>
        <v>535.52499999999998</v>
      </c>
      <c r="BK15" s="224">
        <f t="shared" si="17"/>
        <v>2027</v>
      </c>
      <c r="BL15" s="287">
        <f>BL14</f>
        <v>566.30416666666667</v>
      </c>
      <c r="BM15" s="287">
        <f t="shared" ref="BM15:BW15" si="33">BM14</f>
        <v>483.54541666666665</v>
      </c>
      <c r="BN15" s="287">
        <f t="shared" si="33"/>
        <v>393.96333333333331</v>
      </c>
      <c r="BO15" s="287">
        <f t="shared" si="33"/>
        <v>226.60145833333337</v>
      </c>
      <c r="BP15" s="287">
        <f t="shared" si="33"/>
        <v>65.335833333333326</v>
      </c>
      <c r="BQ15" s="287">
        <f t="shared" si="33"/>
        <v>3.0447916666666672</v>
      </c>
      <c r="BR15" s="287">
        <f t="shared" si="33"/>
        <v>0</v>
      </c>
      <c r="BS15" s="287">
        <f t="shared" si="33"/>
        <v>0.27875000000000066</v>
      </c>
      <c r="BT15" s="287">
        <f t="shared" si="33"/>
        <v>11.319999999999997</v>
      </c>
      <c r="BU15" s="287">
        <f t="shared" si="33"/>
        <v>126.12583333333332</v>
      </c>
      <c r="BV15" s="287">
        <f t="shared" si="33"/>
        <v>312.40687500000001</v>
      </c>
      <c r="BW15" s="287">
        <f t="shared" si="33"/>
        <v>473.52499999999998</v>
      </c>
      <c r="BY15" s="224">
        <f t="shared" si="18"/>
        <v>2027</v>
      </c>
      <c r="BZ15" s="287">
        <f t="shared" ref="BZ15:CK15" si="34">BZ14</f>
        <v>504.30416666666662</v>
      </c>
      <c r="CA15" s="287">
        <f t="shared" si="34"/>
        <v>426.94541666666663</v>
      </c>
      <c r="CB15" s="287">
        <f t="shared" si="34"/>
        <v>332.89375000000001</v>
      </c>
      <c r="CC15" s="287">
        <f t="shared" si="34"/>
        <v>173.98062499999997</v>
      </c>
      <c r="CD15" s="287">
        <f t="shared" si="34"/>
        <v>37.873333333333342</v>
      </c>
      <c r="CE15" s="287">
        <f t="shared" si="34"/>
        <v>0.69125000000000014</v>
      </c>
      <c r="CF15" s="287">
        <f t="shared" si="34"/>
        <v>0</v>
      </c>
      <c r="CG15" s="287">
        <f t="shared" si="34"/>
        <v>0</v>
      </c>
      <c r="CH15" s="287">
        <f t="shared" si="34"/>
        <v>2.8716666666666661</v>
      </c>
      <c r="CI15" s="287">
        <f t="shared" si="34"/>
        <v>84.661249999999995</v>
      </c>
      <c r="CJ15" s="287">
        <f t="shared" si="34"/>
        <v>254.42020833333331</v>
      </c>
      <c r="CK15" s="287">
        <f t="shared" si="34"/>
        <v>411.52499999999998</v>
      </c>
      <c r="CM15" s="224">
        <f t="shared" si="19"/>
        <v>2027</v>
      </c>
      <c r="CN15" s="287">
        <f t="shared" ref="CN15:CY15" si="35">CN14</f>
        <v>442.30416666666662</v>
      </c>
      <c r="CO15" s="287">
        <f t="shared" si="35"/>
        <v>370.61416666666662</v>
      </c>
      <c r="CP15" s="287">
        <f t="shared" si="35"/>
        <v>272.9354166666667</v>
      </c>
      <c r="CQ15" s="287">
        <f t="shared" si="35"/>
        <v>125.84229166666667</v>
      </c>
      <c r="CR15" s="287">
        <f t="shared" si="35"/>
        <v>19.034583333333337</v>
      </c>
      <c r="CS15" s="287">
        <f t="shared" si="35"/>
        <v>3.874999999999993E-2</v>
      </c>
      <c r="CT15" s="287">
        <f t="shared" si="35"/>
        <v>0</v>
      </c>
      <c r="CU15" s="287">
        <f t="shared" si="35"/>
        <v>0</v>
      </c>
      <c r="CV15" s="287">
        <f t="shared" si="35"/>
        <v>0.33083333333333365</v>
      </c>
      <c r="CW15" s="287">
        <f t="shared" si="35"/>
        <v>50.172499999999999</v>
      </c>
      <c r="CX15" s="287">
        <f t="shared" si="35"/>
        <v>198.84645833333335</v>
      </c>
      <c r="CY15" s="287">
        <f t="shared" si="35"/>
        <v>349.72416666666669</v>
      </c>
      <c r="DA15" s="224">
        <f t="shared" si="20"/>
        <v>2027</v>
      </c>
      <c r="DB15" s="287">
        <f>DB14</f>
        <v>380.31083333333333</v>
      </c>
      <c r="DC15" s="287">
        <f t="shared" ref="DC15:DM15" si="36">DC14</f>
        <v>314.9289583333333</v>
      </c>
      <c r="DD15" s="287">
        <f t="shared" si="36"/>
        <v>215.80708333333331</v>
      </c>
      <c r="DE15" s="287">
        <f t="shared" si="36"/>
        <v>84.428125000000009</v>
      </c>
      <c r="DF15" s="287">
        <f t="shared" si="36"/>
        <v>8.3958333333333321</v>
      </c>
      <c r="DG15" s="287">
        <f t="shared" si="36"/>
        <v>0</v>
      </c>
      <c r="DH15" s="287">
        <f t="shared" si="36"/>
        <v>0</v>
      </c>
      <c r="DI15" s="287">
        <f t="shared" si="36"/>
        <v>0</v>
      </c>
      <c r="DJ15" s="287">
        <f t="shared" si="36"/>
        <v>1.3333333333333374E-2</v>
      </c>
      <c r="DK15" s="287">
        <f t="shared" si="36"/>
        <v>24.139166666666672</v>
      </c>
      <c r="DL15" s="287">
        <f t="shared" si="36"/>
        <v>146.23416666666668</v>
      </c>
      <c r="DM15" s="287">
        <f t="shared" si="36"/>
        <v>288.32041666666674</v>
      </c>
    </row>
    <row r="16" spans="1:138" x14ac:dyDescent="0.2">
      <c r="A16" s="1">
        <v>2017</v>
      </c>
      <c r="B16" s="1">
        <v>3</v>
      </c>
      <c r="C16" s="220">
        <v>-0.17392473118279589</v>
      </c>
      <c r="D16" s="220">
        <v>625.39166666666665</v>
      </c>
      <c r="E16" s="220">
        <v>0</v>
      </c>
      <c r="F16" s="220">
        <v>563.39166666666665</v>
      </c>
      <c r="G16" s="220">
        <v>0</v>
      </c>
      <c r="H16" s="220">
        <v>501.39166666666665</v>
      </c>
      <c r="I16" s="220">
        <v>0</v>
      </c>
      <c r="J16" s="220">
        <v>439.39166666666665</v>
      </c>
      <c r="K16" s="220">
        <v>0</v>
      </c>
      <c r="L16" s="220">
        <v>377.39166666666677</v>
      </c>
      <c r="M16" s="220">
        <v>0</v>
      </c>
      <c r="N16" s="220">
        <v>315.91666666666663</v>
      </c>
      <c r="O16" s="220">
        <v>0.52500000000000036</v>
      </c>
      <c r="P16" s="220">
        <v>259.54583333333329</v>
      </c>
      <c r="Q16" s="220">
        <v>6.1541666666666703</v>
      </c>
      <c r="T16" s="1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I16" s="55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  <c r="BL16" s="228"/>
      <c r="BM16" s="228"/>
      <c r="BN16" s="228"/>
      <c r="BO16" s="228"/>
      <c r="BP16" s="228"/>
      <c r="BQ16" s="228"/>
      <c r="BR16" s="228"/>
      <c r="BS16" s="228"/>
      <c r="BT16" s="228"/>
      <c r="BU16" s="228"/>
      <c r="BV16" s="228"/>
      <c r="BW16" s="228"/>
      <c r="BZ16" s="228"/>
      <c r="CA16" s="228"/>
      <c r="CB16" s="228"/>
      <c r="CC16" s="228"/>
      <c r="CD16" s="228"/>
      <c r="CE16" s="228"/>
      <c r="CF16" s="228"/>
      <c r="CG16" s="228"/>
      <c r="CH16" s="228"/>
      <c r="CI16" s="228"/>
      <c r="CJ16" s="228"/>
      <c r="CK16" s="228"/>
      <c r="CN16" s="228"/>
      <c r="CO16" s="228"/>
      <c r="CP16" s="228"/>
      <c r="CQ16" s="228"/>
      <c r="CR16" s="228"/>
      <c r="CS16" s="228"/>
      <c r="CT16" s="228"/>
      <c r="CU16" s="228"/>
      <c r="CV16" s="228"/>
      <c r="CW16" s="228"/>
      <c r="CX16" s="228"/>
      <c r="CY16" s="228"/>
      <c r="DB16" s="228"/>
      <c r="DC16" s="228"/>
      <c r="DD16" s="228"/>
      <c r="DE16" s="228"/>
      <c r="DF16" s="228"/>
      <c r="DG16" s="228"/>
      <c r="DH16" s="228"/>
      <c r="DI16" s="228"/>
      <c r="DJ16" s="228"/>
      <c r="DK16" s="228"/>
      <c r="DL16" s="228"/>
      <c r="DM16" s="228"/>
      <c r="EE16" s="1" t="s">
        <v>61</v>
      </c>
      <c r="EF16" s="1" t="s">
        <v>62</v>
      </c>
      <c r="EG16" s="1" t="s">
        <v>63</v>
      </c>
      <c r="EH16" s="1" t="s">
        <v>64</v>
      </c>
    </row>
    <row r="17" spans="1:138" x14ac:dyDescent="0.2">
      <c r="A17" s="1">
        <v>2017</v>
      </c>
      <c r="B17" s="1">
        <v>4</v>
      </c>
      <c r="C17" s="220">
        <v>9.3709722222222247</v>
      </c>
      <c r="D17" s="220">
        <v>318.87083333333334</v>
      </c>
      <c r="E17" s="220">
        <v>0</v>
      </c>
      <c r="F17" s="220">
        <v>259.11666666666662</v>
      </c>
      <c r="G17" s="220">
        <v>0.24583333333333357</v>
      </c>
      <c r="H17" s="220">
        <v>202.63749999999996</v>
      </c>
      <c r="I17" s="220">
        <v>3.7666666666666728</v>
      </c>
      <c r="J17" s="220">
        <v>150.22500000000002</v>
      </c>
      <c r="K17" s="220">
        <v>11.354166666666671</v>
      </c>
      <c r="L17" s="220">
        <v>102.53749999999998</v>
      </c>
      <c r="M17" s="220">
        <v>23.666666666666675</v>
      </c>
      <c r="N17" s="220">
        <v>61.175000000000026</v>
      </c>
      <c r="O17" s="220">
        <v>42.304166666666667</v>
      </c>
      <c r="P17" s="220">
        <v>28.69166666666667</v>
      </c>
      <c r="Q17" s="220">
        <v>69.820833333333354</v>
      </c>
      <c r="T17" s="221" t="s">
        <v>141</v>
      </c>
      <c r="U17" s="225" t="s">
        <v>43</v>
      </c>
      <c r="V17" s="225" t="s">
        <v>44</v>
      </c>
      <c r="W17" s="225" t="s">
        <v>45</v>
      </c>
      <c r="X17" s="225" t="s">
        <v>46</v>
      </c>
      <c r="Y17" s="225" t="s">
        <v>47</v>
      </c>
      <c r="Z17" s="225" t="s">
        <v>85</v>
      </c>
      <c r="AA17" s="225" t="s">
        <v>86</v>
      </c>
      <c r="AB17" s="225" t="s">
        <v>87</v>
      </c>
      <c r="AC17" s="225" t="s">
        <v>51</v>
      </c>
      <c r="AD17" s="225" t="s">
        <v>52</v>
      </c>
      <c r="AE17" s="225" t="s">
        <v>53</v>
      </c>
      <c r="AF17" s="225" t="s">
        <v>54</v>
      </c>
      <c r="AI17" s="221" t="s">
        <v>27</v>
      </c>
      <c r="AJ17" s="233" t="s">
        <v>43</v>
      </c>
      <c r="AK17" s="233" t="s">
        <v>44</v>
      </c>
      <c r="AL17" s="233" t="s">
        <v>45</v>
      </c>
      <c r="AM17" s="233" t="s">
        <v>46</v>
      </c>
      <c r="AN17" s="233" t="s">
        <v>47</v>
      </c>
      <c r="AO17" s="233" t="s">
        <v>85</v>
      </c>
      <c r="AP17" s="233" t="s">
        <v>86</v>
      </c>
      <c r="AQ17" s="233" t="s">
        <v>87</v>
      </c>
      <c r="AR17" s="233" t="s">
        <v>51</v>
      </c>
      <c r="AS17" s="233" t="s">
        <v>52</v>
      </c>
      <c r="AT17" s="233" t="s">
        <v>53</v>
      </c>
      <c r="AU17" s="233" t="s">
        <v>54</v>
      </c>
      <c r="AW17" s="221" t="s">
        <v>29</v>
      </c>
      <c r="AX17" s="233" t="s">
        <v>43</v>
      </c>
      <c r="AY17" s="233" t="s">
        <v>44</v>
      </c>
      <c r="AZ17" s="233" t="s">
        <v>45</v>
      </c>
      <c r="BA17" s="233" t="s">
        <v>46</v>
      </c>
      <c r="BB17" s="233" t="s">
        <v>47</v>
      </c>
      <c r="BC17" s="233" t="s">
        <v>85</v>
      </c>
      <c r="BD17" s="233" t="s">
        <v>86</v>
      </c>
      <c r="BE17" s="233" t="s">
        <v>87</v>
      </c>
      <c r="BF17" s="233" t="s">
        <v>51</v>
      </c>
      <c r="BG17" s="233" t="s">
        <v>52</v>
      </c>
      <c r="BH17" s="233" t="s">
        <v>53</v>
      </c>
      <c r="BI17" s="233" t="s">
        <v>54</v>
      </c>
      <c r="BK17" s="221" t="s">
        <v>31</v>
      </c>
      <c r="BL17" s="233" t="s">
        <v>43</v>
      </c>
      <c r="BM17" s="233" t="s">
        <v>44</v>
      </c>
      <c r="BN17" s="233" t="s">
        <v>45</v>
      </c>
      <c r="BO17" s="233" t="s">
        <v>46</v>
      </c>
      <c r="BP17" s="233" t="s">
        <v>47</v>
      </c>
      <c r="BQ17" s="233" t="s">
        <v>85</v>
      </c>
      <c r="BR17" s="233" t="s">
        <v>86</v>
      </c>
      <c r="BS17" s="233" t="s">
        <v>87</v>
      </c>
      <c r="BT17" s="233" t="s">
        <v>51</v>
      </c>
      <c r="BU17" s="233" t="s">
        <v>52</v>
      </c>
      <c r="BV17" s="233" t="s">
        <v>53</v>
      </c>
      <c r="BW17" s="233" t="s">
        <v>54</v>
      </c>
      <c r="BY17" s="221" t="s">
        <v>33</v>
      </c>
      <c r="BZ17" s="233" t="s">
        <v>43</v>
      </c>
      <c r="CA17" s="233" t="s">
        <v>44</v>
      </c>
      <c r="CB17" s="233" t="s">
        <v>45</v>
      </c>
      <c r="CC17" s="233" t="s">
        <v>46</v>
      </c>
      <c r="CD17" s="233" t="s">
        <v>47</v>
      </c>
      <c r="CE17" s="233" t="s">
        <v>85</v>
      </c>
      <c r="CF17" s="233" t="s">
        <v>86</v>
      </c>
      <c r="CG17" s="233" t="s">
        <v>87</v>
      </c>
      <c r="CH17" s="233" t="s">
        <v>51</v>
      </c>
      <c r="CI17" s="233" t="s">
        <v>52</v>
      </c>
      <c r="CJ17" s="233" t="s">
        <v>53</v>
      </c>
      <c r="CK17" s="233" t="s">
        <v>54</v>
      </c>
      <c r="CM17" s="221" t="s">
        <v>143</v>
      </c>
      <c r="CN17" s="233" t="s">
        <v>43</v>
      </c>
      <c r="CO17" s="233" t="s">
        <v>44</v>
      </c>
      <c r="CP17" s="233" t="s">
        <v>45</v>
      </c>
      <c r="CQ17" s="233" t="s">
        <v>46</v>
      </c>
      <c r="CR17" s="233" t="s">
        <v>47</v>
      </c>
      <c r="CS17" s="233" t="s">
        <v>85</v>
      </c>
      <c r="CT17" s="233" t="s">
        <v>86</v>
      </c>
      <c r="CU17" s="233" t="s">
        <v>87</v>
      </c>
      <c r="CV17" s="233" t="s">
        <v>51</v>
      </c>
      <c r="CW17" s="233" t="s">
        <v>52</v>
      </c>
      <c r="CX17" s="233" t="s">
        <v>53</v>
      </c>
      <c r="CY17" s="233" t="s">
        <v>54</v>
      </c>
      <c r="DA17" s="221" t="s">
        <v>145</v>
      </c>
      <c r="DB17" s="233" t="s">
        <v>43</v>
      </c>
      <c r="DC17" s="233" t="s">
        <v>44</v>
      </c>
      <c r="DD17" s="233" t="s">
        <v>45</v>
      </c>
      <c r="DE17" s="233" t="s">
        <v>46</v>
      </c>
      <c r="DF17" s="233" t="s">
        <v>47</v>
      </c>
      <c r="DG17" s="233" t="s">
        <v>85</v>
      </c>
      <c r="DH17" s="233" t="s">
        <v>86</v>
      </c>
      <c r="DI17" s="233" t="s">
        <v>87</v>
      </c>
      <c r="DJ17" s="233" t="s">
        <v>51</v>
      </c>
      <c r="DK17" s="233" t="s">
        <v>52</v>
      </c>
      <c r="DL17" s="233" t="s">
        <v>53</v>
      </c>
      <c r="DM17" s="233" t="s">
        <v>54</v>
      </c>
      <c r="ED17" s="1" t="s">
        <v>65</v>
      </c>
      <c r="EE17" s="1">
        <v>35298963.860157602</v>
      </c>
      <c r="EF17" s="1">
        <v>718234.67198198801</v>
      </c>
      <c r="EG17" s="1">
        <v>49.146839100302998</v>
      </c>
      <c r="EH17" s="226">
        <v>5.7428687577253096E-80</v>
      </c>
    </row>
    <row r="18" spans="1:138" x14ac:dyDescent="0.2">
      <c r="A18" s="1">
        <v>2017</v>
      </c>
      <c r="B18" s="1">
        <v>5</v>
      </c>
      <c r="C18" s="220">
        <v>12.226209677419357</v>
      </c>
      <c r="D18" s="220">
        <v>247.3</v>
      </c>
      <c r="E18" s="220">
        <v>6.3125000000000036</v>
      </c>
      <c r="F18" s="220">
        <v>189.45833333333337</v>
      </c>
      <c r="G18" s="220">
        <v>10.470833333333339</v>
      </c>
      <c r="H18" s="220">
        <v>136.45833333333337</v>
      </c>
      <c r="I18" s="220">
        <v>19.470833333333339</v>
      </c>
      <c r="J18" s="220">
        <v>92.170833333333348</v>
      </c>
      <c r="K18" s="220">
        <v>37.183333333333337</v>
      </c>
      <c r="L18" s="220">
        <v>54.95</v>
      </c>
      <c r="M18" s="220">
        <v>61.962500000000006</v>
      </c>
      <c r="N18" s="220">
        <v>29.462500000000006</v>
      </c>
      <c r="O18" s="220">
        <v>98.474999999999994</v>
      </c>
      <c r="P18" s="220">
        <v>12.970833333333339</v>
      </c>
      <c r="Q18" s="220">
        <v>143.98333333333332</v>
      </c>
      <c r="T18" s="1">
        <v>2016</v>
      </c>
      <c r="U18" s="2">
        <f t="shared" ref="U18:AF27" si="37">SUMIFS($E:$E,$A:$A,$T18,$B:$B,U$2)</f>
        <v>0</v>
      </c>
      <c r="V18" s="2">
        <f t="shared" si="37"/>
        <v>0</v>
      </c>
      <c r="W18" s="2">
        <f t="shared" si="37"/>
        <v>0</v>
      </c>
      <c r="X18" s="2">
        <f t="shared" si="37"/>
        <v>0</v>
      </c>
      <c r="Y18" s="2">
        <f t="shared" si="37"/>
        <v>13.287500000000009</v>
      </c>
      <c r="Z18" s="2">
        <f t="shared" si="37"/>
        <v>26.00833333333334</v>
      </c>
      <c r="AA18" s="2">
        <f t="shared" si="37"/>
        <v>71.112499999999983</v>
      </c>
      <c r="AB18" s="2">
        <f t="shared" si="37"/>
        <v>67.425000000000026</v>
      </c>
      <c r="AC18" s="2">
        <f t="shared" si="37"/>
        <v>18.814583333333335</v>
      </c>
      <c r="AD18" s="2">
        <f t="shared" si="37"/>
        <v>0.16249999999999787</v>
      </c>
      <c r="AE18" s="2">
        <f t="shared" si="37"/>
        <v>0</v>
      </c>
      <c r="AF18" s="2">
        <f t="shared" si="37"/>
        <v>0</v>
      </c>
      <c r="AI18" s="1">
        <v>2016</v>
      </c>
      <c r="AJ18" s="228">
        <f t="shared" ref="AJ18:AU27" si="38">SUMIFS($G:$G,$A:$A,$AI18,$B:$B,AJ$2)</f>
        <v>0</v>
      </c>
      <c r="AK18" s="228">
        <f t="shared" si="38"/>
        <v>0</v>
      </c>
      <c r="AL18" s="228">
        <f t="shared" si="38"/>
        <v>0</v>
      </c>
      <c r="AM18" s="228">
        <f t="shared" si="38"/>
        <v>0</v>
      </c>
      <c r="AN18" s="228">
        <f t="shared" si="38"/>
        <v>27.19583333333334</v>
      </c>
      <c r="AO18" s="228">
        <f t="shared" si="38"/>
        <v>54.07916666666668</v>
      </c>
      <c r="AP18" s="228">
        <f t="shared" si="38"/>
        <v>122.86666666666666</v>
      </c>
      <c r="AQ18" s="228">
        <f t="shared" si="38"/>
        <v>126.65416666666671</v>
      </c>
      <c r="AR18" s="228">
        <f t="shared" si="38"/>
        <v>40.814583333333331</v>
      </c>
      <c r="AS18" s="228">
        <f t="shared" si="38"/>
        <v>4.6500000000000021</v>
      </c>
      <c r="AT18" s="228">
        <f t="shared" si="38"/>
        <v>0</v>
      </c>
      <c r="AU18" s="228">
        <f t="shared" si="38"/>
        <v>0</v>
      </c>
      <c r="AV18" s="223">
        <f t="shared" ref="AV18:AV29" si="39">SUM(AJ18:AU18)</f>
        <v>376.26041666666674</v>
      </c>
      <c r="AW18" s="1">
        <v>2016</v>
      </c>
      <c r="AX18" s="228">
        <f t="shared" ref="AX18:BI27" si="40">SUMIFS($I:$I,$A:$A,$AW18,$B:$B,AX$2)</f>
        <v>0</v>
      </c>
      <c r="AY18" s="228">
        <f t="shared" si="40"/>
        <v>0</v>
      </c>
      <c r="AZ18" s="228">
        <f t="shared" si="40"/>
        <v>0</v>
      </c>
      <c r="BA18" s="228">
        <f t="shared" si="40"/>
        <v>0.32083333333333286</v>
      </c>
      <c r="BB18" s="228">
        <f t="shared" si="40"/>
        <v>44.924999999999997</v>
      </c>
      <c r="BC18" s="228">
        <f t="shared" si="40"/>
        <v>95.591666666666669</v>
      </c>
      <c r="BD18" s="228">
        <f t="shared" si="40"/>
        <v>182.54583333333335</v>
      </c>
      <c r="BE18" s="228">
        <f t="shared" si="40"/>
        <v>188.34583333333333</v>
      </c>
      <c r="BF18" s="228">
        <f t="shared" si="40"/>
        <v>74.310416666666683</v>
      </c>
      <c r="BG18" s="228">
        <f t="shared" si="40"/>
        <v>14.391666666666673</v>
      </c>
      <c r="BH18" s="228">
        <f t="shared" si="40"/>
        <v>0</v>
      </c>
      <c r="BI18" s="228">
        <f t="shared" si="40"/>
        <v>0</v>
      </c>
      <c r="BK18" s="1">
        <v>2016</v>
      </c>
      <c r="BL18" s="228">
        <f t="shared" ref="BL18:BW27" si="41">SUMIFS($K:$K,$A:$A,$BK18,$B:$B,BL$2)</f>
        <v>0</v>
      </c>
      <c r="BM18" s="228">
        <f t="shared" si="41"/>
        <v>0</v>
      </c>
      <c r="BN18" s="228">
        <f t="shared" si="41"/>
        <v>0</v>
      </c>
      <c r="BO18" s="228">
        <f t="shared" si="41"/>
        <v>3.7125000000000004</v>
      </c>
      <c r="BP18" s="228">
        <f t="shared" si="41"/>
        <v>71.629166666666663</v>
      </c>
      <c r="BQ18" s="228">
        <f t="shared" si="41"/>
        <v>145.53750000000005</v>
      </c>
      <c r="BR18" s="228">
        <f t="shared" si="41"/>
        <v>244.54583333333335</v>
      </c>
      <c r="BS18" s="228">
        <f t="shared" si="41"/>
        <v>250.34583333333333</v>
      </c>
      <c r="BT18" s="228">
        <f t="shared" si="41"/>
        <v>122.45208333333333</v>
      </c>
      <c r="BU18" s="228">
        <f t="shared" si="41"/>
        <v>31.500000000000007</v>
      </c>
      <c r="BV18" s="228">
        <f t="shared" si="41"/>
        <v>1.7375000000000025</v>
      </c>
      <c r="BW18" s="228">
        <f t="shared" si="41"/>
        <v>0</v>
      </c>
      <c r="BY18" s="1">
        <v>2016</v>
      </c>
      <c r="BZ18" s="228">
        <f t="shared" ref="BZ18:CK27" si="42">SUMIFS($M:$M,$A:$A,$BY18,$B:$B,BZ$2)</f>
        <v>0</v>
      </c>
      <c r="CA18" s="228">
        <f t="shared" si="42"/>
        <v>0</v>
      </c>
      <c r="CB18" s="228">
        <f t="shared" si="42"/>
        <v>1.9916666666666671</v>
      </c>
      <c r="CC18" s="228">
        <f t="shared" si="42"/>
        <v>8.3125000000000018</v>
      </c>
      <c r="CD18" s="228">
        <f t="shared" si="42"/>
        <v>103.97083333333333</v>
      </c>
      <c r="CE18" s="228">
        <f t="shared" si="42"/>
        <v>200.85000000000005</v>
      </c>
      <c r="CF18" s="228">
        <f t="shared" si="42"/>
        <v>306.54583333333329</v>
      </c>
      <c r="CG18" s="228">
        <f t="shared" si="42"/>
        <v>312.34583333333336</v>
      </c>
      <c r="CH18" s="228">
        <f t="shared" si="42"/>
        <v>180.26458333333332</v>
      </c>
      <c r="CI18" s="228">
        <f t="shared" si="42"/>
        <v>58.13750000000001</v>
      </c>
      <c r="CJ18" s="228">
        <f t="shared" si="42"/>
        <v>5.0125000000000064</v>
      </c>
      <c r="CK18" s="228">
        <f t="shared" si="42"/>
        <v>0</v>
      </c>
      <c r="CM18" s="1">
        <v>2016</v>
      </c>
      <c r="CN18" s="228">
        <f t="shared" ref="CN18:CY27" si="43">SUMIFS($O:$O,$A:$A,$CM18,$B:$B,CN$2)</f>
        <v>0</v>
      </c>
      <c r="CO18" s="228">
        <f t="shared" si="43"/>
        <v>0</v>
      </c>
      <c r="CP18" s="228">
        <f t="shared" si="43"/>
        <v>6.9520833333333378</v>
      </c>
      <c r="CQ18" s="228">
        <f t="shared" si="43"/>
        <v>18.495833333333337</v>
      </c>
      <c r="CR18" s="228">
        <f t="shared" si="43"/>
        <v>144.92499999999998</v>
      </c>
      <c r="CS18" s="228">
        <f t="shared" si="43"/>
        <v>259.15000000000003</v>
      </c>
      <c r="CT18" s="228">
        <f t="shared" si="43"/>
        <v>368.54583333333329</v>
      </c>
      <c r="CU18" s="228">
        <f t="shared" si="43"/>
        <v>374.34583333333336</v>
      </c>
      <c r="CV18" s="228">
        <f t="shared" si="43"/>
        <v>240.26458333333332</v>
      </c>
      <c r="CW18" s="228">
        <f t="shared" si="43"/>
        <v>89.825000000000017</v>
      </c>
      <c r="CX18" s="228">
        <f t="shared" si="43"/>
        <v>12.137500000000006</v>
      </c>
      <c r="CY18" s="228">
        <f t="shared" si="43"/>
        <v>0</v>
      </c>
      <c r="DA18" s="1">
        <v>2016</v>
      </c>
      <c r="DB18" s="228">
        <f t="shared" ref="DB18:DM27" si="44">SUMIFS($Q:$Q,$A:$A,$DA18,$B:$B,DB$2)</f>
        <v>0</v>
      </c>
      <c r="DC18" s="228">
        <f t="shared" si="44"/>
        <v>9.9999999999997868E-2</v>
      </c>
      <c r="DD18" s="228">
        <f t="shared" si="44"/>
        <v>16.177083333333339</v>
      </c>
      <c r="DE18" s="228">
        <f t="shared" si="44"/>
        <v>35.370833333333337</v>
      </c>
      <c r="DF18" s="228">
        <f t="shared" si="44"/>
        <v>197.32083333333335</v>
      </c>
      <c r="DG18" s="228">
        <f t="shared" si="44"/>
        <v>319.14999999999998</v>
      </c>
      <c r="DH18" s="228">
        <f t="shared" si="44"/>
        <v>430.54583333333323</v>
      </c>
      <c r="DI18" s="228">
        <f t="shared" si="44"/>
        <v>436.34583333333336</v>
      </c>
      <c r="DJ18" s="228">
        <f t="shared" si="44"/>
        <v>300.26458333333335</v>
      </c>
      <c r="DK18" s="228">
        <f t="shared" si="44"/>
        <v>126.17083333333336</v>
      </c>
      <c r="DL18" s="228">
        <f t="shared" si="44"/>
        <v>24.166666666666675</v>
      </c>
      <c r="DM18" s="228">
        <f t="shared" si="44"/>
        <v>0</v>
      </c>
      <c r="ED18" s="1" t="s">
        <v>30</v>
      </c>
      <c r="EE18" s="1">
        <v>20087.288698869201</v>
      </c>
      <c r="EF18" s="1">
        <v>2033.02066714335</v>
      </c>
      <c r="EG18" s="1">
        <v>9.8805137712123603</v>
      </c>
      <c r="EH18" s="226">
        <v>4.1623294259003597E-17</v>
      </c>
    </row>
    <row r="19" spans="1:138" x14ac:dyDescent="0.2">
      <c r="A19" s="1">
        <v>2017</v>
      </c>
      <c r="B19" s="1">
        <v>6</v>
      </c>
      <c r="C19" s="220">
        <v>18.87166666666667</v>
      </c>
      <c r="D19" s="220">
        <v>66.325000000000003</v>
      </c>
      <c r="E19" s="220">
        <v>32.475000000000009</v>
      </c>
      <c r="F19" s="220">
        <v>33.816666666666677</v>
      </c>
      <c r="G19" s="220">
        <v>59.966666666666683</v>
      </c>
      <c r="H19" s="220">
        <v>11.108333333333343</v>
      </c>
      <c r="I19" s="220">
        <v>97.25833333333334</v>
      </c>
      <c r="J19" s="220">
        <v>0.98333333333333428</v>
      </c>
      <c r="K19" s="220">
        <v>147.1333333333333</v>
      </c>
      <c r="L19" s="220">
        <v>0</v>
      </c>
      <c r="M19" s="220">
        <v>206.14999999999995</v>
      </c>
      <c r="N19" s="220">
        <v>0</v>
      </c>
      <c r="O19" s="220">
        <v>266.14999999999992</v>
      </c>
      <c r="P19" s="220">
        <v>0</v>
      </c>
      <c r="Q19" s="220">
        <v>326.15000000000009</v>
      </c>
      <c r="T19" s="1">
        <f t="shared" ref="T19:T29" si="45">T18+1</f>
        <v>2017</v>
      </c>
      <c r="U19" s="2">
        <f t="shared" si="37"/>
        <v>0</v>
      </c>
      <c r="V19" s="2">
        <f t="shared" si="37"/>
        <v>0</v>
      </c>
      <c r="W19" s="2">
        <f t="shared" si="37"/>
        <v>0</v>
      </c>
      <c r="X19" s="2">
        <f t="shared" si="37"/>
        <v>0</v>
      </c>
      <c r="Y19" s="2">
        <f t="shared" si="37"/>
        <v>6.3125000000000036</v>
      </c>
      <c r="Z19" s="2">
        <f t="shared" si="37"/>
        <v>32.475000000000009</v>
      </c>
      <c r="AA19" s="2">
        <f t="shared" si="37"/>
        <v>30.931249999999977</v>
      </c>
      <c r="AB19" s="2">
        <f t="shared" si="37"/>
        <v>12.916666666666671</v>
      </c>
      <c r="AC19" s="2">
        <f t="shared" si="37"/>
        <v>18.974999999999991</v>
      </c>
      <c r="AD19" s="2">
        <f t="shared" si="37"/>
        <v>2.3083333333333371</v>
      </c>
      <c r="AE19" s="2">
        <f t="shared" si="37"/>
        <v>0</v>
      </c>
      <c r="AF19" s="2">
        <f t="shared" si="37"/>
        <v>0</v>
      </c>
      <c r="AI19" s="1">
        <f t="shared" ref="AI19:AI29" si="46">AI18+1</f>
        <v>2017</v>
      </c>
      <c r="AJ19" s="228">
        <f t="shared" si="38"/>
        <v>0</v>
      </c>
      <c r="AK19" s="228">
        <f t="shared" si="38"/>
        <v>0</v>
      </c>
      <c r="AL19" s="228">
        <f t="shared" si="38"/>
        <v>0</v>
      </c>
      <c r="AM19" s="228">
        <f t="shared" si="38"/>
        <v>0.24583333333333357</v>
      </c>
      <c r="AN19" s="228">
        <f t="shared" si="38"/>
        <v>10.470833333333339</v>
      </c>
      <c r="AO19" s="228">
        <f t="shared" si="38"/>
        <v>59.966666666666683</v>
      </c>
      <c r="AP19" s="228">
        <f t="shared" si="38"/>
        <v>83.327083333333306</v>
      </c>
      <c r="AQ19" s="228">
        <f t="shared" si="38"/>
        <v>45.220833333333346</v>
      </c>
      <c r="AR19" s="228">
        <f t="shared" si="38"/>
        <v>43.749999999999986</v>
      </c>
      <c r="AS19" s="228">
        <f t="shared" si="38"/>
        <v>6.3083333333333371</v>
      </c>
      <c r="AT19" s="228">
        <f t="shared" si="38"/>
        <v>0</v>
      </c>
      <c r="AU19" s="228">
        <f t="shared" si="38"/>
        <v>0</v>
      </c>
      <c r="AV19" s="223">
        <f t="shared" si="39"/>
        <v>249.28958333333333</v>
      </c>
      <c r="AW19" s="1">
        <f t="shared" ref="AW19:AW29" si="47">AW18+1</f>
        <v>2017</v>
      </c>
      <c r="AX19" s="228">
        <f t="shared" si="40"/>
        <v>0</v>
      </c>
      <c r="AY19" s="228">
        <f t="shared" si="40"/>
        <v>0</v>
      </c>
      <c r="AZ19" s="228">
        <f t="shared" si="40"/>
        <v>0</v>
      </c>
      <c r="BA19" s="228">
        <f t="shared" si="40"/>
        <v>3.7666666666666728</v>
      </c>
      <c r="BB19" s="228">
        <f t="shared" si="40"/>
        <v>19.470833333333339</v>
      </c>
      <c r="BC19" s="228">
        <f t="shared" si="40"/>
        <v>97.25833333333334</v>
      </c>
      <c r="BD19" s="228">
        <f t="shared" si="40"/>
        <v>144.83541666666665</v>
      </c>
      <c r="BE19" s="228">
        <f t="shared" si="40"/>
        <v>92.825000000000003</v>
      </c>
      <c r="BF19" s="228">
        <f t="shared" si="40"/>
        <v>75.712499999999991</v>
      </c>
      <c r="BG19" s="228">
        <f t="shared" si="40"/>
        <v>14.608333333333348</v>
      </c>
      <c r="BH19" s="228">
        <f t="shared" si="40"/>
        <v>0</v>
      </c>
      <c r="BI19" s="228">
        <f t="shared" si="40"/>
        <v>0</v>
      </c>
      <c r="BK19" s="1">
        <f t="shared" ref="BK19:BK29" si="48">BK18+1</f>
        <v>2017</v>
      </c>
      <c r="BL19" s="228">
        <f t="shared" si="41"/>
        <v>0</v>
      </c>
      <c r="BM19" s="228">
        <f t="shared" si="41"/>
        <v>0</v>
      </c>
      <c r="BN19" s="228">
        <f t="shared" si="41"/>
        <v>0</v>
      </c>
      <c r="BO19" s="228">
        <f t="shared" si="41"/>
        <v>11.354166666666671</v>
      </c>
      <c r="BP19" s="228">
        <f t="shared" si="41"/>
        <v>37.183333333333337</v>
      </c>
      <c r="BQ19" s="228">
        <f t="shared" si="41"/>
        <v>147.1333333333333</v>
      </c>
      <c r="BR19" s="228">
        <f t="shared" si="41"/>
        <v>206.83541666666665</v>
      </c>
      <c r="BS19" s="228">
        <f t="shared" si="41"/>
        <v>149.20833333333331</v>
      </c>
      <c r="BT19" s="228">
        <f t="shared" si="41"/>
        <v>112.60833333333332</v>
      </c>
      <c r="BU19" s="228">
        <f t="shared" si="41"/>
        <v>36.987500000000026</v>
      </c>
      <c r="BV19" s="228">
        <f t="shared" si="41"/>
        <v>0</v>
      </c>
      <c r="BW19" s="228">
        <f t="shared" si="41"/>
        <v>0</v>
      </c>
      <c r="BY19" s="1">
        <f t="shared" ref="BY19:BY29" si="49">BY18+1</f>
        <v>2017</v>
      </c>
      <c r="BZ19" s="228">
        <f t="shared" si="42"/>
        <v>0</v>
      </c>
      <c r="CA19" s="228">
        <f t="shared" si="42"/>
        <v>0</v>
      </c>
      <c r="CB19" s="228">
        <f t="shared" si="42"/>
        <v>0</v>
      </c>
      <c r="CC19" s="228">
        <f t="shared" si="42"/>
        <v>23.666666666666675</v>
      </c>
      <c r="CD19" s="228">
        <f t="shared" si="42"/>
        <v>61.962500000000006</v>
      </c>
      <c r="CE19" s="228">
        <f t="shared" si="42"/>
        <v>206.14999999999995</v>
      </c>
      <c r="CF19" s="228">
        <f t="shared" si="42"/>
        <v>268.83541666666667</v>
      </c>
      <c r="CG19" s="228">
        <f t="shared" si="42"/>
        <v>211.20833333333331</v>
      </c>
      <c r="CH19" s="228">
        <f t="shared" si="42"/>
        <v>156.5</v>
      </c>
      <c r="CI19" s="228">
        <f t="shared" si="42"/>
        <v>68.40833333333336</v>
      </c>
      <c r="CJ19" s="228">
        <f t="shared" si="42"/>
        <v>0.11666666666666714</v>
      </c>
      <c r="CK19" s="228">
        <f t="shared" si="42"/>
        <v>0</v>
      </c>
      <c r="CM19" s="1">
        <f t="shared" ref="CM19:CM29" si="50">CM18+1</f>
        <v>2017</v>
      </c>
      <c r="CN19" s="228">
        <f t="shared" si="43"/>
        <v>0</v>
      </c>
      <c r="CO19" s="228">
        <f t="shared" si="43"/>
        <v>0.76666666666666572</v>
      </c>
      <c r="CP19" s="228">
        <f t="shared" si="43"/>
        <v>0.52500000000000036</v>
      </c>
      <c r="CQ19" s="228">
        <f t="shared" si="43"/>
        <v>42.304166666666667</v>
      </c>
      <c r="CR19" s="228">
        <f t="shared" si="43"/>
        <v>98.474999999999994</v>
      </c>
      <c r="CS19" s="228">
        <f t="shared" si="43"/>
        <v>266.14999999999992</v>
      </c>
      <c r="CT19" s="228">
        <f t="shared" si="43"/>
        <v>330.83541666666667</v>
      </c>
      <c r="CU19" s="228">
        <f t="shared" si="43"/>
        <v>273.20833333333337</v>
      </c>
      <c r="CV19" s="228">
        <f t="shared" si="43"/>
        <v>211.90833333333333</v>
      </c>
      <c r="CW19" s="228">
        <f t="shared" si="43"/>
        <v>107.62083333333337</v>
      </c>
      <c r="CX19" s="228">
        <f t="shared" si="43"/>
        <v>3.7750000000000004</v>
      </c>
      <c r="CY19" s="228">
        <f t="shared" si="43"/>
        <v>0</v>
      </c>
      <c r="DA19" s="1">
        <f t="shared" ref="DA19:DA29" si="51">DA18+1</f>
        <v>2017</v>
      </c>
      <c r="DB19" s="228">
        <f t="shared" si="44"/>
        <v>0</v>
      </c>
      <c r="DC19" s="228">
        <f t="shared" si="44"/>
        <v>4.0249999999999986</v>
      </c>
      <c r="DD19" s="228">
        <f t="shared" si="44"/>
        <v>6.1541666666666703</v>
      </c>
      <c r="DE19" s="228">
        <f t="shared" si="44"/>
        <v>69.820833333333354</v>
      </c>
      <c r="DF19" s="228">
        <f t="shared" si="44"/>
        <v>143.98333333333332</v>
      </c>
      <c r="DG19" s="228">
        <f t="shared" si="44"/>
        <v>326.15000000000009</v>
      </c>
      <c r="DH19" s="228">
        <f t="shared" si="44"/>
        <v>392.83541666666667</v>
      </c>
      <c r="DI19" s="228">
        <f t="shared" si="44"/>
        <v>335.20833333333337</v>
      </c>
      <c r="DJ19" s="228">
        <f t="shared" si="44"/>
        <v>271.80416666666673</v>
      </c>
      <c r="DK19" s="228">
        <f t="shared" si="44"/>
        <v>155.3125</v>
      </c>
      <c r="DL19" s="228">
        <f t="shared" si="44"/>
        <v>8.7624999999999993</v>
      </c>
      <c r="DM19" s="228">
        <f t="shared" si="44"/>
        <v>0</v>
      </c>
      <c r="ED19" s="1" t="s">
        <v>31</v>
      </c>
      <c r="EE19" s="1">
        <v>97475.790083630607</v>
      </c>
      <c r="EF19" s="1">
        <v>3822.7970057642001</v>
      </c>
      <c r="EG19" s="1">
        <v>25.498552483077699</v>
      </c>
      <c r="EH19" s="226">
        <v>1.3326186526749399E-49</v>
      </c>
    </row>
    <row r="20" spans="1:138" x14ac:dyDescent="0.2">
      <c r="A20" s="1">
        <v>2017</v>
      </c>
      <c r="B20" s="1">
        <v>7</v>
      </c>
      <c r="C20" s="220">
        <v>20.67211021505376</v>
      </c>
      <c r="D20" s="220">
        <v>10.095833333333328</v>
      </c>
      <c r="E20" s="220">
        <v>30.931249999999977</v>
      </c>
      <c r="F20" s="220">
        <v>0.49166666666666714</v>
      </c>
      <c r="G20" s="220">
        <v>83.327083333333306</v>
      </c>
      <c r="H20" s="220">
        <v>0</v>
      </c>
      <c r="I20" s="220">
        <v>144.83541666666665</v>
      </c>
      <c r="J20" s="220">
        <v>0</v>
      </c>
      <c r="K20" s="220">
        <v>206.83541666666665</v>
      </c>
      <c r="L20" s="220">
        <v>0</v>
      </c>
      <c r="M20" s="220">
        <v>268.83541666666667</v>
      </c>
      <c r="N20" s="220">
        <v>0</v>
      </c>
      <c r="O20" s="220">
        <v>330.83541666666667</v>
      </c>
      <c r="P20" s="220">
        <v>0</v>
      </c>
      <c r="Q20" s="220">
        <v>392.83541666666667</v>
      </c>
      <c r="T20" s="1">
        <f t="shared" si="45"/>
        <v>2018</v>
      </c>
      <c r="U20" s="2">
        <f t="shared" si="37"/>
        <v>0</v>
      </c>
      <c r="V20" s="2">
        <f t="shared" si="37"/>
        <v>0</v>
      </c>
      <c r="W20" s="2">
        <f t="shared" si="37"/>
        <v>0</v>
      </c>
      <c r="X20" s="2">
        <f t="shared" si="37"/>
        <v>0</v>
      </c>
      <c r="Y20" s="2">
        <f t="shared" si="37"/>
        <v>23.62916666666667</v>
      </c>
      <c r="Z20" s="2">
        <f t="shared" si="37"/>
        <v>25.991666666666664</v>
      </c>
      <c r="AA20" s="2">
        <f t="shared" si="37"/>
        <v>54.154166666666647</v>
      </c>
      <c r="AB20" s="2">
        <f t="shared" si="37"/>
        <v>54.84999999999998</v>
      </c>
      <c r="AC20" s="2">
        <f t="shared" si="37"/>
        <v>31.370833333333323</v>
      </c>
      <c r="AD20" s="2">
        <f t="shared" si="37"/>
        <v>3.1791666666666707</v>
      </c>
      <c r="AE20" s="2">
        <f t="shared" si="37"/>
        <v>0</v>
      </c>
      <c r="AF20" s="2">
        <f t="shared" si="37"/>
        <v>0</v>
      </c>
      <c r="AI20" s="1">
        <f t="shared" si="46"/>
        <v>2018</v>
      </c>
      <c r="AJ20" s="228">
        <f t="shared" si="38"/>
        <v>0</v>
      </c>
      <c r="AK20" s="228">
        <f t="shared" si="38"/>
        <v>0</v>
      </c>
      <c r="AL20" s="228">
        <f t="shared" si="38"/>
        <v>0</v>
      </c>
      <c r="AM20" s="228">
        <f t="shared" si="38"/>
        <v>0</v>
      </c>
      <c r="AN20" s="228">
        <f t="shared" si="38"/>
        <v>41.399999999999991</v>
      </c>
      <c r="AO20" s="228">
        <f t="shared" si="38"/>
        <v>51.533333333333331</v>
      </c>
      <c r="AP20" s="228">
        <f t="shared" si="38"/>
        <v>101.78541666666666</v>
      </c>
      <c r="AQ20" s="228">
        <f t="shared" si="38"/>
        <v>108.63749999999997</v>
      </c>
      <c r="AR20" s="228">
        <f t="shared" si="38"/>
        <v>57.362499999999997</v>
      </c>
      <c r="AS20" s="228">
        <f t="shared" si="38"/>
        <v>7.1791666666666707</v>
      </c>
      <c r="AT20" s="228">
        <f t="shared" si="38"/>
        <v>0</v>
      </c>
      <c r="AU20" s="228">
        <f t="shared" si="38"/>
        <v>0</v>
      </c>
      <c r="AV20" s="223">
        <f t="shared" si="39"/>
        <v>367.89791666666667</v>
      </c>
      <c r="AW20" s="1">
        <f t="shared" si="47"/>
        <v>2018</v>
      </c>
      <c r="AX20" s="228">
        <f t="shared" si="40"/>
        <v>0</v>
      </c>
      <c r="AY20" s="228">
        <f t="shared" si="40"/>
        <v>0</v>
      </c>
      <c r="AZ20" s="228">
        <f t="shared" si="40"/>
        <v>0</v>
      </c>
      <c r="BA20" s="228">
        <f t="shared" si="40"/>
        <v>0</v>
      </c>
      <c r="BB20" s="228">
        <f t="shared" si="40"/>
        <v>66.55</v>
      </c>
      <c r="BC20" s="228">
        <f t="shared" si="40"/>
        <v>99.4375</v>
      </c>
      <c r="BD20" s="228">
        <f t="shared" si="40"/>
        <v>162.81458333333336</v>
      </c>
      <c r="BE20" s="228">
        <f t="shared" si="40"/>
        <v>168.90833333333333</v>
      </c>
      <c r="BF20" s="228">
        <f t="shared" si="40"/>
        <v>89.870833333333323</v>
      </c>
      <c r="BG20" s="228">
        <f t="shared" si="40"/>
        <v>13.141666666666676</v>
      </c>
      <c r="BH20" s="228">
        <f t="shared" si="40"/>
        <v>0</v>
      </c>
      <c r="BI20" s="228">
        <f t="shared" si="40"/>
        <v>0</v>
      </c>
      <c r="BK20" s="1">
        <f t="shared" si="48"/>
        <v>2018</v>
      </c>
      <c r="BL20" s="228">
        <f t="shared" si="41"/>
        <v>0</v>
      </c>
      <c r="BM20" s="228">
        <f t="shared" si="41"/>
        <v>0</v>
      </c>
      <c r="BN20" s="228">
        <f t="shared" si="41"/>
        <v>0</v>
      </c>
      <c r="BO20" s="228">
        <f t="shared" si="41"/>
        <v>0</v>
      </c>
      <c r="BP20" s="228">
        <f t="shared" si="41"/>
        <v>107.17916666666667</v>
      </c>
      <c r="BQ20" s="228">
        <f t="shared" si="41"/>
        <v>155.0625</v>
      </c>
      <c r="BR20" s="228">
        <f t="shared" si="41"/>
        <v>224.81458333333336</v>
      </c>
      <c r="BS20" s="228">
        <f t="shared" si="41"/>
        <v>230.90833333333327</v>
      </c>
      <c r="BT20" s="228">
        <f t="shared" si="41"/>
        <v>130.34583333333333</v>
      </c>
      <c r="BU20" s="228">
        <f t="shared" si="41"/>
        <v>22.829166666666666</v>
      </c>
      <c r="BV20" s="228">
        <f t="shared" si="41"/>
        <v>0</v>
      </c>
      <c r="BW20" s="228">
        <f t="shared" si="41"/>
        <v>0</v>
      </c>
      <c r="BY20" s="1">
        <f t="shared" si="49"/>
        <v>2018</v>
      </c>
      <c r="BZ20" s="228">
        <f t="shared" si="42"/>
        <v>0</v>
      </c>
      <c r="CA20" s="228">
        <f t="shared" si="42"/>
        <v>0</v>
      </c>
      <c r="CB20" s="228">
        <f t="shared" si="42"/>
        <v>0</v>
      </c>
      <c r="CC20" s="228">
        <f t="shared" si="42"/>
        <v>0.10416666666666607</v>
      </c>
      <c r="CD20" s="228">
        <f t="shared" si="42"/>
        <v>162.29999999999998</v>
      </c>
      <c r="CE20" s="228">
        <f t="shared" si="42"/>
        <v>211.26666666666671</v>
      </c>
      <c r="CF20" s="228">
        <f t="shared" si="42"/>
        <v>286.8145833333333</v>
      </c>
      <c r="CG20" s="228">
        <f t="shared" si="42"/>
        <v>292.90833333333325</v>
      </c>
      <c r="CH20" s="228">
        <f t="shared" si="42"/>
        <v>175.49583333333331</v>
      </c>
      <c r="CI20" s="228">
        <f t="shared" si="42"/>
        <v>40.30416666666666</v>
      </c>
      <c r="CJ20" s="228">
        <f t="shared" si="42"/>
        <v>0</v>
      </c>
      <c r="CK20" s="228">
        <f t="shared" si="42"/>
        <v>0</v>
      </c>
      <c r="CM20" s="1">
        <f t="shared" si="50"/>
        <v>2018</v>
      </c>
      <c r="CN20" s="228">
        <f t="shared" si="43"/>
        <v>0</v>
      </c>
      <c r="CO20" s="228">
        <f t="shared" si="43"/>
        <v>1.5625000000000018</v>
      </c>
      <c r="CP20" s="228">
        <f t="shared" si="43"/>
        <v>0</v>
      </c>
      <c r="CQ20" s="228">
        <f t="shared" si="43"/>
        <v>3.045833333333329</v>
      </c>
      <c r="CR20" s="228">
        <f t="shared" si="43"/>
        <v>220.29999999999998</v>
      </c>
      <c r="CS20" s="228">
        <f t="shared" si="43"/>
        <v>270.44166666666672</v>
      </c>
      <c r="CT20" s="228">
        <f t="shared" si="43"/>
        <v>348.81458333333325</v>
      </c>
      <c r="CU20" s="228">
        <f t="shared" si="43"/>
        <v>354.90833333333336</v>
      </c>
      <c r="CV20" s="228">
        <f t="shared" si="43"/>
        <v>230.29583333333332</v>
      </c>
      <c r="CW20" s="228">
        <f t="shared" si="43"/>
        <v>58.304166666666667</v>
      </c>
      <c r="CX20" s="228">
        <f t="shared" si="43"/>
        <v>0</v>
      </c>
      <c r="CY20" s="228">
        <f t="shared" si="43"/>
        <v>0</v>
      </c>
      <c r="DA20" s="1">
        <f t="shared" si="51"/>
        <v>2018</v>
      </c>
      <c r="DB20" s="228">
        <f t="shared" si="44"/>
        <v>6.6666666666668206E-2</v>
      </c>
      <c r="DC20" s="228">
        <f t="shared" si="44"/>
        <v>3.5625000000000018</v>
      </c>
      <c r="DD20" s="228">
        <f t="shared" si="44"/>
        <v>0</v>
      </c>
      <c r="DE20" s="228">
        <f t="shared" si="44"/>
        <v>8.4999999999999982</v>
      </c>
      <c r="DF20" s="228">
        <f t="shared" si="44"/>
        <v>279.62083333333328</v>
      </c>
      <c r="DG20" s="228">
        <f t="shared" si="44"/>
        <v>330.44166666666672</v>
      </c>
      <c r="DH20" s="228">
        <f t="shared" si="44"/>
        <v>410.81458333333325</v>
      </c>
      <c r="DI20" s="228">
        <f t="shared" si="44"/>
        <v>416.90833333333336</v>
      </c>
      <c r="DJ20" s="228">
        <f t="shared" si="44"/>
        <v>290.28333333333336</v>
      </c>
      <c r="DK20" s="228">
        <f t="shared" si="44"/>
        <v>80.029166666666683</v>
      </c>
      <c r="DL20" s="228">
        <f t="shared" si="44"/>
        <v>1.9291666666666654</v>
      </c>
      <c r="DM20" s="228">
        <f t="shared" si="44"/>
        <v>0</v>
      </c>
    </row>
    <row r="21" spans="1:138" x14ac:dyDescent="0.2">
      <c r="A21" s="1">
        <v>2017</v>
      </c>
      <c r="B21" s="1">
        <v>8</v>
      </c>
      <c r="C21" s="220">
        <v>18.813172043010749</v>
      </c>
      <c r="D21" s="220">
        <v>49.708333333333336</v>
      </c>
      <c r="E21" s="220">
        <v>12.916666666666671</v>
      </c>
      <c r="F21" s="220">
        <v>20.012500000000003</v>
      </c>
      <c r="G21" s="220">
        <v>45.220833333333346</v>
      </c>
      <c r="H21" s="220">
        <v>5.6166666666666707</v>
      </c>
      <c r="I21" s="220">
        <v>92.825000000000003</v>
      </c>
      <c r="J21" s="220">
        <v>0</v>
      </c>
      <c r="K21" s="220">
        <v>149.20833333333331</v>
      </c>
      <c r="L21" s="220">
        <v>0</v>
      </c>
      <c r="M21" s="220">
        <v>211.20833333333331</v>
      </c>
      <c r="N21" s="220">
        <v>0</v>
      </c>
      <c r="O21" s="220">
        <v>273.20833333333337</v>
      </c>
      <c r="P21" s="220">
        <v>0</v>
      </c>
      <c r="Q21" s="220">
        <v>335.20833333333337</v>
      </c>
      <c r="T21" s="1">
        <f t="shared" si="45"/>
        <v>2019</v>
      </c>
      <c r="U21" s="2">
        <f t="shared" si="37"/>
        <v>0</v>
      </c>
      <c r="V21" s="2">
        <f t="shared" si="37"/>
        <v>0</v>
      </c>
      <c r="W21" s="2">
        <f t="shared" si="37"/>
        <v>0</v>
      </c>
      <c r="X21" s="2">
        <f t="shared" si="37"/>
        <v>0</v>
      </c>
      <c r="Y21" s="2">
        <f t="shared" si="37"/>
        <v>0</v>
      </c>
      <c r="Z21" s="2">
        <f t="shared" si="37"/>
        <v>12.537500000000005</v>
      </c>
      <c r="AA21" s="2">
        <f t="shared" si="37"/>
        <v>72.024999999999991</v>
      </c>
      <c r="AB21" s="2">
        <f t="shared" si="37"/>
        <v>24.762499999999974</v>
      </c>
      <c r="AC21" s="2">
        <f t="shared" si="37"/>
        <v>7.9666666666666579</v>
      </c>
      <c r="AD21" s="2">
        <f t="shared" si="37"/>
        <v>0.70833333333333215</v>
      </c>
      <c r="AE21" s="2">
        <f t="shared" si="37"/>
        <v>0</v>
      </c>
      <c r="AF21" s="2">
        <f t="shared" si="37"/>
        <v>0</v>
      </c>
      <c r="AI21" s="1">
        <f t="shared" si="46"/>
        <v>2019</v>
      </c>
      <c r="AJ21" s="228">
        <f t="shared" si="38"/>
        <v>0</v>
      </c>
      <c r="AK21" s="228">
        <f t="shared" si="38"/>
        <v>0</v>
      </c>
      <c r="AL21" s="228">
        <f t="shared" si="38"/>
        <v>0</v>
      </c>
      <c r="AM21" s="228">
        <f t="shared" si="38"/>
        <v>0</v>
      </c>
      <c r="AN21" s="228">
        <f t="shared" si="38"/>
        <v>0.23750000000000071</v>
      </c>
      <c r="AO21" s="228">
        <f t="shared" si="38"/>
        <v>34.625000000000007</v>
      </c>
      <c r="AP21" s="228">
        <f t="shared" si="38"/>
        <v>128.07499999999999</v>
      </c>
      <c r="AQ21" s="228">
        <f t="shared" si="38"/>
        <v>66.970833333333317</v>
      </c>
      <c r="AR21" s="228">
        <f t="shared" si="38"/>
        <v>22.004166666666656</v>
      </c>
      <c r="AS21" s="228">
        <f t="shared" si="38"/>
        <v>2.7083333333333321</v>
      </c>
      <c r="AT21" s="228">
        <f t="shared" si="38"/>
        <v>0</v>
      </c>
      <c r="AU21" s="228">
        <f t="shared" si="38"/>
        <v>0</v>
      </c>
      <c r="AV21" s="223">
        <f t="shared" si="39"/>
        <v>254.62083333333331</v>
      </c>
      <c r="AW21" s="1">
        <f t="shared" si="47"/>
        <v>2019</v>
      </c>
      <c r="AX21" s="228">
        <f t="shared" si="40"/>
        <v>0</v>
      </c>
      <c r="AY21" s="228">
        <f t="shared" si="40"/>
        <v>0</v>
      </c>
      <c r="AZ21" s="228">
        <f t="shared" si="40"/>
        <v>0</v>
      </c>
      <c r="BA21" s="228">
        <f t="shared" si="40"/>
        <v>0</v>
      </c>
      <c r="BB21" s="228">
        <f t="shared" si="40"/>
        <v>6.7874999999999979</v>
      </c>
      <c r="BC21" s="228">
        <f t="shared" si="40"/>
        <v>74.035416666666663</v>
      </c>
      <c r="BD21" s="228">
        <f t="shared" si="40"/>
        <v>190.07500000000005</v>
      </c>
      <c r="BE21" s="228">
        <f t="shared" si="40"/>
        <v>121.81249999999997</v>
      </c>
      <c r="BF21" s="228">
        <f t="shared" si="40"/>
        <v>53.039583333333326</v>
      </c>
      <c r="BG21" s="228">
        <f t="shared" si="40"/>
        <v>4.7083333333333321</v>
      </c>
      <c r="BH21" s="228">
        <f t="shared" si="40"/>
        <v>0</v>
      </c>
      <c r="BI21" s="228">
        <f t="shared" si="40"/>
        <v>0</v>
      </c>
      <c r="BK21" s="1">
        <f t="shared" si="48"/>
        <v>2019</v>
      </c>
      <c r="BL21" s="228">
        <f t="shared" si="41"/>
        <v>0</v>
      </c>
      <c r="BM21" s="228">
        <f t="shared" si="41"/>
        <v>0</v>
      </c>
      <c r="BN21" s="228">
        <f t="shared" si="41"/>
        <v>0</v>
      </c>
      <c r="BO21" s="228">
        <f t="shared" si="41"/>
        <v>0</v>
      </c>
      <c r="BP21" s="228">
        <f t="shared" si="41"/>
        <v>20.48749999999999</v>
      </c>
      <c r="BQ21" s="228">
        <f t="shared" si="41"/>
        <v>127.21041666666667</v>
      </c>
      <c r="BR21" s="228">
        <f t="shared" si="41"/>
        <v>252.07500000000005</v>
      </c>
      <c r="BS21" s="228">
        <f t="shared" si="41"/>
        <v>182.71666666666661</v>
      </c>
      <c r="BT21" s="228">
        <f t="shared" si="41"/>
        <v>103.38124999999999</v>
      </c>
      <c r="BU21" s="228">
        <f t="shared" si="41"/>
        <v>10.866666666666669</v>
      </c>
      <c r="BV21" s="228">
        <f t="shared" si="41"/>
        <v>0</v>
      </c>
      <c r="BW21" s="228">
        <f t="shared" si="41"/>
        <v>0</v>
      </c>
      <c r="BY21" s="1">
        <f t="shared" si="49"/>
        <v>2019</v>
      </c>
      <c r="BZ21" s="228">
        <f t="shared" si="42"/>
        <v>0</v>
      </c>
      <c r="CA21" s="228">
        <f t="shared" si="42"/>
        <v>0</v>
      </c>
      <c r="CB21" s="228">
        <f t="shared" si="42"/>
        <v>0</v>
      </c>
      <c r="CC21" s="228">
        <f t="shared" si="42"/>
        <v>2.112500000000006</v>
      </c>
      <c r="CD21" s="228">
        <f t="shared" si="42"/>
        <v>44.54166666666665</v>
      </c>
      <c r="CE21" s="228">
        <f t="shared" si="42"/>
        <v>184.8104166666667</v>
      </c>
      <c r="CF21" s="228">
        <f t="shared" si="42"/>
        <v>314.07499999999999</v>
      </c>
      <c r="CG21" s="228">
        <f t="shared" si="42"/>
        <v>244.71666666666661</v>
      </c>
      <c r="CH21" s="228">
        <f t="shared" si="42"/>
        <v>161.49791666666664</v>
      </c>
      <c r="CI21" s="228">
        <f t="shared" si="42"/>
        <v>21.087500000000006</v>
      </c>
      <c r="CJ21" s="228">
        <f t="shared" si="42"/>
        <v>0</v>
      </c>
      <c r="CK21" s="228">
        <f t="shared" si="42"/>
        <v>0</v>
      </c>
      <c r="CM21" s="1">
        <f t="shared" si="50"/>
        <v>2019</v>
      </c>
      <c r="CN21" s="228">
        <f t="shared" si="43"/>
        <v>0</v>
      </c>
      <c r="CO21" s="228">
        <f t="shared" si="43"/>
        <v>0</v>
      </c>
      <c r="CP21" s="228">
        <f t="shared" si="43"/>
        <v>0</v>
      </c>
      <c r="CQ21" s="228">
        <f t="shared" si="43"/>
        <v>7.3875000000000064</v>
      </c>
      <c r="CR21" s="228">
        <f t="shared" si="43"/>
        <v>83.770833333333343</v>
      </c>
      <c r="CS21" s="228">
        <f t="shared" si="43"/>
        <v>242.81041666666664</v>
      </c>
      <c r="CT21" s="228">
        <f t="shared" si="43"/>
        <v>376.07500000000005</v>
      </c>
      <c r="CU21" s="228">
        <f t="shared" si="43"/>
        <v>306.71666666666664</v>
      </c>
      <c r="CV21" s="228">
        <f t="shared" si="43"/>
        <v>221.49791666666664</v>
      </c>
      <c r="CW21" s="228">
        <f t="shared" si="43"/>
        <v>43.862500000000004</v>
      </c>
      <c r="CX21" s="228">
        <f t="shared" si="43"/>
        <v>0</v>
      </c>
      <c r="CY21" s="228">
        <f t="shared" si="43"/>
        <v>0</v>
      </c>
      <c r="DA21" s="1">
        <f t="shared" si="51"/>
        <v>2019</v>
      </c>
      <c r="DB21" s="228">
        <f t="shared" si="44"/>
        <v>0</v>
      </c>
      <c r="DC21" s="228">
        <f t="shared" si="44"/>
        <v>0</v>
      </c>
      <c r="DD21" s="228">
        <f t="shared" si="44"/>
        <v>0</v>
      </c>
      <c r="DE21" s="228">
        <f t="shared" si="44"/>
        <v>23.637500000000003</v>
      </c>
      <c r="DF21" s="228">
        <f t="shared" si="44"/>
        <v>135.65416666666664</v>
      </c>
      <c r="DG21" s="228">
        <f t="shared" si="44"/>
        <v>302.71458333333339</v>
      </c>
      <c r="DH21" s="228">
        <f t="shared" si="44"/>
        <v>438.07500000000005</v>
      </c>
      <c r="DI21" s="228">
        <f t="shared" si="44"/>
        <v>368.71666666666664</v>
      </c>
      <c r="DJ21" s="228">
        <f t="shared" si="44"/>
        <v>281.49791666666664</v>
      </c>
      <c r="DK21" s="228">
        <f t="shared" si="44"/>
        <v>80.645833333333343</v>
      </c>
      <c r="DL21" s="228">
        <f t="shared" si="44"/>
        <v>0</v>
      </c>
      <c r="DM21" s="228">
        <f t="shared" si="44"/>
        <v>0</v>
      </c>
      <c r="ED21" s="1" t="s">
        <v>152</v>
      </c>
    </row>
    <row r="22" spans="1:138" x14ac:dyDescent="0.2">
      <c r="A22" s="1">
        <v>2017</v>
      </c>
      <c r="B22" s="1">
        <v>9</v>
      </c>
      <c r="C22" s="220">
        <v>17.06013888888889</v>
      </c>
      <c r="D22" s="220">
        <v>107.17083333333331</v>
      </c>
      <c r="E22" s="220">
        <v>18.974999999999991</v>
      </c>
      <c r="F22" s="220">
        <v>71.945833333333312</v>
      </c>
      <c r="G22" s="220">
        <v>43.749999999999986</v>
      </c>
      <c r="H22" s="220">
        <v>43.908333333333324</v>
      </c>
      <c r="I22" s="220">
        <v>75.712499999999991</v>
      </c>
      <c r="J22" s="220">
        <v>20.80416666666666</v>
      </c>
      <c r="K22" s="220">
        <v>112.60833333333332</v>
      </c>
      <c r="L22" s="220">
        <v>4.6958333333333293</v>
      </c>
      <c r="M22" s="220">
        <v>156.5</v>
      </c>
      <c r="N22" s="220">
        <v>0.10416666666666607</v>
      </c>
      <c r="O22" s="220">
        <v>211.90833333333333</v>
      </c>
      <c r="P22" s="220">
        <v>0</v>
      </c>
      <c r="Q22" s="220">
        <v>271.80416666666673</v>
      </c>
      <c r="T22" s="1">
        <f t="shared" si="45"/>
        <v>2020</v>
      </c>
      <c r="U22" s="2">
        <f t="shared" si="37"/>
        <v>0</v>
      </c>
      <c r="V22" s="2">
        <f t="shared" si="37"/>
        <v>0</v>
      </c>
      <c r="W22" s="2">
        <f t="shared" si="37"/>
        <v>0</v>
      </c>
      <c r="X22" s="2">
        <f t="shared" si="37"/>
        <v>0</v>
      </c>
      <c r="Y22" s="2">
        <f t="shared" si="37"/>
        <v>11.979166666666657</v>
      </c>
      <c r="Z22" s="2">
        <f t="shared" si="37"/>
        <v>31.054166666666653</v>
      </c>
      <c r="AA22" s="2">
        <f t="shared" si="37"/>
        <v>101.21250000000006</v>
      </c>
      <c r="AB22" s="2">
        <f t="shared" si="37"/>
        <v>35.854166666666686</v>
      </c>
      <c r="AC22" s="2">
        <f t="shared" si="37"/>
        <v>3.4416666666666629</v>
      </c>
      <c r="AD22" s="2">
        <f t="shared" si="37"/>
        <v>0</v>
      </c>
      <c r="AE22" s="2">
        <f t="shared" si="37"/>
        <v>0</v>
      </c>
      <c r="AF22" s="2">
        <f t="shared" si="37"/>
        <v>0</v>
      </c>
      <c r="AI22" s="1">
        <f t="shared" si="46"/>
        <v>2020</v>
      </c>
      <c r="AJ22" s="228">
        <f t="shared" si="38"/>
        <v>0</v>
      </c>
      <c r="AK22" s="228">
        <f t="shared" si="38"/>
        <v>0</v>
      </c>
      <c r="AL22" s="228">
        <f t="shared" si="38"/>
        <v>0</v>
      </c>
      <c r="AM22" s="228">
        <f t="shared" si="38"/>
        <v>0</v>
      </c>
      <c r="AN22" s="228">
        <f t="shared" si="38"/>
        <v>22.141666666666659</v>
      </c>
      <c r="AO22" s="228">
        <f t="shared" si="38"/>
        <v>68.699999999999989</v>
      </c>
      <c r="AP22" s="228">
        <f t="shared" si="38"/>
        <v>161.85000000000008</v>
      </c>
      <c r="AQ22" s="228">
        <f t="shared" si="38"/>
        <v>78.870833333333351</v>
      </c>
      <c r="AR22" s="228">
        <f t="shared" si="38"/>
        <v>14.541666666666668</v>
      </c>
      <c r="AS22" s="228">
        <f t="shared" si="38"/>
        <v>0</v>
      </c>
      <c r="AT22" s="228">
        <f t="shared" si="38"/>
        <v>0</v>
      </c>
      <c r="AU22" s="228">
        <f t="shared" si="38"/>
        <v>0</v>
      </c>
      <c r="AV22" s="223">
        <f t="shared" si="39"/>
        <v>346.10416666666674</v>
      </c>
      <c r="AW22" s="1">
        <f t="shared" si="47"/>
        <v>2020</v>
      </c>
      <c r="AX22" s="228">
        <f t="shared" si="40"/>
        <v>0</v>
      </c>
      <c r="AY22" s="228">
        <f t="shared" si="40"/>
        <v>0</v>
      </c>
      <c r="AZ22" s="228">
        <f t="shared" si="40"/>
        <v>0</v>
      </c>
      <c r="BA22" s="228">
        <f t="shared" si="40"/>
        <v>0</v>
      </c>
      <c r="BB22" s="228">
        <f t="shared" si="40"/>
        <v>36.333333333333314</v>
      </c>
      <c r="BC22" s="228">
        <f t="shared" si="40"/>
        <v>114.84999999999997</v>
      </c>
      <c r="BD22" s="228">
        <f t="shared" si="40"/>
        <v>223.85000000000002</v>
      </c>
      <c r="BE22" s="228">
        <f t="shared" si="40"/>
        <v>137.54583333333335</v>
      </c>
      <c r="BF22" s="228">
        <f t="shared" si="40"/>
        <v>37.725000000000009</v>
      </c>
      <c r="BG22" s="228">
        <f t="shared" si="40"/>
        <v>0.2083333333333357</v>
      </c>
      <c r="BH22" s="228">
        <f t="shared" si="40"/>
        <v>1.091666666666665</v>
      </c>
      <c r="BI22" s="228">
        <f t="shared" si="40"/>
        <v>0</v>
      </c>
      <c r="BK22" s="1">
        <f t="shared" si="48"/>
        <v>2020</v>
      </c>
      <c r="BL22" s="228">
        <f t="shared" si="41"/>
        <v>0</v>
      </c>
      <c r="BM22" s="228">
        <f t="shared" si="41"/>
        <v>0</v>
      </c>
      <c r="BN22" s="228">
        <f t="shared" si="41"/>
        <v>0</v>
      </c>
      <c r="BO22" s="228">
        <f t="shared" si="41"/>
        <v>0</v>
      </c>
      <c r="BP22" s="228">
        <f t="shared" si="41"/>
        <v>55.616666666666646</v>
      </c>
      <c r="BQ22" s="228">
        <f t="shared" si="41"/>
        <v>167.22499999999997</v>
      </c>
      <c r="BR22" s="228">
        <f t="shared" si="41"/>
        <v>285.85000000000008</v>
      </c>
      <c r="BS22" s="228">
        <f t="shared" si="41"/>
        <v>199.54583333333341</v>
      </c>
      <c r="BT22" s="228">
        <f t="shared" si="41"/>
        <v>71.695833333333354</v>
      </c>
      <c r="BU22" s="228">
        <f t="shared" si="41"/>
        <v>4.0104166666666714</v>
      </c>
      <c r="BV22" s="228">
        <f t="shared" si="41"/>
        <v>3.091666666666665</v>
      </c>
      <c r="BW22" s="228">
        <f t="shared" si="41"/>
        <v>0</v>
      </c>
      <c r="BY22" s="1">
        <f t="shared" si="49"/>
        <v>2020</v>
      </c>
      <c r="BZ22" s="228">
        <f t="shared" si="42"/>
        <v>0</v>
      </c>
      <c r="CA22" s="228">
        <f t="shared" si="42"/>
        <v>0</v>
      </c>
      <c r="CB22" s="228">
        <f t="shared" si="42"/>
        <v>0</v>
      </c>
      <c r="CC22" s="228">
        <f t="shared" si="42"/>
        <v>0</v>
      </c>
      <c r="CD22" s="228">
        <f t="shared" si="42"/>
        <v>82.791666666666657</v>
      </c>
      <c r="CE22" s="228">
        <f t="shared" si="42"/>
        <v>223.45416666666662</v>
      </c>
      <c r="CF22" s="228">
        <f t="shared" si="42"/>
        <v>347.85000000000008</v>
      </c>
      <c r="CG22" s="228">
        <f t="shared" si="42"/>
        <v>261.54583333333341</v>
      </c>
      <c r="CH22" s="228">
        <f t="shared" si="42"/>
        <v>115.55833333333335</v>
      </c>
      <c r="CI22" s="228">
        <f t="shared" si="42"/>
        <v>12.639583333333345</v>
      </c>
      <c r="CJ22" s="228">
        <f t="shared" si="42"/>
        <v>8.4666666666666615</v>
      </c>
      <c r="CK22" s="228">
        <f t="shared" si="42"/>
        <v>0</v>
      </c>
      <c r="CM22" s="1">
        <f t="shared" si="50"/>
        <v>2020</v>
      </c>
      <c r="CN22" s="228">
        <f t="shared" si="43"/>
        <v>0</v>
      </c>
      <c r="CO22" s="228">
        <f t="shared" si="43"/>
        <v>0</v>
      </c>
      <c r="CP22" s="228">
        <f t="shared" si="43"/>
        <v>1.0458333333333343</v>
      </c>
      <c r="CQ22" s="228">
        <f t="shared" si="43"/>
        <v>3.9541666666666657</v>
      </c>
      <c r="CR22" s="228">
        <f t="shared" si="43"/>
        <v>117.71249999999999</v>
      </c>
      <c r="CS22" s="228">
        <f t="shared" si="43"/>
        <v>283.45416666666665</v>
      </c>
      <c r="CT22" s="228">
        <f t="shared" si="43"/>
        <v>409.85000000000008</v>
      </c>
      <c r="CU22" s="228">
        <f t="shared" si="43"/>
        <v>323.54583333333323</v>
      </c>
      <c r="CV22" s="228">
        <f t="shared" si="43"/>
        <v>168.83750000000003</v>
      </c>
      <c r="CW22" s="228">
        <f t="shared" si="43"/>
        <v>32.293750000000017</v>
      </c>
      <c r="CX22" s="228">
        <f t="shared" si="43"/>
        <v>24.404166666666669</v>
      </c>
      <c r="CY22" s="228">
        <f t="shared" si="43"/>
        <v>0</v>
      </c>
      <c r="DA22" s="1">
        <f t="shared" si="51"/>
        <v>2020</v>
      </c>
      <c r="DB22" s="228">
        <f t="shared" si="44"/>
        <v>0</v>
      </c>
      <c r="DC22" s="228">
        <f t="shared" si="44"/>
        <v>0</v>
      </c>
      <c r="DD22" s="228">
        <f t="shared" si="44"/>
        <v>5.0333333333333332</v>
      </c>
      <c r="DE22" s="228">
        <f t="shared" si="44"/>
        <v>12.466666666666667</v>
      </c>
      <c r="DF22" s="228">
        <f t="shared" si="44"/>
        <v>157.12499999999997</v>
      </c>
      <c r="DG22" s="228">
        <f t="shared" si="44"/>
        <v>343.45416666666665</v>
      </c>
      <c r="DH22" s="228">
        <f t="shared" si="44"/>
        <v>471.85000000000008</v>
      </c>
      <c r="DI22" s="228">
        <f t="shared" si="44"/>
        <v>385.54583333333335</v>
      </c>
      <c r="DJ22" s="228">
        <f t="shared" si="44"/>
        <v>226.04166666666671</v>
      </c>
      <c r="DK22" s="228">
        <f t="shared" si="44"/>
        <v>62.239583333333357</v>
      </c>
      <c r="DL22" s="228">
        <f t="shared" si="44"/>
        <v>44.266666666666666</v>
      </c>
      <c r="DM22" s="228">
        <f t="shared" si="44"/>
        <v>0</v>
      </c>
      <c r="ED22" s="1" t="s">
        <v>68</v>
      </c>
      <c r="EE22" s="1">
        <v>700093884169904</v>
      </c>
      <c r="EF22" s="1" t="s">
        <v>69</v>
      </c>
      <c r="EG22" s="1">
        <v>2446161.9757711398</v>
      </c>
    </row>
    <row r="23" spans="1:138" x14ac:dyDescent="0.2">
      <c r="A23" s="1">
        <v>2017</v>
      </c>
      <c r="B23" s="1">
        <v>10</v>
      </c>
      <c r="C23" s="220">
        <v>12.279435483870973</v>
      </c>
      <c r="D23" s="220">
        <v>241.64583333333334</v>
      </c>
      <c r="E23" s="220">
        <v>2.3083333333333371</v>
      </c>
      <c r="F23" s="220">
        <v>183.64583333333334</v>
      </c>
      <c r="G23" s="220">
        <v>6.3083333333333371</v>
      </c>
      <c r="H23" s="220">
        <v>129.94583333333333</v>
      </c>
      <c r="I23" s="220">
        <v>14.608333333333348</v>
      </c>
      <c r="J23" s="220">
        <v>90.324999999999989</v>
      </c>
      <c r="K23" s="220">
        <v>36.987500000000026</v>
      </c>
      <c r="L23" s="220">
        <v>59.745833333333337</v>
      </c>
      <c r="M23" s="220">
        <v>68.40833333333336</v>
      </c>
      <c r="N23" s="220">
        <v>36.958333333333336</v>
      </c>
      <c r="O23" s="220">
        <v>107.62083333333337</v>
      </c>
      <c r="P23" s="220">
        <v>22.65</v>
      </c>
      <c r="Q23" s="220">
        <v>155.3125</v>
      </c>
      <c r="T23" s="1">
        <f t="shared" si="45"/>
        <v>2021</v>
      </c>
      <c r="U23" s="2">
        <f t="shared" si="37"/>
        <v>0</v>
      </c>
      <c r="V23" s="2">
        <f t="shared" si="37"/>
        <v>0</v>
      </c>
      <c r="W23" s="2">
        <f t="shared" si="37"/>
        <v>0</v>
      </c>
      <c r="X23" s="2">
        <f t="shared" si="37"/>
        <v>0</v>
      </c>
      <c r="Y23" s="2">
        <f t="shared" si="37"/>
        <v>11.96458333333333</v>
      </c>
      <c r="Z23" s="2">
        <f t="shared" si="37"/>
        <v>52.270833333333357</v>
      </c>
      <c r="AA23" s="2">
        <f t="shared" si="37"/>
        <v>35.170833333333334</v>
      </c>
      <c r="AB23" s="2">
        <f t="shared" si="37"/>
        <v>62.41249999999998</v>
      </c>
      <c r="AC23" s="2">
        <f t="shared" si="37"/>
        <v>2.3375000000000021</v>
      </c>
      <c r="AD23" s="2">
        <f t="shared" si="37"/>
        <v>0</v>
      </c>
      <c r="AE23" s="2">
        <f t="shared" si="37"/>
        <v>0</v>
      </c>
      <c r="AF23" s="2">
        <f t="shared" si="37"/>
        <v>0</v>
      </c>
      <c r="AI23" s="1">
        <f t="shared" si="46"/>
        <v>2021</v>
      </c>
      <c r="AJ23" s="228">
        <f t="shared" si="38"/>
        <v>0</v>
      </c>
      <c r="AK23" s="228">
        <f t="shared" si="38"/>
        <v>0</v>
      </c>
      <c r="AL23" s="228">
        <f t="shared" si="38"/>
        <v>0</v>
      </c>
      <c r="AM23" s="228">
        <f t="shared" si="38"/>
        <v>0</v>
      </c>
      <c r="AN23" s="228">
        <f t="shared" si="38"/>
        <v>25.460416666666667</v>
      </c>
      <c r="AO23" s="228">
        <f t="shared" si="38"/>
        <v>93.595833333333346</v>
      </c>
      <c r="AP23" s="228">
        <f t="shared" si="38"/>
        <v>75.45</v>
      </c>
      <c r="AQ23" s="228">
        <f t="shared" si="38"/>
        <v>112.96666666666667</v>
      </c>
      <c r="AR23" s="228">
        <f t="shared" si="38"/>
        <v>16.200000000000006</v>
      </c>
      <c r="AS23" s="228">
        <f t="shared" si="38"/>
        <v>4.3708333333333336</v>
      </c>
      <c r="AT23" s="228">
        <f t="shared" si="38"/>
        <v>0</v>
      </c>
      <c r="AU23" s="228">
        <f t="shared" si="38"/>
        <v>0</v>
      </c>
      <c r="AV23" s="223">
        <f t="shared" si="39"/>
        <v>328.04375000000005</v>
      </c>
      <c r="AW23" s="1">
        <f t="shared" si="47"/>
        <v>2021</v>
      </c>
      <c r="AX23" s="228">
        <f t="shared" si="40"/>
        <v>0</v>
      </c>
      <c r="AY23" s="228">
        <f t="shared" si="40"/>
        <v>0</v>
      </c>
      <c r="AZ23" s="228">
        <f t="shared" si="40"/>
        <v>0</v>
      </c>
      <c r="BA23" s="228">
        <f t="shared" si="40"/>
        <v>1.3333333333333286</v>
      </c>
      <c r="BB23" s="228">
        <f t="shared" si="40"/>
        <v>44.52291666666666</v>
      </c>
      <c r="BC23" s="228">
        <f t="shared" si="40"/>
        <v>142.50833333333335</v>
      </c>
      <c r="BD23" s="228">
        <f t="shared" si="40"/>
        <v>131.42708333333331</v>
      </c>
      <c r="BE23" s="228">
        <f t="shared" si="40"/>
        <v>172.19791666666666</v>
      </c>
      <c r="BF23" s="228">
        <f t="shared" si="40"/>
        <v>45.291666666666671</v>
      </c>
      <c r="BG23" s="228">
        <f t="shared" si="40"/>
        <v>22.616666666666678</v>
      </c>
      <c r="BH23" s="228">
        <f t="shared" si="40"/>
        <v>0</v>
      </c>
      <c r="BI23" s="228">
        <f t="shared" si="40"/>
        <v>0</v>
      </c>
      <c r="BK23" s="1">
        <f t="shared" si="48"/>
        <v>2021</v>
      </c>
      <c r="BL23" s="228">
        <f t="shared" si="41"/>
        <v>0</v>
      </c>
      <c r="BM23" s="228">
        <f t="shared" si="41"/>
        <v>0</v>
      </c>
      <c r="BN23" s="228">
        <f t="shared" si="41"/>
        <v>0</v>
      </c>
      <c r="BO23" s="228">
        <f t="shared" si="41"/>
        <v>8.0499999999999954</v>
      </c>
      <c r="BP23" s="228">
        <f t="shared" si="41"/>
        <v>66.793749999999989</v>
      </c>
      <c r="BQ23" s="228">
        <f t="shared" si="41"/>
        <v>198.83750000000006</v>
      </c>
      <c r="BR23" s="228">
        <f t="shared" si="41"/>
        <v>193.42708333333331</v>
      </c>
      <c r="BS23" s="228">
        <f t="shared" si="41"/>
        <v>234.19791666666669</v>
      </c>
      <c r="BT23" s="228">
        <f t="shared" si="41"/>
        <v>86.675000000000011</v>
      </c>
      <c r="BU23" s="228">
        <f t="shared" si="41"/>
        <v>50.395833333333336</v>
      </c>
      <c r="BV23" s="228">
        <f t="shared" si="41"/>
        <v>0</v>
      </c>
      <c r="BW23" s="228">
        <f t="shared" si="41"/>
        <v>0</v>
      </c>
      <c r="BY23" s="1">
        <f t="shared" si="49"/>
        <v>2021</v>
      </c>
      <c r="BZ23" s="228">
        <f t="shared" si="42"/>
        <v>0</v>
      </c>
      <c r="CA23" s="228">
        <f t="shared" si="42"/>
        <v>0</v>
      </c>
      <c r="CB23" s="228">
        <f t="shared" si="42"/>
        <v>4.8416666666666686</v>
      </c>
      <c r="CC23" s="228">
        <f t="shared" si="42"/>
        <v>20.929166666666667</v>
      </c>
      <c r="CD23" s="228">
        <f t="shared" si="42"/>
        <v>95.585416666666632</v>
      </c>
      <c r="CE23" s="228">
        <f t="shared" si="42"/>
        <v>257.72916666666674</v>
      </c>
      <c r="CF23" s="228">
        <f t="shared" si="42"/>
        <v>255.42708333333331</v>
      </c>
      <c r="CG23" s="228">
        <f t="shared" si="42"/>
        <v>296.19791666666657</v>
      </c>
      <c r="CH23" s="228">
        <f t="shared" si="42"/>
        <v>139.96249999999998</v>
      </c>
      <c r="CI23" s="228">
        <f t="shared" si="42"/>
        <v>83.354166666666686</v>
      </c>
      <c r="CJ23" s="228">
        <f t="shared" si="42"/>
        <v>0</v>
      </c>
      <c r="CK23" s="228">
        <f t="shared" si="42"/>
        <v>0</v>
      </c>
      <c r="CM23" s="1">
        <f t="shared" si="50"/>
        <v>2021</v>
      </c>
      <c r="CN23" s="228">
        <f t="shared" si="43"/>
        <v>0</v>
      </c>
      <c r="CO23" s="228">
        <f t="shared" si="43"/>
        <v>0</v>
      </c>
      <c r="CP23" s="228">
        <f t="shared" si="43"/>
        <v>11.854166666666668</v>
      </c>
      <c r="CQ23" s="228">
        <f t="shared" si="43"/>
        <v>38.891666666666659</v>
      </c>
      <c r="CR23" s="228">
        <f t="shared" si="43"/>
        <v>131.73958333333331</v>
      </c>
      <c r="CS23" s="228">
        <f t="shared" si="43"/>
        <v>317.72916666666669</v>
      </c>
      <c r="CT23" s="228">
        <f t="shared" si="43"/>
        <v>317.42708333333331</v>
      </c>
      <c r="CU23" s="228">
        <f t="shared" si="43"/>
        <v>358.19791666666657</v>
      </c>
      <c r="CV23" s="228">
        <f t="shared" si="43"/>
        <v>199.81249999999994</v>
      </c>
      <c r="CW23" s="228">
        <f t="shared" si="43"/>
        <v>120.94166666666669</v>
      </c>
      <c r="CX23" s="228">
        <f t="shared" si="43"/>
        <v>0</v>
      </c>
      <c r="CY23" s="228">
        <f t="shared" si="43"/>
        <v>1.3791666666666647</v>
      </c>
      <c r="DA23" s="1">
        <f t="shared" si="51"/>
        <v>2021</v>
      </c>
      <c r="DB23" s="228">
        <f t="shared" si="44"/>
        <v>0</v>
      </c>
      <c r="DC23" s="228">
        <f t="shared" si="44"/>
        <v>0</v>
      </c>
      <c r="DD23" s="228">
        <f t="shared" si="44"/>
        <v>24.045833333333334</v>
      </c>
      <c r="DE23" s="228">
        <f t="shared" si="44"/>
        <v>62.483333333333327</v>
      </c>
      <c r="DF23" s="228">
        <f t="shared" si="44"/>
        <v>173.97291666666666</v>
      </c>
      <c r="DG23" s="228">
        <f t="shared" si="44"/>
        <v>377.72916666666674</v>
      </c>
      <c r="DH23" s="228">
        <f t="shared" si="44"/>
        <v>379.42708333333337</v>
      </c>
      <c r="DI23" s="228">
        <f t="shared" si="44"/>
        <v>420.19791666666663</v>
      </c>
      <c r="DJ23" s="228">
        <f t="shared" si="44"/>
        <v>259.8125</v>
      </c>
      <c r="DK23" s="228">
        <f t="shared" si="44"/>
        <v>166.58749999999998</v>
      </c>
      <c r="DL23" s="228">
        <f t="shared" si="44"/>
        <v>5.3208333333333329</v>
      </c>
      <c r="DM23" s="228">
        <f t="shared" si="44"/>
        <v>3.3791666666666647</v>
      </c>
      <c r="ED23" s="1" t="s">
        <v>70</v>
      </c>
      <c r="EE23" s="1">
        <v>0.90562914197005195</v>
      </c>
      <c r="EF23" s="1" t="s">
        <v>71</v>
      </c>
      <c r="EG23" s="1">
        <v>0.90401596490971103</v>
      </c>
    </row>
    <row r="24" spans="1:138" x14ac:dyDescent="0.2">
      <c r="A24" s="1">
        <v>2017</v>
      </c>
      <c r="B24" s="1">
        <v>11</v>
      </c>
      <c r="C24" s="220">
        <v>2.9639583333333333</v>
      </c>
      <c r="D24" s="220">
        <v>511.08124999999984</v>
      </c>
      <c r="E24" s="220">
        <v>0</v>
      </c>
      <c r="F24" s="220">
        <v>451.08124999999984</v>
      </c>
      <c r="G24" s="220">
        <v>0</v>
      </c>
      <c r="H24" s="220">
        <v>391.08124999999995</v>
      </c>
      <c r="I24" s="220">
        <v>0</v>
      </c>
      <c r="J24" s="220">
        <v>331.08124999999995</v>
      </c>
      <c r="K24" s="220">
        <v>0</v>
      </c>
      <c r="L24" s="220">
        <v>271.19791666666663</v>
      </c>
      <c r="M24" s="220">
        <v>0.11666666666666714</v>
      </c>
      <c r="N24" s="220">
        <v>214.85624999999996</v>
      </c>
      <c r="O24" s="220">
        <v>3.7750000000000004</v>
      </c>
      <c r="P24" s="220">
        <v>159.84375</v>
      </c>
      <c r="Q24" s="220">
        <v>8.7624999999999993</v>
      </c>
      <c r="T24" s="1">
        <f t="shared" si="45"/>
        <v>2022</v>
      </c>
      <c r="U24" s="2">
        <f t="shared" si="37"/>
        <v>0</v>
      </c>
      <c r="V24" s="2">
        <f t="shared" si="37"/>
        <v>0</v>
      </c>
      <c r="W24" s="2">
        <f t="shared" si="37"/>
        <v>0</v>
      </c>
      <c r="X24" s="2">
        <f t="shared" si="37"/>
        <v>0</v>
      </c>
      <c r="Y24" s="2">
        <f t="shared" si="37"/>
        <v>9.7958333333333272</v>
      </c>
      <c r="Z24" s="2">
        <f t="shared" si="37"/>
        <v>34.758333333333326</v>
      </c>
      <c r="AA24" s="2">
        <f t="shared" si="37"/>
        <v>47.44583333333334</v>
      </c>
      <c r="AB24" s="2">
        <f t="shared" si="37"/>
        <v>36.024999999999991</v>
      </c>
      <c r="AC24" s="2">
        <f t="shared" si="37"/>
        <v>7.3166666666666629</v>
      </c>
      <c r="AD24" s="2">
        <f t="shared" si="37"/>
        <v>0</v>
      </c>
      <c r="AE24" s="2">
        <f t="shared" si="37"/>
        <v>0</v>
      </c>
      <c r="AF24" s="2">
        <f t="shared" si="37"/>
        <v>0</v>
      </c>
      <c r="AI24" s="1">
        <f t="shared" si="46"/>
        <v>2022</v>
      </c>
      <c r="AJ24" s="228">
        <f t="shared" si="38"/>
        <v>0</v>
      </c>
      <c r="AK24" s="228">
        <f t="shared" si="38"/>
        <v>0</v>
      </c>
      <c r="AL24" s="228">
        <f t="shared" si="38"/>
        <v>0</v>
      </c>
      <c r="AM24" s="228">
        <f t="shared" si="38"/>
        <v>0</v>
      </c>
      <c r="AN24" s="228">
        <f t="shared" si="38"/>
        <v>27.927083333333336</v>
      </c>
      <c r="AO24" s="228">
        <f t="shared" si="38"/>
        <v>58.987499999999997</v>
      </c>
      <c r="AP24" s="228">
        <f t="shared" si="38"/>
        <v>101.075</v>
      </c>
      <c r="AQ24" s="228">
        <f t="shared" si="38"/>
        <v>85.312499999999972</v>
      </c>
      <c r="AR24" s="228">
        <f t="shared" si="38"/>
        <v>26.212499999999999</v>
      </c>
      <c r="AS24" s="228">
        <f t="shared" si="38"/>
        <v>0</v>
      </c>
      <c r="AT24" s="228">
        <f t="shared" si="38"/>
        <v>0.23333333333333073</v>
      </c>
      <c r="AU24" s="228">
        <f t="shared" si="38"/>
        <v>0</v>
      </c>
      <c r="AV24" s="223">
        <f t="shared" si="39"/>
        <v>299.74791666666658</v>
      </c>
      <c r="AW24" s="1">
        <f t="shared" si="47"/>
        <v>2022</v>
      </c>
      <c r="AX24" s="228">
        <f t="shared" si="40"/>
        <v>0</v>
      </c>
      <c r="AY24" s="228">
        <f t="shared" si="40"/>
        <v>0</v>
      </c>
      <c r="AZ24" s="228">
        <f t="shared" si="40"/>
        <v>0</v>
      </c>
      <c r="BA24" s="228">
        <f t="shared" si="40"/>
        <v>0</v>
      </c>
      <c r="BB24" s="228">
        <f t="shared" si="40"/>
        <v>51.73541666666668</v>
      </c>
      <c r="BC24" s="228">
        <f t="shared" si="40"/>
        <v>93.6875</v>
      </c>
      <c r="BD24" s="228">
        <f t="shared" si="40"/>
        <v>162.93333333333334</v>
      </c>
      <c r="BE24" s="228">
        <f t="shared" si="40"/>
        <v>146.27916666666667</v>
      </c>
      <c r="BF24" s="228">
        <f t="shared" si="40"/>
        <v>62.729166666666657</v>
      </c>
      <c r="BG24" s="228">
        <f t="shared" si="40"/>
        <v>0.40000000000000213</v>
      </c>
      <c r="BH24" s="228">
        <f t="shared" si="40"/>
        <v>2.2333333333333307</v>
      </c>
      <c r="BI24" s="228">
        <f t="shared" si="40"/>
        <v>0</v>
      </c>
      <c r="BK24" s="1">
        <f t="shared" si="48"/>
        <v>2022</v>
      </c>
      <c r="BL24" s="228">
        <f t="shared" si="41"/>
        <v>0</v>
      </c>
      <c r="BM24" s="228">
        <f t="shared" si="41"/>
        <v>0</v>
      </c>
      <c r="BN24" s="228">
        <f t="shared" si="41"/>
        <v>0</v>
      </c>
      <c r="BO24" s="228">
        <f t="shared" si="41"/>
        <v>2.5416666666666696</v>
      </c>
      <c r="BP24" s="228">
        <f t="shared" si="41"/>
        <v>80.722916666666649</v>
      </c>
      <c r="BQ24" s="228">
        <f t="shared" si="41"/>
        <v>142.82500000000002</v>
      </c>
      <c r="BR24" s="228">
        <f t="shared" si="41"/>
        <v>224.93333333333328</v>
      </c>
      <c r="BS24" s="228">
        <f t="shared" si="41"/>
        <v>208.27916666666667</v>
      </c>
      <c r="BT24" s="228">
        <f t="shared" si="41"/>
        <v>101.75833333333333</v>
      </c>
      <c r="BU24" s="228">
        <f t="shared" si="41"/>
        <v>4.3500000000000014</v>
      </c>
      <c r="BV24" s="228">
        <f t="shared" si="41"/>
        <v>4.2666666666666639</v>
      </c>
      <c r="BW24" s="228">
        <f t="shared" si="41"/>
        <v>0</v>
      </c>
      <c r="BY24" s="1">
        <f t="shared" si="49"/>
        <v>2022</v>
      </c>
      <c r="BZ24" s="228">
        <f t="shared" si="42"/>
        <v>0</v>
      </c>
      <c r="CA24" s="228">
        <f t="shared" si="42"/>
        <v>0</v>
      </c>
      <c r="CB24" s="228">
        <f t="shared" si="42"/>
        <v>0</v>
      </c>
      <c r="CC24" s="228">
        <f t="shared" si="42"/>
        <v>8.4583333333333357</v>
      </c>
      <c r="CD24" s="228">
        <f t="shared" si="42"/>
        <v>118.09791666666665</v>
      </c>
      <c r="CE24" s="228">
        <f t="shared" si="42"/>
        <v>201.85208333333333</v>
      </c>
      <c r="CF24" s="228">
        <f t="shared" si="42"/>
        <v>286.93333333333339</v>
      </c>
      <c r="CG24" s="228">
        <f t="shared" si="42"/>
        <v>270.27916666666675</v>
      </c>
      <c r="CH24" s="228">
        <f t="shared" si="42"/>
        <v>145.54583333333335</v>
      </c>
      <c r="CI24" s="228">
        <f t="shared" si="42"/>
        <v>19.333333333333336</v>
      </c>
      <c r="CJ24" s="228">
        <f t="shared" si="42"/>
        <v>10.529166666666663</v>
      </c>
      <c r="CK24" s="228">
        <f t="shared" si="42"/>
        <v>0</v>
      </c>
      <c r="CM24" s="1">
        <f t="shared" si="50"/>
        <v>2022</v>
      </c>
      <c r="CN24" s="228">
        <f t="shared" si="43"/>
        <v>0</v>
      </c>
      <c r="CO24" s="228">
        <f t="shared" si="43"/>
        <v>0</v>
      </c>
      <c r="CP24" s="228">
        <f t="shared" si="43"/>
        <v>0</v>
      </c>
      <c r="CQ24" s="228">
        <f t="shared" si="43"/>
        <v>16.683333333333337</v>
      </c>
      <c r="CR24" s="228">
        <f t="shared" si="43"/>
        <v>163.58541666666665</v>
      </c>
      <c r="CS24" s="228">
        <f t="shared" si="43"/>
        <v>261.85208333333327</v>
      </c>
      <c r="CT24" s="228">
        <f t="shared" si="43"/>
        <v>348.93333333333334</v>
      </c>
      <c r="CU24" s="228">
        <f t="shared" si="43"/>
        <v>332.27916666666675</v>
      </c>
      <c r="CV24" s="228">
        <f t="shared" si="43"/>
        <v>197.67083333333335</v>
      </c>
      <c r="CW24" s="228">
        <f t="shared" si="43"/>
        <v>42.162500000000001</v>
      </c>
      <c r="CX24" s="228">
        <f t="shared" si="43"/>
        <v>22.070833333333333</v>
      </c>
      <c r="CY24" s="228">
        <f t="shared" si="43"/>
        <v>0</v>
      </c>
      <c r="DA24" s="1">
        <f t="shared" si="51"/>
        <v>2022</v>
      </c>
      <c r="DB24" s="228">
        <f t="shared" si="44"/>
        <v>0</v>
      </c>
      <c r="DC24" s="228">
        <f t="shared" si="44"/>
        <v>0</v>
      </c>
      <c r="DD24" s="228">
        <f t="shared" si="44"/>
        <v>5.1416666666666675</v>
      </c>
      <c r="DE24" s="228">
        <f t="shared" si="44"/>
        <v>33.00416666666667</v>
      </c>
      <c r="DF24" s="228">
        <f t="shared" si="44"/>
        <v>222.61874999999995</v>
      </c>
      <c r="DG24" s="228">
        <f t="shared" si="44"/>
        <v>321.85208333333327</v>
      </c>
      <c r="DH24" s="228">
        <f t="shared" si="44"/>
        <v>410.93333333333339</v>
      </c>
      <c r="DI24" s="228">
        <f t="shared" si="44"/>
        <v>394.27916666666664</v>
      </c>
      <c r="DJ24" s="228">
        <f t="shared" si="44"/>
        <v>257.40833333333336</v>
      </c>
      <c r="DK24" s="228">
        <f t="shared" si="44"/>
        <v>76.037500000000023</v>
      </c>
      <c r="DL24" s="228">
        <f t="shared" si="44"/>
        <v>37.387500000000003</v>
      </c>
      <c r="DM24" s="228">
        <f t="shared" si="44"/>
        <v>1.9625000000000004</v>
      </c>
      <c r="ED24" s="1" t="s">
        <v>396</v>
      </c>
      <c r="EE24" s="1">
        <v>378.42799051717901</v>
      </c>
      <c r="EF24" s="1" t="s">
        <v>72</v>
      </c>
      <c r="EG24" s="226">
        <v>8.2156309502483097E-52</v>
      </c>
    </row>
    <row r="25" spans="1:138" x14ac:dyDescent="0.2">
      <c r="A25" s="1">
        <v>2017</v>
      </c>
      <c r="B25" s="1">
        <v>12</v>
      </c>
      <c r="C25" s="220">
        <v>-5.1143817204301074</v>
      </c>
      <c r="D25" s="220">
        <v>778.54583333333335</v>
      </c>
      <c r="E25" s="220">
        <v>0</v>
      </c>
      <c r="F25" s="220">
        <v>716.54583333333335</v>
      </c>
      <c r="G25" s="220">
        <v>0</v>
      </c>
      <c r="H25" s="220">
        <v>654.54583333333335</v>
      </c>
      <c r="I25" s="220">
        <v>0</v>
      </c>
      <c r="J25" s="220">
        <v>592.54583333333346</v>
      </c>
      <c r="K25" s="220">
        <v>0</v>
      </c>
      <c r="L25" s="220">
        <v>530.54583333333335</v>
      </c>
      <c r="M25" s="220">
        <v>0</v>
      </c>
      <c r="N25" s="220">
        <v>468.54583333333341</v>
      </c>
      <c r="O25" s="220">
        <v>0</v>
      </c>
      <c r="P25" s="220">
        <v>406.54583333333329</v>
      </c>
      <c r="Q25" s="220">
        <v>0</v>
      </c>
      <c r="T25" s="1">
        <f t="shared" si="45"/>
        <v>2023</v>
      </c>
      <c r="U25" s="2">
        <f t="shared" si="37"/>
        <v>0</v>
      </c>
      <c r="V25" s="2">
        <f t="shared" si="37"/>
        <v>0</v>
      </c>
      <c r="W25" s="2">
        <f t="shared" si="37"/>
        <v>0</v>
      </c>
      <c r="X25" s="2">
        <f t="shared" si="37"/>
        <v>0.47083333333333499</v>
      </c>
      <c r="Y25" s="2">
        <f t="shared" si="37"/>
        <v>4.2666666666666586</v>
      </c>
      <c r="Z25" s="2">
        <f t="shared" si="37"/>
        <v>17.224999999999994</v>
      </c>
      <c r="AA25" s="2">
        <f t="shared" si="37"/>
        <v>32.833333333333329</v>
      </c>
      <c r="AB25" s="2">
        <f t="shared" si="37"/>
        <v>10.195833333333344</v>
      </c>
      <c r="AC25" s="2">
        <f t="shared" si="37"/>
        <v>15.787499999999994</v>
      </c>
      <c r="AD25" s="2">
        <f t="shared" si="37"/>
        <v>0</v>
      </c>
      <c r="AE25" s="2">
        <f t="shared" si="37"/>
        <v>0</v>
      </c>
      <c r="AF25" s="2">
        <f t="shared" si="37"/>
        <v>0</v>
      </c>
      <c r="AI25" s="1">
        <f t="shared" si="46"/>
        <v>2023</v>
      </c>
      <c r="AJ25" s="228">
        <f t="shared" si="38"/>
        <v>0</v>
      </c>
      <c r="AK25" s="228">
        <f t="shared" si="38"/>
        <v>0</v>
      </c>
      <c r="AL25" s="228">
        <f t="shared" si="38"/>
        <v>0</v>
      </c>
      <c r="AM25" s="228">
        <f t="shared" si="38"/>
        <v>4.2541666666666806</v>
      </c>
      <c r="AN25" s="228">
        <f t="shared" si="38"/>
        <v>13.499999999999986</v>
      </c>
      <c r="AO25" s="228">
        <f t="shared" si="38"/>
        <v>39.066666666666649</v>
      </c>
      <c r="AP25" s="228">
        <f t="shared" si="38"/>
        <v>81.070833333333312</v>
      </c>
      <c r="AQ25" s="228">
        <f t="shared" si="38"/>
        <v>39.625000000000014</v>
      </c>
      <c r="AR25" s="228">
        <f t="shared" si="38"/>
        <v>26.416666666666657</v>
      </c>
      <c r="AS25" s="228">
        <f t="shared" si="38"/>
        <v>6.2999999999999936</v>
      </c>
      <c r="AT25" s="228">
        <f t="shared" si="38"/>
        <v>0</v>
      </c>
      <c r="AU25" s="228">
        <f t="shared" si="38"/>
        <v>0</v>
      </c>
      <c r="AV25" s="223">
        <f t="shared" si="39"/>
        <v>210.23333333333329</v>
      </c>
      <c r="AW25" s="1">
        <f t="shared" si="47"/>
        <v>2023</v>
      </c>
      <c r="AX25" s="228">
        <f t="shared" si="40"/>
        <v>0</v>
      </c>
      <c r="AY25" s="228">
        <f t="shared" si="40"/>
        <v>0</v>
      </c>
      <c r="AZ25" s="228">
        <f t="shared" si="40"/>
        <v>0</v>
      </c>
      <c r="BA25" s="228">
        <f t="shared" si="40"/>
        <v>12.254166666666681</v>
      </c>
      <c r="BB25" s="228">
        <f t="shared" si="40"/>
        <v>27.695833333333315</v>
      </c>
      <c r="BC25" s="228">
        <f t="shared" si="40"/>
        <v>78.220833333333331</v>
      </c>
      <c r="BD25" s="228">
        <f t="shared" si="40"/>
        <v>141.20000000000002</v>
      </c>
      <c r="BE25" s="228">
        <f t="shared" si="40"/>
        <v>86.612500000000011</v>
      </c>
      <c r="BF25" s="228">
        <f t="shared" si="40"/>
        <v>48.241666666666646</v>
      </c>
      <c r="BG25" s="228">
        <f t="shared" si="40"/>
        <v>19.383333333333326</v>
      </c>
      <c r="BH25" s="228">
        <f t="shared" si="40"/>
        <v>0</v>
      </c>
      <c r="BI25" s="228">
        <f t="shared" si="40"/>
        <v>0</v>
      </c>
      <c r="BK25" s="1">
        <f t="shared" si="48"/>
        <v>2023</v>
      </c>
      <c r="BL25" s="228">
        <f t="shared" si="41"/>
        <v>0</v>
      </c>
      <c r="BM25" s="228">
        <f t="shared" si="41"/>
        <v>0</v>
      </c>
      <c r="BN25" s="228">
        <f t="shared" si="41"/>
        <v>0</v>
      </c>
      <c r="BO25" s="228">
        <f t="shared" si="41"/>
        <v>22.516666666666687</v>
      </c>
      <c r="BP25" s="228">
        <f t="shared" si="41"/>
        <v>49.670833333333306</v>
      </c>
      <c r="BQ25" s="228">
        <f t="shared" si="41"/>
        <v>130.14166666666665</v>
      </c>
      <c r="BR25" s="228">
        <f t="shared" si="41"/>
        <v>203.20000000000002</v>
      </c>
      <c r="BS25" s="228">
        <f t="shared" si="41"/>
        <v>144.09583333333336</v>
      </c>
      <c r="BT25" s="228">
        <f t="shared" si="41"/>
        <v>90.90416666666664</v>
      </c>
      <c r="BU25" s="228">
        <f t="shared" si="41"/>
        <v>37.479166666666657</v>
      </c>
      <c r="BV25" s="228">
        <f t="shared" si="41"/>
        <v>0</v>
      </c>
      <c r="BW25" s="228">
        <f t="shared" si="41"/>
        <v>0</v>
      </c>
      <c r="BY25" s="1">
        <f t="shared" si="49"/>
        <v>2023</v>
      </c>
      <c r="BZ25" s="228">
        <f t="shared" si="42"/>
        <v>0</v>
      </c>
      <c r="CA25" s="228">
        <f t="shared" si="42"/>
        <v>0</v>
      </c>
      <c r="CB25" s="228">
        <f t="shared" si="42"/>
        <v>0</v>
      </c>
      <c r="CC25" s="228">
        <f t="shared" si="42"/>
        <v>34.51666666666668</v>
      </c>
      <c r="CD25" s="228">
        <f t="shared" si="42"/>
        <v>88.470833333333317</v>
      </c>
      <c r="CE25" s="228">
        <f t="shared" si="42"/>
        <v>188.3041666666667</v>
      </c>
      <c r="CF25" s="228">
        <f t="shared" si="42"/>
        <v>265.2</v>
      </c>
      <c r="CG25" s="228">
        <f t="shared" si="42"/>
        <v>206.09166666666664</v>
      </c>
      <c r="CH25" s="228">
        <f t="shared" si="42"/>
        <v>147.04166666666669</v>
      </c>
      <c r="CI25" s="228">
        <f t="shared" si="42"/>
        <v>57.625</v>
      </c>
      <c r="CJ25" s="228">
        <f t="shared" si="42"/>
        <v>0</v>
      </c>
      <c r="CK25" s="228">
        <f t="shared" si="42"/>
        <v>0</v>
      </c>
      <c r="CM25" s="1">
        <f t="shared" si="50"/>
        <v>2023</v>
      </c>
      <c r="CN25" s="228">
        <f t="shared" si="43"/>
        <v>0</v>
      </c>
      <c r="CO25" s="228">
        <f t="shared" si="43"/>
        <v>0</v>
      </c>
      <c r="CP25" s="228">
        <f t="shared" si="43"/>
        <v>0</v>
      </c>
      <c r="CQ25" s="228">
        <f t="shared" si="43"/>
        <v>47.766666666666687</v>
      </c>
      <c r="CR25" s="228">
        <f t="shared" si="43"/>
        <v>134.02499999999998</v>
      </c>
      <c r="CS25" s="228">
        <f t="shared" si="43"/>
        <v>248.30416666666665</v>
      </c>
      <c r="CT25" s="228">
        <f t="shared" si="43"/>
        <v>327.19999999999993</v>
      </c>
      <c r="CU25" s="228">
        <f t="shared" si="43"/>
        <v>268.09166666666664</v>
      </c>
      <c r="CV25" s="228">
        <f t="shared" si="43"/>
        <v>207.04166666666669</v>
      </c>
      <c r="CW25" s="228">
        <f t="shared" si="43"/>
        <v>81.55</v>
      </c>
      <c r="CX25" s="228">
        <f t="shared" si="43"/>
        <v>0</v>
      </c>
      <c r="CY25" s="228">
        <f t="shared" si="43"/>
        <v>0.61250000000000071</v>
      </c>
      <c r="DA25" s="1">
        <f t="shared" si="51"/>
        <v>2023</v>
      </c>
      <c r="DB25" s="228">
        <f t="shared" si="44"/>
        <v>0</v>
      </c>
      <c r="DC25" s="228">
        <f t="shared" si="44"/>
        <v>1.3291666666666657</v>
      </c>
      <c r="DD25" s="228">
        <f t="shared" si="44"/>
        <v>0</v>
      </c>
      <c r="DE25" s="228">
        <f t="shared" si="44"/>
        <v>67.450000000000017</v>
      </c>
      <c r="DF25" s="228">
        <f t="shared" si="44"/>
        <v>185.28749999999999</v>
      </c>
      <c r="DG25" s="228">
        <f t="shared" si="44"/>
        <v>308.30416666666667</v>
      </c>
      <c r="DH25" s="228">
        <f t="shared" si="44"/>
        <v>389.20000000000005</v>
      </c>
      <c r="DI25" s="228">
        <f t="shared" si="44"/>
        <v>330.09166666666664</v>
      </c>
      <c r="DJ25" s="228">
        <f t="shared" si="44"/>
        <v>267.04166666666663</v>
      </c>
      <c r="DK25" s="228">
        <f t="shared" si="44"/>
        <v>116.03750000000001</v>
      </c>
      <c r="DL25" s="228">
        <f t="shared" si="44"/>
        <v>3.5</v>
      </c>
      <c r="DM25" s="228">
        <f t="shared" si="44"/>
        <v>2.6125000000000007</v>
      </c>
      <c r="ED25" s="1" t="s">
        <v>73</v>
      </c>
      <c r="EE25" s="1">
        <v>-9.1110168496973107E-2</v>
      </c>
      <c r="EF25" s="1" t="s">
        <v>74</v>
      </c>
      <c r="EG25" s="1">
        <v>2.1359898406020701</v>
      </c>
    </row>
    <row r="26" spans="1:138" x14ac:dyDescent="0.2">
      <c r="A26" s="1">
        <v>2018</v>
      </c>
      <c r="B26" s="1">
        <v>1</v>
      </c>
      <c r="C26" s="220">
        <v>-6.2030913978494651</v>
      </c>
      <c r="D26" s="220">
        <v>812.29583333333323</v>
      </c>
      <c r="E26" s="220">
        <v>0</v>
      </c>
      <c r="F26" s="220">
        <v>750.29583333333323</v>
      </c>
      <c r="G26" s="220">
        <v>0</v>
      </c>
      <c r="H26" s="220">
        <v>688.29583333333312</v>
      </c>
      <c r="I26" s="220">
        <v>0</v>
      </c>
      <c r="J26" s="220">
        <v>626.29583333333323</v>
      </c>
      <c r="K26" s="220">
        <v>0</v>
      </c>
      <c r="L26" s="220">
        <v>564.29583333333323</v>
      </c>
      <c r="M26" s="220">
        <v>0</v>
      </c>
      <c r="N26" s="220">
        <v>502.29583333333318</v>
      </c>
      <c r="O26" s="220">
        <v>0</v>
      </c>
      <c r="P26" s="220">
        <v>440.3624999999999</v>
      </c>
      <c r="Q26" s="220">
        <v>6.6666666666668206E-2</v>
      </c>
      <c r="T26" s="1">
        <f t="shared" si="45"/>
        <v>2024</v>
      </c>
      <c r="U26" s="2">
        <f t="shared" si="37"/>
        <v>0</v>
      </c>
      <c r="V26" s="2">
        <f t="shared" si="37"/>
        <v>0</v>
      </c>
      <c r="W26" s="2">
        <f t="shared" si="37"/>
        <v>0</v>
      </c>
      <c r="X26" s="2">
        <f t="shared" si="37"/>
        <v>0</v>
      </c>
      <c r="Y26" s="2">
        <f t="shared" si="37"/>
        <v>5.3541666666666607</v>
      </c>
      <c r="Z26" s="2">
        <f t="shared" si="37"/>
        <v>42.181249999999991</v>
      </c>
      <c r="AA26" s="2">
        <f t="shared" si="37"/>
        <v>47.908333333333346</v>
      </c>
      <c r="AB26" s="2">
        <f t="shared" si="37"/>
        <v>33.010416666666671</v>
      </c>
      <c r="AC26" s="2">
        <f t="shared" si="37"/>
        <v>0.83333333333333925</v>
      </c>
      <c r="AD26" s="2">
        <f t="shared" si="37"/>
        <v>0</v>
      </c>
      <c r="AE26" s="2">
        <f t="shared" si="37"/>
        <v>0</v>
      </c>
      <c r="AF26" s="2">
        <f t="shared" si="37"/>
        <v>0</v>
      </c>
      <c r="AI26" s="1">
        <f t="shared" si="46"/>
        <v>2024</v>
      </c>
      <c r="AJ26" s="228">
        <f t="shared" si="38"/>
        <v>0</v>
      </c>
      <c r="AK26" s="228">
        <f t="shared" si="38"/>
        <v>0</v>
      </c>
      <c r="AL26" s="228">
        <f t="shared" si="38"/>
        <v>0</v>
      </c>
      <c r="AM26" s="228">
        <f t="shared" si="38"/>
        <v>0</v>
      </c>
      <c r="AN26" s="228">
        <f t="shared" si="38"/>
        <v>13.8</v>
      </c>
      <c r="AO26" s="228">
        <f t="shared" si="38"/>
        <v>74.864583333333314</v>
      </c>
      <c r="AP26" s="228">
        <f t="shared" si="38"/>
        <v>100.04583333333335</v>
      </c>
      <c r="AQ26" s="228">
        <f t="shared" si="38"/>
        <v>73.185416666666669</v>
      </c>
      <c r="AR26" s="228">
        <f t="shared" si="38"/>
        <v>23.57083333333334</v>
      </c>
      <c r="AS26" s="228">
        <f t="shared" si="38"/>
        <v>1.2750000000000057</v>
      </c>
      <c r="AT26" s="228">
        <f t="shared" si="38"/>
        <v>0.49583333333333357</v>
      </c>
      <c r="AU26" s="228">
        <f t="shared" si="38"/>
        <v>0</v>
      </c>
      <c r="AV26" s="223">
        <f t="shared" si="39"/>
        <v>287.23750000000001</v>
      </c>
      <c r="AW26" s="1">
        <f t="shared" si="47"/>
        <v>2024</v>
      </c>
      <c r="AX26" s="228">
        <f t="shared" si="40"/>
        <v>0</v>
      </c>
      <c r="AY26" s="228">
        <f t="shared" si="40"/>
        <v>0</v>
      </c>
      <c r="AZ26" s="228">
        <f t="shared" si="40"/>
        <v>0</v>
      </c>
      <c r="BA26" s="228">
        <f t="shared" si="40"/>
        <v>2.5875000000000021</v>
      </c>
      <c r="BB26" s="228">
        <f t="shared" si="40"/>
        <v>36.924999999999997</v>
      </c>
      <c r="BC26" s="228">
        <f t="shared" si="40"/>
        <v>116.12708333333335</v>
      </c>
      <c r="BD26" s="228">
        <f t="shared" si="40"/>
        <v>159.45416666666665</v>
      </c>
      <c r="BE26" s="228">
        <f t="shared" si="40"/>
        <v>125.13958333333332</v>
      </c>
      <c r="BF26" s="228">
        <f t="shared" si="40"/>
        <v>67.78125</v>
      </c>
      <c r="BG26" s="228">
        <f t="shared" si="40"/>
        <v>7.975000000000005</v>
      </c>
      <c r="BH26" s="228">
        <f t="shared" si="40"/>
        <v>3.3583333333333343</v>
      </c>
      <c r="BI26" s="228">
        <f t="shared" si="40"/>
        <v>0</v>
      </c>
      <c r="BK26" s="1">
        <f t="shared" si="48"/>
        <v>2024</v>
      </c>
      <c r="BL26" s="228">
        <f t="shared" si="41"/>
        <v>0</v>
      </c>
      <c r="BM26" s="228">
        <f t="shared" si="41"/>
        <v>0</v>
      </c>
      <c r="BN26" s="228">
        <f t="shared" si="41"/>
        <v>0</v>
      </c>
      <c r="BO26" s="228">
        <f t="shared" si="41"/>
        <v>8.4166666666666679</v>
      </c>
      <c r="BP26" s="228">
        <f t="shared" si="41"/>
        <v>73.216666666666654</v>
      </c>
      <c r="BQ26" s="228">
        <f t="shared" si="41"/>
        <v>169.16458333333333</v>
      </c>
      <c r="BR26" s="228">
        <f t="shared" si="41"/>
        <v>221.45416666666657</v>
      </c>
      <c r="BS26" s="228">
        <f t="shared" si="41"/>
        <v>183.15208333333334</v>
      </c>
      <c r="BT26" s="228">
        <f t="shared" si="41"/>
        <v>120.08541666666667</v>
      </c>
      <c r="BU26" s="228">
        <f t="shared" si="41"/>
        <v>19.300000000000008</v>
      </c>
      <c r="BV26" s="228">
        <f t="shared" si="41"/>
        <v>7.3583333333333343</v>
      </c>
      <c r="BW26" s="228">
        <f t="shared" si="41"/>
        <v>0</v>
      </c>
      <c r="BY26" s="1">
        <f t="shared" si="49"/>
        <v>2024</v>
      </c>
      <c r="BZ26" s="228">
        <f t="shared" si="42"/>
        <v>0</v>
      </c>
      <c r="CA26" s="228">
        <f t="shared" si="42"/>
        <v>0</v>
      </c>
      <c r="CB26" s="228">
        <f t="shared" si="42"/>
        <v>0</v>
      </c>
      <c r="CC26" s="228">
        <f t="shared" si="42"/>
        <v>19.600000000000001</v>
      </c>
      <c r="CD26" s="228">
        <f t="shared" si="42"/>
        <v>124.46666666666667</v>
      </c>
      <c r="CE26" s="228">
        <f t="shared" si="42"/>
        <v>227.19791666666666</v>
      </c>
      <c r="CF26" s="228">
        <f t="shared" si="42"/>
        <v>283.45416666666665</v>
      </c>
      <c r="CG26" s="228">
        <f t="shared" si="42"/>
        <v>244.8520833333333</v>
      </c>
      <c r="CH26" s="228">
        <f t="shared" si="42"/>
        <v>176.65208333333334</v>
      </c>
      <c r="CI26" s="228">
        <f t="shared" si="42"/>
        <v>41.512500000000003</v>
      </c>
      <c r="CJ26" s="228">
        <f t="shared" si="42"/>
        <v>12.462500000000004</v>
      </c>
      <c r="CK26" s="228">
        <f t="shared" si="42"/>
        <v>0</v>
      </c>
      <c r="CM26" s="1">
        <f t="shared" si="50"/>
        <v>2024</v>
      </c>
      <c r="CN26" s="228">
        <f t="shared" si="43"/>
        <v>0</v>
      </c>
      <c r="CO26" s="228">
        <f t="shared" si="43"/>
        <v>0.35833333333333428</v>
      </c>
      <c r="CP26" s="228">
        <f t="shared" si="43"/>
        <v>2.8729166666666597</v>
      </c>
      <c r="CQ26" s="228">
        <f t="shared" si="43"/>
        <v>37.787500000000009</v>
      </c>
      <c r="CR26" s="228">
        <f t="shared" si="43"/>
        <v>183.6875</v>
      </c>
      <c r="CS26" s="228">
        <f t="shared" si="43"/>
        <v>287.19791666666669</v>
      </c>
      <c r="CT26" s="228">
        <f t="shared" si="43"/>
        <v>345.45416666666659</v>
      </c>
      <c r="CU26" s="228">
        <f t="shared" si="43"/>
        <v>306.85208333333327</v>
      </c>
      <c r="CV26" s="228">
        <f t="shared" si="43"/>
        <v>235.79791666666668</v>
      </c>
      <c r="CW26" s="228">
        <f t="shared" si="43"/>
        <v>73.370833333333337</v>
      </c>
      <c r="CX26" s="228">
        <f t="shared" si="43"/>
        <v>18.462500000000006</v>
      </c>
      <c r="CY26" s="228">
        <f t="shared" si="43"/>
        <v>0</v>
      </c>
      <c r="DA26" s="1">
        <f t="shared" si="51"/>
        <v>2024</v>
      </c>
      <c r="DB26" s="228">
        <f t="shared" si="44"/>
        <v>0</v>
      </c>
      <c r="DC26" s="228">
        <f t="shared" si="44"/>
        <v>2.8187500000000014</v>
      </c>
      <c r="DD26" s="228">
        <f t="shared" si="44"/>
        <v>10.377083333333326</v>
      </c>
      <c r="DE26" s="228">
        <f t="shared" si="44"/>
        <v>66.583333333333329</v>
      </c>
      <c r="DF26" s="228">
        <f t="shared" si="44"/>
        <v>244.5333333333333</v>
      </c>
      <c r="DG26" s="228">
        <f t="shared" si="44"/>
        <v>347.19791666666674</v>
      </c>
      <c r="DH26" s="228">
        <f t="shared" si="44"/>
        <v>407.45416666666659</v>
      </c>
      <c r="DI26" s="228">
        <f t="shared" si="44"/>
        <v>368.85208333333327</v>
      </c>
      <c r="DJ26" s="228">
        <f t="shared" si="44"/>
        <v>295.79791666666677</v>
      </c>
      <c r="DK26" s="228">
        <f t="shared" si="44"/>
        <v>109.9166666666667</v>
      </c>
      <c r="DL26" s="228">
        <f t="shared" si="44"/>
        <v>28.84791666666667</v>
      </c>
      <c r="DM26" s="228">
        <f t="shared" si="44"/>
        <v>0</v>
      </c>
    </row>
    <row r="27" spans="1:138" x14ac:dyDescent="0.2">
      <c r="A27" s="1">
        <v>2018</v>
      </c>
      <c r="B27" s="1">
        <v>2</v>
      </c>
      <c r="C27" s="220">
        <v>-2.5132440476190467</v>
      </c>
      <c r="D27" s="220">
        <v>630.37083333333339</v>
      </c>
      <c r="E27" s="220">
        <v>0</v>
      </c>
      <c r="F27" s="220">
        <v>574.37083333333339</v>
      </c>
      <c r="G27" s="220">
        <v>0</v>
      </c>
      <c r="H27" s="220">
        <v>518.37083333333339</v>
      </c>
      <c r="I27" s="220">
        <v>0</v>
      </c>
      <c r="J27" s="220">
        <v>462.37083333333339</v>
      </c>
      <c r="K27" s="220">
        <v>0</v>
      </c>
      <c r="L27" s="220">
        <v>406.37083333333339</v>
      </c>
      <c r="M27" s="220">
        <v>0</v>
      </c>
      <c r="N27" s="220">
        <v>351.93333333333339</v>
      </c>
      <c r="O27" s="220">
        <v>1.5625000000000018</v>
      </c>
      <c r="P27" s="220">
        <v>297.93333333333334</v>
      </c>
      <c r="Q27" s="220">
        <v>3.5625000000000018</v>
      </c>
      <c r="T27" s="1">
        <f t="shared" si="45"/>
        <v>2025</v>
      </c>
      <c r="U27" s="2">
        <f t="shared" si="37"/>
        <v>0</v>
      </c>
      <c r="V27" s="2">
        <f t="shared" si="37"/>
        <v>0</v>
      </c>
      <c r="W27" s="2">
        <f t="shared" si="37"/>
        <v>0</v>
      </c>
      <c r="X27" s="2">
        <f t="shared" si="37"/>
        <v>0</v>
      </c>
      <c r="Y27" s="2">
        <f t="shared" si="37"/>
        <v>0.78749999999999787</v>
      </c>
      <c r="Z27" s="2">
        <f t="shared" si="37"/>
        <v>44.279166666666654</v>
      </c>
      <c r="AA27" s="2">
        <f t="shared" si="37"/>
        <v>78.383333333333312</v>
      </c>
      <c r="AB27" s="2">
        <f t="shared" si="37"/>
        <v>41.429166666666674</v>
      </c>
      <c r="AC27" s="2">
        <f t="shared" si="37"/>
        <v>0</v>
      </c>
      <c r="AD27" s="2">
        <f t="shared" si="37"/>
        <v>0.31666666666666643</v>
      </c>
      <c r="AE27" s="2">
        <f t="shared" si="37"/>
        <v>0</v>
      </c>
      <c r="AF27" s="2">
        <f t="shared" si="37"/>
        <v>0</v>
      </c>
      <c r="AI27" s="1">
        <f t="shared" si="46"/>
        <v>2025</v>
      </c>
      <c r="AJ27" s="228">
        <f t="shared" si="38"/>
        <v>0</v>
      </c>
      <c r="AK27" s="228">
        <f t="shared" si="38"/>
        <v>0</v>
      </c>
      <c r="AL27" s="228">
        <f t="shared" si="38"/>
        <v>0</v>
      </c>
      <c r="AM27" s="228">
        <f t="shared" si="38"/>
        <v>0.37083333333333357</v>
      </c>
      <c r="AN27" s="228">
        <f t="shared" si="38"/>
        <v>5.5999999999999943</v>
      </c>
      <c r="AO27" s="228">
        <f t="shared" si="38"/>
        <v>81.40416666666664</v>
      </c>
      <c r="AP27" s="228">
        <f t="shared" si="38"/>
        <v>132.52916666666664</v>
      </c>
      <c r="AQ27" s="228">
        <f t="shared" si="38"/>
        <v>78.800000000000011</v>
      </c>
      <c r="AR27" s="228">
        <f t="shared" si="38"/>
        <v>11.583333333333339</v>
      </c>
      <c r="AS27" s="228">
        <f t="shared" si="38"/>
        <v>4.5875000000000021</v>
      </c>
      <c r="AT27" s="228">
        <f t="shared" si="38"/>
        <v>0</v>
      </c>
      <c r="AU27" s="228">
        <f t="shared" si="38"/>
        <v>0</v>
      </c>
      <c r="AV27" s="223">
        <f t="shared" si="39"/>
        <v>314.87499999999994</v>
      </c>
      <c r="AW27" s="1">
        <f t="shared" si="47"/>
        <v>2025</v>
      </c>
      <c r="AX27" s="228">
        <f t="shared" si="40"/>
        <v>0</v>
      </c>
      <c r="AY27" s="228">
        <f t="shared" si="40"/>
        <v>0</v>
      </c>
      <c r="AZ27" s="228">
        <f t="shared" si="40"/>
        <v>0</v>
      </c>
      <c r="BA27" s="228">
        <f t="shared" si="40"/>
        <v>3.3999999999999986</v>
      </c>
      <c r="BB27" s="228">
        <f t="shared" si="40"/>
        <v>14.854166666666657</v>
      </c>
      <c r="BC27" s="228">
        <f t="shared" si="40"/>
        <v>132.71249999999998</v>
      </c>
      <c r="BD27" s="228">
        <f t="shared" si="40"/>
        <v>193.57916666666662</v>
      </c>
      <c r="BE27" s="228">
        <f t="shared" si="40"/>
        <v>125.19583333333335</v>
      </c>
      <c r="BF27" s="228">
        <f t="shared" si="40"/>
        <v>51.916666666666657</v>
      </c>
      <c r="BG27" s="228">
        <f t="shared" si="40"/>
        <v>15.179166666666674</v>
      </c>
      <c r="BH27" s="228">
        <f t="shared" si="40"/>
        <v>0</v>
      </c>
      <c r="BI27" s="228">
        <f t="shared" si="40"/>
        <v>0</v>
      </c>
      <c r="BK27" s="1">
        <f t="shared" si="48"/>
        <v>2025</v>
      </c>
      <c r="BL27" s="228">
        <f t="shared" si="41"/>
        <v>0</v>
      </c>
      <c r="BM27" s="228">
        <f t="shared" si="41"/>
        <v>0</v>
      </c>
      <c r="BN27" s="228">
        <f t="shared" si="41"/>
        <v>0</v>
      </c>
      <c r="BO27" s="228">
        <f t="shared" si="41"/>
        <v>9.0583333333333371</v>
      </c>
      <c r="BP27" s="228">
        <f t="shared" si="41"/>
        <v>30.504166666666652</v>
      </c>
      <c r="BQ27" s="228">
        <f t="shared" si="41"/>
        <v>188.56249999999997</v>
      </c>
      <c r="BR27" s="228">
        <f t="shared" si="41"/>
        <v>255.57916666666662</v>
      </c>
      <c r="BS27" s="228">
        <f t="shared" si="41"/>
        <v>178.91250000000005</v>
      </c>
      <c r="BT27" s="228">
        <f t="shared" si="41"/>
        <v>102.07916666666665</v>
      </c>
      <c r="BU27" s="228">
        <f t="shared" si="41"/>
        <v>29.312500000000004</v>
      </c>
      <c r="BV27" s="228">
        <f t="shared" si="41"/>
        <v>0</v>
      </c>
      <c r="BW27" s="228">
        <f t="shared" si="41"/>
        <v>0</v>
      </c>
      <c r="BY27" s="1">
        <f t="shared" si="49"/>
        <v>2025</v>
      </c>
      <c r="BZ27" s="228">
        <f t="shared" si="42"/>
        <v>0</v>
      </c>
      <c r="CA27" s="228">
        <f t="shared" si="42"/>
        <v>0</v>
      </c>
      <c r="CB27" s="228">
        <f t="shared" si="42"/>
        <v>2.4708333333333297</v>
      </c>
      <c r="CC27" s="228">
        <f t="shared" si="42"/>
        <v>21.741666666666667</v>
      </c>
      <c r="CD27" s="228">
        <f t="shared" si="42"/>
        <v>56.191666666666634</v>
      </c>
      <c r="CE27" s="228">
        <f t="shared" si="42"/>
        <v>246.54999999999993</v>
      </c>
      <c r="CF27" s="228">
        <f t="shared" si="42"/>
        <v>317.57916666666665</v>
      </c>
      <c r="CG27" s="228">
        <f t="shared" si="42"/>
        <v>238.4291666666667</v>
      </c>
      <c r="CH27" s="228">
        <f t="shared" si="42"/>
        <v>158.98333333333338</v>
      </c>
      <c r="CI27" s="228">
        <f t="shared" si="42"/>
        <v>49.983333333333348</v>
      </c>
      <c r="CJ27" s="228">
        <f t="shared" si="42"/>
        <v>0</v>
      </c>
      <c r="CK27" s="228">
        <f t="shared" si="42"/>
        <v>0</v>
      </c>
      <c r="CM27" s="1">
        <f t="shared" si="50"/>
        <v>2025</v>
      </c>
      <c r="CN27" s="228">
        <f t="shared" si="43"/>
        <v>0</v>
      </c>
      <c r="CO27" s="228">
        <f t="shared" si="43"/>
        <v>0</v>
      </c>
      <c r="CP27" s="228">
        <f t="shared" si="43"/>
        <v>6.4708333333333297</v>
      </c>
      <c r="CQ27" s="228">
        <f t="shared" si="43"/>
        <v>41.74166666666666</v>
      </c>
      <c r="CR27" s="228">
        <f t="shared" si="43"/>
        <v>91.770833333333329</v>
      </c>
      <c r="CS27" s="228">
        <f t="shared" si="43"/>
        <v>304.55</v>
      </c>
      <c r="CT27" s="228">
        <f t="shared" si="43"/>
        <v>379.57916666666665</v>
      </c>
      <c r="CU27" s="228">
        <f t="shared" si="43"/>
        <v>300.42916666666673</v>
      </c>
      <c r="CV27" s="228">
        <f t="shared" si="43"/>
        <v>218.96666666666667</v>
      </c>
      <c r="CW27" s="228">
        <f t="shared" si="43"/>
        <v>77.566666666666663</v>
      </c>
      <c r="CX27" s="228">
        <f t="shared" si="43"/>
        <v>0</v>
      </c>
      <c r="CY27" s="228">
        <f t="shared" si="43"/>
        <v>0</v>
      </c>
      <c r="DA27" s="1">
        <f t="shared" si="51"/>
        <v>2025</v>
      </c>
      <c r="DB27" s="228">
        <f t="shared" si="44"/>
        <v>0</v>
      </c>
      <c r="DC27" s="228">
        <f t="shared" si="44"/>
        <v>0</v>
      </c>
      <c r="DD27" s="228">
        <f t="shared" si="44"/>
        <v>11.508333333333329</v>
      </c>
      <c r="DE27" s="228">
        <f t="shared" si="44"/>
        <v>64.599999999999994</v>
      </c>
      <c r="DF27" s="228">
        <f t="shared" si="44"/>
        <v>143.48749999999998</v>
      </c>
      <c r="DG27" s="228">
        <f t="shared" si="44"/>
        <v>364.25833333333333</v>
      </c>
      <c r="DH27" s="228">
        <f t="shared" si="44"/>
        <v>441.57916666666665</v>
      </c>
      <c r="DI27" s="228">
        <f t="shared" si="44"/>
        <v>362.42916666666662</v>
      </c>
      <c r="DJ27" s="228">
        <f t="shared" si="44"/>
        <v>278.96666666666664</v>
      </c>
      <c r="DK27" s="228">
        <f t="shared" si="44"/>
        <v>114.18750000000001</v>
      </c>
      <c r="DL27" s="228">
        <f t="shared" si="44"/>
        <v>0.5458333333333325</v>
      </c>
      <c r="DM27" s="228">
        <f t="shared" si="44"/>
        <v>0</v>
      </c>
      <c r="ED27" s="1" t="s">
        <v>361</v>
      </c>
    </row>
    <row r="28" spans="1:138" x14ac:dyDescent="0.2">
      <c r="A28" s="1">
        <v>2018</v>
      </c>
      <c r="B28" s="1">
        <v>3</v>
      </c>
      <c r="C28" s="220">
        <v>-1.2198924731182792</v>
      </c>
      <c r="D28" s="220">
        <v>657.81666666666672</v>
      </c>
      <c r="E28" s="220">
        <v>0</v>
      </c>
      <c r="F28" s="220">
        <v>595.81666666666683</v>
      </c>
      <c r="G28" s="220">
        <v>0</v>
      </c>
      <c r="H28" s="220">
        <v>533.81666666666672</v>
      </c>
      <c r="I28" s="220">
        <v>0</v>
      </c>
      <c r="J28" s="220">
        <v>471.81666666666666</v>
      </c>
      <c r="K28" s="220">
        <v>0</v>
      </c>
      <c r="L28" s="220">
        <v>409.81666666666661</v>
      </c>
      <c r="M28" s="220">
        <v>0</v>
      </c>
      <c r="N28" s="220">
        <v>347.81666666666661</v>
      </c>
      <c r="O28" s="220">
        <v>0</v>
      </c>
      <c r="P28" s="220">
        <v>285.81666666666655</v>
      </c>
      <c r="Q28" s="220">
        <v>0</v>
      </c>
      <c r="T28" s="224">
        <f t="shared" si="45"/>
        <v>2026</v>
      </c>
      <c r="U28" s="286">
        <f>AVERAGE(U18:U27)</f>
        <v>0</v>
      </c>
      <c r="V28" s="286">
        <f>AVERAGE(V18:V27)</f>
        <v>0</v>
      </c>
      <c r="W28" s="286">
        <f>AVERAGE(W18:W27)</f>
        <v>0</v>
      </c>
      <c r="X28" s="286">
        <f t="shared" ref="X28:AF28" si="52">AVERAGE(X18:X27)</f>
        <v>4.7083333333333498E-2</v>
      </c>
      <c r="Y28" s="286">
        <f t="shared" si="52"/>
        <v>8.7377083333333303</v>
      </c>
      <c r="Z28" s="286">
        <f t="shared" si="52"/>
        <v>31.878125000000001</v>
      </c>
      <c r="AA28" s="286">
        <f t="shared" si="52"/>
        <v>57.11770833333334</v>
      </c>
      <c r="AB28" s="286">
        <f t="shared" si="52"/>
        <v>37.888124999999995</v>
      </c>
      <c r="AC28" s="286">
        <f t="shared" si="52"/>
        <v>10.684374999999998</v>
      </c>
      <c r="AD28" s="286">
        <f t="shared" si="52"/>
        <v>0.66750000000000043</v>
      </c>
      <c r="AE28" s="286">
        <f t="shared" si="52"/>
        <v>0</v>
      </c>
      <c r="AF28" s="286">
        <f t="shared" si="52"/>
        <v>0</v>
      </c>
      <c r="AI28" s="224">
        <f t="shared" si="46"/>
        <v>2026</v>
      </c>
      <c r="AJ28" s="287">
        <f>AVERAGE(AJ18:AJ27)</f>
        <v>0</v>
      </c>
      <c r="AK28" s="287">
        <f>AVERAGE(AK18:AK27)</f>
        <v>0</v>
      </c>
      <c r="AL28" s="287">
        <f>AVERAGE(AL18:AL27)</f>
        <v>0</v>
      </c>
      <c r="AM28" s="287">
        <f t="shared" ref="AM28:AU28" si="53">AVERAGE(AM18:AM27)</f>
        <v>0.48708333333333476</v>
      </c>
      <c r="AN28" s="287">
        <f t="shared" si="53"/>
        <v>18.773333333333333</v>
      </c>
      <c r="AO28" s="287">
        <f t="shared" si="53"/>
        <v>61.682291666666671</v>
      </c>
      <c r="AP28" s="287">
        <f t="shared" si="53"/>
        <v>108.8075</v>
      </c>
      <c r="AQ28" s="287">
        <f t="shared" si="53"/>
        <v>81.624375000000015</v>
      </c>
      <c r="AR28" s="287">
        <f t="shared" si="53"/>
        <v>28.245624999999997</v>
      </c>
      <c r="AS28" s="287">
        <f t="shared" si="53"/>
        <v>3.7379166666666679</v>
      </c>
      <c r="AT28" s="287">
        <f t="shared" si="53"/>
        <v>7.2916666666666435E-2</v>
      </c>
      <c r="AU28" s="287">
        <f t="shared" si="53"/>
        <v>0</v>
      </c>
      <c r="AV28" s="223">
        <f t="shared" si="39"/>
        <v>303.43104166666672</v>
      </c>
      <c r="AW28" s="224">
        <f t="shared" si="47"/>
        <v>2026</v>
      </c>
      <c r="AX28" s="287">
        <f>AVERAGE(AX18:AX27)</f>
        <v>0</v>
      </c>
      <c r="AY28" s="287">
        <f>AVERAGE(AY18:AY27)</f>
        <v>0</v>
      </c>
      <c r="AZ28" s="287">
        <f>AVERAGE(AZ18:AZ27)</f>
        <v>0</v>
      </c>
      <c r="BA28" s="287">
        <f t="shared" ref="BA28:BI28" si="54">AVERAGE(BA18:BA27)</f>
        <v>2.3662500000000017</v>
      </c>
      <c r="BB28" s="287">
        <f t="shared" si="54"/>
        <v>34.979999999999997</v>
      </c>
      <c r="BC28" s="287">
        <f t="shared" si="54"/>
        <v>104.44291666666666</v>
      </c>
      <c r="BD28" s="287">
        <f t="shared" si="54"/>
        <v>169.27145833333336</v>
      </c>
      <c r="BE28" s="287">
        <f t="shared" si="54"/>
        <v>136.48624999999998</v>
      </c>
      <c r="BF28" s="287">
        <f t="shared" si="54"/>
        <v>60.661874999999995</v>
      </c>
      <c r="BG28" s="287">
        <f t="shared" si="54"/>
        <v>11.261250000000006</v>
      </c>
      <c r="BH28" s="287">
        <f t="shared" si="54"/>
        <v>0.668333333333333</v>
      </c>
      <c r="BI28" s="287">
        <f t="shared" si="54"/>
        <v>0</v>
      </c>
      <c r="BK28" s="224">
        <f t="shared" si="48"/>
        <v>2026</v>
      </c>
      <c r="BL28" s="287">
        <f>AVERAGE(BL18:BL27)</f>
        <v>0</v>
      </c>
      <c r="BM28" s="287">
        <f>AVERAGE(BM18:BM27)</f>
        <v>0</v>
      </c>
      <c r="BN28" s="287">
        <f>AVERAGE(BN18:BN27)</f>
        <v>0</v>
      </c>
      <c r="BO28" s="287">
        <f t="shared" ref="BO28:BW28" si="55">AVERAGE(BO18:BO27)</f>
        <v>6.5650000000000031</v>
      </c>
      <c r="BP28" s="287">
        <f t="shared" si="55"/>
        <v>59.300416666666649</v>
      </c>
      <c r="BQ28" s="287">
        <f t="shared" si="55"/>
        <v>157.17000000000002</v>
      </c>
      <c r="BR28" s="287">
        <f t="shared" si="55"/>
        <v>231.27145833333333</v>
      </c>
      <c r="BS28" s="287">
        <f t="shared" si="55"/>
        <v>196.13625000000002</v>
      </c>
      <c r="BT28" s="287">
        <f t="shared" si="55"/>
        <v>104.19854166666664</v>
      </c>
      <c r="BU28" s="287">
        <f t="shared" si="55"/>
        <v>24.703125000000007</v>
      </c>
      <c r="BV28" s="287">
        <f t="shared" si="55"/>
        <v>1.6454166666666665</v>
      </c>
      <c r="BW28" s="287">
        <f t="shared" si="55"/>
        <v>0</v>
      </c>
      <c r="BY28" s="224">
        <f t="shared" si="49"/>
        <v>2026</v>
      </c>
      <c r="BZ28" s="287">
        <f>AVERAGE(BZ18:BZ27)</f>
        <v>0</v>
      </c>
      <c r="CA28" s="287">
        <f>AVERAGE(CA18:CA27)</f>
        <v>0</v>
      </c>
      <c r="CB28" s="287">
        <f>AVERAGE(CB18:CB27)</f>
        <v>0.93041666666666656</v>
      </c>
      <c r="CC28" s="287">
        <f t="shared" ref="CC28:CK28" si="56">AVERAGE(CC18:CC27)</f>
        <v>13.944166666666669</v>
      </c>
      <c r="CD28" s="287">
        <f t="shared" si="56"/>
        <v>93.837916666666644</v>
      </c>
      <c r="CE28" s="287">
        <f t="shared" si="56"/>
        <v>214.81645833333337</v>
      </c>
      <c r="CF28" s="287">
        <f t="shared" si="56"/>
        <v>293.27145833333327</v>
      </c>
      <c r="CG28" s="287">
        <f t="shared" si="56"/>
        <v>257.85749999999996</v>
      </c>
      <c r="CH28" s="287">
        <f t="shared" si="56"/>
        <v>155.75020833333332</v>
      </c>
      <c r="CI28" s="287">
        <f t="shared" si="56"/>
        <v>45.238541666666677</v>
      </c>
      <c r="CJ28" s="287">
        <f t="shared" si="56"/>
        <v>3.6587500000000004</v>
      </c>
      <c r="CK28" s="287">
        <f t="shared" si="56"/>
        <v>0</v>
      </c>
      <c r="CM28" s="224">
        <f t="shared" si="50"/>
        <v>2026</v>
      </c>
      <c r="CN28" s="287">
        <f>AVERAGE(CN18:CN27)</f>
        <v>0</v>
      </c>
      <c r="CO28" s="287">
        <f>AVERAGE(CO18:CO27)</f>
        <v>0.26875000000000016</v>
      </c>
      <c r="CP28" s="287">
        <f>AVERAGE(CP18:CP27)</f>
        <v>2.972083333333333</v>
      </c>
      <c r="CQ28" s="287">
        <f t="shared" ref="CQ28:CY28" si="57">AVERAGE(CQ18:CQ27)</f>
        <v>25.805833333333332</v>
      </c>
      <c r="CR28" s="287">
        <f t="shared" si="57"/>
        <v>136.99916666666667</v>
      </c>
      <c r="CS28" s="287">
        <f t="shared" si="57"/>
        <v>274.16395833333331</v>
      </c>
      <c r="CT28" s="287">
        <f t="shared" si="57"/>
        <v>355.27145833333333</v>
      </c>
      <c r="CU28" s="287">
        <f t="shared" si="57"/>
        <v>319.85749999999996</v>
      </c>
      <c r="CV28" s="287">
        <f t="shared" si="57"/>
        <v>213.20937499999999</v>
      </c>
      <c r="CW28" s="287">
        <f t="shared" si="57"/>
        <v>72.749791666666667</v>
      </c>
      <c r="CX28" s="287">
        <f t="shared" si="57"/>
        <v>8.0850000000000026</v>
      </c>
      <c r="CY28" s="287">
        <f t="shared" si="57"/>
        <v>0.19916666666666655</v>
      </c>
      <c r="DA28" s="224">
        <f t="shared" si="51"/>
        <v>2026</v>
      </c>
      <c r="DB28" s="287">
        <f>AVERAGE(DB18:DB27)</f>
        <v>6.6666666666668206E-3</v>
      </c>
      <c r="DC28" s="287">
        <f>AVERAGE(DC18:DC27)</f>
        <v>1.1835416666666665</v>
      </c>
      <c r="DD28" s="287">
        <f>AVERAGE(DD18:DD27)</f>
        <v>7.84375</v>
      </c>
      <c r="DE28" s="287">
        <f t="shared" ref="DE28:DM28" si="58">AVERAGE(DE18:DE27)</f>
        <v>44.391666666666666</v>
      </c>
      <c r="DF28" s="287">
        <f t="shared" si="58"/>
        <v>188.36041666666662</v>
      </c>
      <c r="DG28" s="287">
        <f t="shared" si="58"/>
        <v>334.12520833333338</v>
      </c>
      <c r="DH28" s="287">
        <f t="shared" si="58"/>
        <v>417.27145833333333</v>
      </c>
      <c r="DI28" s="287">
        <f t="shared" si="58"/>
        <v>381.85750000000002</v>
      </c>
      <c r="DJ28" s="287">
        <f t="shared" si="58"/>
        <v>272.89187500000003</v>
      </c>
      <c r="DK28" s="287">
        <f t="shared" si="58"/>
        <v>108.71645833333336</v>
      </c>
      <c r="DL28" s="287">
        <f t="shared" si="58"/>
        <v>15.472708333333333</v>
      </c>
      <c r="DM28" s="287">
        <f t="shared" si="58"/>
        <v>0.79541666666666655</v>
      </c>
      <c r="ED28" s="1" t="s">
        <v>66</v>
      </c>
      <c r="EE28" s="1">
        <v>46569854.479594603</v>
      </c>
      <c r="EF28" s="1" t="s">
        <v>67</v>
      </c>
      <c r="EG28" s="1">
        <v>7889713.9568650797</v>
      </c>
    </row>
    <row r="29" spans="1:138" x14ac:dyDescent="0.2">
      <c r="A29" s="1">
        <v>2018</v>
      </c>
      <c r="B29" s="1">
        <v>4</v>
      </c>
      <c r="C29" s="220">
        <v>2.6366666666666663</v>
      </c>
      <c r="D29" s="220">
        <v>520.90000000000009</v>
      </c>
      <c r="E29" s="220">
        <v>0</v>
      </c>
      <c r="F29" s="220">
        <v>460.90000000000003</v>
      </c>
      <c r="G29" s="220">
        <v>0</v>
      </c>
      <c r="H29" s="220">
        <v>400.90000000000003</v>
      </c>
      <c r="I29" s="220">
        <v>0</v>
      </c>
      <c r="J29" s="220">
        <v>340.9</v>
      </c>
      <c r="K29" s="220">
        <v>0</v>
      </c>
      <c r="L29" s="220">
        <v>281.00416666666666</v>
      </c>
      <c r="M29" s="220">
        <v>0.10416666666666607</v>
      </c>
      <c r="N29" s="220">
        <v>223.94583333333333</v>
      </c>
      <c r="O29" s="220">
        <v>3.045833333333329</v>
      </c>
      <c r="P29" s="220">
        <v>169.39999999999998</v>
      </c>
      <c r="Q29" s="220">
        <v>8.4999999999999982</v>
      </c>
      <c r="T29" s="224">
        <f t="shared" si="45"/>
        <v>2027</v>
      </c>
      <c r="U29" s="286">
        <f>U28</f>
        <v>0</v>
      </c>
      <c r="V29" s="286">
        <f t="shared" ref="V29:AF29" si="59">V28</f>
        <v>0</v>
      </c>
      <c r="W29" s="286">
        <f t="shared" si="59"/>
        <v>0</v>
      </c>
      <c r="X29" s="286">
        <f t="shared" si="59"/>
        <v>4.7083333333333498E-2</v>
      </c>
      <c r="Y29" s="286">
        <f t="shared" si="59"/>
        <v>8.7377083333333303</v>
      </c>
      <c r="Z29" s="286">
        <f t="shared" si="59"/>
        <v>31.878125000000001</v>
      </c>
      <c r="AA29" s="286">
        <f t="shared" si="59"/>
        <v>57.11770833333334</v>
      </c>
      <c r="AB29" s="286">
        <f t="shared" si="59"/>
        <v>37.888124999999995</v>
      </c>
      <c r="AC29" s="286">
        <f t="shared" si="59"/>
        <v>10.684374999999998</v>
      </c>
      <c r="AD29" s="286">
        <f t="shared" si="59"/>
        <v>0.66750000000000043</v>
      </c>
      <c r="AE29" s="286">
        <f t="shared" si="59"/>
        <v>0</v>
      </c>
      <c r="AF29" s="286">
        <f t="shared" si="59"/>
        <v>0</v>
      </c>
      <c r="AI29" s="224">
        <f t="shared" si="46"/>
        <v>2027</v>
      </c>
      <c r="AJ29" s="287">
        <f>AJ28</f>
        <v>0</v>
      </c>
      <c r="AK29" s="287">
        <f t="shared" ref="AK29:AU29" si="60">AK28</f>
        <v>0</v>
      </c>
      <c r="AL29" s="287">
        <f t="shared" si="60"/>
        <v>0</v>
      </c>
      <c r="AM29" s="287">
        <f t="shared" si="60"/>
        <v>0.48708333333333476</v>
      </c>
      <c r="AN29" s="287">
        <f t="shared" si="60"/>
        <v>18.773333333333333</v>
      </c>
      <c r="AO29" s="287">
        <f t="shared" si="60"/>
        <v>61.682291666666671</v>
      </c>
      <c r="AP29" s="287">
        <f t="shared" si="60"/>
        <v>108.8075</v>
      </c>
      <c r="AQ29" s="287">
        <f t="shared" si="60"/>
        <v>81.624375000000015</v>
      </c>
      <c r="AR29" s="287">
        <f t="shared" si="60"/>
        <v>28.245624999999997</v>
      </c>
      <c r="AS29" s="287">
        <f t="shared" si="60"/>
        <v>3.7379166666666679</v>
      </c>
      <c r="AT29" s="287">
        <f t="shared" si="60"/>
        <v>7.2916666666666435E-2</v>
      </c>
      <c r="AU29" s="287">
        <f t="shared" si="60"/>
        <v>0</v>
      </c>
      <c r="AV29" s="223">
        <f t="shared" si="39"/>
        <v>303.43104166666672</v>
      </c>
      <c r="AW29" s="224">
        <f t="shared" si="47"/>
        <v>2027</v>
      </c>
      <c r="AX29" s="287">
        <f>AX28</f>
        <v>0</v>
      </c>
      <c r="AY29" s="287">
        <f t="shared" ref="AY29:BI29" si="61">AY28</f>
        <v>0</v>
      </c>
      <c r="AZ29" s="287">
        <f t="shared" si="61"/>
        <v>0</v>
      </c>
      <c r="BA29" s="287">
        <f t="shared" si="61"/>
        <v>2.3662500000000017</v>
      </c>
      <c r="BB29" s="287">
        <f t="shared" si="61"/>
        <v>34.979999999999997</v>
      </c>
      <c r="BC29" s="287">
        <f t="shared" si="61"/>
        <v>104.44291666666666</v>
      </c>
      <c r="BD29" s="287">
        <f t="shared" si="61"/>
        <v>169.27145833333336</v>
      </c>
      <c r="BE29" s="287">
        <f t="shared" si="61"/>
        <v>136.48624999999998</v>
      </c>
      <c r="BF29" s="287">
        <f t="shared" si="61"/>
        <v>60.661874999999995</v>
      </c>
      <c r="BG29" s="287">
        <f t="shared" si="61"/>
        <v>11.261250000000006</v>
      </c>
      <c r="BH29" s="287">
        <f t="shared" si="61"/>
        <v>0.668333333333333</v>
      </c>
      <c r="BI29" s="287">
        <f t="shared" si="61"/>
        <v>0</v>
      </c>
      <c r="BK29" s="224">
        <f t="shared" si="48"/>
        <v>2027</v>
      </c>
      <c r="BL29" s="287">
        <f>BL28</f>
        <v>0</v>
      </c>
      <c r="BM29" s="287">
        <f t="shared" ref="BM29:BW29" si="62">BM28</f>
        <v>0</v>
      </c>
      <c r="BN29" s="287">
        <f t="shared" si="62"/>
        <v>0</v>
      </c>
      <c r="BO29" s="287">
        <f t="shared" si="62"/>
        <v>6.5650000000000031</v>
      </c>
      <c r="BP29" s="287">
        <f t="shared" si="62"/>
        <v>59.300416666666649</v>
      </c>
      <c r="BQ29" s="287">
        <f t="shared" si="62"/>
        <v>157.17000000000002</v>
      </c>
      <c r="BR29" s="287">
        <f t="shared" si="62"/>
        <v>231.27145833333333</v>
      </c>
      <c r="BS29" s="287">
        <f t="shared" si="62"/>
        <v>196.13625000000002</v>
      </c>
      <c r="BT29" s="287">
        <f t="shared" si="62"/>
        <v>104.19854166666664</v>
      </c>
      <c r="BU29" s="287">
        <f t="shared" si="62"/>
        <v>24.703125000000007</v>
      </c>
      <c r="BV29" s="287">
        <f t="shared" si="62"/>
        <v>1.6454166666666665</v>
      </c>
      <c r="BW29" s="287">
        <f t="shared" si="62"/>
        <v>0</v>
      </c>
      <c r="BY29" s="224">
        <f t="shared" si="49"/>
        <v>2027</v>
      </c>
      <c r="BZ29" s="287">
        <f>BZ28</f>
        <v>0</v>
      </c>
      <c r="CA29" s="287">
        <f t="shared" ref="CA29:CK29" si="63">CA28</f>
        <v>0</v>
      </c>
      <c r="CB29" s="287">
        <f t="shared" si="63"/>
        <v>0.93041666666666656</v>
      </c>
      <c r="CC29" s="287">
        <f t="shared" si="63"/>
        <v>13.944166666666669</v>
      </c>
      <c r="CD29" s="287">
        <f t="shared" si="63"/>
        <v>93.837916666666644</v>
      </c>
      <c r="CE29" s="287">
        <f t="shared" si="63"/>
        <v>214.81645833333337</v>
      </c>
      <c r="CF29" s="287">
        <f t="shared" si="63"/>
        <v>293.27145833333327</v>
      </c>
      <c r="CG29" s="287">
        <f t="shared" si="63"/>
        <v>257.85749999999996</v>
      </c>
      <c r="CH29" s="287">
        <f t="shared" si="63"/>
        <v>155.75020833333332</v>
      </c>
      <c r="CI29" s="287">
        <f t="shared" si="63"/>
        <v>45.238541666666677</v>
      </c>
      <c r="CJ29" s="287">
        <f t="shared" si="63"/>
        <v>3.6587500000000004</v>
      </c>
      <c r="CK29" s="287">
        <f t="shared" si="63"/>
        <v>0</v>
      </c>
      <c r="CM29" s="224">
        <f t="shared" si="50"/>
        <v>2027</v>
      </c>
      <c r="CN29" s="287">
        <f>CN28</f>
        <v>0</v>
      </c>
      <c r="CO29" s="287">
        <f t="shared" ref="CO29:CY29" si="64">CO28</f>
        <v>0.26875000000000016</v>
      </c>
      <c r="CP29" s="287">
        <f t="shared" si="64"/>
        <v>2.972083333333333</v>
      </c>
      <c r="CQ29" s="287">
        <f t="shared" si="64"/>
        <v>25.805833333333332</v>
      </c>
      <c r="CR29" s="287">
        <f t="shared" si="64"/>
        <v>136.99916666666667</v>
      </c>
      <c r="CS29" s="287">
        <f t="shared" si="64"/>
        <v>274.16395833333331</v>
      </c>
      <c r="CT29" s="287">
        <f t="shared" si="64"/>
        <v>355.27145833333333</v>
      </c>
      <c r="CU29" s="287">
        <f t="shared" si="64"/>
        <v>319.85749999999996</v>
      </c>
      <c r="CV29" s="287">
        <f t="shared" si="64"/>
        <v>213.20937499999999</v>
      </c>
      <c r="CW29" s="287">
        <f t="shared" si="64"/>
        <v>72.749791666666667</v>
      </c>
      <c r="CX29" s="287">
        <f t="shared" si="64"/>
        <v>8.0850000000000026</v>
      </c>
      <c r="CY29" s="287">
        <f t="shared" si="64"/>
        <v>0.19916666666666655</v>
      </c>
      <c r="DA29" s="224">
        <f t="shared" si="51"/>
        <v>2027</v>
      </c>
      <c r="DB29" s="287">
        <f>DB28</f>
        <v>6.6666666666668206E-3</v>
      </c>
      <c r="DC29" s="287">
        <f t="shared" ref="DC29:DM29" si="65">DC28</f>
        <v>1.1835416666666665</v>
      </c>
      <c r="DD29" s="287">
        <f t="shared" si="65"/>
        <v>7.84375</v>
      </c>
      <c r="DE29" s="287">
        <f t="shared" si="65"/>
        <v>44.391666666666666</v>
      </c>
      <c r="DF29" s="287">
        <f t="shared" si="65"/>
        <v>188.36041666666662</v>
      </c>
      <c r="DG29" s="287">
        <f t="shared" si="65"/>
        <v>334.12520833333338</v>
      </c>
      <c r="DH29" s="287">
        <f t="shared" si="65"/>
        <v>417.27145833333333</v>
      </c>
      <c r="DI29" s="287">
        <f t="shared" si="65"/>
        <v>381.85750000000002</v>
      </c>
      <c r="DJ29" s="287">
        <f t="shared" si="65"/>
        <v>272.89187500000003</v>
      </c>
      <c r="DK29" s="287">
        <f t="shared" si="65"/>
        <v>108.71645833333336</v>
      </c>
      <c r="DL29" s="287">
        <f t="shared" si="65"/>
        <v>15.472708333333333</v>
      </c>
      <c r="DM29" s="287">
        <f t="shared" si="65"/>
        <v>0.79541666666666655</v>
      </c>
    </row>
    <row r="30" spans="1:138" x14ac:dyDescent="0.2">
      <c r="A30" s="1">
        <v>2018</v>
      </c>
      <c r="B30" s="1">
        <v>5</v>
      </c>
      <c r="C30" s="220">
        <v>16.961424731182795</v>
      </c>
      <c r="D30" s="220">
        <v>117.82500000000002</v>
      </c>
      <c r="E30" s="220">
        <v>23.62916666666667</v>
      </c>
      <c r="F30" s="220">
        <v>73.595833333333331</v>
      </c>
      <c r="G30" s="220">
        <v>41.399999999999991</v>
      </c>
      <c r="H30" s="220">
        <v>36.74583333333333</v>
      </c>
      <c r="I30" s="220">
        <v>66.55</v>
      </c>
      <c r="J30" s="220">
        <v>15.375000000000002</v>
      </c>
      <c r="K30" s="220">
        <v>107.17916666666667</v>
      </c>
      <c r="L30" s="220">
        <v>8.4958333333333336</v>
      </c>
      <c r="M30" s="220">
        <v>162.29999999999998</v>
      </c>
      <c r="N30" s="220">
        <v>4.4958333333333345</v>
      </c>
      <c r="O30" s="220">
        <v>220.29999999999998</v>
      </c>
      <c r="P30" s="220">
        <v>1.8166666666666655</v>
      </c>
      <c r="Q30" s="220">
        <v>279.62083333333328</v>
      </c>
    </row>
    <row r="31" spans="1:138" x14ac:dyDescent="0.2">
      <c r="A31" s="1">
        <v>2018</v>
      </c>
      <c r="B31" s="1">
        <v>6</v>
      </c>
      <c r="C31" s="220">
        <v>19.014722222222222</v>
      </c>
      <c r="D31" s="220">
        <v>55.550000000000011</v>
      </c>
      <c r="E31" s="220">
        <v>25.991666666666664</v>
      </c>
      <c r="F31" s="220">
        <v>21.091666666666665</v>
      </c>
      <c r="G31" s="220">
        <v>51.533333333333331</v>
      </c>
      <c r="H31" s="220">
        <v>8.9958333333333336</v>
      </c>
      <c r="I31" s="220">
        <v>99.4375</v>
      </c>
      <c r="J31" s="220">
        <v>4.6208333333333336</v>
      </c>
      <c r="K31" s="220">
        <v>155.0625</v>
      </c>
      <c r="L31" s="220">
        <v>0.82500000000000107</v>
      </c>
      <c r="M31" s="220">
        <v>211.26666666666671</v>
      </c>
      <c r="N31" s="220">
        <v>0</v>
      </c>
      <c r="O31" s="220">
        <v>270.44166666666672</v>
      </c>
      <c r="P31" s="220">
        <v>0</v>
      </c>
      <c r="Q31" s="220">
        <v>330.44166666666672</v>
      </c>
      <c r="AV31" s="223"/>
    </row>
    <row r="32" spans="1:138" x14ac:dyDescent="0.2">
      <c r="A32" s="1">
        <v>2018</v>
      </c>
      <c r="B32" s="1">
        <v>7</v>
      </c>
      <c r="C32" s="220">
        <v>21.252083333333331</v>
      </c>
      <c r="D32" s="220">
        <v>15.339583333333312</v>
      </c>
      <c r="E32" s="220">
        <v>54.154166666666647</v>
      </c>
      <c r="F32" s="220">
        <v>0.97083333333332433</v>
      </c>
      <c r="G32" s="220">
        <v>101.78541666666666</v>
      </c>
      <c r="H32" s="220">
        <v>0</v>
      </c>
      <c r="I32" s="220">
        <v>162.81458333333336</v>
      </c>
      <c r="J32" s="220">
        <v>0</v>
      </c>
      <c r="K32" s="220">
        <v>224.81458333333336</v>
      </c>
      <c r="L32" s="220">
        <v>0</v>
      </c>
      <c r="M32" s="220">
        <v>286.8145833333333</v>
      </c>
      <c r="N32" s="220">
        <v>0</v>
      </c>
      <c r="O32" s="220">
        <v>348.81458333333325</v>
      </c>
      <c r="P32" s="220">
        <v>0</v>
      </c>
      <c r="Q32" s="220">
        <v>410.81458333333325</v>
      </c>
      <c r="T32" s="1"/>
      <c r="X32" s="288" t="s">
        <v>88</v>
      </c>
      <c r="AM32" s="288" t="s">
        <v>88</v>
      </c>
      <c r="AR32" s="288"/>
      <c r="BA32" s="288" t="s">
        <v>88</v>
      </c>
      <c r="BF32" s="288"/>
      <c r="BO32" s="288" t="s">
        <v>88</v>
      </c>
      <c r="BT32" s="288"/>
      <c r="CC32" s="288" t="s">
        <v>88</v>
      </c>
      <c r="CH32" s="288"/>
      <c r="CQ32" s="288" t="s">
        <v>88</v>
      </c>
      <c r="CV32" s="288"/>
      <c r="DE32" s="288" t="s">
        <v>88</v>
      </c>
      <c r="ED32" s="1" t="s">
        <v>397</v>
      </c>
    </row>
    <row r="33" spans="1:138" x14ac:dyDescent="0.2">
      <c r="A33" s="1">
        <v>2018</v>
      </c>
      <c r="B33" s="1">
        <v>8</v>
      </c>
      <c r="C33" s="220">
        <v>21.448655913978495</v>
      </c>
      <c r="D33" s="220">
        <v>9.9416666666666771</v>
      </c>
      <c r="E33" s="220">
        <v>54.84999999999998</v>
      </c>
      <c r="F33" s="220">
        <v>1.7291666666666643</v>
      </c>
      <c r="G33" s="220">
        <v>108.63749999999997</v>
      </c>
      <c r="H33" s="220">
        <v>0</v>
      </c>
      <c r="I33" s="220">
        <v>168.90833333333333</v>
      </c>
      <c r="J33" s="220">
        <v>0</v>
      </c>
      <c r="K33" s="220">
        <v>230.90833333333327</v>
      </c>
      <c r="L33" s="220">
        <v>0</v>
      </c>
      <c r="M33" s="220">
        <v>292.90833333333325</v>
      </c>
      <c r="N33" s="220">
        <v>0</v>
      </c>
      <c r="O33" s="220">
        <v>354.90833333333336</v>
      </c>
      <c r="P33" s="220">
        <v>0</v>
      </c>
      <c r="Q33" s="220">
        <v>416.90833333333336</v>
      </c>
      <c r="T33" s="1"/>
      <c r="U33" s="220"/>
      <c r="Z33" s="227" t="str">
        <f>T3</f>
        <v>HDD20</v>
      </c>
      <c r="AA33" s="227" t="str">
        <f>T17</f>
        <v>CDD20</v>
      </c>
      <c r="AO33" s="227" t="s">
        <v>26</v>
      </c>
      <c r="AP33" s="227" t="s">
        <v>27</v>
      </c>
      <c r="BC33" s="227" t="str">
        <f>AW3</f>
        <v>HDD16</v>
      </c>
      <c r="BD33" s="227" t="str">
        <f>AW17</f>
        <v>CDD16</v>
      </c>
      <c r="BQ33" s="227" t="str">
        <f>BK3</f>
        <v>HDD14</v>
      </c>
      <c r="BR33" s="227" t="str">
        <f>BK17</f>
        <v>CDD14</v>
      </c>
      <c r="CE33" s="227" t="str">
        <f>BY3</f>
        <v>HDD12</v>
      </c>
      <c r="CF33" s="227" t="str">
        <f>BY17</f>
        <v>CDD12</v>
      </c>
      <c r="CS33" s="227" t="str">
        <f>CM3</f>
        <v>HDD10</v>
      </c>
      <c r="CT33" s="227" t="str">
        <f>CM17</f>
        <v>CDD10</v>
      </c>
      <c r="DG33" s="227" t="str">
        <f>DA3</f>
        <v>HDD8</v>
      </c>
      <c r="DH33" s="227" t="str">
        <f>DA17</f>
        <v>CDD8</v>
      </c>
      <c r="DJ33" s="220"/>
      <c r="DK33" s="220"/>
      <c r="DL33" s="220"/>
      <c r="DM33" s="220"/>
      <c r="ED33" s="1" t="s">
        <v>179</v>
      </c>
    </row>
    <row r="34" spans="1:138" x14ac:dyDescent="0.2">
      <c r="A34" s="1">
        <v>2018</v>
      </c>
      <c r="B34" s="1">
        <v>9</v>
      </c>
      <c r="C34" s="220">
        <v>17.676111111111116</v>
      </c>
      <c r="D34" s="220">
        <v>101.08749999999999</v>
      </c>
      <c r="E34" s="220">
        <v>31.370833333333323</v>
      </c>
      <c r="F34" s="220">
        <v>67.079166666666666</v>
      </c>
      <c r="G34" s="220">
        <v>57.362499999999997</v>
      </c>
      <c r="H34" s="220">
        <v>39.587500000000006</v>
      </c>
      <c r="I34" s="220">
        <v>89.870833333333323</v>
      </c>
      <c r="J34" s="220">
        <v>20.0625</v>
      </c>
      <c r="K34" s="220">
        <v>130.34583333333333</v>
      </c>
      <c r="L34" s="220">
        <v>5.2124999999999968</v>
      </c>
      <c r="M34" s="220">
        <v>175.49583333333331</v>
      </c>
      <c r="N34" s="220">
        <v>1.2500000000001066E-2</v>
      </c>
      <c r="O34" s="220">
        <v>230.29583333333332</v>
      </c>
      <c r="P34" s="220">
        <v>0</v>
      </c>
      <c r="Q34" s="220">
        <v>290.28333333333336</v>
      </c>
      <c r="T34" s="1"/>
      <c r="X34" s="1" t="s">
        <v>422</v>
      </c>
      <c r="Y34" s="1" t="s">
        <v>89</v>
      </c>
      <c r="Z34" s="228">
        <f t="shared" ref="Z34:Z45" ca="1" si="66">OFFSET(U$15,0,(ROW()-ROW(Z$34)))</f>
        <v>752.30416666666667</v>
      </c>
      <c r="AA34" s="228">
        <f t="shared" ref="AA34:AA45" ca="1" si="67">OFFSET(U$29,0,(ROW()-ROW(AA$34)))</f>
        <v>0</v>
      </c>
      <c r="AM34" s="1" t="s">
        <v>422</v>
      </c>
      <c r="AN34" s="1" t="s">
        <v>89</v>
      </c>
      <c r="AO34" s="228">
        <f t="shared" ref="AO34:AO45" ca="1" si="68">OFFSET($AJ$15,0,(ROW()-ROW(AO$34)))</f>
        <v>683.09489583333334</v>
      </c>
      <c r="AP34" s="228">
        <f t="shared" ref="AP34:AP45" ca="1" si="69">OFFSET($AJ$29,0,(ROW()-ROW(AP$34)))</f>
        <v>0</v>
      </c>
      <c r="AT34" s="228"/>
      <c r="AU34" s="228"/>
      <c r="BA34" s="1" t="s">
        <v>422</v>
      </c>
      <c r="BB34" s="1" t="s">
        <v>89</v>
      </c>
      <c r="BC34" s="228">
        <f t="shared" ref="BC34:BC45" ca="1" si="70">OFFSET(AX$15,0,(ROW()-ROW(BC$34)))</f>
        <v>628.30416666666667</v>
      </c>
      <c r="BD34" s="228">
        <f t="shared" ref="BD34:BD45" ca="1" si="71">OFFSET(AX$29,0,(ROW()-ROW(BD$34)))</f>
        <v>0</v>
      </c>
      <c r="BH34" s="228"/>
      <c r="BI34" s="228"/>
      <c r="BO34" s="1" t="s">
        <v>422</v>
      </c>
      <c r="BP34" s="1" t="s">
        <v>89</v>
      </c>
      <c r="BQ34" s="228">
        <f t="shared" ref="BQ34:BQ45" ca="1" si="72">OFFSET(BL$15,0,(ROW()-ROW(BQ$34)))</f>
        <v>566.30416666666667</v>
      </c>
      <c r="BR34" s="228">
        <f t="shared" ref="BR34:BR45" ca="1" si="73">OFFSET(BL$29,0,(ROW()-ROW(BR$34)))</f>
        <v>0</v>
      </c>
      <c r="BV34" s="228"/>
      <c r="BW34" s="228"/>
      <c r="CC34" s="1" t="s">
        <v>422</v>
      </c>
      <c r="CD34" s="1" t="s">
        <v>89</v>
      </c>
      <c r="CE34" s="228">
        <f t="shared" ref="CE34:CE45" ca="1" si="74">OFFSET(BZ$15,0,(ROW()-ROW(CE$34)))</f>
        <v>504.30416666666662</v>
      </c>
      <c r="CF34" s="228">
        <f t="shared" ref="CF34:CF45" ca="1" si="75">OFFSET(BZ$29,0,(ROW()-ROW(CF$34)))</f>
        <v>0</v>
      </c>
      <c r="CJ34" s="228"/>
      <c r="CK34" s="228"/>
      <c r="CQ34" s="1" t="s">
        <v>422</v>
      </c>
      <c r="CR34" s="1" t="s">
        <v>89</v>
      </c>
      <c r="CS34" s="228">
        <f t="shared" ref="CS34:CS45" ca="1" si="76">OFFSET(CN$15,0,(ROW()-ROW(CS$34)))</f>
        <v>442.30416666666662</v>
      </c>
      <c r="CT34" s="228">
        <f t="shared" ref="CT34:CT45" ca="1" si="77">OFFSET(CN$29,0,(ROW()-ROW(CT$34)))</f>
        <v>0</v>
      </c>
      <c r="CX34" s="228"/>
      <c r="CY34" s="228"/>
      <c r="DE34" s="1" t="s">
        <v>422</v>
      </c>
      <c r="DF34" s="1" t="s">
        <v>89</v>
      </c>
      <c r="DG34" s="228">
        <f t="shared" ref="DG34:DG45" ca="1" si="78">OFFSET(DB$15,0,(ROW()-ROW(DG$34)))</f>
        <v>380.31083333333333</v>
      </c>
      <c r="DH34" s="228">
        <f t="shared" ref="DH34:DH45" ca="1" si="79">OFFSET(DB$29,0,(ROW()-ROW(DH$34)))</f>
        <v>6.6666666666668206E-3</v>
      </c>
      <c r="ED34" s="1" t="s">
        <v>398</v>
      </c>
    </row>
    <row r="35" spans="1:138" x14ac:dyDescent="0.2">
      <c r="A35" s="1">
        <v>2018</v>
      </c>
      <c r="B35" s="1">
        <v>10</v>
      </c>
      <c r="C35" s="220">
        <v>8.8767473118279572</v>
      </c>
      <c r="D35" s="220">
        <v>348</v>
      </c>
      <c r="E35" s="220">
        <v>3.1791666666666707</v>
      </c>
      <c r="F35" s="220">
        <v>290</v>
      </c>
      <c r="G35" s="220">
        <v>7.1791666666666707</v>
      </c>
      <c r="H35" s="220">
        <v>233.96249999999998</v>
      </c>
      <c r="I35" s="220">
        <v>13.141666666666676</v>
      </c>
      <c r="J35" s="220">
        <v>181.64999999999998</v>
      </c>
      <c r="K35" s="220">
        <v>22.829166666666666</v>
      </c>
      <c r="L35" s="220">
        <v>137.12499999999994</v>
      </c>
      <c r="M35" s="220">
        <v>40.30416666666666</v>
      </c>
      <c r="N35" s="220">
        <v>93.125</v>
      </c>
      <c r="O35" s="220">
        <v>58.304166666666667</v>
      </c>
      <c r="P35" s="220">
        <v>52.849999999999994</v>
      </c>
      <c r="Q35" s="220">
        <v>80.029166666666683</v>
      </c>
      <c r="T35" s="1"/>
      <c r="X35" s="1" t="s">
        <v>422</v>
      </c>
      <c r="Y35" s="1" t="s">
        <v>90</v>
      </c>
      <c r="Z35" s="228">
        <f t="shared" ca="1" si="66"/>
        <v>653.34541666666678</v>
      </c>
      <c r="AA35" s="228">
        <f t="shared" ca="1" si="67"/>
        <v>0</v>
      </c>
      <c r="AM35" s="1" t="s">
        <v>422</v>
      </c>
      <c r="AN35" s="1" t="s">
        <v>90</v>
      </c>
      <c r="AO35" s="228">
        <f t="shared" ca="1" si="68"/>
        <v>589.85491666666678</v>
      </c>
      <c r="AP35" s="228">
        <f t="shared" ca="1" si="69"/>
        <v>0</v>
      </c>
      <c r="AT35" s="228"/>
      <c r="AU35" s="228"/>
      <c r="BA35" s="1" t="s">
        <v>422</v>
      </c>
      <c r="BB35" s="1" t="s">
        <v>90</v>
      </c>
      <c r="BC35" s="228">
        <f t="shared" ca="1" si="70"/>
        <v>540.14541666666662</v>
      </c>
      <c r="BD35" s="228">
        <f t="shared" ca="1" si="71"/>
        <v>0</v>
      </c>
      <c r="BH35" s="228"/>
      <c r="BI35" s="228"/>
      <c r="BO35" s="1" t="s">
        <v>422</v>
      </c>
      <c r="BP35" s="1" t="s">
        <v>90</v>
      </c>
      <c r="BQ35" s="228">
        <f t="shared" ca="1" si="72"/>
        <v>483.54541666666665</v>
      </c>
      <c r="BR35" s="228">
        <f t="shared" ca="1" si="73"/>
        <v>0</v>
      </c>
      <c r="BV35" s="228"/>
      <c r="BW35" s="228"/>
      <c r="CC35" s="1" t="s">
        <v>422</v>
      </c>
      <c r="CD35" s="1" t="s">
        <v>90</v>
      </c>
      <c r="CE35" s="228">
        <f t="shared" ca="1" si="74"/>
        <v>426.94541666666663</v>
      </c>
      <c r="CF35" s="228">
        <f t="shared" ca="1" si="75"/>
        <v>0</v>
      </c>
      <c r="CJ35" s="228"/>
      <c r="CK35" s="228"/>
      <c r="CQ35" s="1" t="s">
        <v>422</v>
      </c>
      <c r="CR35" s="1" t="s">
        <v>90</v>
      </c>
      <c r="CS35" s="228">
        <f t="shared" ca="1" si="76"/>
        <v>370.61416666666662</v>
      </c>
      <c r="CT35" s="228">
        <f t="shared" ca="1" si="77"/>
        <v>0.26875000000000016</v>
      </c>
      <c r="CX35" s="228"/>
      <c r="CY35" s="228"/>
      <c r="DE35" s="1" t="s">
        <v>422</v>
      </c>
      <c r="DF35" s="1" t="s">
        <v>90</v>
      </c>
      <c r="DG35" s="228">
        <f t="shared" ca="1" si="78"/>
        <v>314.9289583333333</v>
      </c>
      <c r="DH35" s="228">
        <f t="shared" ca="1" si="79"/>
        <v>1.1835416666666665</v>
      </c>
    </row>
    <row r="36" spans="1:138" x14ac:dyDescent="0.2">
      <c r="A36" s="1">
        <v>2018</v>
      </c>
      <c r="B36" s="1">
        <v>11</v>
      </c>
      <c r="C36" s="220">
        <v>0.71916666666666595</v>
      </c>
      <c r="D36" s="220">
        <v>578.42499999999995</v>
      </c>
      <c r="E36" s="220">
        <v>0</v>
      </c>
      <c r="F36" s="220">
        <v>518.42500000000007</v>
      </c>
      <c r="G36" s="220">
        <v>0</v>
      </c>
      <c r="H36" s="220">
        <v>458.42500000000001</v>
      </c>
      <c r="I36" s="220">
        <v>0</v>
      </c>
      <c r="J36" s="220">
        <v>398.42499999999995</v>
      </c>
      <c r="K36" s="220">
        <v>0</v>
      </c>
      <c r="L36" s="220">
        <v>338.42500000000007</v>
      </c>
      <c r="M36" s="220">
        <v>0</v>
      </c>
      <c r="N36" s="220">
        <v>278.42500000000001</v>
      </c>
      <c r="O36" s="220">
        <v>0</v>
      </c>
      <c r="P36" s="220">
        <v>220.35416666666669</v>
      </c>
      <c r="Q36" s="220">
        <v>1.9291666666666654</v>
      </c>
      <c r="X36" s="1" t="s">
        <v>422</v>
      </c>
      <c r="Y36" s="1" t="s">
        <v>91</v>
      </c>
      <c r="Z36" s="228">
        <f t="shared" ca="1" si="66"/>
        <v>579.96333333333337</v>
      </c>
      <c r="AA36" s="228">
        <f t="shared" ca="1" si="67"/>
        <v>0</v>
      </c>
      <c r="AM36" s="1" t="s">
        <v>422</v>
      </c>
      <c r="AN36" s="1" t="s">
        <v>91</v>
      </c>
      <c r="AO36" s="228">
        <f t="shared" ca="1" si="68"/>
        <v>522.20004166666672</v>
      </c>
      <c r="AP36" s="228">
        <f t="shared" ca="1" si="69"/>
        <v>0</v>
      </c>
      <c r="AT36" s="228"/>
      <c r="AU36" s="228"/>
      <c r="BA36" s="1" t="s">
        <v>422</v>
      </c>
      <c r="BB36" s="1" t="s">
        <v>91</v>
      </c>
      <c r="BC36" s="228">
        <f t="shared" ca="1" si="70"/>
        <v>455.96333333333331</v>
      </c>
      <c r="BD36" s="228">
        <f t="shared" ca="1" si="71"/>
        <v>0</v>
      </c>
      <c r="BH36" s="228"/>
      <c r="BI36" s="228"/>
      <c r="BO36" s="1" t="s">
        <v>422</v>
      </c>
      <c r="BP36" s="1" t="s">
        <v>91</v>
      </c>
      <c r="BQ36" s="228">
        <f t="shared" ca="1" si="72"/>
        <v>393.96333333333331</v>
      </c>
      <c r="BR36" s="228">
        <f t="shared" ca="1" si="73"/>
        <v>0</v>
      </c>
      <c r="BV36" s="228"/>
      <c r="BW36" s="228"/>
      <c r="CC36" s="1" t="s">
        <v>422</v>
      </c>
      <c r="CD36" s="1" t="s">
        <v>91</v>
      </c>
      <c r="CE36" s="228">
        <f t="shared" ca="1" si="74"/>
        <v>332.89375000000001</v>
      </c>
      <c r="CF36" s="228">
        <f t="shared" ca="1" si="75"/>
        <v>0.93041666666666656</v>
      </c>
      <c r="CJ36" s="228"/>
      <c r="CK36" s="228"/>
      <c r="CQ36" s="1" t="s">
        <v>422</v>
      </c>
      <c r="CR36" s="1" t="s">
        <v>91</v>
      </c>
      <c r="CS36" s="228">
        <f t="shared" ca="1" si="76"/>
        <v>272.9354166666667</v>
      </c>
      <c r="CT36" s="228">
        <f t="shared" ca="1" si="77"/>
        <v>2.972083333333333</v>
      </c>
      <c r="CX36" s="228"/>
      <c r="CY36" s="228"/>
      <c r="DE36" s="1" t="s">
        <v>422</v>
      </c>
      <c r="DF36" s="1" t="s">
        <v>91</v>
      </c>
      <c r="DG36" s="228">
        <f t="shared" ca="1" si="78"/>
        <v>215.80708333333331</v>
      </c>
      <c r="DH36" s="228">
        <f t="shared" ca="1" si="79"/>
        <v>7.84375</v>
      </c>
      <c r="EE36" s="1" t="s">
        <v>61</v>
      </c>
      <c r="EF36" s="1" t="s">
        <v>62</v>
      </c>
      <c r="EG36" s="1" t="s">
        <v>63</v>
      </c>
      <c r="EH36" s="1" t="s">
        <v>64</v>
      </c>
    </row>
    <row r="37" spans="1:138" x14ac:dyDescent="0.2">
      <c r="A37" s="1">
        <v>2018</v>
      </c>
      <c r="B37" s="1">
        <v>12</v>
      </c>
      <c r="C37" s="220">
        <v>-0.49905913978494637</v>
      </c>
      <c r="D37" s="220">
        <v>635.4708333333333</v>
      </c>
      <c r="E37" s="220">
        <v>0</v>
      </c>
      <c r="F37" s="220">
        <v>573.47083333333342</v>
      </c>
      <c r="G37" s="220">
        <v>0</v>
      </c>
      <c r="H37" s="220">
        <v>511.4708333333333</v>
      </c>
      <c r="I37" s="220">
        <v>0</v>
      </c>
      <c r="J37" s="220">
        <v>449.47083333333325</v>
      </c>
      <c r="K37" s="220">
        <v>0</v>
      </c>
      <c r="L37" s="220">
        <v>387.4708333333333</v>
      </c>
      <c r="M37" s="220">
        <v>0</v>
      </c>
      <c r="N37" s="220">
        <v>325.4708333333333</v>
      </c>
      <c r="O37" s="220">
        <v>0</v>
      </c>
      <c r="P37" s="220">
        <v>263.4708333333333</v>
      </c>
      <c r="Q37" s="220">
        <v>0</v>
      </c>
      <c r="X37" s="1" t="s">
        <v>422</v>
      </c>
      <c r="Y37" s="1" t="s">
        <v>92</v>
      </c>
      <c r="Z37" s="228">
        <f t="shared" ca="1" si="66"/>
        <v>400.08354166666663</v>
      </c>
      <c r="AA37" s="228">
        <f t="shared" ca="1" si="67"/>
        <v>4.7083333333333498E-2</v>
      </c>
      <c r="AM37" s="1" t="s">
        <v>422</v>
      </c>
      <c r="AN37" s="1" t="s">
        <v>92</v>
      </c>
      <c r="AO37" s="228">
        <f t="shared" ca="1" si="68"/>
        <v>343.18302083333327</v>
      </c>
      <c r="AP37" s="228">
        <f t="shared" ca="1" si="69"/>
        <v>0.48708333333333476</v>
      </c>
      <c r="AT37" s="228"/>
      <c r="AU37" s="228"/>
      <c r="BA37" s="1" t="s">
        <v>422</v>
      </c>
      <c r="BB37" s="1" t="s">
        <v>92</v>
      </c>
      <c r="BC37" s="228">
        <f t="shared" ca="1" si="70"/>
        <v>282.40270833333324</v>
      </c>
      <c r="BD37" s="228">
        <f t="shared" ca="1" si="71"/>
        <v>2.3662500000000017</v>
      </c>
      <c r="BH37" s="228"/>
      <c r="BI37" s="228"/>
      <c r="BO37" s="1" t="s">
        <v>422</v>
      </c>
      <c r="BP37" s="1" t="s">
        <v>92</v>
      </c>
      <c r="BQ37" s="228">
        <f t="shared" ca="1" si="72"/>
        <v>226.60145833333337</v>
      </c>
      <c r="BR37" s="228">
        <f t="shared" ca="1" si="73"/>
        <v>6.5650000000000031</v>
      </c>
      <c r="BV37" s="228"/>
      <c r="BW37" s="228"/>
      <c r="CC37" s="1" t="s">
        <v>422</v>
      </c>
      <c r="CD37" s="1" t="s">
        <v>92</v>
      </c>
      <c r="CE37" s="228">
        <f t="shared" ca="1" si="74"/>
        <v>173.98062499999997</v>
      </c>
      <c r="CF37" s="228">
        <f t="shared" ca="1" si="75"/>
        <v>13.944166666666669</v>
      </c>
      <c r="CJ37" s="228"/>
      <c r="CK37" s="228"/>
      <c r="CQ37" s="1" t="s">
        <v>422</v>
      </c>
      <c r="CR37" s="1" t="s">
        <v>92</v>
      </c>
      <c r="CS37" s="228">
        <f t="shared" ca="1" si="76"/>
        <v>125.84229166666667</v>
      </c>
      <c r="CT37" s="228">
        <f t="shared" ca="1" si="77"/>
        <v>25.805833333333332</v>
      </c>
      <c r="CX37" s="228"/>
      <c r="CY37" s="228"/>
      <c r="DE37" s="1" t="s">
        <v>422</v>
      </c>
      <c r="DF37" s="1" t="s">
        <v>92</v>
      </c>
      <c r="DG37" s="228">
        <f t="shared" ca="1" si="78"/>
        <v>84.428125000000009</v>
      </c>
      <c r="DH37" s="228">
        <f t="shared" ca="1" si="79"/>
        <v>44.391666666666666</v>
      </c>
      <c r="ED37" s="1" t="s">
        <v>65</v>
      </c>
      <c r="EE37" s="1">
        <v>12682532.251424899</v>
      </c>
      <c r="EF37" s="1">
        <v>199879.78089369001</v>
      </c>
      <c r="EG37" s="1">
        <v>63.450801250229297</v>
      </c>
      <c r="EH37" s="226">
        <v>1.7740155680122101E-92</v>
      </c>
    </row>
    <row r="38" spans="1:138" x14ac:dyDescent="0.2">
      <c r="A38" s="1">
        <v>2019</v>
      </c>
      <c r="B38" s="1">
        <v>1</v>
      </c>
      <c r="C38" s="220">
        <v>-7.1076612903225795</v>
      </c>
      <c r="D38" s="220">
        <v>840.33749999999986</v>
      </c>
      <c r="E38" s="220">
        <v>0</v>
      </c>
      <c r="F38" s="220">
        <v>778.33750000000009</v>
      </c>
      <c r="G38" s="220">
        <v>0</v>
      </c>
      <c r="H38" s="220">
        <v>716.33749999999986</v>
      </c>
      <c r="I38" s="220">
        <v>0</v>
      </c>
      <c r="J38" s="220">
        <v>654.33749999999986</v>
      </c>
      <c r="K38" s="220">
        <v>0</v>
      </c>
      <c r="L38" s="220">
        <v>592.33749999999986</v>
      </c>
      <c r="M38" s="220">
        <v>0</v>
      </c>
      <c r="N38" s="220">
        <v>530.33749999999986</v>
      </c>
      <c r="O38" s="220">
        <v>0</v>
      </c>
      <c r="P38" s="220">
        <v>468.33749999999998</v>
      </c>
      <c r="Q38" s="220">
        <v>0</v>
      </c>
      <c r="X38" s="1" t="s">
        <v>422</v>
      </c>
      <c r="Y38" s="1" t="s">
        <v>47</v>
      </c>
      <c r="Z38" s="228">
        <f t="shared" ca="1" si="66"/>
        <v>200.77312499999999</v>
      </c>
      <c r="AA38" s="228">
        <f t="shared" ca="1" si="67"/>
        <v>8.7377083333333303</v>
      </c>
      <c r="AM38" s="1" t="s">
        <v>422</v>
      </c>
      <c r="AN38" s="1" t="s">
        <v>47</v>
      </c>
      <c r="AO38" s="228">
        <f t="shared" ca="1" si="68"/>
        <v>146.15645833333332</v>
      </c>
      <c r="AP38" s="228">
        <f t="shared" ca="1" si="69"/>
        <v>18.773333333333333</v>
      </c>
      <c r="AT38" s="228"/>
      <c r="AU38" s="228"/>
      <c r="BA38" s="1" t="s">
        <v>422</v>
      </c>
      <c r="BB38" s="1" t="s">
        <v>47</v>
      </c>
      <c r="BC38" s="228">
        <f t="shared" ca="1" si="70"/>
        <v>103.01541666666667</v>
      </c>
      <c r="BD38" s="228">
        <f t="shared" ca="1" si="71"/>
        <v>34.979999999999997</v>
      </c>
      <c r="BH38" s="228"/>
      <c r="BI38" s="228"/>
      <c r="BO38" s="1" t="s">
        <v>422</v>
      </c>
      <c r="BP38" s="1" t="s">
        <v>47</v>
      </c>
      <c r="BQ38" s="228">
        <f t="shared" ca="1" si="72"/>
        <v>65.335833333333326</v>
      </c>
      <c r="BR38" s="228">
        <f t="shared" ca="1" si="73"/>
        <v>59.300416666666649</v>
      </c>
      <c r="BV38" s="228"/>
      <c r="BW38" s="228"/>
      <c r="CC38" s="1" t="s">
        <v>422</v>
      </c>
      <c r="CD38" s="1" t="s">
        <v>47</v>
      </c>
      <c r="CE38" s="228">
        <f t="shared" ca="1" si="74"/>
        <v>37.873333333333342</v>
      </c>
      <c r="CF38" s="228">
        <f t="shared" ca="1" si="75"/>
        <v>93.837916666666644</v>
      </c>
      <c r="CJ38" s="228"/>
      <c r="CK38" s="228"/>
      <c r="CQ38" s="1" t="s">
        <v>422</v>
      </c>
      <c r="CR38" s="1" t="s">
        <v>47</v>
      </c>
      <c r="CS38" s="228">
        <f t="shared" ca="1" si="76"/>
        <v>19.034583333333337</v>
      </c>
      <c r="CT38" s="228">
        <f t="shared" ca="1" si="77"/>
        <v>136.99916666666667</v>
      </c>
      <c r="CX38" s="228"/>
      <c r="CY38" s="228"/>
      <c r="DE38" s="1" t="s">
        <v>422</v>
      </c>
      <c r="DF38" s="1" t="s">
        <v>47</v>
      </c>
      <c r="DG38" s="228">
        <f t="shared" ca="1" si="78"/>
        <v>8.3958333333333321</v>
      </c>
      <c r="DH38" s="228">
        <f t="shared" ca="1" si="79"/>
        <v>188.36041666666662</v>
      </c>
      <c r="ED38" s="1" t="s">
        <v>30</v>
      </c>
      <c r="EE38" s="1">
        <v>5440.3545276811601</v>
      </c>
      <c r="EF38" s="1">
        <v>497.75186094834902</v>
      </c>
      <c r="EG38" s="1">
        <v>10.929852712787101</v>
      </c>
      <c r="EH38" s="226">
        <v>1.3663064048610299E-19</v>
      </c>
    </row>
    <row r="39" spans="1:138" x14ac:dyDescent="0.2">
      <c r="A39" s="1">
        <v>2019</v>
      </c>
      <c r="B39" s="1">
        <v>2</v>
      </c>
      <c r="C39" s="220">
        <v>-4.4968750000000002</v>
      </c>
      <c r="D39" s="220">
        <v>685.91250000000002</v>
      </c>
      <c r="E39" s="220">
        <v>0</v>
      </c>
      <c r="F39" s="220">
        <v>629.91250000000002</v>
      </c>
      <c r="G39" s="220">
        <v>0</v>
      </c>
      <c r="H39" s="220">
        <v>573.91250000000002</v>
      </c>
      <c r="I39" s="220">
        <v>0</v>
      </c>
      <c r="J39" s="220">
        <v>517.91250000000002</v>
      </c>
      <c r="K39" s="220">
        <v>0</v>
      </c>
      <c r="L39" s="220">
        <v>461.91249999999997</v>
      </c>
      <c r="M39" s="220">
        <v>0</v>
      </c>
      <c r="N39" s="220">
        <v>405.91249999999997</v>
      </c>
      <c r="O39" s="220">
        <v>0</v>
      </c>
      <c r="P39" s="220">
        <v>349.91249999999997</v>
      </c>
      <c r="Q39" s="220">
        <v>0</v>
      </c>
      <c r="X39" s="1" t="s">
        <v>422</v>
      </c>
      <c r="Y39" s="1" t="s">
        <v>85</v>
      </c>
      <c r="Z39" s="228">
        <f t="shared" ca="1" si="66"/>
        <v>57.752916666666678</v>
      </c>
      <c r="AA39" s="228">
        <f t="shared" ca="1" si="67"/>
        <v>31.878125000000001</v>
      </c>
      <c r="AM39" s="1" t="s">
        <v>422</v>
      </c>
      <c r="AN39" s="1" t="s">
        <v>85</v>
      </c>
      <c r="AO39" s="228">
        <f t="shared" ca="1" si="68"/>
        <v>29.335416666666674</v>
      </c>
      <c r="AP39" s="228">
        <f t="shared" ca="1" si="69"/>
        <v>61.682291666666671</v>
      </c>
      <c r="AT39" s="228"/>
      <c r="AU39" s="228"/>
      <c r="BA39" s="1" t="s">
        <v>422</v>
      </c>
      <c r="BB39" s="1" t="s">
        <v>85</v>
      </c>
      <c r="BC39" s="228">
        <f t="shared" ca="1" si="70"/>
        <v>10.317708333333334</v>
      </c>
      <c r="BD39" s="228">
        <f t="shared" ca="1" si="71"/>
        <v>104.44291666666666</v>
      </c>
      <c r="BH39" s="228"/>
      <c r="BI39" s="228"/>
      <c r="BO39" s="1" t="s">
        <v>422</v>
      </c>
      <c r="BP39" s="1" t="s">
        <v>85</v>
      </c>
      <c r="BQ39" s="228">
        <f t="shared" ca="1" si="72"/>
        <v>3.0447916666666672</v>
      </c>
      <c r="BR39" s="228">
        <f t="shared" ca="1" si="73"/>
        <v>157.17000000000002</v>
      </c>
      <c r="BV39" s="228"/>
      <c r="BW39" s="228"/>
      <c r="CC39" s="1" t="s">
        <v>422</v>
      </c>
      <c r="CD39" s="1" t="s">
        <v>85</v>
      </c>
      <c r="CE39" s="228">
        <f t="shared" ca="1" si="74"/>
        <v>0.69125000000000014</v>
      </c>
      <c r="CF39" s="228">
        <f t="shared" ca="1" si="75"/>
        <v>214.81645833333337</v>
      </c>
      <c r="CJ39" s="228"/>
      <c r="CK39" s="228"/>
      <c r="CQ39" s="1" t="s">
        <v>422</v>
      </c>
      <c r="CR39" s="1" t="s">
        <v>85</v>
      </c>
      <c r="CS39" s="228">
        <f t="shared" ca="1" si="76"/>
        <v>3.874999999999993E-2</v>
      </c>
      <c r="CT39" s="228">
        <f t="shared" ca="1" si="77"/>
        <v>274.16395833333331</v>
      </c>
      <c r="CX39" s="228"/>
      <c r="CY39" s="228"/>
      <c r="DE39" s="1" t="s">
        <v>422</v>
      </c>
      <c r="DF39" s="1" t="s">
        <v>85</v>
      </c>
      <c r="DG39" s="228">
        <f t="shared" ca="1" si="78"/>
        <v>0</v>
      </c>
      <c r="DH39" s="228">
        <f t="shared" ca="1" si="79"/>
        <v>334.12520833333338</v>
      </c>
      <c r="ED39" s="1" t="s">
        <v>31</v>
      </c>
      <c r="EE39" s="1">
        <v>13519.3751026835</v>
      </c>
      <c r="EF39" s="1">
        <v>891.93439007269797</v>
      </c>
      <c r="EG39" s="1">
        <v>15.1573649958508</v>
      </c>
      <c r="EH39" s="226">
        <v>2.25260501726116E-29</v>
      </c>
    </row>
    <row r="40" spans="1:138" x14ac:dyDescent="0.2">
      <c r="A40" s="1">
        <v>2019</v>
      </c>
      <c r="B40" s="1">
        <v>3</v>
      </c>
      <c r="C40" s="220">
        <v>-1.7538978494623663</v>
      </c>
      <c r="D40" s="220">
        <v>674.37083333333317</v>
      </c>
      <c r="E40" s="220">
        <v>0</v>
      </c>
      <c r="F40" s="220">
        <v>612.37083333333328</v>
      </c>
      <c r="G40" s="220">
        <v>0</v>
      </c>
      <c r="H40" s="220">
        <v>550.37083333333328</v>
      </c>
      <c r="I40" s="220">
        <v>0</v>
      </c>
      <c r="J40" s="220">
        <v>488.37083333333339</v>
      </c>
      <c r="K40" s="220">
        <v>0</v>
      </c>
      <c r="L40" s="220">
        <v>426.37083333333345</v>
      </c>
      <c r="M40" s="220">
        <v>0</v>
      </c>
      <c r="N40" s="220">
        <v>364.37083333333345</v>
      </c>
      <c r="O40" s="220">
        <v>0</v>
      </c>
      <c r="P40" s="220">
        <v>302.37083333333339</v>
      </c>
      <c r="Q40" s="220">
        <v>0</v>
      </c>
      <c r="X40" s="1" t="s">
        <v>422</v>
      </c>
      <c r="Y40" s="1" t="s">
        <v>86</v>
      </c>
      <c r="Z40" s="228">
        <f t="shared" ca="1" si="66"/>
        <v>11.84625</v>
      </c>
      <c r="AA40" s="228">
        <f t="shared" ca="1" si="67"/>
        <v>57.11770833333334</v>
      </c>
      <c r="AM40" s="1" t="s">
        <v>422</v>
      </c>
      <c r="AN40" s="1" t="s">
        <v>86</v>
      </c>
      <c r="AO40" s="228">
        <f t="shared" ca="1" si="68"/>
        <v>1.6731249999999993</v>
      </c>
      <c r="AP40" s="228">
        <f t="shared" ca="1" si="69"/>
        <v>108.8075</v>
      </c>
      <c r="AT40" s="228"/>
      <c r="AU40" s="228"/>
      <c r="BA40" s="1" t="s">
        <v>422</v>
      </c>
      <c r="BB40" s="1" t="s">
        <v>86</v>
      </c>
      <c r="BC40" s="228">
        <f t="shared" ca="1" si="70"/>
        <v>0</v>
      </c>
      <c r="BD40" s="228">
        <f t="shared" ca="1" si="71"/>
        <v>169.27145833333336</v>
      </c>
      <c r="BH40" s="228"/>
      <c r="BI40" s="228"/>
      <c r="BO40" s="1" t="s">
        <v>422</v>
      </c>
      <c r="BP40" s="1" t="s">
        <v>86</v>
      </c>
      <c r="BQ40" s="228">
        <f t="shared" ca="1" si="72"/>
        <v>0</v>
      </c>
      <c r="BR40" s="228">
        <f t="shared" ca="1" si="73"/>
        <v>231.27145833333333</v>
      </c>
      <c r="BV40" s="228"/>
      <c r="BW40" s="228"/>
      <c r="CC40" s="1" t="s">
        <v>422</v>
      </c>
      <c r="CD40" s="1" t="s">
        <v>86</v>
      </c>
      <c r="CE40" s="228">
        <f t="shared" ca="1" si="74"/>
        <v>0</v>
      </c>
      <c r="CF40" s="228">
        <f t="shared" ca="1" si="75"/>
        <v>293.27145833333327</v>
      </c>
      <c r="CJ40" s="228"/>
      <c r="CK40" s="228"/>
      <c r="CQ40" s="1" t="s">
        <v>422</v>
      </c>
      <c r="CR40" s="1" t="s">
        <v>86</v>
      </c>
      <c r="CS40" s="228">
        <f t="shared" ca="1" si="76"/>
        <v>0</v>
      </c>
      <c r="CT40" s="228">
        <f t="shared" ca="1" si="77"/>
        <v>355.27145833333333</v>
      </c>
      <c r="CX40" s="228"/>
      <c r="CY40" s="228"/>
      <c r="DE40" s="1" t="s">
        <v>422</v>
      </c>
      <c r="DF40" s="1" t="s">
        <v>86</v>
      </c>
      <c r="DG40" s="228">
        <f t="shared" ca="1" si="78"/>
        <v>0</v>
      </c>
      <c r="DH40" s="228">
        <f t="shared" ca="1" si="79"/>
        <v>417.27145833333333</v>
      </c>
    </row>
    <row r="41" spans="1:138" x14ac:dyDescent="0.2">
      <c r="A41" s="1">
        <v>2019</v>
      </c>
      <c r="B41" s="1">
        <v>4</v>
      </c>
      <c r="C41" s="220">
        <v>6.1650694444444456</v>
      </c>
      <c r="D41" s="220">
        <v>415.04791666666677</v>
      </c>
      <c r="E41" s="220">
        <v>0</v>
      </c>
      <c r="F41" s="220">
        <v>355.04791666666671</v>
      </c>
      <c r="G41" s="220">
        <v>0</v>
      </c>
      <c r="H41" s="220">
        <v>295.04791666666671</v>
      </c>
      <c r="I41" s="220">
        <v>0</v>
      </c>
      <c r="J41" s="220">
        <v>235.04791666666668</v>
      </c>
      <c r="K41" s="220">
        <v>0</v>
      </c>
      <c r="L41" s="220">
        <v>177.16041666666663</v>
      </c>
      <c r="M41" s="220">
        <v>2.112500000000006</v>
      </c>
      <c r="N41" s="220">
        <v>122.43541666666665</v>
      </c>
      <c r="O41" s="220">
        <v>7.3875000000000064</v>
      </c>
      <c r="P41" s="220">
        <v>78.685416666666683</v>
      </c>
      <c r="Q41" s="220">
        <v>23.637500000000003</v>
      </c>
      <c r="X41" s="1" t="s">
        <v>422</v>
      </c>
      <c r="Y41" s="1" t="s">
        <v>87</v>
      </c>
      <c r="Z41" s="228">
        <f t="shared" ca="1" si="66"/>
        <v>28.030624999999997</v>
      </c>
      <c r="AA41" s="228">
        <f t="shared" ca="1" si="67"/>
        <v>37.888124999999995</v>
      </c>
      <c r="AM41" s="1" t="s">
        <v>422</v>
      </c>
      <c r="AN41" s="1" t="s">
        <v>87</v>
      </c>
      <c r="AO41" s="228">
        <f t="shared" ca="1" si="68"/>
        <v>7.1606250000000005</v>
      </c>
      <c r="AP41" s="228">
        <f t="shared" ca="1" si="69"/>
        <v>81.624375000000015</v>
      </c>
      <c r="AT41" s="228"/>
      <c r="AU41" s="228"/>
      <c r="BA41" s="1" t="s">
        <v>422</v>
      </c>
      <c r="BB41" s="1" t="s">
        <v>87</v>
      </c>
      <c r="BC41" s="228">
        <f t="shared" ca="1" si="70"/>
        <v>2.6287500000000015</v>
      </c>
      <c r="BD41" s="228">
        <f t="shared" ca="1" si="71"/>
        <v>136.48624999999998</v>
      </c>
      <c r="BH41" s="228"/>
      <c r="BI41" s="228"/>
      <c r="BO41" s="1" t="s">
        <v>422</v>
      </c>
      <c r="BP41" s="1" t="s">
        <v>87</v>
      </c>
      <c r="BQ41" s="228">
        <f t="shared" ca="1" si="72"/>
        <v>0.27875000000000066</v>
      </c>
      <c r="BR41" s="228">
        <f t="shared" ca="1" si="73"/>
        <v>196.13625000000002</v>
      </c>
      <c r="BV41" s="228"/>
      <c r="BW41" s="228"/>
      <c r="CC41" s="1" t="s">
        <v>422</v>
      </c>
      <c r="CD41" s="1" t="s">
        <v>87</v>
      </c>
      <c r="CE41" s="228">
        <f t="shared" ca="1" si="74"/>
        <v>0</v>
      </c>
      <c r="CF41" s="228">
        <f t="shared" ca="1" si="75"/>
        <v>257.85749999999996</v>
      </c>
      <c r="CJ41" s="228"/>
      <c r="CK41" s="228"/>
      <c r="CQ41" s="1" t="s">
        <v>422</v>
      </c>
      <c r="CR41" s="1" t="s">
        <v>87</v>
      </c>
      <c r="CS41" s="228">
        <f t="shared" ca="1" si="76"/>
        <v>0</v>
      </c>
      <c r="CT41" s="228">
        <f t="shared" ca="1" si="77"/>
        <v>319.85749999999996</v>
      </c>
      <c r="CX41" s="228"/>
      <c r="CY41" s="228"/>
      <c r="DE41" s="1" t="s">
        <v>422</v>
      </c>
      <c r="DF41" s="1" t="s">
        <v>87</v>
      </c>
      <c r="DG41" s="228">
        <f t="shared" ca="1" si="78"/>
        <v>0</v>
      </c>
      <c r="DH41" s="228">
        <f t="shared" ca="1" si="79"/>
        <v>381.85750000000002</v>
      </c>
      <c r="ED41" s="1" t="s">
        <v>152</v>
      </c>
    </row>
    <row r="42" spans="1:138" x14ac:dyDescent="0.2">
      <c r="A42" s="1">
        <v>2019</v>
      </c>
      <c r="B42" s="1">
        <v>5</v>
      </c>
      <c r="C42" s="220">
        <v>12.244354838709679</v>
      </c>
      <c r="D42" s="220">
        <v>240.42499999999998</v>
      </c>
      <c r="E42" s="220">
        <v>0</v>
      </c>
      <c r="F42" s="220">
        <v>178.66250000000002</v>
      </c>
      <c r="G42" s="220">
        <v>0.23750000000000071</v>
      </c>
      <c r="H42" s="220">
        <v>123.21250000000001</v>
      </c>
      <c r="I42" s="220">
        <v>6.7874999999999979</v>
      </c>
      <c r="J42" s="220">
        <v>74.912499999999994</v>
      </c>
      <c r="K42" s="220">
        <v>20.48749999999999</v>
      </c>
      <c r="L42" s="220">
        <v>36.966666666666669</v>
      </c>
      <c r="M42" s="220">
        <v>44.54166666666665</v>
      </c>
      <c r="N42" s="220">
        <v>14.195833333333336</v>
      </c>
      <c r="O42" s="220">
        <v>83.770833333333343</v>
      </c>
      <c r="P42" s="220">
        <v>4.0791666666666666</v>
      </c>
      <c r="Q42" s="220">
        <v>135.65416666666664</v>
      </c>
      <c r="X42" s="1" t="s">
        <v>422</v>
      </c>
      <c r="Y42" s="1" t="s">
        <v>93</v>
      </c>
      <c r="Z42" s="228">
        <f t="shared" ca="1" si="66"/>
        <v>97.805833333333311</v>
      </c>
      <c r="AA42" s="228">
        <f t="shared" ca="1" si="67"/>
        <v>10.684374999999998</v>
      </c>
      <c r="AM42" s="1" t="s">
        <v>422</v>
      </c>
      <c r="AN42" s="1" t="s">
        <v>93</v>
      </c>
      <c r="AO42" s="228">
        <f t="shared" ca="1" si="68"/>
        <v>56.160416666666663</v>
      </c>
      <c r="AP42" s="228">
        <f t="shared" ca="1" si="69"/>
        <v>28.245624999999997</v>
      </c>
      <c r="AT42" s="228"/>
      <c r="AU42" s="228"/>
      <c r="BA42" s="1" t="s">
        <v>422</v>
      </c>
      <c r="BB42" s="1" t="s">
        <v>93</v>
      </c>
      <c r="BC42" s="228">
        <f t="shared" ca="1" si="70"/>
        <v>27.783333333333324</v>
      </c>
      <c r="BD42" s="228">
        <f t="shared" ca="1" si="71"/>
        <v>60.661874999999995</v>
      </c>
      <c r="BH42" s="228"/>
      <c r="BI42" s="228"/>
      <c r="BO42" s="1" t="s">
        <v>422</v>
      </c>
      <c r="BP42" s="1" t="s">
        <v>93</v>
      </c>
      <c r="BQ42" s="228">
        <f t="shared" ca="1" si="72"/>
        <v>11.319999999999997</v>
      </c>
      <c r="BR42" s="228">
        <f t="shared" ca="1" si="73"/>
        <v>104.19854166666664</v>
      </c>
      <c r="BV42" s="228"/>
      <c r="BW42" s="228"/>
      <c r="CC42" s="1" t="s">
        <v>422</v>
      </c>
      <c r="CD42" s="1" t="s">
        <v>93</v>
      </c>
      <c r="CE42" s="228">
        <f t="shared" ca="1" si="74"/>
        <v>2.8716666666666661</v>
      </c>
      <c r="CF42" s="228">
        <f t="shared" ca="1" si="75"/>
        <v>155.75020833333332</v>
      </c>
      <c r="CJ42" s="228"/>
      <c r="CK42" s="228"/>
      <c r="CQ42" s="1" t="s">
        <v>422</v>
      </c>
      <c r="CR42" s="1" t="s">
        <v>93</v>
      </c>
      <c r="CS42" s="228">
        <f t="shared" ca="1" si="76"/>
        <v>0.33083333333333365</v>
      </c>
      <c r="CT42" s="228">
        <f t="shared" ca="1" si="77"/>
        <v>213.20937499999999</v>
      </c>
      <c r="CX42" s="228"/>
      <c r="CY42" s="228"/>
      <c r="DE42" s="1" t="s">
        <v>422</v>
      </c>
      <c r="DF42" s="1" t="s">
        <v>93</v>
      </c>
      <c r="DG42" s="228">
        <f t="shared" ca="1" si="78"/>
        <v>1.3333333333333374E-2</v>
      </c>
      <c r="DH42" s="228">
        <f t="shared" ca="1" si="79"/>
        <v>272.89187500000003</v>
      </c>
      <c r="ED42" s="1" t="s">
        <v>68</v>
      </c>
      <c r="EE42" s="1">
        <v>37609716338601.5</v>
      </c>
      <c r="EF42" s="1" t="s">
        <v>69</v>
      </c>
      <c r="EG42" s="1">
        <v>566966.10744963796</v>
      </c>
    </row>
    <row r="43" spans="1:138" x14ac:dyDescent="0.2">
      <c r="A43" s="1">
        <v>2019</v>
      </c>
      <c r="B43" s="1">
        <v>6</v>
      </c>
      <c r="C43" s="220">
        <v>18.090486111111105</v>
      </c>
      <c r="D43" s="220">
        <v>69.822916666666686</v>
      </c>
      <c r="E43" s="220">
        <v>12.537500000000005</v>
      </c>
      <c r="F43" s="220">
        <v>31.910416666666663</v>
      </c>
      <c r="G43" s="220">
        <v>34.625000000000007</v>
      </c>
      <c r="H43" s="220">
        <v>11.320833333333331</v>
      </c>
      <c r="I43" s="220">
        <v>74.035416666666663</v>
      </c>
      <c r="J43" s="220">
        <v>4.4958333333333336</v>
      </c>
      <c r="K43" s="220">
        <v>127.21041666666667</v>
      </c>
      <c r="L43" s="220">
        <v>2.0958333333333332</v>
      </c>
      <c r="M43" s="220">
        <v>184.8104166666667</v>
      </c>
      <c r="N43" s="220">
        <v>9.5833333333333215E-2</v>
      </c>
      <c r="O43" s="220">
        <v>242.81041666666664</v>
      </c>
      <c r="P43" s="220">
        <v>0</v>
      </c>
      <c r="Q43" s="220">
        <v>302.71458333333339</v>
      </c>
      <c r="X43" s="1" t="s">
        <v>422</v>
      </c>
      <c r="Y43" s="1" t="s">
        <v>94</v>
      </c>
      <c r="Z43" s="228">
        <f t="shared" ca="1" si="66"/>
        <v>288.09020833333335</v>
      </c>
      <c r="AA43" s="228">
        <f t="shared" ca="1" si="67"/>
        <v>0.66750000000000043</v>
      </c>
      <c r="AM43" s="1" t="s">
        <v>422</v>
      </c>
      <c r="AN43" s="1" t="s">
        <v>94</v>
      </c>
      <c r="AO43" s="228">
        <f t="shared" ca="1" si="68"/>
        <v>229.16187499999995</v>
      </c>
      <c r="AP43" s="228">
        <f t="shared" ca="1" si="69"/>
        <v>3.7379166666666679</v>
      </c>
      <c r="AT43" s="228"/>
      <c r="AU43" s="228"/>
      <c r="BA43" s="1" t="s">
        <v>422</v>
      </c>
      <c r="BB43" s="1" t="s">
        <v>94</v>
      </c>
      <c r="BC43" s="228">
        <f t="shared" ca="1" si="70"/>
        <v>174.68395833333335</v>
      </c>
      <c r="BD43" s="228">
        <f t="shared" ca="1" si="71"/>
        <v>11.261250000000006</v>
      </c>
      <c r="BH43" s="228"/>
      <c r="BI43" s="228"/>
      <c r="BO43" s="1" t="s">
        <v>422</v>
      </c>
      <c r="BP43" s="1" t="s">
        <v>94</v>
      </c>
      <c r="BQ43" s="228">
        <f t="shared" ca="1" si="72"/>
        <v>126.12583333333332</v>
      </c>
      <c r="BR43" s="228">
        <f t="shared" ca="1" si="73"/>
        <v>24.703125000000007</v>
      </c>
      <c r="BV43" s="228"/>
      <c r="BW43" s="228"/>
      <c r="CC43" s="1" t="s">
        <v>422</v>
      </c>
      <c r="CD43" s="1" t="s">
        <v>94</v>
      </c>
      <c r="CE43" s="228">
        <f t="shared" ca="1" si="74"/>
        <v>84.661249999999995</v>
      </c>
      <c r="CF43" s="228">
        <f t="shared" ca="1" si="75"/>
        <v>45.238541666666677</v>
      </c>
      <c r="CJ43" s="228"/>
      <c r="CK43" s="228"/>
      <c r="CQ43" s="1" t="s">
        <v>422</v>
      </c>
      <c r="CR43" s="1" t="s">
        <v>94</v>
      </c>
      <c r="CS43" s="228">
        <f t="shared" ca="1" si="76"/>
        <v>50.172499999999999</v>
      </c>
      <c r="CT43" s="228">
        <f t="shared" ca="1" si="77"/>
        <v>72.749791666666667</v>
      </c>
      <c r="CX43" s="228"/>
      <c r="CY43" s="228"/>
      <c r="DE43" s="1" t="s">
        <v>422</v>
      </c>
      <c r="DF43" s="1" t="s">
        <v>94</v>
      </c>
      <c r="DG43" s="228">
        <f t="shared" ca="1" si="78"/>
        <v>24.139166666666672</v>
      </c>
      <c r="DH43" s="228">
        <f t="shared" ca="1" si="79"/>
        <v>108.71645833333336</v>
      </c>
      <c r="ED43" s="1" t="s">
        <v>70</v>
      </c>
      <c r="EE43" s="1">
        <v>0.75590344737563298</v>
      </c>
      <c r="EF43" s="1" t="s">
        <v>71</v>
      </c>
      <c r="EG43" s="1">
        <v>0.75173085673248097</v>
      </c>
    </row>
    <row r="44" spans="1:138" x14ac:dyDescent="0.2">
      <c r="A44" s="1">
        <v>2019</v>
      </c>
      <c r="B44" s="1">
        <v>7</v>
      </c>
      <c r="C44" s="220">
        <v>22.131451612903223</v>
      </c>
      <c r="D44" s="220">
        <v>5.9499999999999886</v>
      </c>
      <c r="E44" s="220">
        <v>72.024999999999991</v>
      </c>
      <c r="F44" s="220">
        <v>0</v>
      </c>
      <c r="G44" s="220">
        <v>128.07499999999999</v>
      </c>
      <c r="H44" s="220">
        <v>0</v>
      </c>
      <c r="I44" s="220">
        <v>190.07500000000005</v>
      </c>
      <c r="J44" s="220">
        <v>0</v>
      </c>
      <c r="K44" s="220">
        <v>252.07500000000005</v>
      </c>
      <c r="L44" s="220">
        <v>0</v>
      </c>
      <c r="M44" s="220">
        <v>314.07499999999999</v>
      </c>
      <c r="N44" s="220">
        <v>0</v>
      </c>
      <c r="O44" s="220">
        <v>376.07500000000005</v>
      </c>
      <c r="P44" s="220">
        <v>0</v>
      </c>
      <c r="Q44" s="220">
        <v>438.07500000000005</v>
      </c>
      <c r="X44" s="1" t="s">
        <v>422</v>
      </c>
      <c r="Y44" s="1" t="s">
        <v>95</v>
      </c>
      <c r="Z44" s="228">
        <f t="shared" ca="1" si="66"/>
        <v>490.76145833333328</v>
      </c>
      <c r="AA44" s="228">
        <f t="shared" ca="1" si="67"/>
        <v>0</v>
      </c>
      <c r="AM44" s="1" t="s">
        <v>422</v>
      </c>
      <c r="AN44" s="1" t="s">
        <v>95</v>
      </c>
      <c r="AO44" s="228">
        <f t="shared" ca="1" si="68"/>
        <v>422.06333333333333</v>
      </c>
      <c r="AP44" s="228">
        <f t="shared" ca="1" si="69"/>
        <v>7.2916666666666435E-2</v>
      </c>
      <c r="AT44" s="228"/>
      <c r="AU44" s="228"/>
      <c r="BA44" s="1" t="s">
        <v>422</v>
      </c>
      <c r="BB44" s="1" t="s">
        <v>95</v>
      </c>
      <c r="BC44" s="228">
        <f t="shared" ca="1" si="70"/>
        <v>371.42979166666663</v>
      </c>
      <c r="BD44" s="228">
        <f t="shared" ca="1" si="71"/>
        <v>0.668333333333333</v>
      </c>
      <c r="BH44" s="228"/>
      <c r="BI44" s="228"/>
      <c r="BO44" s="1" t="s">
        <v>422</v>
      </c>
      <c r="BP44" s="1" t="s">
        <v>95</v>
      </c>
      <c r="BQ44" s="228">
        <f t="shared" ca="1" si="72"/>
        <v>312.40687500000001</v>
      </c>
      <c r="BR44" s="228">
        <f t="shared" ca="1" si="73"/>
        <v>1.6454166666666665</v>
      </c>
      <c r="BV44" s="228"/>
      <c r="BW44" s="228"/>
      <c r="CC44" s="1" t="s">
        <v>422</v>
      </c>
      <c r="CD44" s="1" t="s">
        <v>95</v>
      </c>
      <c r="CE44" s="228">
        <f t="shared" ca="1" si="74"/>
        <v>254.42020833333331</v>
      </c>
      <c r="CF44" s="228">
        <f t="shared" ca="1" si="75"/>
        <v>3.6587500000000004</v>
      </c>
      <c r="CJ44" s="228"/>
      <c r="CK44" s="228"/>
      <c r="CQ44" s="1" t="s">
        <v>422</v>
      </c>
      <c r="CR44" s="1" t="s">
        <v>95</v>
      </c>
      <c r="CS44" s="228">
        <f t="shared" ca="1" si="76"/>
        <v>198.84645833333335</v>
      </c>
      <c r="CT44" s="228">
        <f t="shared" ca="1" si="77"/>
        <v>8.0850000000000026</v>
      </c>
      <c r="CX44" s="228"/>
      <c r="CY44" s="228"/>
      <c r="DE44" s="1" t="s">
        <v>422</v>
      </c>
      <c r="DF44" s="1" t="s">
        <v>95</v>
      </c>
      <c r="DG44" s="228">
        <f t="shared" ca="1" si="78"/>
        <v>146.23416666666668</v>
      </c>
      <c r="DH44" s="228">
        <f t="shared" ca="1" si="79"/>
        <v>15.472708333333333</v>
      </c>
      <c r="ED44" s="1" t="s">
        <v>396</v>
      </c>
      <c r="EE44" s="1">
        <v>194.32735560227101</v>
      </c>
      <c r="EF44" s="1" t="s">
        <v>72</v>
      </c>
      <c r="EG44" s="226">
        <v>6.5074452518582404E-38</v>
      </c>
    </row>
    <row r="45" spans="1:138" x14ac:dyDescent="0.2">
      <c r="A45" s="1">
        <v>2019</v>
      </c>
      <c r="B45" s="1">
        <v>8</v>
      </c>
      <c r="C45" s="220">
        <v>19.894086021505377</v>
      </c>
      <c r="D45" s="220">
        <v>28.045833333333334</v>
      </c>
      <c r="E45" s="220">
        <v>24.762499999999974</v>
      </c>
      <c r="F45" s="220">
        <v>8.2541666666666735</v>
      </c>
      <c r="G45" s="220">
        <v>66.970833333333317</v>
      </c>
      <c r="H45" s="220">
        <v>1.0958333333333385</v>
      </c>
      <c r="I45" s="220">
        <v>121.81249999999997</v>
      </c>
      <c r="J45" s="220">
        <v>0</v>
      </c>
      <c r="K45" s="220">
        <v>182.71666666666661</v>
      </c>
      <c r="L45" s="220">
        <v>0</v>
      </c>
      <c r="M45" s="220">
        <v>244.71666666666661</v>
      </c>
      <c r="N45" s="220">
        <v>0</v>
      </c>
      <c r="O45" s="220">
        <v>306.71666666666664</v>
      </c>
      <c r="P45" s="220">
        <v>0</v>
      </c>
      <c r="Q45" s="220">
        <v>368.71666666666664</v>
      </c>
      <c r="X45" s="1" t="s">
        <v>422</v>
      </c>
      <c r="Y45" s="1" t="s">
        <v>96</v>
      </c>
      <c r="Z45" s="228">
        <f t="shared" ca="1" si="66"/>
        <v>659.52500000000009</v>
      </c>
      <c r="AA45" s="228">
        <f t="shared" ca="1" si="67"/>
        <v>0</v>
      </c>
      <c r="AM45" s="1" t="s">
        <v>422</v>
      </c>
      <c r="AN45" s="1" t="s">
        <v>96</v>
      </c>
      <c r="AO45" s="228">
        <f t="shared" ca="1" si="68"/>
        <v>591.99583333333339</v>
      </c>
      <c r="AP45" s="228">
        <f t="shared" ca="1" si="69"/>
        <v>0</v>
      </c>
      <c r="AT45" s="228"/>
      <c r="AU45" s="228"/>
      <c r="BA45" s="1" t="s">
        <v>422</v>
      </c>
      <c r="BB45" s="1" t="s">
        <v>96</v>
      </c>
      <c r="BC45" s="228">
        <f t="shared" ca="1" si="70"/>
        <v>535.52499999999998</v>
      </c>
      <c r="BD45" s="228">
        <f t="shared" ca="1" si="71"/>
        <v>0</v>
      </c>
      <c r="BH45" s="228"/>
      <c r="BI45" s="228"/>
      <c r="BO45" s="1" t="s">
        <v>422</v>
      </c>
      <c r="BP45" s="1" t="s">
        <v>96</v>
      </c>
      <c r="BQ45" s="228">
        <f t="shared" ca="1" si="72"/>
        <v>473.52499999999998</v>
      </c>
      <c r="BR45" s="228">
        <f t="shared" ca="1" si="73"/>
        <v>0</v>
      </c>
      <c r="BV45" s="228"/>
      <c r="BW45" s="228"/>
      <c r="CC45" s="1" t="s">
        <v>422</v>
      </c>
      <c r="CD45" s="1" t="s">
        <v>96</v>
      </c>
      <c r="CE45" s="228">
        <f t="shared" ca="1" si="74"/>
        <v>411.52499999999998</v>
      </c>
      <c r="CF45" s="228">
        <f t="shared" ca="1" si="75"/>
        <v>0</v>
      </c>
      <c r="CJ45" s="228"/>
      <c r="CK45" s="228"/>
      <c r="CQ45" s="1" t="s">
        <v>422</v>
      </c>
      <c r="CR45" s="1" t="s">
        <v>96</v>
      </c>
      <c r="CS45" s="228">
        <f t="shared" ca="1" si="76"/>
        <v>349.72416666666669</v>
      </c>
      <c r="CT45" s="228">
        <f t="shared" ca="1" si="77"/>
        <v>0.19916666666666655</v>
      </c>
      <c r="CX45" s="228"/>
      <c r="CY45" s="228"/>
      <c r="DE45" s="1" t="s">
        <v>422</v>
      </c>
      <c r="DF45" s="1" t="s">
        <v>96</v>
      </c>
      <c r="DG45" s="228">
        <f t="shared" ca="1" si="78"/>
        <v>288.32041666666674</v>
      </c>
      <c r="DH45" s="228">
        <f t="shared" ca="1" si="79"/>
        <v>0.79541666666666655</v>
      </c>
      <c r="ED45" s="1" t="s">
        <v>73</v>
      </c>
      <c r="EE45" s="1">
        <v>-0.30619788286266902</v>
      </c>
      <c r="EF45" s="1" t="s">
        <v>74</v>
      </c>
      <c r="EG45" s="1">
        <v>2.58077899339788</v>
      </c>
    </row>
    <row r="46" spans="1:138" x14ac:dyDescent="0.2">
      <c r="A46" s="1">
        <v>2019</v>
      </c>
      <c r="B46" s="1">
        <v>9</v>
      </c>
      <c r="C46" s="220">
        <v>17.383263888888887</v>
      </c>
      <c r="D46" s="220">
        <v>86.468749999999986</v>
      </c>
      <c r="E46" s="220">
        <v>7.9666666666666579</v>
      </c>
      <c r="F46" s="220">
        <v>40.506249999999994</v>
      </c>
      <c r="G46" s="220">
        <v>22.004166666666656</v>
      </c>
      <c r="H46" s="220">
        <v>11.541666666666663</v>
      </c>
      <c r="I46" s="220">
        <v>53.039583333333326</v>
      </c>
      <c r="J46" s="220">
        <v>1.8833333333333364</v>
      </c>
      <c r="K46" s="220">
        <v>103.38124999999999</v>
      </c>
      <c r="L46" s="220">
        <v>0</v>
      </c>
      <c r="M46" s="220">
        <v>161.49791666666664</v>
      </c>
      <c r="N46" s="220">
        <v>0</v>
      </c>
      <c r="O46" s="220">
        <v>221.49791666666664</v>
      </c>
      <c r="P46" s="220">
        <v>0</v>
      </c>
      <c r="Q46" s="220">
        <v>281.49791666666664</v>
      </c>
    </row>
    <row r="47" spans="1:138" x14ac:dyDescent="0.2">
      <c r="A47" s="1">
        <v>2019</v>
      </c>
      <c r="B47" s="1">
        <v>10</v>
      </c>
      <c r="C47" s="220">
        <v>10.254973118279571</v>
      </c>
      <c r="D47" s="220">
        <v>302.80416666666667</v>
      </c>
      <c r="E47" s="220">
        <v>0.70833333333333215</v>
      </c>
      <c r="F47" s="220">
        <v>242.8041666666667</v>
      </c>
      <c r="G47" s="220">
        <v>2.7083333333333321</v>
      </c>
      <c r="H47" s="220">
        <v>182.8041666666667</v>
      </c>
      <c r="I47" s="220">
        <v>4.7083333333333321</v>
      </c>
      <c r="J47" s="220">
        <v>126.96250000000001</v>
      </c>
      <c r="K47" s="220">
        <v>10.866666666666669</v>
      </c>
      <c r="L47" s="220">
        <v>75.183333333333351</v>
      </c>
      <c r="M47" s="220">
        <v>21.087500000000006</v>
      </c>
      <c r="N47" s="220">
        <v>35.958333333333329</v>
      </c>
      <c r="O47" s="220">
        <v>43.862500000000004</v>
      </c>
      <c r="P47" s="220">
        <v>10.741666666666664</v>
      </c>
      <c r="Q47" s="220">
        <v>80.645833333333343</v>
      </c>
      <c r="ED47" s="1" t="s">
        <v>361</v>
      </c>
    </row>
    <row r="48" spans="1:138" x14ac:dyDescent="0.2">
      <c r="A48" s="1">
        <v>2019</v>
      </c>
      <c r="B48" s="1">
        <v>11</v>
      </c>
      <c r="C48" s="220">
        <v>0.55111111111111133</v>
      </c>
      <c r="D48" s="220">
        <v>583.46666666666658</v>
      </c>
      <c r="E48" s="220">
        <v>0</v>
      </c>
      <c r="F48" s="220">
        <v>523.4666666666667</v>
      </c>
      <c r="G48" s="220">
        <v>0</v>
      </c>
      <c r="H48" s="220">
        <v>463.4666666666667</v>
      </c>
      <c r="I48" s="220">
        <v>0</v>
      </c>
      <c r="J48" s="220">
        <v>403.4666666666667</v>
      </c>
      <c r="K48" s="220">
        <v>0</v>
      </c>
      <c r="L48" s="220">
        <v>343.46666666666664</v>
      </c>
      <c r="M48" s="220">
        <v>0</v>
      </c>
      <c r="N48" s="220">
        <v>283.46666666666664</v>
      </c>
      <c r="O48" s="220">
        <v>0</v>
      </c>
      <c r="P48" s="220">
        <v>223.46666666666667</v>
      </c>
      <c r="Q48" s="220">
        <v>0</v>
      </c>
      <c r="ED48" s="1" t="s">
        <v>66</v>
      </c>
      <c r="EE48" s="1">
        <v>14756065.612770099</v>
      </c>
      <c r="EF48" s="1" t="s">
        <v>67</v>
      </c>
      <c r="EG48" s="1">
        <v>1137774.8181764199</v>
      </c>
    </row>
    <row r="49" spans="1:138" x14ac:dyDescent="0.2">
      <c r="A49" s="1">
        <v>2019</v>
      </c>
      <c r="B49" s="1">
        <v>12</v>
      </c>
      <c r="C49" s="220">
        <v>-0.71391129032258105</v>
      </c>
      <c r="D49" s="220">
        <v>642.13125000000002</v>
      </c>
      <c r="E49" s="220">
        <v>0</v>
      </c>
      <c r="F49" s="220">
        <v>580.13125000000002</v>
      </c>
      <c r="G49" s="220">
        <v>0</v>
      </c>
      <c r="H49" s="220">
        <v>518.13125000000002</v>
      </c>
      <c r="I49" s="220">
        <v>0</v>
      </c>
      <c r="J49" s="220">
        <v>456.13125000000002</v>
      </c>
      <c r="K49" s="220">
        <v>0</v>
      </c>
      <c r="L49" s="220">
        <v>394.13125000000002</v>
      </c>
      <c r="M49" s="220">
        <v>0</v>
      </c>
      <c r="N49" s="220">
        <v>332.13125000000002</v>
      </c>
      <c r="O49" s="220">
        <v>0</v>
      </c>
      <c r="P49" s="220">
        <v>270.13124999999991</v>
      </c>
      <c r="Q49" s="220">
        <v>0</v>
      </c>
    </row>
    <row r="50" spans="1:138" x14ac:dyDescent="0.2">
      <c r="A50" s="1">
        <v>2020</v>
      </c>
      <c r="B50" s="1">
        <v>1</v>
      </c>
      <c r="C50" s="220">
        <v>-1.4294354838709677</v>
      </c>
      <c r="D50" s="220">
        <v>664.31249999999989</v>
      </c>
      <c r="E50" s="220">
        <v>0</v>
      </c>
      <c r="F50" s="220">
        <v>602.31249999999977</v>
      </c>
      <c r="G50" s="220">
        <v>0</v>
      </c>
      <c r="H50" s="220">
        <v>540.3125</v>
      </c>
      <c r="I50" s="220">
        <v>0</v>
      </c>
      <c r="J50" s="220">
        <v>478.31249999999994</v>
      </c>
      <c r="K50" s="220">
        <v>0</v>
      </c>
      <c r="L50" s="220">
        <v>416.31249999999994</v>
      </c>
      <c r="M50" s="220">
        <v>0</v>
      </c>
      <c r="N50" s="220">
        <v>354.31249999999989</v>
      </c>
      <c r="O50" s="220">
        <v>0</v>
      </c>
      <c r="P50" s="220">
        <v>292.3125</v>
      </c>
      <c r="Q50" s="220">
        <v>0</v>
      </c>
    </row>
    <row r="51" spans="1:138" x14ac:dyDescent="0.2">
      <c r="A51" s="1">
        <v>2020</v>
      </c>
      <c r="B51" s="1">
        <v>2</v>
      </c>
      <c r="C51" s="220">
        <v>-3.1040229885057466</v>
      </c>
      <c r="D51" s="220">
        <v>670.01666666666654</v>
      </c>
      <c r="E51" s="220">
        <v>0</v>
      </c>
      <c r="F51" s="220">
        <v>612.01666666666665</v>
      </c>
      <c r="G51" s="220">
        <v>0</v>
      </c>
      <c r="H51" s="220">
        <v>554.01666666666665</v>
      </c>
      <c r="I51" s="220">
        <v>0</v>
      </c>
      <c r="J51" s="220">
        <v>496.01666666666659</v>
      </c>
      <c r="K51" s="220">
        <v>0</v>
      </c>
      <c r="L51" s="220">
        <v>438.01666666666665</v>
      </c>
      <c r="M51" s="220">
        <v>0</v>
      </c>
      <c r="N51" s="220">
        <v>380.01666666666665</v>
      </c>
      <c r="O51" s="220">
        <v>0</v>
      </c>
      <c r="P51" s="220">
        <v>322.01666666666665</v>
      </c>
      <c r="Q51" s="220">
        <v>0</v>
      </c>
    </row>
    <row r="52" spans="1:138" x14ac:dyDescent="0.2">
      <c r="A52" s="1">
        <v>2020</v>
      </c>
      <c r="B52" s="1">
        <v>3</v>
      </c>
      <c r="C52" s="220">
        <v>2.8154569892473114</v>
      </c>
      <c r="D52" s="220">
        <v>532.72083333333342</v>
      </c>
      <c r="E52" s="220">
        <v>0</v>
      </c>
      <c r="F52" s="220">
        <v>470.72083333333336</v>
      </c>
      <c r="G52" s="220">
        <v>0</v>
      </c>
      <c r="H52" s="220">
        <v>408.72083333333325</v>
      </c>
      <c r="I52" s="220">
        <v>0</v>
      </c>
      <c r="J52" s="220">
        <v>346.7208333333333</v>
      </c>
      <c r="K52" s="220">
        <v>0</v>
      </c>
      <c r="L52" s="220">
        <v>284.72083333333325</v>
      </c>
      <c r="M52" s="220">
        <v>0</v>
      </c>
      <c r="N52" s="220">
        <v>223.76666666666662</v>
      </c>
      <c r="O52" s="220">
        <v>1.0458333333333343</v>
      </c>
      <c r="P52" s="220">
        <v>165.75416666666669</v>
      </c>
      <c r="Q52" s="220">
        <v>5.0333333333333332</v>
      </c>
    </row>
    <row r="53" spans="1:138" x14ac:dyDescent="0.2">
      <c r="A53" s="1">
        <v>2020</v>
      </c>
      <c r="B53" s="1">
        <v>4</v>
      </c>
      <c r="C53" s="220">
        <v>5.1643055555555559</v>
      </c>
      <c r="D53" s="220">
        <v>445.07083333333321</v>
      </c>
      <c r="E53" s="220">
        <v>0</v>
      </c>
      <c r="F53" s="220">
        <v>385.07083333333333</v>
      </c>
      <c r="G53" s="220">
        <v>0</v>
      </c>
      <c r="H53" s="220">
        <v>325.07083333333333</v>
      </c>
      <c r="I53" s="220">
        <v>0</v>
      </c>
      <c r="J53" s="220">
        <v>265.07083333333338</v>
      </c>
      <c r="K53" s="220">
        <v>0</v>
      </c>
      <c r="L53" s="220">
        <v>205.07083333333335</v>
      </c>
      <c r="M53" s="220">
        <v>0</v>
      </c>
      <c r="N53" s="220">
        <v>149.02500000000001</v>
      </c>
      <c r="O53" s="220">
        <v>3.9541666666666657</v>
      </c>
      <c r="P53" s="220">
        <v>97.537499999999966</v>
      </c>
      <c r="Q53" s="220">
        <v>12.466666666666667</v>
      </c>
    </row>
    <row r="54" spans="1:138" x14ac:dyDescent="0.2">
      <c r="A54" s="1">
        <v>2020</v>
      </c>
      <c r="B54" s="1">
        <v>5</v>
      </c>
      <c r="C54" s="220">
        <v>12.008736559139784</v>
      </c>
      <c r="D54" s="220">
        <v>259.70833333333331</v>
      </c>
      <c r="E54" s="220">
        <v>11.979166666666657</v>
      </c>
      <c r="F54" s="220">
        <v>207.87083333333328</v>
      </c>
      <c r="G54" s="220">
        <v>22.141666666666659</v>
      </c>
      <c r="H54" s="220">
        <v>160.06249999999997</v>
      </c>
      <c r="I54" s="220">
        <v>36.333333333333314</v>
      </c>
      <c r="J54" s="220">
        <v>117.34583333333333</v>
      </c>
      <c r="K54" s="220">
        <v>55.616666666666646</v>
      </c>
      <c r="L54" s="220">
        <v>82.520833333333329</v>
      </c>
      <c r="M54" s="220">
        <v>82.791666666666657</v>
      </c>
      <c r="N54" s="220">
        <v>55.441666666666677</v>
      </c>
      <c r="O54" s="220">
        <v>117.71249999999999</v>
      </c>
      <c r="P54" s="220">
        <v>32.854166666666664</v>
      </c>
      <c r="Q54" s="220">
        <v>157.12499999999997</v>
      </c>
    </row>
    <row r="55" spans="1:138" x14ac:dyDescent="0.2">
      <c r="A55" s="1">
        <v>2020</v>
      </c>
      <c r="B55" s="1">
        <v>6</v>
      </c>
      <c r="C55" s="220">
        <v>19.448472222222218</v>
      </c>
      <c r="D55" s="220">
        <v>47.600000000000009</v>
      </c>
      <c r="E55" s="220">
        <v>31.054166666666653</v>
      </c>
      <c r="F55" s="220">
        <v>25.245833333333337</v>
      </c>
      <c r="G55" s="220">
        <v>68.699999999999989</v>
      </c>
      <c r="H55" s="220">
        <v>11.395833333333332</v>
      </c>
      <c r="I55" s="220">
        <v>114.84999999999997</v>
      </c>
      <c r="J55" s="220">
        <v>3.7708333333333339</v>
      </c>
      <c r="K55" s="220">
        <v>167.22499999999997</v>
      </c>
      <c r="L55" s="220">
        <v>0</v>
      </c>
      <c r="M55" s="220">
        <v>223.45416666666662</v>
      </c>
      <c r="N55" s="220">
        <v>0</v>
      </c>
      <c r="O55" s="220">
        <v>283.45416666666665</v>
      </c>
      <c r="P55" s="220">
        <v>0</v>
      </c>
      <c r="Q55" s="220">
        <v>343.45416666666665</v>
      </c>
      <c r="ED55" s="1" t="s">
        <v>399</v>
      </c>
    </row>
    <row r="56" spans="1:138" x14ac:dyDescent="0.2">
      <c r="A56" s="1">
        <v>2020</v>
      </c>
      <c r="B56" s="1">
        <v>7</v>
      </c>
      <c r="C56" s="220">
        <v>23.220967741935489</v>
      </c>
      <c r="D56" s="220">
        <v>1.3625000000000007</v>
      </c>
      <c r="E56" s="220">
        <v>101.21250000000006</v>
      </c>
      <c r="F56" s="220">
        <v>0</v>
      </c>
      <c r="G56" s="220">
        <v>161.85000000000008</v>
      </c>
      <c r="H56" s="220">
        <v>0</v>
      </c>
      <c r="I56" s="220">
        <v>223.85000000000002</v>
      </c>
      <c r="J56" s="220">
        <v>0</v>
      </c>
      <c r="K56" s="220">
        <v>285.85000000000008</v>
      </c>
      <c r="L56" s="220">
        <v>0</v>
      </c>
      <c r="M56" s="220">
        <v>347.85000000000008</v>
      </c>
      <c r="N56" s="220">
        <v>0</v>
      </c>
      <c r="O56" s="220">
        <v>409.85000000000008</v>
      </c>
      <c r="P56" s="220">
        <v>0</v>
      </c>
      <c r="Q56" s="220">
        <v>471.85000000000008</v>
      </c>
      <c r="ED56" s="1" t="s">
        <v>180</v>
      </c>
    </row>
    <row r="57" spans="1:138" x14ac:dyDescent="0.2">
      <c r="A57" s="1">
        <v>2020</v>
      </c>
      <c r="B57" s="1">
        <v>8</v>
      </c>
      <c r="C57" s="220">
        <v>20.436962365591402</v>
      </c>
      <c r="D57" s="220">
        <v>22.308333333333337</v>
      </c>
      <c r="E57" s="220">
        <v>35.854166666666686</v>
      </c>
      <c r="F57" s="220">
        <v>3.3250000000000028</v>
      </c>
      <c r="G57" s="220">
        <v>78.870833333333351</v>
      </c>
      <c r="H57" s="220">
        <v>0</v>
      </c>
      <c r="I57" s="220">
        <v>137.54583333333335</v>
      </c>
      <c r="J57" s="220">
        <v>0</v>
      </c>
      <c r="K57" s="220">
        <v>199.54583333333341</v>
      </c>
      <c r="L57" s="220">
        <v>0</v>
      </c>
      <c r="M57" s="220">
        <v>261.54583333333341</v>
      </c>
      <c r="N57" s="220">
        <v>0</v>
      </c>
      <c r="O57" s="220">
        <v>323.54583333333323</v>
      </c>
      <c r="P57" s="220">
        <v>0</v>
      </c>
      <c r="Q57" s="220">
        <v>385.54583333333335</v>
      </c>
      <c r="ED57" s="1" t="s">
        <v>400</v>
      </c>
    </row>
    <row r="58" spans="1:138" x14ac:dyDescent="0.2">
      <c r="A58" s="1">
        <v>2020</v>
      </c>
      <c r="B58" s="1">
        <v>9</v>
      </c>
      <c r="C58" s="220">
        <v>15.530277777777776</v>
      </c>
      <c r="D58" s="220">
        <v>137.5333333333333</v>
      </c>
      <c r="E58" s="220">
        <v>3.4416666666666629</v>
      </c>
      <c r="F58" s="220">
        <v>88.633333333333326</v>
      </c>
      <c r="G58" s="220">
        <v>14.541666666666668</v>
      </c>
      <c r="H58" s="220">
        <v>51.81666666666667</v>
      </c>
      <c r="I58" s="220">
        <v>37.725000000000009</v>
      </c>
      <c r="J58" s="220">
        <v>25.787499999999994</v>
      </c>
      <c r="K58" s="220">
        <v>71.695833333333354</v>
      </c>
      <c r="L58" s="220">
        <v>9.6500000000000057</v>
      </c>
      <c r="M58" s="220">
        <v>115.55833333333335</v>
      </c>
      <c r="N58" s="220">
        <v>2.929166666666668</v>
      </c>
      <c r="O58" s="220">
        <v>168.83750000000003</v>
      </c>
      <c r="P58" s="220">
        <v>0.13333333333333375</v>
      </c>
      <c r="Q58" s="220">
        <v>226.04166666666671</v>
      </c>
    </row>
    <row r="59" spans="1:138" x14ac:dyDescent="0.2">
      <c r="A59" s="1">
        <v>2020</v>
      </c>
      <c r="B59" s="1">
        <v>10</v>
      </c>
      <c r="C59" s="220">
        <v>8.7920026881720439</v>
      </c>
      <c r="D59" s="220">
        <v>347.44791666666663</v>
      </c>
      <c r="E59" s="220">
        <v>0</v>
      </c>
      <c r="F59" s="220">
        <v>285.44791666666663</v>
      </c>
      <c r="G59" s="220">
        <v>0</v>
      </c>
      <c r="H59" s="220">
        <v>223.65625</v>
      </c>
      <c r="I59" s="220">
        <v>0.2083333333333357</v>
      </c>
      <c r="J59" s="220">
        <v>165.45833333333334</v>
      </c>
      <c r="K59" s="220">
        <v>4.0104166666666714</v>
      </c>
      <c r="L59" s="220">
        <v>112.08750000000001</v>
      </c>
      <c r="M59" s="220">
        <v>12.639583333333345</v>
      </c>
      <c r="N59" s="220">
        <v>69.74166666666666</v>
      </c>
      <c r="O59" s="220">
        <v>32.293750000000017</v>
      </c>
      <c r="P59" s="220">
        <v>37.6875</v>
      </c>
      <c r="Q59" s="220">
        <v>62.239583333333357</v>
      </c>
      <c r="EE59" s="1" t="s">
        <v>61</v>
      </c>
      <c r="EF59" s="1" t="s">
        <v>62</v>
      </c>
      <c r="EG59" s="1" t="s">
        <v>63</v>
      </c>
      <c r="EH59" s="1" t="s">
        <v>64</v>
      </c>
    </row>
    <row r="60" spans="1:138" x14ac:dyDescent="0.2">
      <c r="A60" s="1">
        <v>2020</v>
      </c>
      <c r="B60" s="1">
        <v>11</v>
      </c>
      <c r="C60" s="220">
        <v>6.1381944444444425</v>
      </c>
      <c r="D60" s="220">
        <v>415.85416666666657</v>
      </c>
      <c r="E60" s="220">
        <v>0</v>
      </c>
      <c r="F60" s="220">
        <v>355.85416666666663</v>
      </c>
      <c r="G60" s="220">
        <v>0</v>
      </c>
      <c r="H60" s="220">
        <v>296.94583333333333</v>
      </c>
      <c r="I60" s="220">
        <v>1.091666666666665</v>
      </c>
      <c r="J60" s="220">
        <v>238.94583333333335</v>
      </c>
      <c r="K60" s="220">
        <v>3.091666666666665</v>
      </c>
      <c r="L60" s="220">
        <v>184.32083333333333</v>
      </c>
      <c r="M60" s="220">
        <v>8.4666666666666615</v>
      </c>
      <c r="N60" s="220">
        <v>140.25833333333333</v>
      </c>
      <c r="O60" s="220">
        <v>24.404166666666669</v>
      </c>
      <c r="P60" s="220">
        <v>100.12083333333332</v>
      </c>
      <c r="Q60" s="220">
        <v>44.266666666666666</v>
      </c>
      <c r="ED60" s="1" t="s">
        <v>65</v>
      </c>
      <c r="EE60" s="1">
        <v>66646817.550756402</v>
      </c>
      <c r="EF60" s="1">
        <v>863357.94706119294</v>
      </c>
      <c r="EG60" s="1">
        <v>77.194885131499902</v>
      </c>
      <c r="EH60" s="226">
        <v>3.2968034448738601E-102</v>
      </c>
    </row>
    <row r="61" spans="1:138" x14ac:dyDescent="0.2">
      <c r="A61" s="1">
        <v>2020</v>
      </c>
      <c r="B61" s="1">
        <v>12</v>
      </c>
      <c r="C61" s="220">
        <v>-0.69670698924731178</v>
      </c>
      <c r="D61" s="220">
        <v>641.59791666666649</v>
      </c>
      <c r="E61" s="220">
        <v>0</v>
      </c>
      <c r="F61" s="220">
        <v>579.59791666666661</v>
      </c>
      <c r="G61" s="220">
        <v>0</v>
      </c>
      <c r="H61" s="220">
        <v>517.59791666666661</v>
      </c>
      <c r="I61" s="220">
        <v>0</v>
      </c>
      <c r="J61" s="220">
        <v>455.59791666666672</v>
      </c>
      <c r="K61" s="220">
        <v>0</v>
      </c>
      <c r="L61" s="220">
        <v>393.59791666666666</v>
      </c>
      <c r="M61" s="220">
        <v>0</v>
      </c>
      <c r="N61" s="220">
        <v>331.59791666666666</v>
      </c>
      <c r="O61" s="220">
        <v>0</v>
      </c>
      <c r="P61" s="220">
        <v>269.59791666666672</v>
      </c>
      <c r="Q61" s="220">
        <v>0</v>
      </c>
      <c r="ED61" s="1" t="s">
        <v>142</v>
      </c>
      <c r="EE61" s="1">
        <v>18240.419871577898</v>
      </c>
      <c r="EF61" s="1">
        <v>2875.2603108767898</v>
      </c>
      <c r="EG61" s="1">
        <v>6.3439194714219402</v>
      </c>
      <c r="EH61" s="226">
        <v>4.38418390850035E-9</v>
      </c>
    </row>
    <row r="62" spans="1:138" x14ac:dyDescent="0.2">
      <c r="A62" s="1">
        <v>2021</v>
      </c>
      <c r="B62" s="1">
        <v>1</v>
      </c>
      <c r="C62" s="220">
        <v>-2.9006720430107529</v>
      </c>
      <c r="D62" s="220">
        <v>709.92083333333335</v>
      </c>
      <c r="E62" s="220">
        <v>0</v>
      </c>
      <c r="F62" s="220">
        <v>647.92083333333335</v>
      </c>
      <c r="G62" s="220">
        <v>0</v>
      </c>
      <c r="H62" s="220">
        <v>585.92083333333335</v>
      </c>
      <c r="I62" s="220">
        <v>0</v>
      </c>
      <c r="J62" s="220">
        <v>523.92083333333335</v>
      </c>
      <c r="K62" s="220">
        <v>0</v>
      </c>
      <c r="L62" s="220">
        <v>461.92083333333329</v>
      </c>
      <c r="M62" s="220">
        <v>0</v>
      </c>
      <c r="N62" s="220">
        <v>399.92083333333329</v>
      </c>
      <c r="O62" s="220">
        <v>0</v>
      </c>
      <c r="P62" s="220">
        <v>337.92083333333329</v>
      </c>
      <c r="Q62" s="220">
        <v>0</v>
      </c>
      <c r="ED62" s="1" t="s">
        <v>31</v>
      </c>
      <c r="EE62" s="1">
        <v>50112.476175636599</v>
      </c>
      <c r="EF62" s="1">
        <v>4177.3657791715405</v>
      </c>
      <c r="EG62" s="1">
        <v>11.9961906198157</v>
      </c>
      <c r="EH62" s="226">
        <v>4.1448027234876699E-22</v>
      </c>
    </row>
    <row r="63" spans="1:138" x14ac:dyDescent="0.2">
      <c r="A63" s="1">
        <v>2021</v>
      </c>
      <c r="B63" s="1">
        <v>2</v>
      </c>
      <c r="C63" s="220">
        <v>-6.375</v>
      </c>
      <c r="D63" s="220">
        <v>738.5</v>
      </c>
      <c r="E63" s="220">
        <v>0</v>
      </c>
      <c r="F63" s="220">
        <v>682.5</v>
      </c>
      <c r="G63" s="220">
        <v>0</v>
      </c>
      <c r="H63" s="220">
        <v>626.5</v>
      </c>
      <c r="I63" s="220">
        <v>0</v>
      </c>
      <c r="J63" s="220">
        <v>570.50000000000011</v>
      </c>
      <c r="K63" s="220">
        <v>0</v>
      </c>
      <c r="L63" s="220">
        <v>514.5</v>
      </c>
      <c r="M63" s="220">
        <v>0</v>
      </c>
      <c r="N63" s="220">
        <v>458.50000000000006</v>
      </c>
      <c r="O63" s="220">
        <v>0</v>
      </c>
      <c r="P63" s="220">
        <v>402.50000000000006</v>
      </c>
      <c r="Q63" s="220">
        <v>0</v>
      </c>
    </row>
    <row r="64" spans="1:138" x14ac:dyDescent="0.2">
      <c r="A64" s="1">
        <v>2021</v>
      </c>
      <c r="B64" s="1">
        <v>3</v>
      </c>
      <c r="C64" s="220">
        <v>3.4170698924731178</v>
      </c>
      <c r="D64" s="220">
        <v>514.07083333333333</v>
      </c>
      <c r="E64" s="220">
        <v>0</v>
      </c>
      <c r="F64" s="220">
        <v>452.07083333333338</v>
      </c>
      <c r="G64" s="220">
        <v>0</v>
      </c>
      <c r="H64" s="220">
        <v>390.07083333333338</v>
      </c>
      <c r="I64" s="220">
        <v>0</v>
      </c>
      <c r="J64" s="220">
        <v>328.07083333333333</v>
      </c>
      <c r="K64" s="220">
        <v>0</v>
      </c>
      <c r="L64" s="220">
        <v>270.91250000000002</v>
      </c>
      <c r="M64" s="220">
        <v>4.8416666666666686</v>
      </c>
      <c r="N64" s="220">
        <v>215.92500000000001</v>
      </c>
      <c r="O64" s="220">
        <v>11.854166666666668</v>
      </c>
      <c r="P64" s="220">
        <v>166.11666666666665</v>
      </c>
      <c r="Q64" s="220">
        <v>24.045833333333334</v>
      </c>
      <c r="ED64" s="1" t="s">
        <v>152</v>
      </c>
    </row>
    <row r="65" spans="1:137" x14ac:dyDescent="0.2">
      <c r="A65" s="1">
        <v>2021</v>
      </c>
      <c r="B65" s="1">
        <v>4</v>
      </c>
      <c r="C65" s="220">
        <v>7.7619444444444428</v>
      </c>
      <c r="D65" s="220">
        <v>367.14166666666665</v>
      </c>
      <c r="E65" s="220">
        <v>0</v>
      </c>
      <c r="F65" s="220">
        <v>307.14166666666665</v>
      </c>
      <c r="G65" s="220">
        <v>0</v>
      </c>
      <c r="H65" s="220">
        <v>248.47500000000002</v>
      </c>
      <c r="I65" s="220">
        <v>1.3333333333333286</v>
      </c>
      <c r="J65" s="220">
        <v>195.19166666666669</v>
      </c>
      <c r="K65" s="220">
        <v>8.0499999999999954</v>
      </c>
      <c r="L65" s="220">
        <v>148.07083333333335</v>
      </c>
      <c r="M65" s="220">
        <v>20.929166666666667</v>
      </c>
      <c r="N65" s="220">
        <v>106.03333333333333</v>
      </c>
      <c r="O65" s="220">
        <v>38.891666666666659</v>
      </c>
      <c r="P65" s="220">
        <v>69.625000000000014</v>
      </c>
      <c r="Q65" s="220">
        <v>62.483333333333327</v>
      </c>
      <c r="ED65" s="1" t="s">
        <v>68</v>
      </c>
      <c r="EE65" s="226">
        <v>949869455100496</v>
      </c>
      <c r="EF65" s="1" t="s">
        <v>69</v>
      </c>
      <c r="EG65" s="1">
        <v>2849305.5910671102</v>
      </c>
    </row>
    <row r="66" spans="1:137" x14ac:dyDescent="0.2">
      <c r="A66" s="1">
        <v>2021</v>
      </c>
      <c r="B66" s="1">
        <v>5</v>
      </c>
      <c r="C66" s="220">
        <v>13.140524193548389</v>
      </c>
      <c r="D66" s="220">
        <v>224.60833333333335</v>
      </c>
      <c r="E66" s="220">
        <v>11.96458333333333</v>
      </c>
      <c r="F66" s="220">
        <v>176.10416666666669</v>
      </c>
      <c r="G66" s="220">
        <v>25.460416666666667</v>
      </c>
      <c r="H66" s="220">
        <v>133.16666666666669</v>
      </c>
      <c r="I66" s="220">
        <v>44.52291666666666</v>
      </c>
      <c r="J66" s="220">
        <v>93.4375</v>
      </c>
      <c r="K66" s="220">
        <v>66.793749999999989</v>
      </c>
      <c r="L66" s="220">
        <v>60.229166666666664</v>
      </c>
      <c r="M66" s="220">
        <v>95.585416666666632</v>
      </c>
      <c r="N66" s="220">
        <v>34.38333333333334</v>
      </c>
      <c r="O66" s="220">
        <v>131.73958333333331</v>
      </c>
      <c r="P66" s="220">
        <v>14.616666666666664</v>
      </c>
      <c r="Q66" s="220">
        <v>173.97291666666666</v>
      </c>
      <c r="ED66" s="1" t="s">
        <v>70</v>
      </c>
      <c r="EE66" s="1">
        <v>0.71091321357401704</v>
      </c>
      <c r="EF66" s="1" t="s">
        <v>71</v>
      </c>
      <c r="EG66" s="1">
        <v>0.70597155910519704</v>
      </c>
    </row>
    <row r="67" spans="1:137" x14ac:dyDescent="0.2">
      <c r="A67" s="1">
        <v>2021</v>
      </c>
      <c r="B67" s="1">
        <v>6</v>
      </c>
      <c r="C67" s="220">
        <v>20.590972222222224</v>
      </c>
      <c r="D67" s="220">
        <v>34.541666666666664</v>
      </c>
      <c r="E67" s="220">
        <v>52.270833333333357</v>
      </c>
      <c r="F67" s="220">
        <v>15.86666666666666</v>
      </c>
      <c r="G67" s="220">
        <v>93.595833333333346</v>
      </c>
      <c r="H67" s="220">
        <v>4.779166666666665</v>
      </c>
      <c r="I67" s="220">
        <v>142.50833333333335</v>
      </c>
      <c r="J67" s="220">
        <v>1.1083333333333361</v>
      </c>
      <c r="K67" s="220">
        <v>198.83750000000006</v>
      </c>
      <c r="L67" s="220">
        <v>0</v>
      </c>
      <c r="M67" s="220">
        <v>257.72916666666674</v>
      </c>
      <c r="N67" s="220">
        <v>0</v>
      </c>
      <c r="O67" s="220">
        <v>317.72916666666669</v>
      </c>
      <c r="P67" s="220">
        <v>0</v>
      </c>
      <c r="Q67" s="220">
        <v>377.72916666666674</v>
      </c>
      <c r="ED67" s="1" t="s">
        <v>396</v>
      </c>
      <c r="EE67" s="1">
        <v>146.23614044795499</v>
      </c>
      <c r="EF67" s="1" t="s">
        <v>72</v>
      </c>
      <c r="EG67" s="226">
        <v>1.49189828351732E-32</v>
      </c>
    </row>
    <row r="68" spans="1:137" x14ac:dyDescent="0.2">
      <c r="A68" s="1">
        <v>2021</v>
      </c>
      <c r="B68" s="1">
        <v>7</v>
      </c>
      <c r="C68" s="220">
        <v>20.239583333333336</v>
      </c>
      <c r="D68" s="220">
        <v>27.74375000000002</v>
      </c>
      <c r="E68" s="220">
        <v>35.170833333333334</v>
      </c>
      <c r="F68" s="220">
        <v>6.0229166666666707</v>
      </c>
      <c r="G68" s="220">
        <v>75.45</v>
      </c>
      <c r="H68" s="220">
        <v>0</v>
      </c>
      <c r="I68" s="220">
        <v>131.42708333333331</v>
      </c>
      <c r="J68" s="220">
        <v>0</v>
      </c>
      <c r="K68" s="220">
        <v>193.42708333333331</v>
      </c>
      <c r="L68" s="220">
        <v>0</v>
      </c>
      <c r="M68" s="220">
        <v>255.42708333333331</v>
      </c>
      <c r="N68" s="220">
        <v>0</v>
      </c>
      <c r="O68" s="220">
        <v>317.42708333333331</v>
      </c>
      <c r="P68" s="220">
        <v>0</v>
      </c>
      <c r="Q68" s="220">
        <v>379.42708333333337</v>
      </c>
      <c r="ED68" s="1" t="s">
        <v>73</v>
      </c>
      <c r="EE68" s="1">
        <v>-0.40886961170615899</v>
      </c>
      <c r="EF68" s="1" t="s">
        <v>74</v>
      </c>
      <c r="EG68" s="1">
        <v>2.8040990861518398</v>
      </c>
    </row>
    <row r="69" spans="1:137" x14ac:dyDescent="0.2">
      <c r="A69" s="1">
        <v>2021</v>
      </c>
      <c r="B69" s="1">
        <v>8</v>
      </c>
      <c r="C69" s="220">
        <v>21.554771505376344</v>
      </c>
      <c r="D69" s="220">
        <v>14.214583333333341</v>
      </c>
      <c r="E69" s="220">
        <v>62.41249999999998</v>
      </c>
      <c r="F69" s="220">
        <v>2.7687500000000078</v>
      </c>
      <c r="G69" s="220">
        <v>112.96666666666667</v>
      </c>
      <c r="H69" s="220">
        <v>0</v>
      </c>
      <c r="I69" s="220">
        <v>172.19791666666666</v>
      </c>
      <c r="J69" s="220">
        <v>0</v>
      </c>
      <c r="K69" s="220">
        <v>234.19791666666669</v>
      </c>
      <c r="L69" s="220">
        <v>0</v>
      </c>
      <c r="M69" s="220">
        <v>296.19791666666657</v>
      </c>
      <c r="N69" s="220">
        <v>0</v>
      </c>
      <c r="O69" s="220">
        <v>358.19791666666657</v>
      </c>
      <c r="P69" s="220">
        <v>0</v>
      </c>
      <c r="Q69" s="220">
        <v>420.19791666666663</v>
      </c>
    </row>
    <row r="70" spans="1:137" x14ac:dyDescent="0.2">
      <c r="A70" s="1">
        <v>2021</v>
      </c>
      <c r="B70" s="1">
        <v>9</v>
      </c>
      <c r="C70" s="220">
        <v>16.66041666666667</v>
      </c>
      <c r="D70" s="220">
        <v>102.52500000000001</v>
      </c>
      <c r="E70" s="220">
        <v>2.3375000000000021</v>
      </c>
      <c r="F70" s="220">
        <v>56.387499999999989</v>
      </c>
      <c r="G70" s="220">
        <v>16.200000000000006</v>
      </c>
      <c r="H70" s="220">
        <v>25.479166666666657</v>
      </c>
      <c r="I70" s="220">
        <v>45.291666666666671</v>
      </c>
      <c r="J70" s="220">
        <v>6.8624999999999954</v>
      </c>
      <c r="K70" s="220">
        <v>86.675000000000011</v>
      </c>
      <c r="L70" s="220">
        <v>0.15000000000000036</v>
      </c>
      <c r="M70" s="220">
        <v>139.96249999999998</v>
      </c>
      <c r="N70" s="220">
        <v>0</v>
      </c>
      <c r="O70" s="220">
        <v>199.81249999999994</v>
      </c>
      <c r="P70" s="220">
        <v>0</v>
      </c>
      <c r="Q70" s="220">
        <v>259.8125</v>
      </c>
      <c r="W70" s="229"/>
      <c r="ED70" s="1" t="s">
        <v>361</v>
      </c>
    </row>
    <row r="71" spans="1:137" x14ac:dyDescent="0.2">
      <c r="A71" s="1">
        <v>2021</v>
      </c>
      <c r="B71" s="1">
        <v>10</v>
      </c>
      <c r="C71" s="220">
        <v>13.037096774193548</v>
      </c>
      <c r="D71" s="220">
        <v>215.85</v>
      </c>
      <c r="E71" s="220">
        <v>0</v>
      </c>
      <c r="F71" s="220">
        <v>158.2208333333333</v>
      </c>
      <c r="G71" s="220">
        <v>4.3708333333333336</v>
      </c>
      <c r="H71" s="220">
        <v>114.46666666666667</v>
      </c>
      <c r="I71" s="220">
        <v>22.616666666666678</v>
      </c>
      <c r="J71" s="220">
        <v>80.245833333333309</v>
      </c>
      <c r="K71" s="220">
        <v>50.395833333333336</v>
      </c>
      <c r="L71" s="220">
        <v>51.204166666666659</v>
      </c>
      <c r="M71" s="220">
        <v>83.354166666666686</v>
      </c>
      <c r="N71" s="220">
        <v>26.791666666666664</v>
      </c>
      <c r="O71" s="220">
        <v>120.94166666666669</v>
      </c>
      <c r="P71" s="220">
        <v>10.4375</v>
      </c>
      <c r="Q71" s="220">
        <v>166.58749999999998</v>
      </c>
      <c r="W71" s="229"/>
      <c r="ED71" s="1" t="s">
        <v>66</v>
      </c>
      <c r="EE71" s="1">
        <v>72738785.226792097</v>
      </c>
      <c r="EF71" s="1" t="s">
        <v>67</v>
      </c>
      <c r="EG71" s="1">
        <v>5253811.1036303798</v>
      </c>
    </row>
    <row r="72" spans="1:137" x14ac:dyDescent="0.2">
      <c r="A72" s="1">
        <v>2021</v>
      </c>
      <c r="B72" s="1">
        <v>11</v>
      </c>
      <c r="C72" s="220">
        <v>3.0640277777777767</v>
      </c>
      <c r="D72" s="220">
        <v>508.07916666666659</v>
      </c>
      <c r="E72" s="220">
        <v>0</v>
      </c>
      <c r="F72" s="220">
        <v>448.07916666666659</v>
      </c>
      <c r="G72" s="220">
        <v>0</v>
      </c>
      <c r="H72" s="220">
        <v>388.07916666666659</v>
      </c>
      <c r="I72" s="220">
        <v>0</v>
      </c>
      <c r="J72" s="220">
        <v>328.07916666666665</v>
      </c>
      <c r="K72" s="220">
        <v>0</v>
      </c>
      <c r="L72" s="220">
        <v>268.07916666666665</v>
      </c>
      <c r="M72" s="220">
        <v>0</v>
      </c>
      <c r="N72" s="220">
        <v>208.07916666666665</v>
      </c>
      <c r="O72" s="220">
        <v>0</v>
      </c>
      <c r="P72" s="220">
        <v>153.4</v>
      </c>
      <c r="Q72" s="220">
        <v>5.3208333333333329</v>
      </c>
      <c r="W72" s="229"/>
      <c r="CN72" s="228"/>
      <c r="CO72" s="228"/>
      <c r="CX72" s="228"/>
      <c r="CY72" s="228"/>
    </row>
    <row r="73" spans="1:137" x14ac:dyDescent="0.2">
      <c r="A73" s="1">
        <v>2021</v>
      </c>
      <c r="B73" s="1">
        <v>12</v>
      </c>
      <c r="C73" s="220">
        <v>0.99448924731182786</v>
      </c>
      <c r="D73" s="220">
        <v>589.17083333333335</v>
      </c>
      <c r="E73" s="220">
        <v>0</v>
      </c>
      <c r="F73" s="220">
        <v>527.17083333333335</v>
      </c>
      <c r="G73" s="220">
        <v>0</v>
      </c>
      <c r="H73" s="220">
        <v>465.17083333333329</v>
      </c>
      <c r="I73" s="220">
        <v>0</v>
      </c>
      <c r="J73" s="220">
        <v>403.17083333333323</v>
      </c>
      <c r="K73" s="220">
        <v>0</v>
      </c>
      <c r="L73" s="220">
        <v>341.17083333333323</v>
      </c>
      <c r="M73" s="220">
        <v>0</v>
      </c>
      <c r="N73" s="220">
        <v>280.55</v>
      </c>
      <c r="O73" s="220">
        <v>1.3791666666666647</v>
      </c>
      <c r="P73" s="220">
        <v>220.5500000000001</v>
      </c>
      <c r="Q73" s="220">
        <v>3.3791666666666647</v>
      </c>
      <c r="W73" s="229"/>
      <c r="CM73" s="228"/>
      <c r="CN73" s="229"/>
      <c r="CO73" s="229"/>
      <c r="CP73" s="229"/>
      <c r="CQ73" s="229"/>
      <c r="CR73" s="229"/>
      <c r="CS73" s="229"/>
      <c r="CT73" s="229"/>
      <c r="CU73" s="229"/>
      <c r="CV73" s="229"/>
      <c r="CW73" s="229"/>
      <c r="CX73" s="229"/>
      <c r="CY73" s="229"/>
      <c r="CZ73" s="229"/>
      <c r="DA73" s="229"/>
      <c r="DN73" s="55"/>
      <c r="DO73" s="55"/>
    </row>
    <row r="74" spans="1:137" x14ac:dyDescent="0.2">
      <c r="A74" s="1">
        <v>2022</v>
      </c>
      <c r="B74" s="1">
        <v>1</v>
      </c>
      <c r="C74" s="220">
        <v>-7.9393817204301067</v>
      </c>
      <c r="D74" s="220">
        <v>866.12083333333339</v>
      </c>
      <c r="E74" s="220">
        <v>0</v>
      </c>
      <c r="F74" s="220">
        <v>804.12083333333339</v>
      </c>
      <c r="G74" s="220">
        <v>0</v>
      </c>
      <c r="H74" s="220">
        <v>742.12083333333339</v>
      </c>
      <c r="I74" s="220">
        <v>0</v>
      </c>
      <c r="J74" s="220">
        <v>680.12083333333328</v>
      </c>
      <c r="K74" s="220">
        <v>0</v>
      </c>
      <c r="L74" s="220">
        <v>618.12083333333339</v>
      </c>
      <c r="M74" s="220">
        <v>0</v>
      </c>
      <c r="N74" s="220">
        <v>556.12083333333328</v>
      </c>
      <c r="O74" s="220">
        <v>0</v>
      </c>
      <c r="P74" s="220">
        <v>494.12083333333328</v>
      </c>
      <c r="Q74" s="220">
        <v>0</v>
      </c>
      <c r="W74" s="229"/>
      <c r="CM74" s="228"/>
      <c r="CN74" s="229"/>
      <c r="CO74" s="229"/>
      <c r="CP74" s="229"/>
      <c r="CQ74" s="229"/>
      <c r="CR74" s="229"/>
      <c r="CS74" s="229"/>
      <c r="CT74" s="229"/>
      <c r="CU74" s="229"/>
      <c r="CV74" s="229"/>
      <c r="CW74" s="229"/>
      <c r="CX74" s="229"/>
      <c r="CY74" s="229"/>
      <c r="CZ74" s="229"/>
      <c r="DA74" s="229"/>
    </row>
    <row r="75" spans="1:137" x14ac:dyDescent="0.2">
      <c r="A75" s="1">
        <v>2022</v>
      </c>
      <c r="B75" s="1">
        <v>2</v>
      </c>
      <c r="C75" s="220">
        <v>-4.8768601190476186</v>
      </c>
      <c r="D75" s="220">
        <v>696.55208333333348</v>
      </c>
      <c r="E75" s="220">
        <v>0</v>
      </c>
      <c r="F75" s="220">
        <v>640.55208333333348</v>
      </c>
      <c r="G75" s="220">
        <v>0</v>
      </c>
      <c r="H75" s="220">
        <v>584.55208333333337</v>
      </c>
      <c r="I75" s="220">
        <v>0</v>
      </c>
      <c r="J75" s="220">
        <v>528.55208333333337</v>
      </c>
      <c r="K75" s="220">
        <v>0</v>
      </c>
      <c r="L75" s="220">
        <v>472.55208333333331</v>
      </c>
      <c r="M75" s="220">
        <v>0</v>
      </c>
      <c r="N75" s="220">
        <v>416.55208333333331</v>
      </c>
      <c r="O75" s="220">
        <v>0</v>
      </c>
      <c r="P75" s="220">
        <v>360.55208333333331</v>
      </c>
      <c r="Q75" s="220">
        <v>0</v>
      </c>
      <c r="W75" s="229"/>
      <c r="CM75" s="228"/>
      <c r="CN75" s="229"/>
      <c r="CO75" s="229"/>
      <c r="CP75" s="229"/>
      <c r="CQ75" s="229"/>
      <c r="CR75" s="229"/>
      <c r="CS75" s="229"/>
      <c r="CT75" s="229"/>
      <c r="CU75" s="229"/>
      <c r="CV75" s="229"/>
      <c r="CW75" s="229"/>
      <c r="CX75" s="229"/>
      <c r="CY75" s="229"/>
      <c r="CZ75" s="229"/>
      <c r="DA75" s="229"/>
    </row>
    <row r="76" spans="1:137" x14ac:dyDescent="0.2">
      <c r="A76" s="1">
        <v>2022</v>
      </c>
      <c r="B76" s="1">
        <v>3</v>
      </c>
      <c r="C76" s="220">
        <v>0.70288978494623688</v>
      </c>
      <c r="D76" s="220">
        <v>598.21041666666656</v>
      </c>
      <c r="E76" s="220">
        <v>0</v>
      </c>
      <c r="F76" s="220">
        <v>536.21041666666656</v>
      </c>
      <c r="G76" s="220">
        <v>0</v>
      </c>
      <c r="H76" s="220">
        <v>474.21041666666667</v>
      </c>
      <c r="I76" s="220">
        <v>0</v>
      </c>
      <c r="J76" s="220">
        <v>412.21041666666667</v>
      </c>
      <c r="K76" s="220">
        <v>0</v>
      </c>
      <c r="L76" s="220">
        <v>350.21041666666667</v>
      </c>
      <c r="M76" s="220">
        <v>0</v>
      </c>
      <c r="N76" s="220">
        <v>288.21041666666667</v>
      </c>
      <c r="O76" s="220">
        <v>0</v>
      </c>
      <c r="P76" s="220">
        <v>231.35208333333333</v>
      </c>
      <c r="Q76" s="220">
        <v>5.1416666666666675</v>
      </c>
      <c r="W76" s="229"/>
      <c r="CM76" s="228"/>
      <c r="CN76" s="229"/>
      <c r="CO76" s="229"/>
      <c r="CP76" s="229"/>
      <c r="CQ76" s="229"/>
      <c r="CR76" s="229"/>
      <c r="CS76" s="229"/>
      <c r="CT76" s="229"/>
      <c r="CU76" s="229"/>
      <c r="CV76" s="229"/>
      <c r="CW76" s="229"/>
      <c r="CX76" s="229"/>
      <c r="CY76" s="229"/>
      <c r="CZ76" s="229"/>
      <c r="DA76" s="229"/>
    </row>
    <row r="77" spans="1:137" x14ac:dyDescent="0.2">
      <c r="A77" s="1">
        <v>2022</v>
      </c>
      <c r="B77" s="1">
        <v>4</v>
      </c>
      <c r="C77" s="220">
        <v>5.7362500000000001</v>
      </c>
      <c r="D77" s="220">
        <v>427.91249999999997</v>
      </c>
      <c r="E77" s="220">
        <v>0</v>
      </c>
      <c r="F77" s="220">
        <v>367.91249999999997</v>
      </c>
      <c r="G77" s="220">
        <v>0</v>
      </c>
      <c r="H77" s="220">
        <v>307.91249999999997</v>
      </c>
      <c r="I77" s="220">
        <v>0</v>
      </c>
      <c r="J77" s="220">
        <v>250.45416666666662</v>
      </c>
      <c r="K77" s="220">
        <v>2.5416666666666696</v>
      </c>
      <c r="L77" s="220">
        <v>196.37083333333328</v>
      </c>
      <c r="M77" s="220">
        <v>8.4583333333333357</v>
      </c>
      <c r="N77" s="220">
        <v>144.5958333333333</v>
      </c>
      <c r="O77" s="220">
        <v>16.683333333333337</v>
      </c>
      <c r="P77" s="220">
        <v>100.91666666666667</v>
      </c>
      <c r="Q77" s="220">
        <v>33.00416666666667</v>
      </c>
      <c r="W77" s="229"/>
      <c r="CM77" s="228"/>
      <c r="CN77" s="229"/>
      <c r="CO77" s="229"/>
      <c r="CP77" s="229"/>
      <c r="CQ77" s="229"/>
      <c r="CR77" s="229"/>
      <c r="CS77" s="229"/>
      <c r="CT77" s="229"/>
      <c r="CU77" s="229"/>
      <c r="CV77" s="229"/>
      <c r="CW77" s="229"/>
      <c r="CX77" s="229"/>
      <c r="CY77" s="229"/>
      <c r="CZ77" s="229"/>
      <c r="DA77" s="229"/>
    </row>
    <row r="78" spans="1:137" x14ac:dyDescent="0.2">
      <c r="A78" s="1">
        <v>2022</v>
      </c>
      <c r="B78" s="1">
        <v>5</v>
      </c>
      <c r="C78" s="220">
        <v>15.18125</v>
      </c>
      <c r="D78" s="220">
        <v>159.17708333333337</v>
      </c>
      <c r="E78" s="220">
        <v>9.7958333333333272</v>
      </c>
      <c r="F78" s="220">
        <v>115.30833333333334</v>
      </c>
      <c r="G78" s="220">
        <v>27.927083333333336</v>
      </c>
      <c r="H78" s="220">
        <v>77.116666666666688</v>
      </c>
      <c r="I78" s="220">
        <v>51.73541666666668</v>
      </c>
      <c r="J78" s="220">
        <v>44.104166666666664</v>
      </c>
      <c r="K78" s="220">
        <v>80.722916666666649</v>
      </c>
      <c r="L78" s="220">
        <v>19.479166666666664</v>
      </c>
      <c r="M78" s="220">
        <v>118.09791666666665</v>
      </c>
      <c r="N78" s="220">
        <v>2.9666666666666668</v>
      </c>
      <c r="O78" s="220">
        <v>163.58541666666665</v>
      </c>
      <c r="P78" s="220">
        <v>0</v>
      </c>
      <c r="Q78" s="220">
        <v>222.61874999999995</v>
      </c>
      <c r="W78" s="229"/>
      <c r="AA78" s="44"/>
      <c r="AB78" s="44"/>
      <c r="AC78" s="44"/>
      <c r="AD78" s="44"/>
      <c r="AE78" s="44"/>
      <c r="AF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CM78" s="228"/>
      <c r="CN78" s="229"/>
      <c r="CO78" s="229"/>
      <c r="CP78" s="229"/>
      <c r="CQ78" s="229"/>
      <c r="CR78" s="229"/>
      <c r="CS78" s="229"/>
      <c r="CT78" s="229"/>
      <c r="CU78" s="229"/>
      <c r="CV78" s="229"/>
      <c r="CW78" s="229"/>
      <c r="CX78" s="229"/>
      <c r="CY78" s="229"/>
      <c r="CZ78" s="229"/>
      <c r="DA78" s="229"/>
    </row>
    <row r="79" spans="1:137" x14ac:dyDescent="0.2">
      <c r="A79" s="1">
        <v>2022</v>
      </c>
      <c r="B79" s="1">
        <v>6</v>
      </c>
      <c r="C79" s="220">
        <v>18.728402777777781</v>
      </c>
      <c r="D79" s="220">
        <v>72.906249999999986</v>
      </c>
      <c r="E79" s="220">
        <v>34.758333333333326</v>
      </c>
      <c r="F79" s="220">
        <v>37.135416666666671</v>
      </c>
      <c r="G79" s="220">
        <v>58.987499999999997</v>
      </c>
      <c r="H79" s="220">
        <v>11.835416666666665</v>
      </c>
      <c r="I79" s="220">
        <v>93.6875</v>
      </c>
      <c r="J79" s="220">
        <v>0.97291666666666998</v>
      </c>
      <c r="K79" s="220">
        <v>142.82500000000002</v>
      </c>
      <c r="L79" s="220">
        <v>0</v>
      </c>
      <c r="M79" s="220">
        <v>201.85208333333333</v>
      </c>
      <c r="N79" s="220">
        <v>0</v>
      </c>
      <c r="O79" s="220">
        <v>261.85208333333327</v>
      </c>
      <c r="P79" s="220">
        <v>0</v>
      </c>
      <c r="Q79" s="220">
        <v>321.85208333333327</v>
      </c>
      <c r="W79" s="229"/>
      <c r="AA79" s="44"/>
      <c r="AB79" s="44"/>
      <c r="AC79" s="44"/>
      <c r="AD79" s="44"/>
      <c r="AE79" s="44"/>
      <c r="AF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CM79" s="228"/>
      <c r="CN79" s="229"/>
      <c r="CO79" s="229"/>
      <c r="CP79" s="229"/>
      <c r="CQ79" s="229"/>
      <c r="CR79" s="229"/>
      <c r="CS79" s="229"/>
      <c r="CT79" s="229"/>
      <c r="CU79" s="229"/>
      <c r="CV79" s="229"/>
      <c r="CW79" s="229"/>
      <c r="CX79" s="229"/>
      <c r="CY79" s="229"/>
      <c r="CZ79" s="229"/>
      <c r="DA79" s="229"/>
    </row>
    <row r="80" spans="1:137" x14ac:dyDescent="0.2">
      <c r="A80" s="1">
        <v>2022</v>
      </c>
      <c r="B80" s="1">
        <v>7</v>
      </c>
      <c r="C80" s="220">
        <v>21.255913978494618</v>
      </c>
      <c r="D80" s="220">
        <v>8.5125000000000135</v>
      </c>
      <c r="E80" s="220">
        <v>47.44583333333334</v>
      </c>
      <c r="F80" s="220">
        <v>0.14166666666666217</v>
      </c>
      <c r="G80" s="220">
        <v>101.075</v>
      </c>
      <c r="H80" s="220">
        <v>0</v>
      </c>
      <c r="I80" s="220">
        <v>162.93333333333334</v>
      </c>
      <c r="J80" s="220">
        <v>0</v>
      </c>
      <c r="K80" s="220">
        <v>224.93333333333328</v>
      </c>
      <c r="L80" s="220">
        <v>0</v>
      </c>
      <c r="M80" s="220">
        <v>286.93333333333339</v>
      </c>
      <c r="N80" s="220">
        <v>0</v>
      </c>
      <c r="O80" s="220">
        <v>348.93333333333334</v>
      </c>
      <c r="P80" s="220">
        <v>0</v>
      </c>
      <c r="Q80" s="220">
        <v>410.93333333333339</v>
      </c>
      <c r="W80" s="229"/>
      <c r="CM80" s="228"/>
      <c r="CN80" s="229"/>
      <c r="CO80" s="229"/>
      <c r="CP80" s="229"/>
      <c r="CQ80" s="229"/>
      <c r="CR80" s="229"/>
      <c r="CS80" s="229"/>
      <c r="CT80" s="229"/>
      <c r="CU80" s="229"/>
      <c r="CV80" s="229"/>
      <c r="CW80" s="229"/>
      <c r="CX80" s="229"/>
      <c r="CY80" s="229"/>
      <c r="CZ80" s="229"/>
      <c r="DA80" s="229"/>
    </row>
    <row r="81" spans="1:110" x14ac:dyDescent="0.2">
      <c r="A81" s="1">
        <v>2022</v>
      </c>
      <c r="B81" s="1">
        <v>8</v>
      </c>
      <c r="C81" s="220">
        <v>20.718682795698921</v>
      </c>
      <c r="D81" s="220">
        <v>13.745833333333337</v>
      </c>
      <c r="E81" s="220">
        <v>36.024999999999991</v>
      </c>
      <c r="F81" s="220">
        <v>1.0333333333333314</v>
      </c>
      <c r="G81" s="220">
        <v>85.312499999999972</v>
      </c>
      <c r="H81" s="220">
        <v>0</v>
      </c>
      <c r="I81" s="220">
        <v>146.27916666666667</v>
      </c>
      <c r="J81" s="220">
        <v>0</v>
      </c>
      <c r="K81" s="220">
        <v>208.27916666666667</v>
      </c>
      <c r="L81" s="220">
        <v>0</v>
      </c>
      <c r="M81" s="220">
        <v>270.27916666666675</v>
      </c>
      <c r="N81" s="220">
        <v>0</v>
      </c>
      <c r="O81" s="220">
        <v>332.27916666666675</v>
      </c>
      <c r="P81" s="220">
        <v>0</v>
      </c>
      <c r="Q81" s="220">
        <v>394.27916666666664</v>
      </c>
      <c r="W81" s="229"/>
      <c r="CM81" s="228"/>
      <c r="CN81" s="229"/>
      <c r="CO81" s="229"/>
      <c r="CP81" s="229"/>
      <c r="CQ81" s="229"/>
      <c r="CR81" s="229"/>
      <c r="CS81" s="229"/>
      <c r="CT81" s="229"/>
      <c r="CU81" s="229"/>
      <c r="CV81" s="229"/>
      <c r="CW81" s="229"/>
      <c r="CX81" s="229"/>
      <c r="CY81" s="229"/>
      <c r="CZ81" s="229"/>
      <c r="DA81" s="229"/>
    </row>
    <row r="82" spans="1:110" x14ac:dyDescent="0.2">
      <c r="A82" s="1">
        <v>2022</v>
      </c>
      <c r="B82" s="1">
        <v>9</v>
      </c>
      <c r="C82" s="220">
        <v>16.580277777777781</v>
      </c>
      <c r="D82" s="220">
        <v>109.90833333333333</v>
      </c>
      <c r="E82" s="220">
        <v>7.3166666666666629</v>
      </c>
      <c r="F82" s="220">
        <v>68.80416666666666</v>
      </c>
      <c r="G82" s="220">
        <v>26.212499999999999</v>
      </c>
      <c r="H82" s="220">
        <v>45.320833333333333</v>
      </c>
      <c r="I82" s="220">
        <v>62.729166666666657</v>
      </c>
      <c r="J82" s="220">
        <v>24.349999999999994</v>
      </c>
      <c r="K82" s="220">
        <v>101.75833333333333</v>
      </c>
      <c r="L82" s="220">
        <v>8.1375000000000011</v>
      </c>
      <c r="M82" s="220">
        <v>145.54583333333335</v>
      </c>
      <c r="N82" s="220">
        <v>0.26250000000000107</v>
      </c>
      <c r="O82" s="220">
        <v>197.67083333333335</v>
      </c>
      <c r="P82" s="220">
        <v>0</v>
      </c>
      <c r="Q82" s="220">
        <v>257.40833333333336</v>
      </c>
      <c r="W82" s="229"/>
      <c r="CM82" s="228"/>
      <c r="CN82" s="229"/>
      <c r="CO82" s="229"/>
      <c r="CP82" s="229"/>
      <c r="CQ82" s="229"/>
      <c r="CR82" s="229"/>
      <c r="CS82" s="229"/>
      <c r="CT82" s="229"/>
      <c r="CU82" s="229"/>
      <c r="CV82" s="229"/>
      <c r="CW82" s="229"/>
      <c r="CX82" s="229"/>
      <c r="CY82" s="229"/>
      <c r="CZ82" s="229"/>
      <c r="DA82" s="229"/>
    </row>
    <row r="83" spans="1:110" x14ac:dyDescent="0.2">
      <c r="A83" s="1">
        <v>2022</v>
      </c>
      <c r="B83" s="1">
        <v>10</v>
      </c>
      <c r="C83" s="220">
        <v>9.6606182795698938</v>
      </c>
      <c r="D83" s="220">
        <v>320.52083333333326</v>
      </c>
      <c r="E83" s="220">
        <v>0</v>
      </c>
      <c r="F83" s="220">
        <v>258.52083333333331</v>
      </c>
      <c r="G83" s="220">
        <v>0</v>
      </c>
      <c r="H83" s="220">
        <v>196.92083333333329</v>
      </c>
      <c r="I83" s="220">
        <v>0.40000000000000213</v>
      </c>
      <c r="J83" s="220">
        <v>138.87083333333328</v>
      </c>
      <c r="K83" s="220">
        <v>4.3500000000000014</v>
      </c>
      <c r="L83" s="220">
        <v>91.854166666666643</v>
      </c>
      <c r="M83" s="220">
        <v>19.333333333333336</v>
      </c>
      <c r="N83" s="220">
        <v>52.683333333333337</v>
      </c>
      <c r="O83" s="220">
        <v>42.162500000000001</v>
      </c>
      <c r="P83" s="220">
        <v>24.558333333333337</v>
      </c>
      <c r="Q83" s="220">
        <v>76.037500000000023</v>
      </c>
      <c r="W83" s="229"/>
      <c r="CM83" s="228"/>
      <c r="CN83" s="229"/>
      <c r="CO83" s="229"/>
      <c r="CP83" s="229"/>
      <c r="CQ83" s="229"/>
      <c r="CR83" s="229"/>
      <c r="CS83" s="229"/>
      <c r="CT83" s="229"/>
      <c r="CU83" s="229"/>
      <c r="CV83" s="229"/>
      <c r="CW83" s="229"/>
      <c r="CX83" s="229"/>
      <c r="CY83" s="229"/>
      <c r="CZ83" s="229"/>
      <c r="DA83" s="229"/>
    </row>
    <row r="84" spans="1:110" x14ac:dyDescent="0.2">
      <c r="A84" s="1">
        <v>2022</v>
      </c>
      <c r="B84" s="1">
        <v>11</v>
      </c>
      <c r="C84" s="220">
        <v>4.6245833333333328</v>
      </c>
      <c r="D84" s="220">
        <v>461.26249999999993</v>
      </c>
      <c r="E84" s="220">
        <v>0</v>
      </c>
      <c r="F84" s="220">
        <v>401.49583333333328</v>
      </c>
      <c r="G84" s="220">
        <v>0.23333333333333073</v>
      </c>
      <c r="H84" s="220">
        <v>343.49583333333334</v>
      </c>
      <c r="I84" s="220">
        <v>2.2333333333333307</v>
      </c>
      <c r="J84" s="220">
        <v>285.52916666666664</v>
      </c>
      <c r="K84" s="220">
        <v>4.2666666666666639</v>
      </c>
      <c r="L84" s="220">
        <v>231.7916666666666</v>
      </c>
      <c r="M84" s="220">
        <v>10.529166666666663</v>
      </c>
      <c r="N84" s="220">
        <v>183.33333333333329</v>
      </c>
      <c r="O84" s="220">
        <v>22.070833333333333</v>
      </c>
      <c r="P84" s="220">
        <v>138.65</v>
      </c>
      <c r="Q84" s="220">
        <v>37.387500000000003</v>
      </c>
      <c r="W84" s="229"/>
      <c r="CM84" s="228"/>
      <c r="CN84" s="229"/>
      <c r="CO84" s="229"/>
      <c r="CP84" s="229"/>
      <c r="CQ84" s="229"/>
      <c r="CR84" s="229"/>
      <c r="CS84" s="229"/>
      <c r="CT84" s="229"/>
      <c r="CU84" s="229"/>
      <c r="CV84" s="229"/>
      <c r="CW84" s="229"/>
      <c r="CX84" s="229"/>
      <c r="CY84" s="229"/>
      <c r="CZ84" s="229"/>
      <c r="DA84" s="229"/>
    </row>
    <row r="85" spans="1:110" x14ac:dyDescent="0.2">
      <c r="A85" s="1">
        <v>2022</v>
      </c>
      <c r="B85" s="1">
        <v>12</v>
      </c>
      <c r="C85" s="220">
        <v>-1.1427419354838708</v>
      </c>
      <c r="D85" s="220">
        <v>655.42499999999984</v>
      </c>
      <c r="E85" s="220">
        <v>0</v>
      </c>
      <c r="F85" s="220">
        <v>593.42499999999984</v>
      </c>
      <c r="G85" s="220">
        <v>0</v>
      </c>
      <c r="H85" s="220">
        <v>531.42499999999995</v>
      </c>
      <c r="I85" s="220">
        <v>0</v>
      </c>
      <c r="J85" s="220">
        <v>469.42500000000007</v>
      </c>
      <c r="K85" s="220">
        <v>0</v>
      </c>
      <c r="L85" s="220">
        <v>407.42500000000013</v>
      </c>
      <c r="M85" s="220">
        <v>0</v>
      </c>
      <c r="N85" s="220">
        <v>345.42500000000013</v>
      </c>
      <c r="O85" s="220">
        <v>0</v>
      </c>
      <c r="P85" s="220">
        <v>285.38749999999999</v>
      </c>
      <c r="Q85" s="220">
        <v>1.9625000000000004</v>
      </c>
      <c r="W85" s="229"/>
      <c r="CN85" s="228"/>
      <c r="CO85" s="228"/>
    </row>
    <row r="86" spans="1:110" x14ac:dyDescent="0.2">
      <c r="A86" s="1">
        <v>2023</v>
      </c>
      <c r="B86" s="1">
        <v>1</v>
      </c>
      <c r="C86" s="220">
        <v>-1.0178763440860215</v>
      </c>
      <c r="D86" s="220">
        <v>651.55416666666667</v>
      </c>
      <c r="E86" s="220">
        <v>0</v>
      </c>
      <c r="F86" s="220">
        <v>589.55416666666667</v>
      </c>
      <c r="G86" s="220">
        <v>0</v>
      </c>
      <c r="H86" s="220">
        <v>527.55416666666667</v>
      </c>
      <c r="I86" s="220">
        <v>0</v>
      </c>
      <c r="J86" s="220">
        <v>465.55416666666667</v>
      </c>
      <c r="K86" s="220">
        <v>0</v>
      </c>
      <c r="L86" s="220">
        <v>403.55416666666662</v>
      </c>
      <c r="M86" s="220">
        <v>0</v>
      </c>
      <c r="N86" s="220">
        <v>341.55416666666667</v>
      </c>
      <c r="O86" s="220">
        <v>0</v>
      </c>
      <c r="P86" s="220">
        <v>279.55416666666667</v>
      </c>
      <c r="Q86" s="220">
        <v>0</v>
      </c>
      <c r="W86" s="229"/>
    </row>
    <row r="87" spans="1:110" x14ac:dyDescent="0.2">
      <c r="A87" s="1">
        <v>2023</v>
      </c>
      <c r="B87" s="1">
        <v>2</v>
      </c>
      <c r="C87" s="220">
        <v>-1.4720238095238096</v>
      </c>
      <c r="D87" s="220">
        <v>601.21666666666681</v>
      </c>
      <c r="E87" s="220">
        <v>0</v>
      </c>
      <c r="F87" s="220">
        <v>545.2166666666667</v>
      </c>
      <c r="G87" s="220">
        <v>0</v>
      </c>
      <c r="H87" s="220">
        <v>489.21666666666664</v>
      </c>
      <c r="I87" s="220">
        <v>0</v>
      </c>
      <c r="J87" s="220">
        <v>433.21666666666664</v>
      </c>
      <c r="K87" s="220">
        <v>0</v>
      </c>
      <c r="L87" s="220">
        <v>377.21666666666658</v>
      </c>
      <c r="M87" s="220">
        <v>0</v>
      </c>
      <c r="N87" s="220">
        <v>321.21666666666658</v>
      </c>
      <c r="O87" s="220">
        <v>0</v>
      </c>
      <c r="P87" s="220">
        <v>266.54583333333329</v>
      </c>
      <c r="Q87" s="220">
        <v>1.3291666666666657</v>
      </c>
    </row>
    <row r="88" spans="1:110" x14ac:dyDescent="0.2">
      <c r="A88" s="1">
        <v>2023</v>
      </c>
      <c r="B88" s="1">
        <v>3</v>
      </c>
      <c r="C88" s="220">
        <v>0.19206989247311826</v>
      </c>
      <c r="D88" s="220">
        <v>614.04583333333323</v>
      </c>
      <c r="E88" s="220">
        <v>0</v>
      </c>
      <c r="F88" s="220">
        <v>552.04583333333323</v>
      </c>
      <c r="G88" s="220">
        <v>0</v>
      </c>
      <c r="H88" s="220">
        <v>490.04583333333318</v>
      </c>
      <c r="I88" s="220">
        <v>0</v>
      </c>
      <c r="J88" s="220">
        <v>428.04583333333323</v>
      </c>
      <c r="K88" s="220">
        <v>0</v>
      </c>
      <c r="L88" s="220">
        <v>366.04583333333329</v>
      </c>
      <c r="M88" s="220">
        <v>0</v>
      </c>
      <c r="N88" s="220">
        <v>304.04583333333341</v>
      </c>
      <c r="O88" s="220">
        <v>0</v>
      </c>
      <c r="P88" s="220">
        <v>242.04583333333335</v>
      </c>
      <c r="Q88" s="220">
        <v>0</v>
      </c>
    </row>
    <row r="89" spans="1:110" x14ac:dyDescent="0.2">
      <c r="A89" s="1">
        <v>2023</v>
      </c>
      <c r="B89" s="1">
        <v>4</v>
      </c>
      <c r="C89" s="220">
        <v>8.3259722222222177</v>
      </c>
      <c r="D89" s="220">
        <v>350.69166666666666</v>
      </c>
      <c r="E89" s="220">
        <v>0.47083333333333499</v>
      </c>
      <c r="F89" s="220">
        <v>294.47500000000002</v>
      </c>
      <c r="G89" s="220">
        <v>4.2541666666666806</v>
      </c>
      <c r="H89" s="220">
        <v>242.47500000000005</v>
      </c>
      <c r="I89" s="220">
        <v>12.254166666666681</v>
      </c>
      <c r="J89" s="220">
        <v>192.73750000000004</v>
      </c>
      <c r="K89" s="220">
        <v>22.516666666666687</v>
      </c>
      <c r="L89" s="220">
        <v>144.73750000000001</v>
      </c>
      <c r="M89" s="220">
        <v>34.51666666666668</v>
      </c>
      <c r="N89" s="220">
        <v>97.987499999999983</v>
      </c>
      <c r="O89" s="220">
        <v>47.766666666666687</v>
      </c>
      <c r="P89" s="220">
        <v>57.670833333333334</v>
      </c>
      <c r="Q89" s="220">
        <v>67.450000000000017</v>
      </c>
    </row>
    <row r="90" spans="1:110" x14ac:dyDescent="0.2">
      <c r="A90" s="1">
        <v>2023</v>
      </c>
      <c r="B90" s="1">
        <v>5</v>
      </c>
      <c r="C90" s="220">
        <v>13.576209677419355</v>
      </c>
      <c r="D90" s="220">
        <v>203.40416666666667</v>
      </c>
      <c r="E90" s="220">
        <v>4.2666666666666586</v>
      </c>
      <c r="F90" s="220">
        <v>150.63750000000002</v>
      </c>
      <c r="G90" s="220">
        <v>13.499999999999986</v>
      </c>
      <c r="H90" s="220">
        <v>102.83333333333331</v>
      </c>
      <c r="I90" s="220">
        <v>27.695833333333315</v>
      </c>
      <c r="J90" s="220">
        <v>62.808333333333323</v>
      </c>
      <c r="K90" s="220">
        <v>49.670833333333306</v>
      </c>
      <c r="L90" s="220">
        <v>39.608333333333327</v>
      </c>
      <c r="M90" s="220">
        <v>88.470833333333317</v>
      </c>
      <c r="N90" s="220">
        <v>23.162499999999994</v>
      </c>
      <c r="O90" s="220">
        <v>134.02499999999998</v>
      </c>
      <c r="P90" s="220">
        <v>12.425000000000001</v>
      </c>
      <c r="Q90" s="220">
        <v>185.28749999999999</v>
      </c>
    </row>
    <row r="91" spans="1:110" x14ac:dyDescent="0.2">
      <c r="A91" s="1">
        <v>2023</v>
      </c>
      <c r="B91" s="1">
        <v>6</v>
      </c>
      <c r="C91" s="220">
        <v>18.276805555555555</v>
      </c>
      <c r="D91" s="220">
        <v>68.92083333333332</v>
      </c>
      <c r="E91" s="220">
        <v>17.224999999999994</v>
      </c>
      <c r="F91" s="220">
        <v>30.762499999999971</v>
      </c>
      <c r="G91" s="220">
        <v>39.066666666666649</v>
      </c>
      <c r="H91" s="220">
        <v>9.9166666666666519</v>
      </c>
      <c r="I91" s="220">
        <v>78.220833333333331</v>
      </c>
      <c r="J91" s="220">
        <v>1.8374999999999932</v>
      </c>
      <c r="K91" s="220">
        <v>130.14166666666665</v>
      </c>
      <c r="L91" s="220">
        <v>0</v>
      </c>
      <c r="M91" s="220">
        <v>188.3041666666667</v>
      </c>
      <c r="N91" s="220">
        <v>0</v>
      </c>
      <c r="O91" s="220">
        <v>248.30416666666665</v>
      </c>
      <c r="P91" s="220">
        <v>0</v>
      </c>
      <c r="Q91" s="220">
        <v>308.30416666666667</v>
      </c>
      <c r="W91" s="229"/>
      <c r="CR91" s="228"/>
      <c r="CS91" s="228"/>
      <c r="CT91" s="228"/>
      <c r="DC91" s="228"/>
      <c r="DD91" s="228"/>
    </row>
    <row r="92" spans="1:110" x14ac:dyDescent="0.2">
      <c r="A92" s="1">
        <v>2023</v>
      </c>
      <c r="B92" s="1">
        <v>7</v>
      </c>
      <c r="C92" s="220">
        <v>20.554838709677423</v>
      </c>
      <c r="D92" s="220">
        <v>15.633333333333322</v>
      </c>
      <c r="E92" s="220">
        <v>32.833333333333329</v>
      </c>
      <c r="F92" s="220">
        <v>1.87083333333333</v>
      </c>
      <c r="G92" s="220">
        <v>81.070833333333312</v>
      </c>
      <c r="H92" s="220">
        <v>0</v>
      </c>
      <c r="I92" s="220">
        <v>141.20000000000002</v>
      </c>
      <c r="J92" s="220">
        <v>0</v>
      </c>
      <c r="K92" s="220">
        <v>203.20000000000002</v>
      </c>
      <c r="L92" s="220">
        <v>0</v>
      </c>
      <c r="M92" s="220">
        <v>265.2</v>
      </c>
      <c r="N92" s="220">
        <v>0</v>
      </c>
      <c r="O92" s="220">
        <v>327.19999999999993</v>
      </c>
      <c r="P92" s="220">
        <v>0</v>
      </c>
      <c r="Q92" s="220">
        <v>389.20000000000005</v>
      </c>
      <c r="W92" s="229"/>
      <c r="CR92" s="228"/>
      <c r="CS92" s="229"/>
      <c r="CT92" s="229"/>
      <c r="CU92" s="229"/>
      <c r="CV92" s="229"/>
      <c r="CW92" s="229"/>
      <c r="CX92" s="229"/>
      <c r="CY92" s="229"/>
      <c r="CZ92" s="229"/>
      <c r="DA92" s="229"/>
      <c r="DB92" s="229"/>
      <c r="DC92" s="229"/>
      <c r="DD92" s="229"/>
      <c r="DE92" s="229"/>
      <c r="DF92" s="229"/>
    </row>
    <row r="93" spans="1:110" x14ac:dyDescent="0.2">
      <c r="A93" s="1">
        <v>2023</v>
      </c>
      <c r="B93" s="1">
        <v>8</v>
      </c>
      <c r="C93" s="220">
        <v>18.648118279569893</v>
      </c>
      <c r="D93" s="220">
        <v>52.10416666666665</v>
      </c>
      <c r="E93" s="220">
        <v>10.195833333333344</v>
      </c>
      <c r="F93" s="220">
        <v>19.533333333333324</v>
      </c>
      <c r="G93" s="220">
        <v>39.625000000000014</v>
      </c>
      <c r="H93" s="220">
        <v>4.5208333333333321</v>
      </c>
      <c r="I93" s="220">
        <v>86.612500000000011</v>
      </c>
      <c r="J93" s="220">
        <v>4.1666666666646535E-3</v>
      </c>
      <c r="K93" s="220">
        <v>144.09583333333336</v>
      </c>
      <c r="L93" s="220">
        <v>0</v>
      </c>
      <c r="M93" s="220">
        <v>206.09166666666664</v>
      </c>
      <c r="N93" s="220">
        <v>0</v>
      </c>
      <c r="O93" s="220">
        <v>268.09166666666664</v>
      </c>
      <c r="P93" s="220">
        <v>0</v>
      </c>
      <c r="Q93" s="220">
        <v>330.09166666666664</v>
      </c>
      <c r="W93" s="229"/>
      <c r="CR93" s="228"/>
      <c r="CS93" s="229"/>
      <c r="CT93" s="229"/>
      <c r="CU93" s="229"/>
      <c r="CV93" s="229"/>
      <c r="CW93" s="229"/>
      <c r="CX93" s="229"/>
      <c r="CY93" s="229"/>
      <c r="CZ93" s="229"/>
      <c r="DA93" s="229"/>
      <c r="DB93" s="229"/>
      <c r="DC93" s="229"/>
      <c r="DD93" s="229"/>
      <c r="DE93" s="229"/>
      <c r="DF93" s="229"/>
    </row>
    <row r="94" spans="1:110" x14ac:dyDescent="0.2">
      <c r="A94" s="1">
        <v>2023</v>
      </c>
      <c r="B94" s="1">
        <v>9</v>
      </c>
      <c r="C94" s="220">
        <v>16.901388888888889</v>
      </c>
      <c r="D94" s="220">
        <v>108.74583333333334</v>
      </c>
      <c r="E94" s="220">
        <v>15.787499999999994</v>
      </c>
      <c r="F94" s="220">
        <v>59.375</v>
      </c>
      <c r="G94" s="220">
        <v>26.416666666666657</v>
      </c>
      <c r="H94" s="220">
        <v>21.199999999999996</v>
      </c>
      <c r="I94" s="220">
        <v>48.241666666666646</v>
      </c>
      <c r="J94" s="220">
        <v>3.8624999999999901</v>
      </c>
      <c r="K94" s="220">
        <v>90.90416666666664</v>
      </c>
      <c r="L94" s="220">
        <v>0</v>
      </c>
      <c r="M94" s="220">
        <v>147.04166666666669</v>
      </c>
      <c r="N94" s="220">
        <v>0</v>
      </c>
      <c r="O94" s="220">
        <v>207.04166666666669</v>
      </c>
      <c r="P94" s="220">
        <v>0</v>
      </c>
      <c r="Q94" s="220">
        <v>267.04166666666663</v>
      </c>
      <c r="W94" s="229"/>
      <c r="CR94" s="228"/>
      <c r="CS94" s="229"/>
      <c r="CT94" s="229"/>
      <c r="CU94" s="229"/>
      <c r="CV94" s="229"/>
      <c r="CW94" s="229"/>
      <c r="CX94" s="229"/>
      <c r="CY94" s="229"/>
      <c r="CZ94" s="229"/>
      <c r="DA94" s="229"/>
      <c r="DB94" s="229"/>
      <c r="DC94" s="229"/>
      <c r="DD94" s="229"/>
      <c r="DE94" s="229"/>
      <c r="DF94" s="229"/>
    </row>
    <row r="95" spans="1:110" x14ac:dyDescent="0.2">
      <c r="A95" s="1">
        <v>2023</v>
      </c>
      <c r="B95" s="1">
        <v>10</v>
      </c>
      <c r="C95" s="220">
        <v>11.11478494623656</v>
      </c>
      <c r="D95" s="220">
        <v>275.44166666666666</v>
      </c>
      <c r="E95" s="220">
        <v>0</v>
      </c>
      <c r="F95" s="220">
        <v>219.74166666666665</v>
      </c>
      <c r="G95" s="220">
        <v>6.2999999999999936</v>
      </c>
      <c r="H95" s="220">
        <v>170.82499999999999</v>
      </c>
      <c r="I95" s="220">
        <v>19.383333333333326</v>
      </c>
      <c r="J95" s="220">
        <v>126.92083333333335</v>
      </c>
      <c r="K95" s="220">
        <v>37.479166666666657</v>
      </c>
      <c r="L95" s="220">
        <v>85.066666666666677</v>
      </c>
      <c r="M95" s="220">
        <v>57.625</v>
      </c>
      <c r="N95" s="220">
        <v>46.991666666666667</v>
      </c>
      <c r="O95" s="220">
        <v>81.55</v>
      </c>
      <c r="P95" s="220">
        <v>19.479166666666671</v>
      </c>
      <c r="Q95" s="220">
        <v>116.03750000000001</v>
      </c>
      <c r="W95" s="229"/>
      <c r="CR95" s="228"/>
      <c r="CS95" s="229"/>
      <c r="CT95" s="229"/>
      <c r="CU95" s="229"/>
      <c r="CV95" s="229"/>
      <c r="CW95" s="229"/>
      <c r="CX95" s="229"/>
      <c r="CY95" s="229"/>
      <c r="CZ95" s="229"/>
      <c r="DA95" s="229"/>
      <c r="DB95" s="229"/>
      <c r="DC95" s="229"/>
      <c r="DD95" s="229"/>
      <c r="DE95" s="229"/>
      <c r="DF95" s="229"/>
    </row>
    <row r="96" spans="1:110" x14ac:dyDescent="0.2">
      <c r="A96" s="1">
        <v>2023</v>
      </c>
      <c r="B96" s="1">
        <v>11</v>
      </c>
      <c r="C96" s="220">
        <v>3.2294444444444448</v>
      </c>
      <c r="D96" s="220">
        <v>503.11666666666662</v>
      </c>
      <c r="E96" s="220">
        <v>0</v>
      </c>
      <c r="F96" s="220">
        <v>443.11666666666662</v>
      </c>
      <c r="G96" s="220">
        <v>0</v>
      </c>
      <c r="H96" s="220">
        <v>383.11666666666667</v>
      </c>
      <c r="I96" s="220">
        <v>0</v>
      </c>
      <c r="J96" s="220">
        <v>323.11666666666673</v>
      </c>
      <c r="K96" s="220">
        <v>0</v>
      </c>
      <c r="L96" s="220">
        <v>263.11666666666667</v>
      </c>
      <c r="M96" s="220">
        <v>0</v>
      </c>
      <c r="N96" s="220">
        <v>203.11666666666667</v>
      </c>
      <c r="O96" s="220">
        <v>0</v>
      </c>
      <c r="P96" s="220">
        <v>146.61666666666667</v>
      </c>
      <c r="Q96" s="220">
        <v>3.5</v>
      </c>
      <c r="W96" s="229"/>
      <c r="CR96" s="228"/>
      <c r="CS96" s="229"/>
      <c r="CT96" s="229"/>
      <c r="CU96" s="229"/>
      <c r="CV96" s="229"/>
      <c r="CW96" s="229"/>
      <c r="CX96" s="229"/>
      <c r="CY96" s="229"/>
      <c r="CZ96" s="229"/>
      <c r="DA96" s="229"/>
      <c r="DB96" s="229"/>
      <c r="DC96" s="229"/>
      <c r="DD96" s="229"/>
      <c r="DE96" s="229"/>
      <c r="DF96" s="229"/>
    </row>
    <row r="97" spans="1:110" x14ac:dyDescent="0.2">
      <c r="A97" s="1">
        <v>2023</v>
      </c>
      <c r="B97" s="1">
        <v>12</v>
      </c>
      <c r="C97" s="220">
        <v>2.512768817204301</v>
      </c>
      <c r="D97" s="220">
        <v>542.10416666666663</v>
      </c>
      <c r="E97" s="220">
        <v>0</v>
      </c>
      <c r="F97" s="220">
        <v>480.10416666666674</v>
      </c>
      <c r="G97" s="220">
        <v>0</v>
      </c>
      <c r="H97" s="220">
        <v>418.10416666666674</v>
      </c>
      <c r="I97" s="220">
        <v>0</v>
      </c>
      <c r="J97" s="220">
        <v>356.10416666666674</v>
      </c>
      <c r="K97" s="220">
        <v>0</v>
      </c>
      <c r="L97" s="220">
        <v>294.10416666666669</v>
      </c>
      <c r="M97" s="220">
        <v>0</v>
      </c>
      <c r="N97" s="220">
        <v>232.7166666666667</v>
      </c>
      <c r="O97" s="220">
        <v>0.61250000000000071</v>
      </c>
      <c r="P97" s="220">
        <v>172.71666666666673</v>
      </c>
      <c r="Q97" s="220">
        <v>2.6125000000000007</v>
      </c>
      <c r="CR97" s="228"/>
      <c r="CS97" s="229"/>
      <c r="CT97" s="229"/>
      <c r="CU97" s="229"/>
      <c r="CV97" s="229"/>
      <c r="CW97" s="229"/>
      <c r="CX97" s="229"/>
      <c r="CY97" s="229"/>
      <c r="CZ97" s="229"/>
      <c r="DA97" s="229"/>
      <c r="DB97" s="229"/>
      <c r="DC97" s="229"/>
      <c r="DD97" s="229"/>
      <c r="DE97" s="229"/>
      <c r="DF97" s="229"/>
    </row>
    <row r="98" spans="1:110" x14ac:dyDescent="0.2">
      <c r="A98" s="1">
        <v>2024</v>
      </c>
      <c r="B98" s="1">
        <v>1</v>
      </c>
      <c r="C98" s="220">
        <v>-3.1178091397849466</v>
      </c>
      <c r="D98" s="220">
        <v>716.65208333333339</v>
      </c>
      <c r="E98" s="220">
        <v>0</v>
      </c>
      <c r="F98" s="220">
        <v>654.65208333333351</v>
      </c>
      <c r="G98" s="220">
        <v>0</v>
      </c>
      <c r="H98" s="220">
        <v>592.65208333333339</v>
      </c>
      <c r="I98" s="220">
        <v>0</v>
      </c>
      <c r="J98" s="220">
        <v>530.65208333333339</v>
      </c>
      <c r="K98" s="220">
        <v>0</v>
      </c>
      <c r="L98" s="220">
        <v>468.65208333333322</v>
      </c>
      <c r="M98" s="220">
        <v>0</v>
      </c>
      <c r="N98" s="220">
        <v>406.65208333333334</v>
      </c>
      <c r="O98" s="220">
        <v>0</v>
      </c>
      <c r="P98" s="220">
        <v>344.65208333333334</v>
      </c>
      <c r="Q98" s="220">
        <v>0</v>
      </c>
      <c r="CR98" s="228"/>
      <c r="CS98" s="229"/>
      <c r="CT98" s="229"/>
      <c r="CU98" s="229"/>
      <c r="CV98" s="229"/>
      <c r="CW98" s="229"/>
      <c r="CX98" s="229"/>
      <c r="CY98" s="229"/>
      <c r="CZ98" s="229"/>
      <c r="DA98" s="229"/>
      <c r="DB98" s="229"/>
      <c r="DC98" s="229"/>
      <c r="DD98" s="229"/>
      <c r="DE98" s="229"/>
      <c r="DF98" s="229"/>
    </row>
    <row r="99" spans="1:110" x14ac:dyDescent="0.2">
      <c r="A99" s="1">
        <v>2024</v>
      </c>
      <c r="B99" s="1">
        <v>2</v>
      </c>
      <c r="C99" s="220">
        <v>-4.0014367816091842E-2</v>
      </c>
      <c r="D99" s="220">
        <v>581.16041666666661</v>
      </c>
      <c r="E99" s="220">
        <v>0</v>
      </c>
      <c r="F99" s="220">
        <v>523.16041666666661</v>
      </c>
      <c r="G99" s="220">
        <v>0</v>
      </c>
      <c r="H99" s="220">
        <v>465.16041666666661</v>
      </c>
      <c r="I99" s="220">
        <v>0</v>
      </c>
      <c r="J99" s="220">
        <v>407.16041666666661</v>
      </c>
      <c r="K99" s="220">
        <v>0</v>
      </c>
      <c r="L99" s="220">
        <v>349.16041666666655</v>
      </c>
      <c r="M99" s="220">
        <v>0</v>
      </c>
      <c r="N99" s="220">
        <v>291.51874999999995</v>
      </c>
      <c r="O99" s="220">
        <v>0.35833333333333428</v>
      </c>
      <c r="P99" s="220">
        <v>235.97916666666674</v>
      </c>
      <c r="Q99" s="220">
        <v>2.8187500000000014</v>
      </c>
      <c r="CR99" s="228"/>
      <c r="CS99" s="229"/>
      <c r="CT99" s="229"/>
      <c r="CU99" s="229"/>
      <c r="CV99" s="229"/>
      <c r="CW99" s="229"/>
      <c r="CX99" s="229"/>
      <c r="CY99" s="229"/>
      <c r="CZ99" s="229"/>
      <c r="DA99" s="229"/>
      <c r="DB99" s="229"/>
      <c r="DC99" s="229"/>
      <c r="DD99" s="229"/>
      <c r="DE99" s="229"/>
      <c r="DF99" s="229"/>
    </row>
    <row r="100" spans="1:110" x14ac:dyDescent="0.2">
      <c r="A100" s="1">
        <v>2024</v>
      </c>
      <c r="B100" s="1">
        <v>3</v>
      </c>
      <c r="C100" s="220">
        <v>3.2760080645161289</v>
      </c>
      <c r="D100" s="220">
        <v>518.44375000000002</v>
      </c>
      <c r="E100" s="220">
        <v>0</v>
      </c>
      <c r="F100" s="220">
        <v>456.44375000000002</v>
      </c>
      <c r="G100" s="220">
        <v>0</v>
      </c>
      <c r="H100" s="220">
        <v>394.44375000000008</v>
      </c>
      <c r="I100" s="220">
        <v>0</v>
      </c>
      <c r="J100" s="220">
        <v>332.44375000000008</v>
      </c>
      <c r="K100" s="220">
        <v>0</v>
      </c>
      <c r="L100" s="220">
        <v>270.44375000000002</v>
      </c>
      <c r="M100" s="220">
        <v>0</v>
      </c>
      <c r="N100" s="220">
        <v>211.31666666666666</v>
      </c>
      <c r="O100" s="220">
        <v>2.8729166666666597</v>
      </c>
      <c r="P100" s="220">
        <v>156.82083333333335</v>
      </c>
      <c r="Q100" s="220">
        <v>10.377083333333326</v>
      </c>
      <c r="CR100" s="228"/>
      <c r="CS100" s="229"/>
      <c r="CT100" s="229"/>
      <c r="CU100" s="229"/>
      <c r="CV100" s="229"/>
      <c r="CW100" s="229"/>
      <c r="CX100" s="229"/>
      <c r="CY100" s="229"/>
      <c r="CZ100" s="229"/>
      <c r="DA100" s="229"/>
      <c r="DB100" s="229"/>
      <c r="DC100" s="229"/>
      <c r="DD100" s="229"/>
      <c r="DE100" s="229"/>
      <c r="DF100" s="229"/>
    </row>
    <row r="101" spans="1:110" x14ac:dyDescent="0.2">
      <c r="A101" s="1">
        <v>2024</v>
      </c>
      <c r="B101" s="1">
        <v>4</v>
      </c>
      <c r="C101" s="220">
        <v>9.0080555555555559</v>
      </c>
      <c r="D101" s="220">
        <v>329.75833333333321</v>
      </c>
      <c r="E101" s="220">
        <v>0</v>
      </c>
      <c r="F101" s="220">
        <v>269.75833333333333</v>
      </c>
      <c r="G101" s="220">
        <v>0</v>
      </c>
      <c r="H101" s="220">
        <v>212.34583333333333</v>
      </c>
      <c r="I101" s="220">
        <v>2.5875000000000021</v>
      </c>
      <c r="J101" s="220">
        <v>158.17500000000004</v>
      </c>
      <c r="K101" s="220">
        <v>8.4166666666666679</v>
      </c>
      <c r="L101" s="220">
        <v>109.35833333333333</v>
      </c>
      <c r="M101" s="220">
        <v>19.600000000000001</v>
      </c>
      <c r="N101" s="220">
        <v>67.545833333333334</v>
      </c>
      <c r="O101" s="220">
        <v>37.787500000000009</v>
      </c>
      <c r="P101" s="220">
        <v>36.341666666666669</v>
      </c>
      <c r="Q101" s="220">
        <v>66.583333333333329</v>
      </c>
      <c r="CR101" s="228"/>
      <c r="CS101" s="229"/>
      <c r="CT101" s="229"/>
      <c r="CU101" s="229"/>
      <c r="CV101" s="229"/>
      <c r="CW101" s="229"/>
      <c r="CX101" s="229"/>
      <c r="CY101" s="229"/>
      <c r="CZ101" s="229"/>
      <c r="DA101" s="229"/>
      <c r="DB101" s="229"/>
      <c r="DC101" s="229"/>
      <c r="DD101" s="229"/>
      <c r="DE101" s="229"/>
      <c r="DF101" s="229"/>
    </row>
    <row r="102" spans="1:110" x14ac:dyDescent="0.2">
      <c r="A102" s="1">
        <v>2024</v>
      </c>
      <c r="B102" s="1">
        <v>5</v>
      </c>
      <c r="C102" s="220">
        <v>15.888172043010751</v>
      </c>
      <c r="D102" s="220">
        <v>132.82083333333333</v>
      </c>
      <c r="E102" s="220">
        <v>5.3541666666666607</v>
      </c>
      <c r="F102" s="220">
        <v>79.26666666666668</v>
      </c>
      <c r="G102" s="220">
        <v>13.8</v>
      </c>
      <c r="H102" s="220">
        <v>40.391666666666666</v>
      </c>
      <c r="I102" s="220">
        <v>36.924999999999997</v>
      </c>
      <c r="J102" s="220">
        <v>14.683333333333328</v>
      </c>
      <c r="K102" s="220">
        <v>73.216666666666654</v>
      </c>
      <c r="L102" s="220">
        <v>3.9333333333333318</v>
      </c>
      <c r="M102" s="220">
        <v>124.46666666666667</v>
      </c>
      <c r="N102" s="220">
        <v>1.1541666666666668</v>
      </c>
      <c r="O102" s="220">
        <v>183.6875</v>
      </c>
      <c r="P102" s="220">
        <v>0</v>
      </c>
      <c r="Q102" s="220">
        <v>244.5333333333333</v>
      </c>
      <c r="CR102" s="228"/>
      <c r="CS102" s="229"/>
      <c r="CT102" s="229"/>
      <c r="CU102" s="229"/>
      <c r="CV102" s="229"/>
      <c r="CW102" s="229"/>
      <c r="CX102" s="229"/>
      <c r="CY102" s="229"/>
      <c r="CZ102" s="229"/>
      <c r="DA102" s="229"/>
      <c r="DB102" s="229"/>
      <c r="DC102" s="229"/>
      <c r="DD102" s="229"/>
      <c r="DE102" s="229"/>
      <c r="DF102" s="229"/>
    </row>
    <row r="103" spans="1:110" x14ac:dyDescent="0.2">
      <c r="A103" s="1">
        <v>2024</v>
      </c>
      <c r="B103" s="1">
        <v>6</v>
      </c>
      <c r="C103" s="220">
        <v>19.573263888888885</v>
      </c>
      <c r="D103" s="220">
        <v>54.983333333333327</v>
      </c>
      <c r="E103" s="220">
        <v>42.181249999999991</v>
      </c>
      <c r="F103" s="220">
        <v>27.666666666666664</v>
      </c>
      <c r="G103" s="220">
        <v>74.864583333333314</v>
      </c>
      <c r="H103" s="220">
        <v>8.9291666666666707</v>
      </c>
      <c r="I103" s="220">
        <v>116.12708333333335</v>
      </c>
      <c r="J103" s="220">
        <v>1.9666666666666686</v>
      </c>
      <c r="K103" s="220">
        <v>169.16458333333333</v>
      </c>
      <c r="L103" s="220">
        <v>0</v>
      </c>
      <c r="M103" s="220">
        <v>227.19791666666666</v>
      </c>
      <c r="N103" s="220">
        <v>0</v>
      </c>
      <c r="O103" s="220">
        <v>287.19791666666669</v>
      </c>
      <c r="P103" s="220">
        <v>0</v>
      </c>
      <c r="Q103" s="220">
        <v>347.19791666666674</v>
      </c>
      <c r="CR103" s="228"/>
      <c r="CS103" s="229"/>
      <c r="CT103" s="229"/>
      <c r="CU103" s="229"/>
      <c r="CV103" s="229"/>
      <c r="CW103" s="229"/>
      <c r="CX103" s="229"/>
      <c r="CY103" s="229"/>
      <c r="CZ103" s="229"/>
      <c r="DA103" s="229"/>
      <c r="DB103" s="229"/>
      <c r="DC103" s="229"/>
      <c r="DD103" s="229"/>
      <c r="DE103" s="229"/>
      <c r="DF103" s="229"/>
    </row>
    <row r="104" spans="1:110" x14ac:dyDescent="0.2">
      <c r="A104" s="1">
        <v>2024</v>
      </c>
      <c r="B104" s="1">
        <v>7</v>
      </c>
      <c r="C104" s="220">
        <v>21.143682795698926</v>
      </c>
      <c r="D104" s="220">
        <v>12.45416666666668</v>
      </c>
      <c r="E104" s="220">
        <v>47.908333333333346</v>
      </c>
      <c r="F104" s="220">
        <v>2.591666666666665</v>
      </c>
      <c r="G104" s="220">
        <v>100.04583333333335</v>
      </c>
      <c r="H104" s="220">
        <v>0</v>
      </c>
      <c r="I104" s="220">
        <v>159.45416666666665</v>
      </c>
      <c r="J104" s="220">
        <v>0</v>
      </c>
      <c r="K104" s="220">
        <v>221.45416666666657</v>
      </c>
      <c r="L104" s="220">
        <v>0</v>
      </c>
      <c r="M104" s="220">
        <v>283.45416666666665</v>
      </c>
      <c r="N104" s="220">
        <v>0</v>
      </c>
      <c r="O104" s="220">
        <v>345.45416666666659</v>
      </c>
      <c r="P104" s="220">
        <v>0</v>
      </c>
      <c r="Q104" s="220">
        <v>407.45416666666659</v>
      </c>
    </row>
    <row r="105" spans="1:110" x14ac:dyDescent="0.2">
      <c r="A105" s="1">
        <v>2024</v>
      </c>
      <c r="B105" s="1">
        <v>8</v>
      </c>
      <c r="C105" s="220">
        <v>19.898454301075269</v>
      </c>
      <c r="D105" s="220">
        <v>36.158333333333331</v>
      </c>
      <c r="E105" s="220">
        <v>33.010416666666671</v>
      </c>
      <c r="F105" s="220">
        <v>14.333333333333332</v>
      </c>
      <c r="G105" s="220">
        <v>73.185416666666669</v>
      </c>
      <c r="H105" s="220">
        <v>4.287500000000005</v>
      </c>
      <c r="I105" s="220">
        <v>125.13958333333332</v>
      </c>
      <c r="J105" s="220">
        <v>0.30000000000000426</v>
      </c>
      <c r="K105" s="220">
        <v>183.15208333333334</v>
      </c>
      <c r="L105" s="220">
        <v>0</v>
      </c>
      <c r="M105" s="220">
        <v>244.8520833333333</v>
      </c>
      <c r="N105" s="220">
        <v>0</v>
      </c>
      <c r="O105" s="220">
        <v>306.85208333333327</v>
      </c>
      <c r="P105" s="220">
        <v>0</v>
      </c>
      <c r="Q105" s="220">
        <v>368.85208333333327</v>
      </c>
    </row>
    <row r="106" spans="1:110" x14ac:dyDescent="0.2">
      <c r="A106" s="1">
        <v>2024</v>
      </c>
      <c r="B106" s="1">
        <v>9</v>
      </c>
      <c r="C106" s="220">
        <v>17.859930555555554</v>
      </c>
      <c r="D106" s="220">
        <v>65.035416666666649</v>
      </c>
      <c r="E106" s="220">
        <v>0.83333333333333925</v>
      </c>
      <c r="F106" s="220">
        <v>27.772916666666664</v>
      </c>
      <c r="G106" s="220">
        <v>23.57083333333334</v>
      </c>
      <c r="H106" s="220">
        <v>11.983333333333331</v>
      </c>
      <c r="I106" s="220">
        <v>67.78125</v>
      </c>
      <c r="J106" s="220">
        <v>4.2874999999999979</v>
      </c>
      <c r="K106" s="220">
        <v>120.08541666666667</v>
      </c>
      <c r="L106" s="220">
        <v>0.85416666666666607</v>
      </c>
      <c r="M106" s="220">
        <v>176.65208333333334</v>
      </c>
      <c r="N106" s="220">
        <v>0</v>
      </c>
      <c r="O106" s="220">
        <v>235.79791666666668</v>
      </c>
      <c r="P106" s="220">
        <v>0</v>
      </c>
      <c r="Q106" s="220">
        <v>295.79791666666677</v>
      </c>
    </row>
    <row r="107" spans="1:110" x14ac:dyDescent="0.2">
      <c r="A107" s="1">
        <v>2024</v>
      </c>
      <c r="B107" s="1">
        <v>10</v>
      </c>
      <c r="C107" s="220">
        <v>11.089381720430106</v>
      </c>
      <c r="D107" s="220">
        <v>276.22916666666669</v>
      </c>
      <c r="E107" s="220">
        <v>0</v>
      </c>
      <c r="F107" s="220">
        <v>215.50416666666672</v>
      </c>
      <c r="G107" s="220">
        <v>1.2750000000000057</v>
      </c>
      <c r="H107" s="220">
        <v>160.20416666666665</v>
      </c>
      <c r="I107" s="220">
        <v>7.975000000000005</v>
      </c>
      <c r="J107" s="220">
        <v>109.52916666666667</v>
      </c>
      <c r="K107" s="220">
        <v>19.300000000000008</v>
      </c>
      <c r="L107" s="220">
        <v>69.74166666666666</v>
      </c>
      <c r="M107" s="220">
        <v>41.512500000000003</v>
      </c>
      <c r="N107" s="220">
        <v>39.6</v>
      </c>
      <c r="O107" s="220">
        <v>73.370833333333337</v>
      </c>
      <c r="P107" s="220">
        <v>14.145833333333336</v>
      </c>
      <c r="Q107" s="220">
        <v>109.9166666666667</v>
      </c>
    </row>
    <row r="108" spans="1:110" x14ac:dyDescent="0.2">
      <c r="A108" s="1">
        <v>2024</v>
      </c>
      <c r="B108" s="1">
        <v>11</v>
      </c>
      <c r="C108" s="220">
        <v>5.973541666666665</v>
      </c>
      <c r="D108" s="220">
        <v>420.79374999999999</v>
      </c>
      <c r="E108" s="220">
        <v>0</v>
      </c>
      <c r="F108" s="220">
        <v>361.28958333333338</v>
      </c>
      <c r="G108" s="220">
        <v>0.49583333333333357</v>
      </c>
      <c r="H108" s="220">
        <v>304.15208333333339</v>
      </c>
      <c r="I108" s="220">
        <v>3.3583333333333343</v>
      </c>
      <c r="J108" s="220">
        <v>248.15208333333331</v>
      </c>
      <c r="K108" s="220">
        <v>7.3583333333333343</v>
      </c>
      <c r="L108" s="220">
        <v>193.25624999999999</v>
      </c>
      <c r="M108" s="220">
        <v>12.462500000000004</v>
      </c>
      <c r="N108" s="220">
        <v>139.25624999999999</v>
      </c>
      <c r="O108" s="220">
        <v>18.462500000000006</v>
      </c>
      <c r="P108" s="220">
        <v>89.641666666666652</v>
      </c>
      <c r="Q108" s="220">
        <v>28.84791666666667</v>
      </c>
    </row>
    <row r="109" spans="1:110" x14ac:dyDescent="0.2">
      <c r="A109" s="1">
        <v>2024</v>
      </c>
      <c r="B109" s="1">
        <v>12</v>
      </c>
      <c r="C109" s="220">
        <v>-1.394758064516129</v>
      </c>
      <c r="D109" s="220">
        <v>663.23749999999995</v>
      </c>
      <c r="E109" s="220">
        <v>0</v>
      </c>
      <c r="F109" s="220">
        <v>601.23750000000007</v>
      </c>
      <c r="G109" s="220">
        <v>0</v>
      </c>
      <c r="H109" s="220">
        <v>539.23749999999995</v>
      </c>
      <c r="I109" s="220">
        <v>0</v>
      </c>
      <c r="J109" s="220">
        <v>477.23749999999995</v>
      </c>
      <c r="K109" s="220">
        <v>0</v>
      </c>
      <c r="L109" s="220">
        <v>415.23749999999995</v>
      </c>
      <c r="M109" s="220">
        <v>0</v>
      </c>
      <c r="N109" s="220">
        <v>353.23749999999995</v>
      </c>
      <c r="O109" s="220">
        <v>0</v>
      </c>
      <c r="P109" s="220">
        <v>291.23749999999995</v>
      </c>
      <c r="Q109" s="220">
        <v>0</v>
      </c>
    </row>
    <row r="110" spans="1:110" x14ac:dyDescent="0.2">
      <c r="A110" s="1">
        <v>2025</v>
      </c>
      <c r="B110" s="1">
        <v>1</v>
      </c>
      <c r="C110" s="220">
        <v>-6.3782930107526878</v>
      </c>
      <c r="D110" s="220">
        <v>817.72708333333321</v>
      </c>
      <c r="E110" s="220">
        <v>0</v>
      </c>
      <c r="F110" s="220">
        <v>755.72708333333321</v>
      </c>
      <c r="G110" s="220">
        <v>0</v>
      </c>
      <c r="H110" s="220">
        <v>693.72708333333333</v>
      </c>
      <c r="I110" s="220">
        <v>0</v>
      </c>
      <c r="J110" s="220">
        <v>631.72708333333333</v>
      </c>
      <c r="K110" s="220">
        <v>0</v>
      </c>
      <c r="L110" s="220">
        <v>569.72708333333333</v>
      </c>
      <c r="M110" s="220">
        <v>0</v>
      </c>
      <c r="N110" s="220">
        <v>507.72708333333344</v>
      </c>
      <c r="O110" s="220">
        <v>0</v>
      </c>
      <c r="P110" s="220">
        <v>445.72708333333333</v>
      </c>
      <c r="Q110" s="220">
        <v>0</v>
      </c>
    </row>
    <row r="111" spans="1:110" x14ac:dyDescent="0.2">
      <c r="A111" s="1">
        <v>2025</v>
      </c>
      <c r="B111" s="1">
        <v>2</v>
      </c>
      <c r="C111" s="220">
        <v>-5.5424107142857144</v>
      </c>
      <c r="D111" s="220">
        <v>715.1875</v>
      </c>
      <c r="E111" s="220">
        <v>0</v>
      </c>
      <c r="F111" s="220">
        <v>659.18750000000011</v>
      </c>
      <c r="G111" s="220">
        <v>0</v>
      </c>
      <c r="H111" s="220">
        <v>603.1875</v>
      </c>
      <c r="I111" s="220">
        <v>0</v>
      </c>
      <c r="J111" s="220">
        <v>547.18750000000011</v>
      </c>
      <c r="K111" s="220">
        <v>0</v>
      </c>
      <c r="L111" s="220">
        <v>491.1875</v>
      </c>
      <c r="M111" s="220">
        <v>0</v>
      </c>
      <c r="N111" s="220">
        <v>435.1875</v>
      </c>
      <c r="O111" s="220">
        <v>0</v>
      </c>
      <c r="P111" s="220">
        <v>379.1875</v>
      </c>
      <c r="Q111" s="220">
        <v>0</v>
      </c>
    </row>
    <row r="112" spans="1:110" x14ac:dyDescent="0.2">
      <c r="A112" s="1">
        <v>2025</v>
      </c>
      <c r="B112" s="1">
        <v>3</v>
      </c>
      <c r="C112" s="220">
        <v>2.6867607526881718</v>
      </c>
      <c r="D112" s="220">
        <v>536.71041666666667</v>
      </c>
      <c r="E112" s="220">
        <v>0</v>
      </c>
      <c r="F112" s="220">
        <v>474.71041666666667</v>
      </c>
      <c r="G112" s="220">
        <v>0</v>
      </c>
      <c r="H112" s="220">
        <v>412.71041666666679</v>
      </c>
      <c r="I112" s="220">
        <v>0</v>
      </c>
      <c r="J112" s="220">
        <v>350.71041666666673</v>
      </c>
      <c r="K112" s="220">
        <v>0</v>
      </c>
      <c r="L112" s="220">
        <v>291.18125000000003</v>
      </c>
      <c r="M112" s="220">
        <v>2.4708333333333297</v>
      </c>
      <c r="N112" s="220">
        <v>233.18125000000003</v>
      </c>
      <c r="O112" s="220">
        <v>6.4708333333333297</v>
      </c>
      <c r="P112" s="220">
        <v>176.21875000000003</v>
      </c>
      <c r="Q112" s="220">
        <v>11.508333333333329</v>
      </c>
    </row>
    <row r="113" spans="1:23" x14ac:dyDescent="0.2">
      <c r="A113" s="1">
        <v>2025</v>
      </c>
      <c r="B113" s="1">
        <v>4</v>
      </c>
      <c r="C113" s="220">
        <v>7.3315277777777785</v>
      </c>
      <c r="D113" s="220">
        <v>380.0541666666669</v>
      </c>
      <c r="E113" s="220">
        <v>0</v>
      </c>
      <c r="F113" s="220">
        <v>320.42500000000018</v>
      </c>
      <c r="G113" s="220">
        <v>0.37083333333333357</v>
      </c>
      <c r="H113" s="220">
        <v>263.45416666666659</v>
      </c>
      <c r="I113" s="220">
        <v>3.3999999999999986</v>
      </c>
      <c r="J113" s="220">
        <v>209.11249999999995</v>
      </c>
      <c r="K113" s="220">
        <v>9.0583333333333371</v>
      </c>
      <c r="L113" s="220">
        <v>161.79583333333332</v>
      </c>
      <c r="M113" s="220">
        <v>21.741666666666667</v>
      </c>
      <c r="N113" s="220">
        <v>121.79583333333335</v>
      </c>
      <c r="O113" s="220">
        <v>41.74166666666666</v>
      </c>
      <c r="P113" s="220">
        <v>84.654166666666669</v>
      </c>
      <c r="Q113" s="220">
        <v>64.599999999999994</v>
      </c>
    </row>
    <row r="114" spans="1:23" x14ac:dyDescent="0.2">
      <c r="A114" s="1">
        <v>2025</v>
      </c>
      <c r="B114" s="1">
        <v>5</v>
      </c>
      <c r="C114" s="220">
        <v>12.614784946236558</v>
      </c>
      <c r="D114" s="220">
        <v>229.72916666666663</v>
      </c>
      <c r="E114" s="220">
        <v>0.78749999999999787</v>
      </c>
      <c r="F114" s="220">
        <v>172.54166666666669</v>
      </c>
      <c r="G114" s="220">
        <v>5.5999999999999943</v>
      </c>
      <c r="H114" s="220">
        <v>119.79583333333333</v>
      </c>
      <c r="I114" s="220">
        <v>14.854166666666657</v>
      </c>
      <c r="J114" s="220">
        <v>73.445833333333326</v>
      </c>
      <c r="K114" s="220">
        <v>30.504166666666652</v>
      </c>
      <c r="L114" s="220">
        <v>37.133333333333326</v>
      </c>
      <c r="M114" s="220">
        <v>56.191666666666634</v>
      </c>
      <c r="N114" s="220">
        <v>10.712499999999995</v>
      </c>
      <c r="O114" s="220">
        <v>91.770833333333329</v>
      </c>
      <c r="P114" s="220">
        <v>0.42916666666666448</v>
      </c>
      <c r="Q114" s="220">
        <v>143.48749999999998</v>
      </c>
    </row>
    <row r="115" spans="1:23" x14ac:dyDescent="0.2">
      <c r="A115" s="1">
        <v>2025</v>
      </c>
      <c r="B115" s="1">
        <v>6</v>
      </c>
      <c r="C115" s="220">
        <v>20.141944444444444</v>
      </c>
      <c r="D115" s="220">
        <v>40.020833333333329</v>
      </c>
      <c r="E115" s="220">
        <v>44.279166666666654</v>
      </c>
      <c r="F115" s="220">
        <v>17.145833333333339</v>
      </c>
      <c r="G115" s="220">
        <v>81.40416666666664</v>
      </c>
      <c r="H115" s="220">
        <v>8.4541666666666675</v>
      </c>
      <c r="I115" s="220">
        <v>132.71249999999998</v>
      </c>
      <c r="J115" s="220">
        <v>4.3041666666666671</v>
      </c>
      <c r="K115" s="220">
        <v>188.56249999999997</v>
      </c>
      <c r="L115" s="220">
        <v>2.2916666666666661</v>
      </c>
      <c r="M115" s="220">
        <v>246.54999999999993</v>
      </c>
      <c r="N115" s="220">
        <v>0.29166666666666607</v>
      </c>
      <c r="O115" s="220">
        <v>304.55</v>
      </c>
      <c r="P115" s="220">
        <v>0</v>
      </c>
      <c r="Q115" s="220">
        <v>364.25833333333333</v>
      </c>
    </row>
    <row r="116" spans="1:23" x14ac:dyDescent="0.2">
      <c r="A116" s="1">
        <v>2025</v>
      </c>
      <c r="B116" s="1">
        <v>7</v>
      </c>
      <c r="C116" s="220">
        <v>22.244489247311826</v>
      </c>
      <c r="D116" s="220">
        <v>8.80416666666666</v>
      </c>
      <c r="E116" s="220">
        <v>78.383333333333312</v>
      </c>
      <c r="F116" s="220">
        <v>0.94999999999999574</v>
      </c>
      <c r="G116" s="220">
        <v>132.52916666666664</v>
      </c>
      <c r="H116" s="220">
        <v>0</v>
      </c>
      <c r="I116" s="220">
        <v>193.57916666666662</v>
      </c>
      <c r="J116" s="220">
        <v>0</v>
      </c>
      <c r="K116" s="220">
        <v>255.57916666666662</v>
      </c>
      <c r="L116" s="220">
        <v>0</v>
      </c>
      <c r="M116" s="220">
        <v>317.57916666666665</v>
      </c>
      <c r="N116" s="220">
        <v>0</v>
      </c>
      <c r="O116" s="220">
        <v>379.57916666666665</v>
      </c>
      <c r="P116" s="220">
        <v>0</v>
      </c>
      <c r="Q116" s="220">
        <v>441.57916666666665</v>
      </c>
    </row>
    <row r="117" spans="1:23" x14ac:dyDescent="0.2">
      <c r="A117" s="1">
        <v>2025</v>
      </c>
      <c r="B117" s="1">
        <v>8</v>
      </c>
      <c r="C117" s="220">
        <v>19.691263440860212</v>
      </c>
      <c r="D117" s="220">
        <v>51</v>
      </c>
      <c r="E117" s="220">
        <v>41.429166666666674</v>
      </c>
      <c r="F117" s="220">
        <v>26.37083333333333</v>
      </c>
      <c r="G117" s="220">
        <v>78.800000000000011</v>
      </c>
      <c r="H117" s="220">
        <v>10.766666666666669</v>
      </c>
      <c r="I117" s="220">
        <v>125.19583333333335</v>
      </c>
      <c r="J117" s="220">
        <v>2.4833333333333378</v>
      </c>
      <c r="K117" s="220">
        <v>178.91250000000005</v>
      </c>
      <c r="L117" s="220">
        <v>0</v>
      </c>
      <c r="M117" s="220">
        <v>238.4291666666667</v>
      </c>
      <c r="N117" s="220">
        <v>0</v>
      </c>
      <c r="O117" s="220">
        <v>300.42916666666673</v>
      </c>
      <c r="P117" s="220">
        <v>0</v>
      </c>
      <c r="Q117" s="220">
        <v>362.42916666666662</v>
      </c>
    </row>
    <row r="118" spans="1:23" x14ac:dyDescent="0.2">
      <c r="A118" s="1">
        <v>2025</v>
      </c>
      <c r="B118" s="1">
        <v>9</v>
      </c>
      <c r="C118" s="220">
        <v>17.298888888888886</v>
      </c>
      <c r="D118" s="220">
        <v>81.033333333333346</v>
      </c>
      <c r="E118" s="220">
        <v>0</v>
      </c>
      <c r="F118" s="220">
        <v>32.616666666666667</v>
      </c>
      <c r="G118" s="220">
        <v>11.583333333333339</v>
      </c>
      <c r="H118" s="220">
        <v>12.950000000000001</v>
      </c>
      <c r="I118" s="220">
        <v>51.916666666666657</v>
      </c>
      <c r="J118" s="220">
        <v>3.1125000000000025</v>
      </c>
      <c r="K118" s="220">
        <v>102.07916666666665</v>
      </c>
      <c r="L118" s="220">
        <v>1.6666666666667496E-2</v>
      </c>
      <c r="M118" s="220">
        <v>158.98333333333338</v>
      </c>
      <c r="N118" s="220">
        <v>0</v>
      </c>
      <c r="O118" s="220">
        <v>218.96666666666667</v>
      </c>
      <c r="P118" s="220">
        <v>0</v>
      </c>
      <c r="Q118" s="220">
        <v>278.96666666666664</v>
      </c>
    </row>
    <row r="119" spans="1:23" x14ac:dyDescent="0.2">
      <c r="A119" s="1">
        <v>2025</v>
      </c>
      <c r="B119" s="1">
        <v>10</v>
      </c>
      <c r="C119" s="220">
        <v>11.088172043010749</v>
      </c>
      <c r="D119" s="220">
        <v>276.58333333333331</v>
      </c>
      <c r="E119" s="220">
        <v>0.31666666666666643</v>
      </c>
      <c r="F119" s="220">
        <v>218.85416666666663</v>
      </c>
      <c r="G119" s="220">
        <v>4.5875000000000021</v>
      </c>
      <c r="H119" s="220">
        <v>167.44583333333333</v>
      </c>
      <c r="I119" s="220">
        <v>15.179166666666674</v>
      </c>
      <c r="J119" s="220">
        <v>119.57916666666667</v>
      </c>
      <c r="K119" s="220">
        <v>29.312500000000004</v>
      </c>
      <c r="L119" s="220">
        <v>78.25</v>
      </c>
      <c r="M119" s="220">
        <v>49.983333333333348</v>
      </c>
      <c r="N119" s="220">
        <v>43.833333333333329</v>
      </c>
      <c r="O119" s="220">
        <v>77.566666666666663</v>
      </c>
      <c r="P119" s="220">
        <v>18.454166666666669</v>
      </c>
      <c r="Q119" s="220">
        <v>114.18750000000001</v>
      </c>
    </row>
    <row r="120" spans="1:23" x14ac:dyDescent="0.2">
      <c r="A120" s="1">
        <v>2025</v>
      </c>
      <c r="B120" s="1">
        <v>11</v>
      </c>
      <c r="C120" s="220">
        <v>3.1125694444444445</v>
      </c>
      <c r="D120" s="220">
        <v>506.62291666666675</v>
      </c>
      <c r="E120" s="220">
        <v>0</v>
      </c>
      <c r="F120" s="220">
        <v>446.62291666666675</v>
      </c>
      <c r="G120" s="220">
        <v>0</v>
      </c>
      <c r="H120" s="220">
        <v>386.62291666666675</v>
      </c>
      <c r="I120" s="220">
        <v>0</v>
      </c>
      <c r="J120" s="220">
        <v>326.6229166666667</v>
      </c>
      <c r="K120" s="220">
        <v>0</v>
      </c>
      <c r="L120" s="220">
        <v>266.62291666666664</v>
      </c>
      <c r="M120" s="220">
        <v>0</v>
      </c>
      <c r="N120" s="220">
        <v>206.62291666666664</v>
      </c>
      <c r="O120" s="220">
        <v>0</v>
      </c>
      <c r="P120" s="220">
        <v>147.16874999999996</v>
      </c>
      <c r="Q120" s="220">
        <v>0.5458333333333325</v>
      </c>
    </row>
    <row r="121" spans="1:23" x14ac:dyDescent="0.2">
      <c r="A121" s="1">
        <v>2025</v>
      </c>
      <c r="B121" s="1">
        <v>12</v>
      </c>
      <c r="C121" s="220">
        <v>-4.2396505376344091</v>
      </c>
      <c r="D121" s="220">
        <v>751.42916666666679</v>
      </c>
      <c r="E121" s="220">
        <v>0</v>
      </c>
      <c r="F121" s="220">
        <v>689.42916666666679</v>
      </c>
      <c r="G121" s="220">
        <v>0</v>
      </c>
      <c r="H121" s="220">
        <v>627.42916666666667</v>
      </c>
      <c r="I121" s="220">
        <v>0</v>
      </c>
      <c r="J121" s="220">
        <v>565.42916666666667</v>
      </c>
      <c r="K121" s="220">
        <v>0</v>
      </c>
      <c r="L121" s="220">
        <v>503.42916666666662</v>
      </c>
      <c r="M121" s="220">
        <v>0</v>
      </c>
      <c r="N121" s="220">
        <v>441.42916666666667</v>
      </c>
      <c r="O121" s="220">
        <v>0</v>
      </c>
      <c r="P121" s="220">
        <v>379.42916666666667</v>
      </c>
      <c r="Q121" s="220">
        <v>0</v>
      </c>
      <c r="U121" s="230"/>
      <c r="V121" s="5"/>
      <c r="W121" s="5"/>
    </row>
    <row r="122" spans="1:23" x14ac:dyDescent="0.2">
      <c r="C122" s="220"/>
      <c r="D122" s="228"/>
      <c r="E122" s="228"/>
      <c r="F122" s="220"/>
      <c r="G122" s="220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U122" s="230"/>
      <c r="V122" s="5"/>
      <c r="W122" s="5"/>
    </row>
    <row r="123" spans="1:23" x14ac:dyDescent="0.2">
      <c r="C123" s="220"/>
      <c r="D123" s="228"/>
      <c r="E123" s="228"/>
      <c r="F123" s="220"/>
      <c r="G123" s="220"/>
      <c r="H123" s="220"/>
      <c r="I123" s="220"/>
      <c r="J123" s="220"/>
      <c r="K123" s="220"/>
      <c r="L123" s="220"/>
      <c r="M123" s="220"/>
      <c r="N123" s="220"/>
      <c r="O123" s="220"/>
      <c r="P123" s="220"/>
      <c r="Q123" s="220"/>
      <c r="U123" s="230"/>
      <c r="V123" s="5"/>
      <c r="W123" s="5"/>
    </row>
    <row r="124" spans="1:23" x14ac:dyDescent="0.2">
      <c r="C124" s="220"/>
      <c r="D124" s="228"/>
      <c r="E124" s="228"/>
      <c r="F124" s="220"/>
      <c r="G124" s="220"/>
      <c r="H124" s="220"/>
      <c r="I124" s="220"/>
      <c r="J124" s="220"/>
      <c r="K124" s="220"/>
      <c r="L124" s="220"/>
      <c r="M124" s="220"/>
      <c r="N124" s="220"/>
      <c r="O124" s="220"/>
      <c r="P124" s="220"/>
      <c r="Q124" s="220"/>
      <c r="U124" s="230"/>
      <c r="V124" s="5"/>
      <c r="W124" s="5"/>
    </row>
    <row r="125" spans="1:23" x14ac:dyDescent="0.2">
      <c r="C125" s="220"/>
      <c r="D125" s="228"/>
      <c r="E125" s="228"/>
      <c r="F125" s="220"/>
      <c r="G125" s="220"/>
      <c r="H125" s="220"/>
      <c r="I125" s="220"/>
      <c r="J125" s="220"/>
      <c r="K125" s="220"/>
      <c r="L125" s="220"/>
      <c r="M125" s="220"/>
      <c r="N125" s="220"/>
      <c r="O125" s="220"/>
      <c r="P125" s="220"/>
      <c r="Q125" s="220"/>
      <c r="U125" s="230"/>
      <c r="V125" s="5"/>
      <c r="W125" s="5"/>
    </row>
    <row r="126" spans="1:23" x14ac:dyDescent="0.2">
      <c r="C126" s="220"/>
      <c r="D126" s="228"/>
      <c r="E126" s="228"/>
      <c r="F126" s="220"/>
      <c r="G126" s="220"/>
      <c r="H126" s="220"/>
      <c r="I126" s="220"/>
      <c r="J126" s="220"/>
      <c r="K126" s="220"/>
      <c r="L126" s="220"/>
      <c r="M126" s="220"/>
      <c r="N126" s="220"/>
      <c r="O126" s="220"/>
      <c r="P126" s="220"/>
      <c r="Q126" s="220"/>
      <c r="U126" s="230"/>
      <c r="V126" s="5"/>
      <c r="W126" s="5"/>
    </row>
    <row r="127" spans="1:23" x14ac:dyDescent="0.2">
      <c r="C127" s="220"/>
      <c r="D127" s="228"/>
      <c r="E127" s="228"/>
      <c r="F127" s="220"/>
      <c r="G127" s="220"/>
      <c r="H127" s="220"/>
      <c r="I127" s="220"/>
      <c r="J127" s="220"/>
      <c r="K127" s="220"/>
      <c r="L127" s="220"/>
      <c r="M127" s="220"/>
      <c r="N127" s="220"/>
      <c r="O127" s="220"/>
      <c r="P127" s="220"/>
      <c r="Q127" s="220"/>
      <c r="U127" s="230"/>
      <c r="V127" s="5"/>
      <c r="W127" s="5"/>
    </row>
    <row r="128" spans="1:23" x14ac:dyDescent="0.2">
      <c r="C128" s="220"/>
      <c r="D128" s="228"/>
      <c r="E128" s="228"/>
      <c r="F128" s="220"/>
      <c r="G128" s="220"/>
      <c r="H128" s="220"/>
      <c r="I128" s="220"/>
      <c r="J128" s="220"/>
      <c r="K128" s="220"/>
      <c r="L128" s="220"/>
      <c r="M128" s="220"/>
      <c r="N128" s="220"/>
      <c r="O128" s="220"/>
      <c r="P128" s="220"/>
      <c r="Q128" s="220"/>
      <c r="U128" s="230"/>
      <c r="V128" s="5"/>
      <c r="W128" s="5"/>
    </row>
    <row r="129" spans="3:121" x14ac:dyDescent="0.2">
      <c r="C129" s="220"/>
      <c r="D129" s="228"/>
      <c r="E129" s="228"/>
      <c r="F129" s="220"/>
      <c r="G129" s="220"/>
      <c r="H129" s="220"/>
      <c r="I129" s="220"/>
      <c r="J129" s="220"/>
      <c r="K129" s="220"/>
      <c r="L129" s="220"/>
      <c r="M129" s="220"/>
      <c r="N129" s="220"/>
      <c r="O129" s="220"/>
      <c r="P129" s="220"/>
      <c r="Q129" s="220"/>
      <c r="U129" s="230"/>
      <c r="V129" s="5"/>
      <c r="W129" s="5"/>
    </row>
    <row r="130" spans="3:121" x14ac:dyDescent="0.2">
      <c r="C130" s="220"/>
      <c r="D130" s="228"/>
      <c r="E130" s="228"/>
      <c r="F130" s="220"/>
      <c r="G130" s="220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U130" s="230"/>
      <c r="V130" s="5"/>
      <c r="W130" s="5"/>
    </row>
    <row r="131" spans="3:121" x14ac:dyDescent="0.2">
      <c r="C131" s="220"/>
      <c r="D131" s="228"/>
      <c r="E131" s="228"/>
      <c r="F131" s="220"/>
      <c r="G131" s="220"/>
      <c r="H131" s="220"/>
      <c r="I131" s="220"/>
      <c r="J131" s="220"/>
      <c r="K131" s="220"/>
      <c r="L131" s="220"/>
      <c r="M131" s="220"/>
      <c r="N131" s="220"/>
      <c r="O131" s="220"/>
      <c r="P131" s="220"/>
      <c r="Q131" s="220"/>
      <c r="U131" s="230"/>
      <c r="V131" s="5"/>
      <c r="W131" s="5"/>
    </row>
    <row r="132" spans="3:121" x14ac:dyDescent="0.2">
      <c r="C132" s="220"/>
      <c r="D132" s="228"/>
      <c r="E132" s="228"/>
      <c r="F132" s="220"/>
      <c r="G132" s="220"/>
      <c r="H132" s="220"/>
      <c r="I132" s="220"/>
      <c r="J132" s="220"/>
      <c r="K132" s="220"/>
      <c r="L132" s="220"/>
      <c r="M132" s="220"/>
      <c r="N132" s="220"/>
      <c r="O132" s="220"/>
      <c r="P132" s="220"/>
      <c r="Q132" s="220"/>
      <c r="U132" s="230"/>
      <c r="V132" s="5"/>
      <c r="W132" s="5"/>
    </row>
    <row r="133" spans="3:121" x14ac:dyDescent="0.2">
      <c r="C133" s="220"/>
      <c r="D133" s="228"/>
      <c r="E133" s="228"/>
      <c r="F133" s="220"/>
      <c r="G133" s="220"/>
      <c r="H133" s="220"/>
      <c r="I133" s="220"/>
      <c r="J133" s="220"/>
      <c r="K133" s="220"/>
      <c r="L133" s="220"/>
      <c r="M133" s="220"/>
      <c r="N133" s="220"/>
      <c r="O133" s="220"/>
      <c r="P133" s="220"/>
      <c r="Q133" s="220"/>
      <c r="U133" s="230"/>
      <c r="V133" s="5"/>
      <c r="W133" s="5"/>
    </row>
    <row r="134" spans="3:121" x14ac:dyDescent="0.2">
      <c r="C134" s="220"/>
      <c r="D134" s="228"/>
      <c r="E134" s="228"/>
      <c r="F134" s="220"/>
      <c r="G134" s="220"/>
      <c r="H134" s="220"/>
      <c r="I134" s="220"/>
      <c r="J134" s="220"/>
      <c r="K134" s="220"/>
      <c r="L134" s="220"/>
      <c r="M134" s="220"/>
      <c r="N134" s="220"/>
      <c r="O134" s="220"/>
      <c r="P134" s="220"/>
      <c r="Q134" s="220"/>
      <c r="R134" s="230"/>
      <c r="U134" s="230"/>
      <c r="V134" s="5"/>
      <c r="W134" s="5"/>
      <c r="AF134" s="220"/>
      <c r="DO134" s="44"/>
      <c r="DP134" s="44"/>
      <c r="DQ134" s="44"/>
    </row>
    <row r="135" spans="3:121" x14ac:dyDescent="0.2">
      <c r="C135" s="220"/>
      <c r="D135" s="228"/>
      <c r="E135" s="228"/>
      <c r="F135" s="220"/>
      <c r="G135" s="220"/>
      <c r="H135" s="220"/>
      <c r="I135" s="220"/>
      <c r="J135" s="220"/>
      <c r="K135" s="220"/>
      <c r="L135" s="220"/>
      <c r="M135" s="220"/>
      <c r="N135" s="220"/>
      <c r="O135" s="220"/>
      <c r="P135" s="220"/>
      <c r="Q135" s="220"/>
      <c r="R135" s="230"/>
      <c r="S135" s="230"/>
      <c r="U135" s="230"/>
      <c r="V135" s="5"/>
      <c r="W135" s="5"/>
      <c r="AF135" s="220"/>
      <c r="DO135" s="44"/>
      <c r="DP135" s="44"/>
      <c r="DQ135" s="44"/>
    </row>
    <row r="136" spans="3:121" x14ac:dyDescent="0.2">
      <c r="C136" s="220"/>
      <c r="D136" s="228"/>
      <c r="E136" s="228"/>
      <c r="F136" s="220"/>
      <c r="G136" s="220"/>
      <c r="H136" s="220"/>
      <c r="I136" s="220"/>
      <c r="J136" s="220"/>
      <c r="K136" s="220"/>
      <c r="L136" s="220"/>
      <c r="M136" s="220"/>
      <c r="N136" s="220"/>
      <c r="O136" s="220"/>
      <c r="P136" s="220"/>
      <c r="Q136" s="220"/>
      <c r="R136" s="230"/>
      <c r="S136" s="230"/>
      <c r="U136" s="230"/>
      <c r="V136" s="5"/>
      <c r="W136" s="5"/>
      <c r="AF136" s="220"/>
      <c r="DO136" s="44"/>
      <c r="DP136" s="44"/>
      <c r="DQ136" s="44"/>
    </row>
    <row r="137" spans="3:121" x14ac:dyDescent="0.2">
      <c r="C137" s="220"/>
      <c r="D137" s="228"/>
      <c r="E137" s="228"/>
      <c r="F137" s="220"/>
      <c r="G137" s="220"/>
      <c r="H137" s="220"/>
      <c r="I137" s="220"/>
      <c r="J137" s="220"/>
      <c r="K137" s="220"/>
      <c r="L137" s="220"/>
      <c r="M137" s="220"/>
      <c r="N137" s="220"/>
      <c r="O137" s="220"/>
      <c r="P137" s="220"/>
      <c r="Q137" s="220"/>
      <c r="R137" s="230"/>
      <c r="S137" s="230"/>
      <c r="U137" s="230"/>
      <c r="V137" s="5"/>
      <c r="W137" s="5"/>
      <c r="AF137" s="220"/>
      <c r="DO137" s="44"/>
      <c r="DP137" s="44"/>
      <c r="DQ137" s="44"/>
    </row>
    <row r="138" spans="3:121" x14ac:dyDescent="0.2">
      <c r="C138" s="220"/>
      <c r="D138" s="228"/>
      <c r="E138" s="228"/>
      <c r="F138" s="220"/>
      <c r="G138" s="220"/>
      <c r="H138" s="220"/>
      <c r="I138" s="220"/>
      <c r="J138" s="220"/>
      <c r="K138" s="220"/>
      <c r="L138" s="220"/>
      <c r="M138" s="220"/>
      <c r="N138" s="220"/>
      <c r="O138" s="220"/>
      <c r="P138" s="220"/>
      <c r="Q138" s="220"/>
      <c r="R138" s="230"/>
      <c r="S138" s="230"/>
      <c r="U138" s="230"/>
      <c r="V138" s="5"/>
      <c r="W138" s="5"/>
      <c r="AF138" s="220"/>
      <c r="DO138" s="44"/>
      <c r="DP138" s="44"/>
      <c r="DQ138" s="44"/>
    </row>
    <row r="139" spans="3:121" x14ac:dyDescent="0.2">
      <c r="C139" s="220"/>
      <c r="D139" s="228"/>
      <c r="E139" s="228"/>
      <c r="F139" s="220"/>
      <c r="G139" s="220"/>
      <c r="H139" s="220"/>
      <c r="I139" s="220"/>
      <c r="J139" s="220"/>
      <c r="K139" s="220"/>
      <c r="L139" s="220"/>
      <c r="M139" s="220"/>
      <c r="N139" s="220"/>
      <c r="O139" s="220"/>
      <c r="P139" s="220"/>
      <c r="Q139" s="220"/>
      <c r="R139" s="230"/>
      <c r="S139" s="230"/>
      <c r="U139" s="230"/>
      <c r="V139" s="5"/>
      <c r="W139" s="5"/>
      <c r="AF139" s="220"/>
      <c r="DO139" s="44"/>
      <c r="DP139" s="44"/>
      <c r="DQ139" s="44"/>
    </row>
    <row r="140" spans="3:121" x14ac:dyDescent="0.2">
      <c r="C140" s="220"/>
      <c r="D140" s="228"/>
      <c r="E140" s="228"/>
      <c r="F140" s="220"/>
      <c r="G140" s="220"/>
      <c r="H140" s="220"/>
      <c r="I140" s="220"/>
      <c r="J140" s="220"/>
      <c r="K140" s="220"/>
      <c r="L140" s="220"/>
      <c r="M140" s="220"/>
      <c r="N140" s="220"/>
      <c r="O140" s="220"/>
      <c r="P140" s="220"/>
      <c r="Q140" s="220"/>
      <c r="R140" s="230"/>
      <c r="S140" s="230"/>
      <c r="U140" s="230"/>
      <c r="V140" s="5"/>
      <c r="W140" s="5"/>
      <c r="AF140" s="220"/>
      <c r="DO140" s="44"/>
      <c r="DP140" s="44"/>
      <c r="DQ140" s="44"/>
    </row>
    <row r="141" spans="3:121" x14ac:dyDescent="0.2">
      <c r="C141" s="220"/>
      <c r="D141" s="228"/>
      <c r="E141" s="228"/>
      <c r="F141" s="220"/>
      <c r="G141" s="220"/>
      <c r="H141" s="220"/>
      <c r="I141" s="220"/>
      <c r="J141" s="220"/>
      <c r="K141" s="220"/>
      <c r="L141" s="220"/>
      <c r="M141" s="220"/>
      <c r="N141" s="220"/>
      <c r="O141" s="220"/>
      <c r="P141" s="220"/>
      <c r="Q141" s="220"/>
      <c r="R141" s="230"/>
      <c r="S141" s="230"/>
      <c r="U141" s="230"/>
      <c r="V141" s="5"/>
      <c r="W141" s="5"/>
      <c r="AF141" s="220"/>
      <c r="DO141" s="44"/>
      <c r="DP141" s="44"/>
      <c r="DQ141" s="44"/>
    </row>
    <row r="142" spans="3:121" x14ac:dyDescent="0.2">
      <c r="C142" s="220"/>
      <c r="D142" s="228"/>
      <c r="E142" s="228"/>
      <c r="F142" s="220"/>
      <c r="G142" s="220"/>
      <c r="H142" s="220"/>
      <c r="I142" s="220"/>
      <c r="J142" s="220"/>
      <c r="K142" s="220"/>
      <c r="L142" s="220"/>
      <c r="M142" s="220"/>
      <c r="N142" s="220"/>
      <c r="O142" s="220"/>
      <c r="P142" s="220"/>
      <c r="Q142" s="220"/>
      <c r="R142" s="230"/>
      <c r="S142" s="230"/>
      <c r="U142" s="230"/>
      <c r="V142" s="5"/>
      <c r="W142" s="5"/>
      <c r="AF142" s="220"/>
      <c r="DO142" s="44"/>
      <c r="DP142" s="44"/>
      <c r="DQ142" s="44"/>
    </row>
    <row r="143" spans="3:121" x14ac:dyDescent="0.2">
      <c r="C143" s="220"/>
      <c r="D143" s="228"/>
      <c r="E143" s="228"/>
      <c r="F143" s="220"/>
      <c r="G143" s="220"/>
      <c r="H143" s="220"/>
      <c r="I143" s="220"/>
      <c r="J143" s="220"/>
      <c r="K143" s="220"/>
      <c r="L143" s="220"/>
      <c r="M143" s="220"/>
      <c r="N143" s="220"/>
      <c r="O143" s="220"/>
      <c r="P143" s="220"/>
      <c r="Q143" s="220"/>
      <c r="R143" s="230"/>
      <c r="S143" s="230"/>
      <c r="U143" s="230"/>
      <c r="V143" s="5"/>
      <c r="W143" s="5"/>
      <c r="AF143" s="220"/>
      <c r="DO143" s="44"/>
      <c r="DP143" s="44"/>
      <c r="DQ143" s="44"/>
    </row>
    <row r="144" spans="3:121" x14ac:dyDescent="0.2">
      <c r="C144" s="220"/>
      <c r="D144" s="228"/>
      <c r="E144" s="228"/>
      <c r="F144" s="220"/>
      <c r="G144" s="220"/>
      <c r="H144" s="220"/>
      <c r="I144" s="220"/>
      <c r="J144" s="220"/>
      <c r="K144" s="220"/>
      <c r="L144" s="220"/>
      <c r="M144" s="220"/>
      <c r="N144" s="220"/>
      <c r="O144" s="220"/>
      <c r="P144" s="220"/>
      <c r="Q144" s="220"/>
      <c r="R144" s="230"/>
      <c r="S144" s="230"/>
      <c r="U144" s="230"/>
      <c r="V144" s="5"/>
      <c r="W144" s="5"/>
      <c r="AF144" s="220"/>
      <c r="DO144" s="44"/>
      <c r="DP144" s="44"/>
      <c r="DQ144" s="44"/>
    </row>
    <row r="145" spans="3:121" x14ac:dyDescent="0.2">
      <c r="C145" s="220"/>
      <c r="D145" s="228"/>
      <c r="E145" s="228"/>
      <c r="F145" s="220"/>
      <c r="G145" s="220"/>
      <c r="H145" s="220"/>
      <c r="I145" s="220"/>
      <c r="J145" s="220"/>
      <c r="K145" s="220"/>
      <c r="L145" s="220"/>
      <c r="M145" s="220"/>
      <c r="N145" s="220"/>
      <c r="O145" s="220"/>
      <c r="P145" s="220"/>
      <c r="Q145" s="220"/>
      <c r="R145" s="230"/>
      <c r="S145" s="230"/>
      <c r="U145" s="230"/>
      <c r="V145" s="5"/>
      <c r="W145" s="5"/>
      <c r="AF145" s="220"/>
      <c r="DO145" s="44"/>
      <c r="DP145" s="44"/>
      <c r="DQ145" s="44"/>
    </row>
    <row r="146" spans="3:121" x14ac:dyDescent="0.2">
      <c r="C146" s="220"/>
      <c r="D146" s="228"/>
      <c r="E146" s="228"/>
      <c r="F146" s="220"/>
      <c r="G146" s="220"/>
      <c r="H146" s="220"/>
      <c r="I146" s="220"/>
      <c r="J146" s="220"/>
      <c r="K146" s="220"/>
      <c r="L146" s="220"/>
      <c r="M146" s="220"/>
      <c r="N146" s="220"/>
      <c r="O146" s="220"/>
      <c r="P146" s="220"/>
      <c r="Q146" s="220"/>
      <c r="R146" s="230"/>
      <c r="S146" s="230"/>
      <c r="U146" s="230"/>
      <c r="V146" s="5"/>
      <c r="W146" s="5"/>
      <c r="AF146" s="220"/>
      <c r="DO146" s="44"/>
      <c r="DP146" s="44"/>
      <c r="DQ146" s="44"/>
    </row>
    <row r="147" spans="3:121" x14ac:dyDescent="0.2">
      <c r="C147" s="220"/>
      <c r="D147" s="228"/>
      <c r="E147" s="228"/>
      <c r="F147" s="220"/>
      <c r="G147" s="220"/>
      <c r="H147" s="220"/>
      <c r="I147" s="220"/>
      <c r="J147" s="220"/>
      <c r="K147" s="220"/>
      <c r="L147" s="220"/>
      <c r="M147" s="220"/>
      <c r="N147" s="220"/>
      <c r="O147" s="220"/>
      <c r="P147" s="220"/>
      <c r="Q147" s="220"/>
      <c r="R147" s="230"/>
      <c r="S147" s="230"/>
      <c r="U147" s="230"/>
      <c r="V147" s="5"/>
      <c r="W147" s="5"/>
      <c r="AF147" s="220"/>
      <c r="DO147" s="44"/>
      <c r="DP147" s="44"/>
      <c r="DQ147" s="44"/>
    </row>
    <row r="148" spans="3:121" x14ac:dyDescent="0.2">
      <c r="C148" s="220"/>
      <c r="D148" s="228"/>
      <c r="E148" s="228"/>
      <c r="F148" s="220"/>
      <c r="G148" s="220"/>
      <c r="H148" s="220"/>
      <c r="I148" s="220"/>
      <c r="J148" s="220"/>
      <c r="K148" s="220"/>
      <c r="L148" s="220"/>
      <c r="M148" s="220"/>
      <c r="N148" s="220"/>
      <c r="O148" s="220"/>
      <c r="P148" s="220"/>
      <c r="Q148" s="220"/>
      <c r="R148" s="230"/>
      <c r="S148" s="230"/>
      <c r="U148" s="230"/>
      <c r="V148" s="5"/>
      <c r="W148" s="5"/>
      <c r="AF148" s="220"/>
      <c r="DO148" s="44"/>
      <c r="DP148" s="44"/>
      <c r="DQ148" s="44"/>
    </row>
    <row r="149" spans="3:121" x14ac:dyDescent="0.2">
      <c r="C149" s="220"/>
      <c r="D149" s="228"/>
      <c r="E149" s="228"/>
      <c r="F149" s="220"/>
      <c r="G149" s="220"/>
      <c r="H149" s="220"/>
      <c r="I149" s="220"/>
      <c r="J149" s="220"/>
      <c r="K149" s="220"/>
      <c r="L149" s="220"/>
      <c r="M149" s="220"/>
      <c r="N149" s="220"/>
      <c r="O149" s="220"/>
      <c r="P149" s="220"/>
      <c r="Q149" s="220"/>
      <c r="R149" s="230"/>
      <c r="S149" s="230"/>
      <c r="U149" s="230"/>
      <c r="V149" s="5"/>
      <c r="W149" s="5"/>
      <c r="AF149" s="220"/>
      <c r="DO149" s="44"/>
      <c r="DP149" s="44"/>
      <c r="DQ149" s="44"/>
    </row>
    <row r="150" spans="3:121" x14ac:dyDescent="0.2">
      <c r="C150" s="220"/>
      <c r="D150" s="228"/>
      <c r="E150" s="228"/>
      <c r="F150" s="220"/>
      <c r="G150" s="220"/>
      <c r="H150" s="220"/>
      <c r="I150" s="220"/>
      <c r="J150" s="220"/>
      <c r="K150" s="220"/>
      <c r="L150" s="220"/>
      <c r="M150" s="220"/>
      <c r="N150" s="220"/>
      <c r="O150" s="220"/>
      <c r="P150" s="220"/>
      <c r="Q150" s="220"/>
      <c r="R150" s="230"/>
      <c r="S150" s="230"/>
      <c r="U150" s="230"/>
      <c r="V150" s="5"/>
      <c r="W150" s="5"/>
      <c r="AF150" s="220"/>
      <c r="DO150" s="44"/>
      <c r="DP150" s="44"/>
      <c r="DQ150" s="44"/>
    </row>
    <row r="151" spans="3:121" x14ac:dyDescent="0.2">
      <c r="C151" s="220"/>
      <c r="D151" s="228"/>
      <c r="E151" s="228"/>
      <c r="F151" s="220"/>
      <c r="G151" s="220"/>
      <c r="H151" s="220"/>
      <c r="I151" s="220"/>
      <c r="J151" s="220"/>
      <c r="K151" s="220"/>
      <c r="L151" s="220"/>
      <c r="M151" s="220"/>
      <c r="N151" s="220"/>
      <c r="O151" s="220"/>
      <c r="P151" s="220"/>
      <c r="Q151" s="220"/>
      <c r="R151" s="230"/>
      <c r="S151" s="230"/>
      <c r="U151" s="230"/>
      <c r="V151" s="5"/>
      <c r="W151" s="5"/>
      <c r="AF151" s="220"/>
      <c r="DO151" s="44"/>
      <c r="DP151" s="44"/>
      <c r="DQ151" s="44"/>
    </row>
    <row r="152" spans="3:121" x14ac:dyDescent="0.2">
      <c r="C152" s="220"/>
      <c r="D152" s="228"/>
      <c r="E152" s="228"/>
      <c r="F152" s="220"/>
      <c r="G152" s="220"/>
      <c r="H152" s="220"/>
      <c r="I152" s="220"/>
      <c r="J152" s="220"/>
      <c r="K152" s="220"/>
      <c r="L152" s="220"/>
      <c r="M152" s="220"/>
      <c r="N152" s="220"/>
      <c r="O152" s="220"/>
      <c r="P152" s="220"/>
      <c r="Q152" s="220"/>
      <c r="R152" s="230"/>
      <c r="S152" s="230"/>
      <c r="U152" s="230"/>
      <c r="V152" s="5"/>
      <c r="W152" s="5"/>
      <c r="AF152" s="220"/>
      <c r="DO152" s="44"/>
      <c r="DP152" s="44"/>
      <c r="DQ152" s="44"/>
    </row>
    <row r="153" spans="3:121" x14ac:dyDescent="0.2">
      <c r="C153" s="220"/>
      <c r="D153" s="228"/>
      <c r="E153" s="228"/>
      <c r="F153" s="220"/>
      <c r="G153" s="220"/>
      <c r="H153" s="220"/>
      <c r="I153" s="220"/>
      <c r="J153" s="220"/>
      <c r="K153" s="220"/>
      <c r="L153" s="220"/>
      <c r="M153" s="220"/>
      <c r="N153" s="220"/>
      <c r="O153" s="220"/>
      <c r="P153" s="220"/>
      <c r="Q153" s="220"/>
      <c r="R153" s="230"/>
      <c r="S153" s="230"/>
      <c r="U153" s="230"/>
      <c r="V153" s="5"/>
      <c r="W153" s="5"/>
      <c r="AF153" s="220"/>
      <c r="DO153" s="44"/>
      <c r="DP153" s="44"/>
      <c r="DQ153" s="44"/>
    </row>
    <row r="154" spans="3:121" x14ac:dyDescent="0.2">
      <c r="C154" s="220"/>
      <c r="D154" s="228"/>
      <c r="E154" s="228"/>
      <c r="F154" s="220"/>
      <c r="G154" s="220"/>
      <c r="H154" s="220"/>
      <c r="I154" s="220"/>
      <c r="J154" s="220"/>
      <c r="K154" s="220"/>
      <c r="L154" s="220"/>
      <c r="M154" s="220"/>
      <c r="N154" s="220"/>
      <c r="O154" s="220"/>
      <c r="P154" s="220"/>
      <c r="Q154" s="220"/>
      <c r="R154" s="230"/>
      <c r="S154" s="230"/>
      <c r="U154" s="230"/>
      <c r="V154" s="5"/>
      <c r="W154" s="5"/>
      <c r="AF154" s="220"/>
      <c r="DO154" s="44"/>
      <c r="DP154" s="44"/>
      <c r="DQ154" s="44"/>
    </row>
    <row r="155" spans="3:121" x14ac:dyDescent="0.2">
      <c r="C155" s="220"/>
      <c r="D155" s="228"/>
      <c r="E155" s="228"/>
      <c r="F155" s="220"/>
      <c r="G155" s="220"/>
      <c r="H155" s="220"/>
      <c r="I155" s="220"/>
      <c r="J155" s="220"/>
      <c r="K155" s="220"/>
      <c r="L155" s="220"/>
      <c r="M155" s="220"/>
      <c r="N155" s="220"/>
      <c r="O155" s="220"/>
      <c r="P155" s="220"/>
      <c r="Q155" s="220"/>
      <c r="R155" s="230"/>
      <c r="S155" s="230"/>
      <c r="U155" s="230"/>
      <c r="V155" s="5"/>
      <c r="W155" s="5"/>
      <c r="AF155" s="220"/>
      <c r="DO155" s="44"/>
      <c r="DP155" s="44"/>
      <c r="DQ155" s="44"/>
    </row>
    <row r="156" spans="3:121" x14ac:dyDescent="0.2">
      <c r="C156" s="220"/>
      <c r="D156" s="228"/>
      <c r="E156" s="228"/>
      <c r="F156" s="220"/>
      <c r="G156" s="220"/>
      <c r="H156" s="220"/>
      <c r="I156" s="220"/>
      <c r="J156" s="220"/>
      <c r="K156" s="220"/>
      <c r="L156" s="220"/>
      <c r="M156" s="220"/>
      <c r="N156" s="220"/>
      <c r="O156" s="220"/>
      <c r="P156" s="220"/>
      <c r="Q156" s="220"/>
      <c r="R156" s="230"/>
      <c r="S156" s="230"/>
      <c r="U156" s="230"/>
      <c r="V156" s="5"/>
      <c r="W156" s="5"/>
      <c r="AF156" s="220"/>
      <c r="DO156" s="44"/>
      <c r="DP156" s="44"/>
      <c r="DQ156" s="44"/>
    </row>
    <row r="157" spans="3:121" x14ac:dyDescent="0.2">
      <c r="C157" s="220"/>
      <c r="D157" s="228"/>
      <c r="E157" s="228"/>
      <c r="F157" s="220"/>
      <c r="G157" s="220"/>
      <c r="H157" s="220"/>
      <c r="I157" s="220"/>
      <c r="J157" s="220"/>
      <c r="K157" s="220"/>
      <c r="L157" s="220"/>
      <c r="M157" s="220"/>
      <c r="N157" s="220"/>
      <c r="O157" s="220"/>
      <c r="P157" s="220"/>
      <c r="Q157" s="220"/>
      <c r="R157" s="230"/>
      <c r="S157" s="230"/>
      <c r="U157" s="230"/>
      <c r="V157" s="5"/>
      <c r="W157" s="5"/>
      <c r="AF157" s="220"/>
      <c r="DO157" s="44"/>
      <c r="DP157" s="44"/>
      <c r="DQ157" s="44"/>
    </row>
    <row r="158" spans="3:121" x14ac:dyDescent="0.2">
      <c r="C158" s="220"/>
      <c r="D158" s="228"/>
      <c r="E158" s="228"/>
      <c r="F158" s="220"/>
      <c r="G158" s="220"/>
      <c r="H158" s="220"/>
      <c r="I158" s="220"/>
      <c r="J158" s="220"/>
      <c r="K158" s="220"/>
      <c r="L158" s="220"/>
      <c r="M158" s="220"/>
      <c r="N158" s="220"/>
      <c r="O158" s="220"/>
      <c r="P158" s="220"/>
      <c r="Q158" s="220"/>
      <c r="R158" s="230"/>
      <c r="S158" s="230"/>
      <c r="U158" s="230"/>
      <c r="V158" s="5"/>
      <c r="W158" s="5"/>
      <c r="AF158" s="220"/>
      <c r="DO158" s="44"/>
      <c r="DP158" s="44"/>
      <c r="DQ158" s="44"/>
    </row>
    <row r="159" spans="3:121" x14ac:dyDescent="0.2">
      <c r="C159" s="220"/>
      <c r="D159" s="228"/>
      <c r="E159" s="228"/>
      <c r="F159" s="220"/>
      <c r="G159" s="220"/>
      <c r="H159" s="220"/>
      <c r="I159" s="220"/>
      <c r="J159" s="220"/>
      <c r="K159" s="220"/>
      <c r="L159" s="220"/>
      <c r="M159" s="220"/>
      <c r="N159" s="220"/>
      <c r="O159" s="220"/>
      <c r="P159" s="220"/>
      <c r="Q159" s="220"/>
      <c r="R159" s="230"/>
      <c r="S159" s="230"/>
      <c r="U159" s="230"/>
      <c r="V159" s="5"/>
      <c r="W159" s="5"/>
      <c r="AF159" s="220"/>
      <c r="DO159" s="44"/>
      <c r="DP159" s="44"/>
      <c r="DQ159" s="44"/>
    </row>
    <row r="160" spans="3:121" x14ac:dyDescent="0.2">
      <c r="C160" s="220"/>
      <c r="D160" s="228"/>
      <c r="E160" s="228"/>
      <c r="F160" s="220"/>
      <c r="G160" s="220"/>
      <c r="H160" s="220"/>
      <c r="I160" s="220"/>
      <c r="J160" s="220"/>
      <c r="K160" s="220"/>
      <c r="L160" s="220"/>
      <c r="M160" s="220"/>
      <c r="N160" s="220"/>
      <c r="O160" s="220"/>
      <c r="P160" s="220"/>
      <c r="Q160" s="220"/>
      <c r="R160" s="230"/>
      <c r="S160" s="230"/>
      <c r="U160" s="230"/>
      <c r="V160" s="5"/>
      <c r="W160" s="5"/>
      <c r="AF160" s="220"/>
      <c r="DO160" s="44"/>
      <c r="DP160" s="44"/>
      <c r="DQ160" s="44"/>
    </row>
    <row r="161" spans="3:121" x14ac:dyDescent="0.2">
      <c r="C161" s="220"/>
      <c r="D161" s="228"/>
      <c r="E161" s="228"/>
      <c r="F161" s="220"/>
      <c r="G161" s="220"/>
      <c r="H161" s="220"/>
      <c r="I161" s="220"/>
      <c r="J161" s="220"/>
      <c r="K161" s="220"/>
      <c r="L161" s="220"/>
      <c r="M161" s="220"/>
      <c r="N161" s="220"/>
      <c r="O161" s="220"/>
      <c r="P161" s="220"/>
      <c r="Q161" s="220"/>
      <c r="R161" s="230"/>
      <c r="S161" s="230"/>
      <c r="U161" s="230"/>
      <c r="V161" s="5"/>
      <c r="W161" s="5"/>
      <c r="AF161" s="220"/>
      <c r="DO161" s="44"/>
      <c r="DP161" s="44"/>
      <c r="DQ161" s="44"/>
    </row>
    <row r="162" spans="3:121" x14ac:dyDescent="0.2">
      <c r="C162" s="220"/>
      <c r="D162" s="228"/>
      <c r="E162" s="228"/>
      <c r="F162" s="220"/>
      <c r="G162" s="220"/>
      <c r="H162" s="220"/>
      <c r="I162" s="220"/>
      <c r="J162" s="220"/>
      <c r="K162" s="220"/>
      <c r="L162" s="220"/>
      <c r="M162" s="220"/>
      <c r="N162" s="220"/>
      <c r="O162" s="220"/>
      <c r="P162" s="220"/>
      <c r="Q162" s="220"/>
      <c r="R162" s="230"/>
      <c r="S162" s="230"/>
      <c r="U162" s="230"/>
      <c r="V162" s="5"/>
      <c r="W162" s="5"/>
      <c r="AF162" s="220"/>
      <c r="DO162" s="44"/>
      <c r="DP162" s="44"/>
      <c r="DQ162" s="44"/>
    </row>
    <row r="163" spans="3:121" x14ac:dyDescent="0.2">
      <c r="C163" s="220"/>
      <c r="D163" s="228"/>
      <c r="E163" s="228"/>
      <c r="F163" s="220"/>
      <c r="G163" s="220"/>
      <c r="H163" s="220"/>
      <c r="I163" s="220"/>
      <c r="J163" s="220"/>
      <c r="K163" s="220"/>
      <c r="L163" s="220"/>
      <c r="M163" s="220"/>
      <c r="N163" s="220"/>
      <c r="O163" s="220"/>
      <c r="P163" s="220"/>
      <c r="Q163" s="220"/>
      <c r="R163" s="230"/>
      <c r="S163" s="230"/>
      <c r="U163" s="230"/>
      <c r="V163" s="5"/>
      <c r="W163" s="5"/>
      <c r="AF163" s="220"/>
      <c r="DO163" s="44"/>
      <c r="DP163" s="44"/>
      <c r="DQ163" s="44"/>
    </row>
    <row r="164" spans="3:121" x14ac:dyDescent="0.2">
      <c r="C164" s="220"/>
      <c r="D164" s="228"/>
      <c r="E164" s="228"/>
      <c r="F164" s="220"/>
      <c r="G164" s="220"/>
      <c r="H164" s="220"/>
      <c r="I164" s="220"/>
      <c r="J164" s="220"/>
      <c r="K164" s="220"/>
      <c r="L164" s="220"/>
      <c r="M164" s="220"/>
      <c r="N164" s="220"/>
      <c r="O164" s="220"/>
      <c r="P164" s="220"/>
      <c r="Q164" s="220"/>
      <c r="R164" s="230"/>
      <c r="S164" s="230"/>
      <c r="U164" s="230"/>
      <c r="V164" s="5"/>
      <c r="W164" s="5"/>
      <c r="AF164" s="220"/>
      <c r="DO164" s="44"/>
      <c r="DP164" s="44"/>
      <c r="DQ164" s="44"/>
    </row>
    <row r="165" spans="3:121" x14ac:dyDescent="0.2">
      <c r="C165" s="220"/>
      <c r="D165" s="228"/>
      <c r="E165" s="228"/>
      <c r="F165" s="220"/>
      <c r="G165" s="220"/>
      <c r="H165" s="220"/>
      <c r="I165" s="220"/>
      <c r="J165" s="220"/>
      <c r="K165" s="220"/>
      <c r="L165" s="220"/>
      <c r="M165" s="220"/>
      <c r="N165" s="220"/>
      <c r="O165" s="220"/>
      <c r="P165" s="220"/>
      <c r="Q165" s="220"/>
      <c r="R165" s="230"/>
      <c r="S165" s="230"/>
      <c r="U165" s="230"/>
      <c r="V165" s="5"/>
      <c r="W165" s="5"/>
      <c r="AF165" s="220"/>
      <c r="DO165" s="44"/>
      <c r="DP165" s="44"/>
      <c r="DQ165" s="44"/>
    </row>
    <row r="166" spans="3:121" x14ac:dyDescent="0.2">
      <c r="C166" s="220"/>
      <c r="D166" s="228"/>
      <c r="E166" s="228"/>
      <c r="F166" s="220"/>
      <c r="G166" s="220"/>
      <c r="H166" s="220"/>
      <c r="I166" s="220"/>
      <c r="J166" s="220"/>
      <c r="K166" s="220"/>
      <c r="L166" s="220"/>
      <c r="M166" s="220"/>
      <c r="N166" s="220"/>
      <c r="O166" s="220"/>
      <c r="P166" s="220"/>
      <c r="Q166" s="220"/>
      <c r="R166" s="230"/>
      <c r="S166" s="230"/>
      <c r="U166" s="230"/>
      <c r="V166" s="5"/>
      <c r="W166" s="5"/>
      <c r="AF166" s="220"/>
      <c r="DO166" s="44"/>
      <c r="DP166" s="44"/>
      <c r="DQ166" s="44"/>
    </row>
    <row r="167" spans="3:121" x14ac:dyDescent="0.2">
      <c r="C167" s="220"/>
      <c r="D167" s="228"/>
      <c r="E167" s="228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0"/>
      <c r="R167" s="230"/>
      <c r="S167" s="230"/>
      <c r="U167" s="230"/>
      <c r="V167" s="5"/>
      <c r="W167" s="5"/>
      <c r="AF167" s="220"/>
      <c r="DO167" s="44"/>
      <c r="DP167" s="44"/>
      <c r="DQ167" s="44"/>
    </row>
    <row r="168" spans="3:121" x14ac:dyDescent="0.2">
      <c r="C168" s="220"/>
      <c r="D168" s="228"/>
      <c r="E168" s="228"/>
      <c r="F168" s="220"/>
      <c r="G168" s="220"/>
      <c r="H168" s="220"/>
      <c r="I168" s="220"/>
      <c r="J168" s="220"/>
      <c r="K168" s="220"/>
      <c r="L168" s="220"/>
      <c r="M168" s="220"/>
      <c r="N168" s="220"/>
      <c r="O168" s="220"/>
      <c r="P168" s="220"/>
      <c r="Q168" s="220"/>
      <c r="R168" s="230"/>
      <c r="S168" s="230"/>
      <c r="U168" s="230"/>
      <c r="V168" s="5"/>
      <c r="W168" s="5"/>
      <c r="AF168" s="220"/>
      <c r="DO168" s="44"/>
      <c r="DP168" s="44"/>
      <c r="DQ168" s="44"/>
    </row>
    <row r="169" spans="3:121" x14ac:dyDescent="0.2">
      <c r="C169" s="220"/>
      <c r="D169" s="228"/>
      <c r="E169" s="228"/>
      <c r="F169" s="220"/>
      <c r="G169" s="220"/>
      <c r="H169" s="220"/>
      <c r="I169" s="220"/>
      <c r="J169" s="220"/>
      <c r="K169" s="220"/>
      <c r="L169" s="220"/>
      <c r="M169" s="220"/>
      <c r="N169" s="220"/>
      <c r="O169" s="220"/>
      <c r="P169" s="220"/>
      <c r="Q169" s="220"/>
      <c r="R169" s="230"/>
      <c r="S169" s="230"/>
      <c r="U169" s="230"/>
      <c r="V169" s="5"/>
      <c r="W169" s="5"/>
      <c r="AF169" s="220"/>
      <c r="DO169" s="44"/>
      <c r="DP169" s="44"/>
      <c r="DQ169" s="44"/>
    </row>
    <row r="170" spans="3:121" x14ac:dyDescent="0.2">
      <c r="C170" s="220"/>
      <c r="D170" s="228"/>
      <c r="E170" s="228"/>
      <c r="F170" s="220"/>
      <c r="G170" s="220"/>
      <c r="H170" s="220"/>
      <c r="I170" s="220"/>
      <c r="J170" s="220"/>
      <c r="K170" s="220"/>
      <c r="L170" s="220"/>
      <c r="M170" s="220"/>
      <c r="N170" s="220"/>
      <c r="O170" s="220"/>
      <c r="P170" s="220"/>
      <c r="Q170" s="220"/>
      <c r="R170" s="230"/>
      <c r="S170" s="230"/>
      <c r="U170" s="230"/>
      <c r="V170" s="5"/>
      <c r="W170" s="5"/>
      <c r="AF170" s="220"/>
      <c r="DO170" s="44"/>
      <c r="DP170" s="44"/>
      <c r="DQ170" s="44"/>
    </row>
    <row r="171" spans="3:121" x14ac:dyDescent="0.2">
      <c r="C171" s="220"/>
      <c r="D171" s="228"/>
      <c r="E171" s="228"/>
      <c r="F171" s="220"/>
      <c r="G171" s="220"/>
      <c r="H171" s="220"/>
      <c r="I171" s="220"/>
      <c r="J171" s="220"/>
      <c r="K171" s="220"/>
      <c r="L171" s="220"/>
      <c r="M171" s="220"/>
      <c r="N171" s="220"/>
      <c r="O171" s="220"/>
      <c r="P171" s="220"/>
      <c r="Q171" s="220"/>
      <c r="R171" s="230"/>
      <c r="S171" s="230"/>
      <c r="U171" s="230"/>
      <c r="V171" s="5"/>
      <c r="W171" s="5"/>
      <c r="AF171" s="220"/>
      <c r="DO171" s="44"/>
      <c r="DP171" s="44"/>
      <c r="DQ171" s="44"/>
    </row>
    <row r="172" spans="3:121" x14ac:dyDescent="0.2">
      <c r="C172" s="220"/>
      <c r="D172" s="228"/>
      <c r="E172" s="228"/>
      <c r="F172" s="220"/>
      <c r="G172" s="220"/>
      <c r="H172" s="220"/>
      <c r="I172" s="220"/>
      <c r="J172" s="220"/>
      <c r="K172" s="220"/>
      <c r="L172" s="220"/>
      <c r="M172" s="220"/>
      <c r="N172" s="220"/>
      <c r="O172" s="220"/>
      <c r="P172" s="220"/>
      <c r="Q172" s="220"/>
      <c r="R172" s="230"/>
      <c r="S172" s="230"/>
      <c r="U172" s="230"/>
      <c r="V172" s="5"/>
      <c r="W172" s="5"/>
      <c r="AF172" s="220"/>
      <c r="DO172" s="44"/>
      <c r="DP172" s="44"/>
      <c r="DQ172" s="44"/>
    </row>
    <row r="173" spans="3:121" x14ac:dyDescent="0.2">
      <c r="C173" s="220"/>
      <c r="D173" s="228"/>
      <c r="E173" s="228"/>
      <c r="F173" s="220"/>
      <c r="G173" s="220"/>
      <c r="H173" s="220"/>
      <c r="I173" s="220"/>
      <c r="J173" s="220"/>
      <c r="K173" s="220"/>
      <c r="L173" s="220"/>
      <c r="M173" s="220"/>
      <c r="N173" s="220"/>
      <c r="O173" s="220"/>
      <c r="P173" s="220"/>
      <c r="Q173" s="220"/>
      <c r="R173" s="230"/>
      <c r="S173" s="230"/>
      <c r="U173" s="230"/>
      <c r="V173" s="5"/>
      <c r="W173" s="5"/>
      <c r="AF173" s="220"/>
      <c r="DO173" s="44"/>
      <c r="DP173" s="44"/>
      <c r="DQ173" s="44"/>
    </row>
    <row r="174" spans="3:121" x14ac:dyDescent="0.2">
      <c r="C174" s="220"/>
      <c r="D174" s="228"/>
      <c r="E174" s="228"/>
      <c r="F174" s="220"/>
      <c r="G174" s="220"/>
      <c r="H174" s="220"/>
      <c r="I174" s="220"/>
      <c r="J174" s="220"/>
      <c r="K174" s="220"/>
      <c r="L174" s="220"/>
      <c r="M174" s="220"/>
      <c r="N174" s="220"/>
      <c r="O174" s="220"/>
      <c r="P174" s="220"/>
      <c r="Q174" s="220"/>
      <c r="R174" s="230"/>
      <c r="S174" s="230"/>
      <c r="U174" s="230"/>
      <c r="V174" s="5"/>
      <c r="W174" s="5"/>
      <c r="AF174" s="220"/>
      <c r="DO174" s="44"/>
      <c r="DP174" s="44"/>
      <c r="DQ174" s="44"/>
    </row>
    <row r="175" spans="3:121" x14ac:dyDescent="0.2">
      <c r="C175" s="220"/>
      <c r="D175" s="228"/>
      <c r="E175" s="228"/>
      <c r="F175" s="220"/>
      <c r="G175" s="220"/>
      <c r="H175" s="220"/>
      <c r="I175" s="220"/>
      <c r="J175" s="220"/>
      <c r="K175" s="220"/>
      <c r="L175" s="220"/>
      <c r="M175" s="220"/>
      <c r="N175" s="220"/>
      <c r="O175" s="220"/>
      <c r="P175" s="220"/>
      <c r="Q175" s="220"/>
      <c r="R175" s="230"/>
      <c r="S175" s="230"/>
      <c r="U175" s="230"/>
      <c r="V175" s="5"/>
      <c r="W175" s="5"/>
      <c r="AF175" s="220"/>
      <c r="DO175" s="44"/>
      <c r="DP175" s="44"/>
      <c r="DQ175" s="44"/>
    </row>
    <row r="176" spans="3:121" x14ac:dyDescent="0.2">
      <c r="C176" s="220"/>
      <c r="D176" s="228"/>
      <c r="E176" s="228"/>
      <c r="F176" s="220"/>
      <c r="G176" s="220"/>
      <c r="H176" s="220"/>
      <c r="I176" s="220"/>
      <c r="J176" s="220"/>
      <c r="K176" s="220"/>
      <c r="L176" s="220"/>
      <c r="M176" s="220"/>
      <c r="N176" s="220"/>
      <c r="O176" s="220"/>
      <c r="P176" s="220"/>
      <c r="Q176" s="220"/>
      <c r="R176" s="230"/>
      <c r="S176" s="230"/>
      <c r="U176" s="230"/>
      <c r="V176" s="5"/>
      <c r="W176" s="5"/>
      <c r="AF176" s="220"/>
      <c r="DO176" s="44"/>
      <c r="DP176" s="44"/>
      <c r="DQ176" s="44"/>
    </row>
    <row r="177" spans="3:124" x14ac:dyDescent="0.2">
      <c r="C177" s="220"/>
      <c r="D177" s="228"/>
      <c r="E177" s="228"/>
      <c r="F177" s="220"/>
      <c r="G177" s="220"/>
      <c r="H177" s="220"/>
      <c r="I177" s="220"/>
      <c r="J177" s="220"/>
      <c r="K177" s="220"/>
      <c r="L177" s="220"/>
      <c r="M177" s="220"/>
      <c r="N177" s="220"/>
      <c r="O177" s="220"/>
      <c r="P177" s="220"/>
      <c r="Q177" s="220"/>
      <c r="R177" s="230"/>
      <c r="S177" s="230"/>
      <c r="U177" s="230"/>
      <c r="V177" s="5"/>
      <c r="W177" s="5"/>
      <c r="AF177" s="220"/>
      <c r="DO177" s="44"/>
      <c r="DP177" s="44"/>
      <c r="DQ177" s="44"/>
    </row>
    <row r="178" spans="3:124" x14ac:dyDescent="0.2">
      <c r="C178" s="220"/>
      <c r="D178" s="228"/>
      <c r="E178" s="228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30"/>
      <c r="S178" s="230"/>
      <c r="U178" s="230"/>
      <c r="V178" s="5"/>
      <c r="W178" s="5"/>
      <c r="AF178" s="220"/>
      <c r="DO178" s="44"/>
      <c r="DP178" s="44"/>
      <c r="DQ178" s="44"/>
    </row>
    <row r="179" spans="3:124" x14ac:dyDescent="0.2">
      <c r="C179" s="220"/>
      <c r="D179" s="228"/>
      <c r="E179" s="228"/>
      <c r="F179" s="220"/>
      <c r="G179" s="220"/>
      <c r="H179" s="220"/>
      <c r="I179" s="220"/>
      <c r="J179" s="220"/>
      <c r="K179" s="220"/>
      <c r="L179" s="220"/>
      <c r="M179" s="220"/>
      <c r="N179" s="220"/>
      <c r="O179" s="220"/>
      <c r="P179" s="220"/>
      <c r="Q179" s="220"/>
      <c r="R179" s="230"/>
      <c r="S179" s="230"/>
      <c r="U179" s="230"/>
      <c r="V179" s="5"/>
      <c r="W179" s="5"/>
      <c r="AF179" s="220"/>
      <c r="DO179" s="44"/>
      <c r="DP179" s="44"/>
      <c r="DQ179" s="44"/>
    </row>
    <row r="180" spans="3:124" x14ac:dyDescent="0.2">
      <c r="C180" s="220"/>
      <c r="D180" s="228"/>
      <c r="E180" s="228"/>
      <c r="F180" s="220"/>
      <c r="G180" s="220"/>
      <c r="H180" s="220"/>
      <c r="I180" s="220"/>
      <c r="J180" s="220"/>
      <c r="K180" s="220"/>
      <c r="L180" s="220"/>
      <c r="M180" s="220"/>
      <c r="N180" s="220"/>
      <c r="O180" s="220"/>
      <c r="P180" s="220"/>
      <c r="Q180" s="220"/>
      <c r="R180" s="230"/>
      <c r="S180" s="230"/>
      <c r="U180" s="230"/>
      <c r="V180" s="5"/>
      <c r="W180" s="5"/>
      <c r="AF180" s="220"/>
      <c r="DO180" s="44"/>
      <c r="DP180" s="44"/>
      <c r="DQ180" s="44"/>
    </row>
    <row r="181" spans="3:124" x14ac:dyDescent="0.2">
      <c r="C181" s="220"/>
      <c r="D181" s="228"/>
      <c r="E181" s="228"/>
      <c r="F181" s="220"/>
      <c r="G181" s="220"/>
      <c r="H181" s="220"/>
      <c r="I181" s="220"/>
      <c r="J181" s="220"/>
      <c r="K181" s="220"/>
      <c r="L181" s="220"/>
      <c r="M181" s="220"/>
      <c r="N181" s="220"/>
      <c r="O181" s="220"/>
      <c r="P181" s="220"/>
      <c r="Q181" s="220"/>
      <c r="R181" s="230"/>
      <c r="S181" s="230"/>
      <c r="U181" s="230"/>
      <c r="V181" s="5"/>
      <c r="W181" s="5"/>
      <c r="AF181" s="220"/>
      <c r="DO181" s="44"/>
      <c r="DP181" s="44"/>
      <c r="DQ181" s="44"/>
    </row>
    <row r="182" spans="3:124" x14ac:dyDescent="0.2">
      <c r="C182" s="220"/>
      <c r="D182" s="228"/>
      <c r="E182" s="228"/>
      <c r="F182" s="220"/>
      <c r="G182" s="220"/>
      <c r="H182" s="220"/>
      <c r="I182" s="220"/>
      <c r="J182" s="220"/>
      <c r="K182" s="220"/>
      <c r="L182" s="220"/>
      <c r="M182" s="220"/>
      <c r="N182" s="220"/>
      <c r="O182" s="220"/>
      <c r="P182" s="220"/>
      <c r="Q182" s="220"/>
      <c r="R182" s="230"/>
      <c r="S182" s="230"/>
      <c r="U182" s="230"/>
      <c r="V182" s="5"/>
      <c r="W182" s="5"/>
      <c r="AF182" s="220"/>
      <c r="DO182" s="44"/>
      <c r="DP182" s="44"/>
      <c r="DQ182" s="44"/>
      <c r="DR182" s="44"/>
      <c r="DS182" s="44"/>
      <c r="DT182" s="44"/>
    </row>
    <row r="183" spans="3:124" x14ac:dyDescent="0.2">
      <c r="C183" s="220"/>
      <c r="D183" s="228"/>
      <c r="E183" s="228"/>
      <c r="F183" s="220"/>
      <c r="G183" s="220"/>
      <c r="H183" s="220"/>
      <c r="I183" s="220"/>
      <c r="J183" s="220"/>
      <c r="K183" s="220"/>
      <c r="L183" s="220"/>
      <c r="M183" s="220"/>
      <c r="N183" s="220"/>
      <c r="O183" s="220"/>
      <c r="P183" s="220"/>
      <c r="Q183" s="220"/>
      <c r="R183" s="230"/>
      <c r="S183" s="230"/>
      <c r="U183" s="230"/>
      <c r="V183" s="5"/>
      <c r="W183" s="5"/>
      <c r="AF183" s="220"/>
      <c r="DO183" s="44"/>
      <c r="DP183" s="44"/>
      <c r="DQ183" s="44"/>
      <c r="DR183" s="44"/>
      <c r="DS183" s="44"/>
      <c r="DT183" s="44"/>
    </row>
    <row r="184" spans="3:124" x14ac:dyDescent="0.2">
      <c r="C184" s="220"/>
      <c r="D184" s="228"/>
      <c r="E184" s="228"/>
      <c r="F184" s="220"/>
      <c r="G184" s="220"/>
      <c r="H184" s="220"/>
      <c r="I184" s="220"/>
      <c r="J184" s="220"/>
      <c r="K184" s="220"/>
      <c r="L184" s="220"/>
      <c r="M184" s="220"/>
      <c r="N184" s="220"/>
      <c r="O184" s="220"/>
      <c r="P184" s="220"/>
      <c r="Q184" s="220"/>
      <c r="R184" s="230"/>
      <c r="S184" s="230"/>
      <c r="U184" s="230"/>
      <c r="V184" s="5"/>
      <c r="W184" s="5"/>
      <c r="AF184" s="220"/>
      <c r="DO184" s="44"/>
      <c r="DP184" s="44"/>
      <c r="DQ184" s="44"/>
      <c r="DR184" s="44"/>
      <c r="DS184" s="44"/>
      <c r="DT184" s="44"/>
    </row>
    <row r="185" spans="3:124" x14ac:dyDescent="0.2">
      <c r="C185" s="220"/>
      <c r="D185" s="228"/>
      <c r="E185" s="228"/>
      <c r="F185" s="220"/>
      <c r="G185" s="220"/>
      <c r="H185" s="220"/>
      <c r="I185" s="220"/>
      <c r="J185" s="220"/>
      <c r="K185" s="220"/>
      <c r="L185" s="220"/>
      <c r="M185" s="220"/>
      <c r="N185" s="220"/>
      <c r="O185" s="220"/>
      <c r="P185" s="220"/>
      <c r="Q185" s="220"/>
      <c r="R185" s="230"/>
      <c r="S185" s="230"/>
      <c r="U185" s="230"/>
      <c r="V185" s="5"/>
      <c r="W185" s="5"/>
      <c r="AF185" s="220"/>
      <c r="DO185" s="44"/>
      <c r="DP185" s="44"/>
      <c r="DQ185" s="44"/>
      <c r="DR185" s="44"/>
      <c r="DS185" s="44"/>
      <c r="DT185" s="44"/>
    </row>
    <row r="186" spans="3:124" x14ac:dyDescent="0.2">
      <c r="C186" s="220"/>
      <c r="D186" s="228"/>
      <c r="E186" s="228"/>
      <c r="F186" s="220"/>
      <c r="G186" s="220"/>
      <c r="H186" s="220"/>
      <c r="I186" s="220"/>
      <c r="J186" s="220"/>
      <c r="K186" s="220"/>
      <c r="L186" s="220"/>
      <c r="M186" s="220"/>
      <c r="N186" s="220"/>
      <c r="O186" s="220"/>
      <c r="P186" s="220"/>
      <c r="Q186" s="220"/>
      <c r="R186" s="230"/>
      <c r="S186" s="230"/>
      <c r="U186" s="230"/>
      <c r="V186" s="5"/>
      <c r="W186" s="5"/>
      <c r="AF186" s="220"/>
      <c r="DO186" s="44"/>
      <c r="DP186" s="44"/>
      <c r="DQ186" s="44"/>
      <c r="DR186" s="44"/>
      <c r="DS186" s="44"/>
      <c r="DT186" s="44"/>
    </row>
    <row r="187" spans="3:124" x14ac:dyDescent="0.2">
      <c r="C187" s="220"/>
      <c r="D187" s="228"/>
      <c r="E187" s="228"/>
      <c r="F187" s="220"/>
      <c r="G187" s="220"/>
      <c r="H187" s="220"/>
      <c r="I187" s="220"/>
      <c r="J187" s="220"/>
      <c r="K187" s="220"/>
      <c r="L187" s="220"/>
      <c r="M187" s="220"/>
      <c r="N187" s="220"/>
      <c r="O187" s="220"/>
      <c r="P187" s="220"/>
      <c r="Q187" s="220"/>
      <c r="R187" s="230"/>
      <c r="S187" s="230"/>
      <c r="U187" s="230"/>
      <c r="V187" s="5"/>
      <c r="W187" s="5"/>
      <c r="AF187" s="220"/>
      <c r="DO187" s="44"/>
      <c r="DP187" s="44"/>
      <c r="DQ187" s="44"/>
      <c r="DR187" s="44"/>
      <c r="DS187" s="44"/>
      <c r="DT187" s="44"/>
    </row>
    <row r="188" spans="3:124" x14ac:dyDescent="0.2">
      <c r="C188" s="220"/>
      <c r="D188" s="228"/>
      <c r="E188" s="228"/>
      <c r="F188" s="220"/>
      <c r="G188" s="220"/>
      <c r="H188" s="220"/>
      <c r="I188" s="220"/>
      <c r="J188" s="220"/>
      <c r="K188" s="220"/>
      <c r="L188" s="220"/>
      <c r="M188" s="220"/>
      <c r="N188" s="220"/>
      <c r="O188" s="220"/>
      <c r="P188" s="220"/>
      <c r="Q188" s="220"/>
      <c r="R188" s="230"/>
      <c r="S188" s="230"/>
      <c r="U188" s="230"/>
      <c r="V188" s="5"/>
      <c r="W188" s="5"/>
      <c r="AF188" s="220"/>
      <c r="DO188" s="44"/>
      <c r="DP188" s="44"/>
      <c r="DQ188" s="44"/>
      <c r="DR188" s="44"/>
      <c r="DS188" s="44"/>
      <c r="DT188" s="44"/>
    </row>
    <row r="189" spans="3:124" x14ac:dyDescent="0.2">
      <c r="C189" s="220"/>
      <c r="D189" s="228"/>
      <c r="E189" s="228"/>
      <c r="F189" s="220"/>
      <c r="G189" s="220"/>
      <c r="H189" s="220"/>
      <c r="I189" s="220"/>
      <c r="J189" s="220"/>
      <c r="K189" s="220"/>
      <c r="L189" s="220"/>
      <c r="M189" s="220"/>
      <c r="N189" s="220"/>
      <c r="O189" s="220"/>
      <c r="P189" s="220"/>
      <c r="Q189" s="220"/>
      <c r="R189" s="230"/>
      <c r="S189" s="230"/>
      <c r="U189" s="230"/>
      <c r="V189" s="5"/>
      <c r="W189" s="5"/>
      <c r="AF189" s="220"/>
      <c r="DO189" s="44"/>
      <c r="DP189" s="44"/>
      <c r="DQ189" s="44"/>
      <c r="DR189" s="44"/>
      <c r="DS189" s="44"/>
      <c r="DT189" s="44"/>
    </row>
    <row r="190" spans="3:124" x14ac:dyDescent="0.2">
      <c r="C190" s="220"/>
      <c r="D190" s="228"/>
      <c r="E190" s="228"/>
      <c r="F190" s="220"/>
      <c r="G190" s="220"/>
      <c r="H190" s="220"/>
      <c r="I190" s="220"/>
      <c r="J190" s="220"/>
      <c r="K190" s="220"/>
      <c r="L190" s="220"/>
      <c r="M190" s="220"/>
      <c r="N190" s="220"/>
      <c r="O190" s="220"/>
      <c r="P190" s="220"/>
      <c r="Q190" s="220"/>
      <c r="R190" s="230"/>
      <c r="S190" s="230"/>
      <c r="U190" s="230"/>
      <c r="V190" s="5"/>
      <c r="W190" s="5"/>
      <c r="AF190" s="220"/>
      <c r="DO190" s="44"/>
      <c r="DP190" s="44"/>
      <c r="DQ190" s="44"/>
      <c r="DR190" s="44"/>
      <c r="DS190" s="44"/>
      <c r="DT190" s="44"/>
    </row>
    <row r="191" spans="3:124" x14ac:dyDescent="0.2">
      <c r="C191" s="220"/>
      <c r="D191" s="228"/>
      <c r="E191" s="228"/>
      <c r="F191" s="220"/>
      <c r="G191" s="220"/>
      <c r="H191" s="220"/>
      <c r="I191" s="220"/>
      <c r="J191" s="220"/>
      <c r="K191" s="220"/>
      <c r="L191" s="220"/>
      <c r="M191" s="220"/>
      <c r="N191" s="220"/>
      <c r="O191" s="220"/>
      <c r="P191" s="220"/>
      <c r="Q191" s="220"/>
      <c r="R191" s="230"/>
      <c r="S191" s="230"/>
      <c r="U191" s="230"/>
      <c r="V191" s="5"/>
      <c r="W191" s="5"/>
      <c r="AF191" s="220"/>
      <c r="DO191" s="44"/>
      <c r="DP191" s="44"/>
      <c r="DQ191" s="44"/>
      <c r="DR191" s="44"/>
      <c r="DS191" s="44"/>
      <c r="DT191" s="44"/>
    </row>
    <row r="192" spans="3:124" x14ac:dyDescent="0.2">
      <c r="C192" s="220"/>
      <c r="D192" s="228"/>
      <c r="E192" s="228"/>
      <c r="F192" s="220"/>
      <c r="G192" s="220"/>
      <c r="H192" s="220"/>
      <c r="I192" s="220"/>
      <c r="J192" s="220"/>
      <c r="K192" s="220"/>
      <c r="L192" s="220"/>
      <c r="M192" s="220"/>
      <c r="N192" s="220"/>
      <c r="O192" s="220"/>
      <c r="P192" s="220"/>
      <c r="Q192" s="220"/>
      <c r="R192" s="230"/>
      <c r="S192" s="230"/>
      <c r="U192" s="230"/>
      <c r="V192" s="5"/>
      <c r="W192" s="5"/>
      <c r="AF192" s="220"/>
      <c r="DO192" s="44"/>
      <c r="DP192" s="44"/>
      <c r="DQ192" s="44"/>
      <c r="DR192" s="44"/>
      <c r="DS192" s="44"/>
      <c r="DT192" s="44"/>
    </row>
    <row r="193" spans="3:124" x14ac:dyDescent="0.2">
      <c r="C193" s="220"/>
      <c r="D193" s="228"/>
      <c r="E193" s="228"/>
      <c r="F193" s="220"/>
      <c r="G193" s="220"/>
      <c r="H193" s="220"/>
      <c r="I193" s="220"/>
      <c r="J193" s="220"/>
      <c r="K193" s="220"/>
      <c r="L193" s="220"/>
      <c r="M193" s="220"/>
      <c r="N193" s="220"/>
      <c r="O193" s="220"/>
      <c r="P193" s="220"/>
      <c r="Q193" s="220"/>
      <c r="R193" s="55" t="str">
        <f>'Monthly Data'!F1</f>
        <v>Res_NoCDM</v>
      </c>
      <c r="S193" s="55" t="str">
        <f>'Monthly Data'!J1</f>
        <v>GS_lt_50_NoCDM</v>
      </c>
      <c r="T193" s="55" t="str">
        <f>'Monthly Data'!N1</f>
        <v>GS_gt_50_NoCDM</v>
      </c>
      <c r="U193" s="230"/>
      <c r="V193" s="5"/>
      <c r="W193" s="5"/>
      <c r="AF193" s="220"/>
      <c r="DO193" s="44"/>
      <c r="DP193" s="44"/>
      <c r="DQ193" s="44"/>
      <c r="DR193" s="44"/>
      <c r="DS193" s="44"/>
      <c r="DT193" s="44"/>
    </row>
    <row r="194" spans="3:124" x14ac:dyDescent="0.2">
      <c r="C194" s="220"/>
      <c r="D194" s="228"/>
      <c r="E194" s="228"/>
      <c r="F194" s="220"/>
      <c r="G194" s="220"/>
      <c r="H194" s="220"/>
      <c r="I194" s="220"/>
      <c r="J194" s="220"/>
      <c r="K194" s="220"/>
      <c r="L194" s="220"/>
      <c r="M194" s="220"/>
      <c r="N194" s="220"/>
      <c r="O194" s="220"/>
      <c r="P194" s="220"/>
      <c r="Q194" s="220"/>
      <c r="R194" s="230">
        <f>'Monthly Data'!F2/'Monthly Data'!G2/'Monthly Data'!CS2</f>
        <v>22.006502450013869</v>
      </c>
      <c r="S194" s="230">
        <f>'Monthly Data'!J2/'Monthly Data'!K2/'Monthly Data'!CS2</f>
        <v>88.843645860201789</v>
      </c>
      <c r="T194" s="55">
        <f>'Monthly Data'!N2/'Monthly Data'!P2/'Monthly Data'!CS2</f>
        <v>2346.5158273926604</v>
      </c>
      <c r="U194" s="230"/>
      <c r="V194" s="220">
        <f t="shared" ref="V194:V225" si="80">C194</f>
        <v>0</v>
      </c>
      <c r="W194" s="55">
        <f t="shared" ref="W194:W225" si="81">S194</f>
        <v>88.843645860201789</v>
      </c>
      <c r="DO194" s="44">
        <f>'Monthly Data'!F2</f>
        <v>96528111.989106089</v>
      </c>
      <c r="DP194" s="44">
        <f>'Monthly Data'!J2</f>
        <v>34683049.001843154</v>
      </c>
      <c r="DQ194" s="44">
        <f>'Monthly Data'!N2</f>
        <v>115950733.09478092</v>
      </c>
      <c r="DR194" s="44">
        <f t="shared" ref="DR194:DR246" si="82">$EE$17+J194*$EE$18+K194*$EE$19</f>
        <v>35298963.860157602</v>
      </c>
      <c r="DS194" s="44">
        <f t="shared" ref="DS194:DS246" si="83">$EE$37+J194*$EE$38+K194*$EE$39</f>
        <v>12682532.251424899</v>
      </c>
      <c r="DT194" s="44">
        <f t="shared" ref="DT194:DT246" si="84">$EE$60+N194*$EE$61+K194*$EE$62</f>
        <v>66646817.550756402</v>
      </c>
    </row>
    <row r="195" spans="3:124" x14ac:dyDescent="0.2">
      <c r="C195" s="220"/>
      <c r="D195" s="228"/>
      <c r="E195" s="228"/>
      <c r="F195" s="220"/>
      <c r="G195" s="220"/>
      <c r="H195" s="220"/>
      <c r="I195" s="220"/>
      <c r="J195" s="220"/>
      <c r="K195" s="220"/>
      <c r="L195" s="220"/>
      <c r="M195" s="220"/>
      <c r="N195" s="220"/>
      <c r="O195" s="220"/>
      <c r="P195" s="220"/>
      <c r="Q195" s="220"/>
      <c r="R195" s="230">
        <f>'Monthly Data'!F3/'Monthly Data'!G3/'Monthly Data'!CS3</f>
        <v>20.496207017927123</v>
      </c>
      <c r="S195" s="230">
        <f>'Monthly Data'!J3/'Monthly Data'!K3/'Monthly Data'!CS3</f>
        <v>89.820388507997137</v>
      </c>
      <c r="T195" s="55">
        <f>'Monthly Data'!N3/'Monthly Data'!P3/'Monthly Data'!CS3</f>
        <v>2760.0447288030728</v>
      </c>
      <c r="U195" s="230"/>
      <c r="V195" s="220">
        <f t="shared" si="80"/>
        <v>0</v>
      </c>
      <c r="W195" s="55">
        <f t="shared" si="81"/>
        <v>89.820388507997137</v>
      </c>
      <c r="DO195" s="44">
        <f>'Monthly Data'!F3</f>
        <v>81300090.78765358</v>
      </c>
      <c r="DP195" s="44">
        <f>'Monthly Data'!J3</f>
        <v>31630788.735422239</v>
      </c>
      <c r="DQ195" s="44">
        <f>'Monthly Data'!N3</f>
        <v>123340878.84075171</v>
      </c>
      <c r="DR195" s="44">
        <f t="shared" si="82"/>
        <v>35298963.860157602</v>
      </c>
      <c r="DS195" s="44">
        <f t="shared" si="83"/>
        <v>12682532.251424899</v>
      </c>
      <c r="DT195" s="44">
        <f t="shared" si="84"/>
        <v>66646817.550756402</v>
      </c>
    </row>
    <row r="196" spans="3:124" x14ac:dyDescent="0.2">
      <c r="C196" s="220"/>
      <c r="D196" s="228"/>
      <c r="E196" s="228"/>
      <c r="F196" s="220"/>
      <c r="G196" s="220"/>
      <c r="H196" s="220"/>
      <c r="I196" s="220"/>
      <c r="J196" s="220"/>
      <c r="K196" s="220"/>
      <c r="L196" s="220"/>
      <c r="M196" s="220"/>
      <c r="N196" s="220"/>
      <c r="O196" s="220"/>
      <c r="P196" s="220"/>
      <c r="Q196" s="220"/>
      <c r="R196" s="230">
        <f>'Monthly Data'!F4/'Monthly Data'!G4/'Monthly Data'!CS4</f>
        <v>20.016662124559964</v>
      </c>
      <c r="S196" s="230">
        <f>'Monthly Data'!J4/'Monthly Data'!K4/'Monthly Data'!CS4</f>
        <v>86.484523589578657</v>
      </c>
      <c r="T196" s="55">
        <f>'Monthly Data'!N4/'Monthly Data'!P4/'Monthly Data'!CS4</f>
        <v>2544.4948372313843</v>
      </c>
      <c r="U196" s="230"/>
      <c r="V196" s="220">
        <f t="shared" si="80"/>
        <v>0</v>
      </c>
      <c r="W196" s="55">
        <f t="shared" si="81"/>
        <v>86.484523589578657</v>
      </c>
      <c r="DO196" s="44">
        <f>'Monthly Data'!F4</f>
        <v>87978694.586201057</v>
      </c>
      <c r="DP196" s="44">
        <f>'Monthly Data'!J4</f>
        <v>33721872.46900133</v>
      </c>
      <c r="DQ196" s="44">
        <f>'Monthly Data'!N4</f>
        <v>126128064.58672249</v>
      </c>
      <c r="DR196" s="44">
        <f t="shared" si="82"/>
        <v>35298963.860157602</v>
      </c>
      <c r="DS196" s="44">
        <f t="shared" si="83"/>
        <v>12682532.251424899</v>
      </c>
      <c r="DT196" s="44">
        <f t="shared" si="84"/>
        <v>66646817.550756402</v>
      </c>
    </row>
    <row r="197" spans="3:124" x14ac:dyDescent="0.2">
      <c r="C197" s="220"/>
      <c r="D197" s="228"/>
      <c r="E197" s="228"/>
      <c r="F197" s="220"/>
      <c r="G197" s="220"/>
      <c r="H197" s="220"/>
      <c r="I197" s="220"/>
      <c r="J197" s="220"/>
      <c r="K197" s="220"/>
      <c r="L197" s="220"/>
      <c r="M197" s="220"/>
      <c r="N197" s="220"/>
      <c r="O197" s="220"/>
      <c r="P197" s="220"/>
      <c r="Q197" s="220"/>
      <c r="R197" s="230">
        <f>'Monthly Data'!F5/'Monthly Data'!G5/'Monthly Data'!CS5</f>
        <v>17.173744094521616</v>
      </c>
      <c r="S197" s="230">
        <f>'Monthly Data'!J5/'Monthly Data'!K5/'Monthly Data'!CS5</f>
        <v>76.922299680593127</v>
      </c>
      <c r="T197" s="55">
        <f>'Monthly Data'!N5/'Monthly Data'!P5/'Monthly Data'!CS5</f>
        <v>2355.0415120428033</v>
      </c>
      <c r="U197" s="230"/>
      <c r="V197" s="220">
        <f t="shared" si="80"/>
        <v>0</v>
      </c>
      <c r="W197" s="55">
        <f t="shared" si="81"/>
        <v>76.922299680593127</v>
      </c>
      <c r="DO197" s="44">
        <f>'Monthly Data'!F5</f>
        <v>73074109.384748533</v>
      </c>
      <c r="DP197" s="44">
        <f>'Monthly Data'!J5</f>
        <v>29000476.202580415</v>
      </c>
      <c r="DQ197" s="44">
        <f>'Monthly Data'!N5</f>
        <v>112971341.33269329</v>
      </c>
      <c r="DR197" s="44">
        <f t="shared" si="82"/>
        <v>35298963.860157602</v>
      </c>
      <c r="DS197" s="44">
        <f t="shared" si="83"/>
        <v>12682532.251424899</v>
      </c>
      <c r="DT197" s="44">
        <f t="shared" si="84"/>
        <v>66646817.550756402</v>
      </c>
    </row>
    <row r="198" spans="3:124" x14ac:dyDescent="0.2">
      <c r="C198" s="220"/>
      <c r="D198" s="228"/>
      <c r="E198" s="228"/>
      <c r="F198" s="220"/>
      <c r="G198" s="220"/>
      <c r="H198" s="220"/>
      <c r="I198" s="220"/>
      <c r="J198" s="220"/>
      <c r="K198" s="220"/>
      <c r="L198" s="220"/>
      <c r="M198" s="220"/>
      <c r="N198" s="220"/>
      <c r="O198" s="220"/>
      <c r="P198" s="220"/>
      <c r="Q198" s="220"/>
      <c r="R198" s="230">
        <f>'Monthly Data'!F6/'Monthly Data'!G6/'Monthly Data'!CS6</f>
        <v>16.851154098279682</v>
      </c>
      <c r="S198" s="230">
        <f>'Monthly Data'!J6/'Monthly Data'!K6/'Monthly Data'!CS6</f>
        <v>77.319479089744121</v>
      </c>
      <c r="T198" s="55">
        <f>'Monthly Data'!N6/'Monthly Data'!P6/'Monthly Data'!CS6</f>
        <v>2432.587493026138</v>
      </c>
      <c r="U198" s="230"/>
      <c r="V198" s="220">
        <f t="shared" si="80"/>
        <v>0</v>
      </c>
      <c r="W198" s="55">
        <f t="shared" si="81"/>
        <v>77.319479089744121</v>
      </c>
      <c r="DO198" s="44">
        <f>'Monthly Data'!F6</f>
        <v>74177213.18329601</v>
      </c>
      <c r="DP198" s="44">
        <f>'Monthly Data'!J6</f>
        <v>30141065.936159503</v>
      </c>
      <c r="DQ198" s="44">
        <f>'Monthly Data'!N6</f>
        <v>120807160.07866408</v>
      </c>
      <c r="DR198" s="44">
        <f t="shared" si="82"/>
        <v>35298963.860157602</v>
      </c>
      <c r="DS198" s="44">
        <f t="shared" si="83"/>
        <v>12682532.251424899</v>
      </c>
      <c r="DT198" s="44">
        <f t="shared" si="84"/>
        <v>66646817.550756402</v>
      </c>
    </row>
    <row r="199" spans="3:124" x14ac:dyDescent="0.2">
      <c r="C199" s="220"/>
      <c r="D199" s="228"/>
      <c r="E199" s="228"/>
      <c r="F199" s="220"/>
      <c r="G199" s="220"/>
      <c r="H199" s="220"/>
      <c r="I199" s="220"/>
      <c r="J199" s="220"/>
      <c r="K199" s="220"/>
      <c r="L199" s="220"/>
      <c r="M199" s="220"/>
      <c r="N199" s="220"/>
      <c r="O199" s="220"/>
      <c r="P199" s="220"/>
      <c r="Q199" s="220"/>
      <c r="R199" s="230">
        <f>'Monthly Data'!F7/'Monthly Data'!G7/'Monthly Data'!CS7</f>
        <v>21.382061114593977</v>
      </c>
      <c r="S199" s="230">
        <f>'Monthly Data'!J7/'Monthly Data'!K7/'Monthly Data'!CS7</f>
        <v>85.57613126985521</v>
      </c>
      <c r="T199" s="55">
        <f>'Monthly Data'!N7/'Monthly Data'!P7/'Monthly Data'!CS7</f>
        <v>2663.9725306832056</v>
      </c>
      <c r="U199" s="230"/>
      <c r="V199" s="220">
        <f t="shared" si="80"/>
        <v>0</v>
      </c>
      <c r="W199" s="55">
        <f t="shared" si="81"/>
        <v>85.57613126985521</v>
      </c>
      <c r="DO199" s="44">
        <f>'Monthly Data'!F7</f>
        <v>91127350.981843486</v>
      </c>
      <c r="DP199" s="44">
        <f>'Monthly Data'!J7</f>
        <v>32275893.669738587</v>
      </c>
      <c r="DQ199" s="44">
        <f>'Monthly Data'!N7</f>
        <v>128030519.82463486</v>
      </c>
      <c r="DR199" s="44">
        <f t="shared" si="82"/>
        <v>35298963.860157602</v>
      </c>
      <c r="DS199" s="44">
        <f t="shared" si="83"/>
        <v>12682532.251424899</v>
      </c>
      <c r="DT199" s="44">
        <f t="shared" si="84"/>
        <v>66646817.550756402</v>
      </c>
    </row>
    <row r="200" spans="3:124" x14ac:dyDescent="0.2">
      <c r="C200" s="220"/>
      <c r="D200" s="228"/>
      <c r="E200" s="228"/>
      <c r="F200" s="220"/>
      <c r="G200" s="220"/>
      <c r="H200" s="220"/>
      <c r="I200" s="220"/>
      <c r="J200" s="220"/>
      <c r="K200" s="220"/>
      <c r="L200" s="220"/>
      <c r="M200" s="220"/>
      <c r="N200" s="220"/>
      <c r="O200" s="220"/>
      <c r="P200" s="220"/>
      <c r="Q200" s="220"/>
      <c r="R200" s="230">
        <f>'Monthly Data'!F8/'Monthly Data'!G8/'Monthly Data'!CS8</f>
        <v>24.55568677411209</v>
      </c>
      <c r="S200" s="230">
        <f>'Monthly Data'!J8/'Monthly Data'!K8/'Monthly Data'!CS8</f>
        <v>89.963521449733548</v>
      </c>
      <c r="T200" s="55">
        <f>'Monthly Data'!N8/'Monthly Data'!P8/'Monthly Data'!CS8</f>
        <v>2678.8870076945873</v>
      </c>
      <c r="U200" s="230"/>
      <c r="V200" s="220">
        <f t="shared" si="80"/>
        <v>0</v>
      </c>
      <c r="W200" s="55">
        <f t="shared" si="81"/>
        <v>89.963521449733548</v>
      </c>
      <c r="DO200" s="44">
        <f>'Monthly Data'!F8</f>
        <v>108227347.78039098</v>
      </c>
      <c r="DP200" s="44">
        <f>'Monthly Data'!J8</f>
        <v>35056085.403317675</v>
      </c>
      <c r="DQ200" s="44">
        <f>'Monthly Data'!N8</f>
        <v>133204977.57060567</v>
      </c>
      <c r="DR200" s="44">
        <f t="shared" si="82"/>
        <v>35298963.860157602</v>
      </c>
      <c r="DS200" s="44">
        <f t="shared" si="83"/>
        <v>12682532.251424899</v>
      </c>
      <c r="DT200" s="44">
        <f t="shared" si="84"/>
        <v>66646817.550756402</v>
      </c>
    </row>
    <row r="201" spans="3:124" x14ac:dyDescent="0.2">
      <c r="C201" s="220"/>
      <c r="D201" s="228"/>
      <c r="E201" s="228"/>
      <c r="F201" s="220"/>
      <c r="G201" s="220"/>
      <c r="H201" s="220"/>
      <c r="I201" s="220"/>
      <c r="J201" s="220"/>
      <c r="K201" s="220"/>
      <c r="L201" s="220"/>
      <c r="M201" s="220"/>
      <c r="N201" s="220"/>
      <c r="O201" s="220"/>
      <c r="P201" s="220"/>
      <c r="Q201" s="220"/>
      <c r="R201" s="230">
        <f>'Monthly Data'!F9/'Monthly Data'!G9/'Monthly Data'!CS9</f>
        <v>21.604107103338585</v>
      </c>
      <c r="S201" s="230">
        <f>'Monthly Data'!J9/'Monthly Data'!K9/'Monthly Data'!CS9</f>
        <v>86.552527177455943</v>
      </c>
      <c r="T201" s="55">
        <f>'Monthly Data'!N9/'Monthly Data'!P9/'Monthly Data'!CS9</f>
        <v>2644.4521220452184</v>
      </c>
      <c r="U201" s="230"/>
      <c r="V201" s="220">
        <f t="shared" si="80"/>
        <v>0</v>
      </c>
      <c r="W201" s="55">
        <f t="shared" si="81"/>
        <v>86.552527177455943</v>
      </c>
      <c r="DO201" s="44">
        <f>'Monthly Data'!F9</f>
        <v>95371179.578938454</v>
      </c>
      <c r="DP201" s="44">
        <f>'Monthly Data'!J9</f>
        <v>33724240.136896759</v>
      </c>
      <c r="DQ201" s="44">
        <f>'Monthly Data'!N9</f>
        <v>131492737.31657645</v>
      </c>
      <c r="DR201" s="44">
        <f t="shared" si="82"/>
        <v>35298963.860157602</v>
      </c>
      <c r="DS201" s="44">
        <f t="shared" si="83"/>
        <v>12682532.251424899</v>
      </c>
      <c r="DT201" s="44">
        <f t="shared" si="84"/>
        <v>66646817.550756402</v>
      </c>
    </row>
    <row r="202" spans="3:124" x14ac:dyDescent="0.2">
      <c r="C202" s="220"/>
      <c r="D202" s="228"/>
      <c r="E202" s="228"/>
      <c r="F202" s="220"/>
      <c r="G202" s="220"/>
      <c r="H202" s="220"/>
      <c r="I202" s="220"/>
      <c r="J202" s="220"/>
      <c r="K202" s="220"/>
      <c r="L202" s="220"/>
      <c r="M202" s="220"/>
      <c r="N202" s="220"/>
      <c r="O202" s="220"/>
      <c r="P202" s="220"/>
      <c r="Q202" s="220"/>
      <c r="R202" s="230">
        <f>'Monthly Data'!F10/'Monthly Data'!G10/'Monthly Data'!CS10</f>
        <v>20.853743723376333</v>
      </c>
      <c r="S202" s="230">
        <f>'Monthly Data'!J10/'Monthly Data'!K10/'Monthly Data'!CS10</f>
        <v>84.617632045197524</v>
      </c>
      <c r="T202" s="55">
        <f>'Monthly Data'!N10/'Monthly Data'!P10/'Monthly Data'!CS10</f>
        <v>2607.4619652485444</v>
      </c>
      <c r="U202" s="230"/>
      <c r="V202" s="220">
        <f t="shared" si="80"/>
        <v>0</v>
      </c>
      <c r="W202" s="55">
        <f t="shared" si="81"/>
        <v>84.617632045197524</v>
      </c>
      <c r="DO202" s="44">
        <f>'Monthly Data'!F10</f>
        <v>89157887.377485931</v>
      </c>
      <c r="DP202" s="44">
        <f>'Monthly Data'!J10</f>
        <v>31894077.870475851</v>
      </c>
      <c r="DQ202" s="44">
        <f>'Monthly Data'!N10</f>
        <v>125862189.06254724</v>
      </c>
      <c r="DR202" s="44">
        <f t="shared" si="82"/>
        <v>35298963.860157602</v>
      </c>
      <c r="DS202" s="44">
        <f t="shared" si="83"/>
        <v>12682532.251424899</v>
      </c>
      <c r="DT202" s="44">
        <f t="shared" si="84"/>
        <v>66646817.550756402</v>
      </c>
    </row>
    <row r="203" spans="3:124" x14ac:dyDescent="0.2">
      <c r="C203" s="220"/>
      <c r="D203" s="228"/>
      <c r="E203" s="228"/>
      <c r="F203" s="220"/>
      <c r="G203" s="220"/>
      <c r="H203" s="220"/>
      <c r="I203" s="220"/>
      <c r="J203" s="220"/>
      <c r="K203" s="220"/>
      <c r="L203" s="220"/>
      <c r="M203" s="220"/>
      <c r="N203" s="220"/>
      <c r="O203" s="220"/>
      <c r="P203" s="220"/>
      <c r="Q203" s="220"/>
      <c r="R203" s="230">
        <f>'Monthly Data'!F11/'Monthly Data'!G11/'Monthly Data'!CS11</f>
        <v>17.526418800832651</v>
      </c>
      <c r="S203" s="230">
        <f>'Monthly Data'!J11/'Monthly Data'!K11/'Monthly Data'!CS11</f>
        <v>77.362965083416569</v>
      </c>
      <c r="T203" s="55">
        <f>'Monthly Data'!N11/'Monthly Data'!P11/'Monthly Data'!CS11</f>
        <v>2415.2058667304755</v>
      </c>
      <c r="U203" s="230"/>
      <c r="V203" s="220">
        <f t="shared" si="80"/>
        <v>0</v>
      </c>
      <c r="W203" s="55">
        <f t="shared" si="81"/>
        <v>77.362965083416569</v>
      </c>
      <c r="DO203" s="44">
        <f>'Monthly Data'!F11</f>
        <v>77506626.176033407</v>
      </c>
      <c r="DP203" s="44">
        <f>'Monthly Data'!J11</f>
        <v>30146026.604054935</v>
      </c>
      <c r="DQ203" s="44">
        <f>'Monthly Data'!N11</f>
        <v>120542924.80851802</v>
      </c>
      <c r="DR203" s="44">
        <f t="shared" si="82"/>
        <v>35298963.860157602</v>
      </c>
      <c r="DS203" s="44">
        <f t="shared" si="83"/>
        <v>12682532.251424899</v>
      </c>
      <c r="DT203" s="44">
        <f t="shared" si="84"/>
        <v>66646817.550756402</v>
      </c>
    </row>
    <row r="204" spans="3:124" x14ac:dyDescent="0.2">
      <c r="C204" s="220"/>
      <c r="D204" s="228"/>
      <c r="E204" s="228"/>
      <c r="F204" s="220"/>
      <c r="G204" s="220"/>
      <c r="H204" s="220"/>
      <c r="I204" s="220"/>
      <c r="J204" s="220"/>
      <c r="K204" s="220"/>
      <c r="L204" s="220"/>
      <c r="M204" s="220"/>
      <c r="N204" s="220"/>
      <c r="O204" s="220"/>
      <c r="P204" s="220"/>
      <c r="Q204" s="220"/>
      <c r="R204" s="230">
        <f>'Monthly Data'!F12/'Monthly Data'!G12/'Monthly Data'!CS12</f>
        <v>19.695720268700239</v>
      </c>
      <c r="S204" s="230">
        <f>'Monthly Data'!J12/'Monthly Data'!K12/'Monthly Data'!CS12</f>
        <v>83.380789608385783</v>
      </c>
      <c r="T204" s="55">
        <f>'Monthly Data'!N12/'Monthly Data'!P12/'Monthly Data'!CS12</f>
        <v>2447.7391481720119</v>
      </c>
      <c r="U204" s="230"/>
      <c r="V204" s="220">
        <f t="shared" si="80"/>
        <v>0</v>
      </c>
      <c r="W204" s="55">
        <f t="shared" si="81"/>
        <v>83.380789608385783</v>
      </c>
      <c r="DO204" s="44">
        <f>'Monthly Data'!F12</f>
        <v>84425507.974580884</v>
      </c>
      <c r="DP204" s="44">
        <f>'Monthly Data'!J12</f>
        <v>31440394.337634023</v>
      </c>
      <c r="DQ204" s="44">
        <f>'Monthly Data'!N12</f>
        <v>118519529.55448882</v>
      </c>
      <c r="DR204" s="44">
        <f t="shared" si="82"/>
        <v>35298963.860157602</v>
      </c>
      <c r="DS204" s="44">
        <f t="shared" si="83"/>
        <v>12682532.251424899</v>
      </c>
      <c r="DT204" s="44">
        <f t="shared" si="84"/>
        <v>66646817.550756402</v>
      </c>
    </row>
    <row r="205" spans="3:124" x14ac:dyDescent="0.2">
      <c r="C205" s="220"/>
      <c r="D205" s="228"/>
      <c r="E205" s="228"/>
      <c r="F205" s="220"/>
      <c r="G205" s="220"/>
      <c r="H205" s="220"/>
      <c r="I205" s="220"/>
      <c r="J205" s="220"/>
      <c r="K205" s="220"/>
      <c r="L205" s="220"/>
      <c r="M205" s="220"/>
      <c r="N205" s="220"/>
      <c r="O205" s="220"/>
      <c r="P205" s="220"/>
      <c r="Q205" s="220"/>
      <c r="R205" s="230">
        <f>'Monthly Data'!F13/'Monthly Data'!G13/'Monthly Data'!CS13</f>
        <v>23.171861465019376</v>
      </c>
      <c r="S205" s="230">
        <f>'Monthly Data'!J13/'Monthly Data'!K13/'Monthly Data'!CS13</f>
        <v>87.569026397929974</v>
      </c>
      <c r="T205" s="55">
        <f>'Monthly Data'!N13/'Monthly Data'!P13/'Monthly Data'!CS13</f>
        <v>2425.3411618563227</v>
      </c>
      <c r="U205" s="230"/>
      <c r="V205" s="220">
        <f t="shared" si="80"/>
        <v>0</v>
      </c>
      <c r="W205" s="55">
        <f t="shared" si="81"/>
        <v>87.569026397929974</v>
      </c>
      <c r="DO205" s="44">
        <f>'Monthly Data'!F13</f>
        <v>102733791.77312838</v>
      </c>
      <c r="DP205" s="44">
        <f>'Monthly Data'!J13</f>
        <v>34201747.071213111</v>
      </c>
      <c r="DQ205" s="44">
        <f>'Monthly Data'!N13</f>
        <v>121951004.30045961</v>
      </c>
      <c r="DR205" s="44">
        <f t="shared" si="82"/>
        <v>35298963.860157602</v>
      </c>
      <c r="DS205" s="44">
        <f t="shared" si="83"/>
        <v>12682532.251424899</v>
      </c>
      <c r="DT205" s="44">
        <f t="shared" si="84"/>
        <v>66646817.550756402</v>
      </c>
    </row>
    <row r="206" spans="3:124" x14ac:dyDescent="0.2">
      <c r="C206" s="220"/>
      <c r="D206" s="228"/>
      <c r="E206" s="228"/>
      <c r="F206" s="220"/>
      <c r="G206" s="220"/>
      <c r="H206" s="220"/>
      <c r="I206" s="220"/>
      <c r="J206" s="220"/>
      <c r="K206" s="220"/>
      <c r="L206" s="220"/>
      <c r="M206" s="220"/>
      <c r="N206" s="220"/>
      <c r="O206" s="220"/>
      <c r="P206" s="220"/>
      <c r="Q206" s="220"/>
      <c r="R206" s="230">
        <f>'Monthly Data'!F14/'Monthly Data'!G14/'Monthly Data'!CS14</f>
        <v>23.605170887382233</v>
      </c>
      <c r="S206" s="230">
        <f>'Monthly Data'!J14/'Monthly Data'!K14/'Monthly Data'!CS14</f>
        <v>94.999041725194132</v>
      </c>
      <c r="T206" s="55">
        <f>'Monthly Data'!N14/'Monthly Data'!P14/'Monthly Data'!CS14</f>
        <v>2599.088509175881</v>
      </c>
      <c r="U206" s="230"/>
      <c r="V206" s="220">
        <f t="shared" si="80"/>
        <v>0</v>
      </c>
      <c r="W206" s="55">
        <f t="shared" si="81"/>
        <v>94.999041725194132</v>
      </c>
      <c r="DO206" s="44">
        <f>'Monthly Data'!F14</f>
        <v>104765390.03404444</v>
      </c>
      <c r="DP206" s="44">
        <f>'Monthly Data'!J14</f>
        <v>37147855.281969562</v>
      </c>
      <c r="DQ206" s="44">
        <f>'Monthly Data'!N14</f>
        <v>130123366.21189049</v>
      </c>
      <c r="DR206" s="44">
        <f t="shared" si="82"/>
        <v>35298963.860157602</v>
      </c>
      <c r="DS206" s="44">
        <f t="shared" si="83"/>
        <v>12682532.251424899</v>
      </c>
      <c r="DT206" s="44">
        <f t="shared" si="84"/>
        <v>66646817.550756402</v>
      </c>
    </row>
    <row r="207" spans="3:124" x14ac:dyDescent="0.2">
      <c r="C207" s="220"/>
      <c r="D207" s="228"/>
      <c r="E207" s="228"/>
      <c r="F207" s="220"/>
      <c r="G207" s="220"/>
      <c r="H207" s="220"/>
      <c r="I207" s="220"/>
      <c r="J207" s="220"/>
      <c r="K207" s="220"/>
      <c r="L207" s="220"/>
      <c r="M207" s="220"/>
      <c r="N207" s="220"/>
      <c r="O207" s="220"/>
      <c r="P207" s="220"/>
      <c r="Q207" s="220"/>
      <c r="R207" s="230">
        <f>'Monthly Data'!F15/'Monthly Data'!G15/'Monthly Data'!CS15</f>
        <v>21.907392208405003</v>
      </c>
      <c r="S207" s="230">
        <f>'Monthly Data'!J15/'Monthly Data'!K15/'Monthly Data'!CS15</f>
        <v>90.950227531340232</v>
      </c>
      <c r="T207" s="55">
        <f>'Monthly Data'!N15/'Monthly Data'!P15/'Monthly Data'!CS15</f>
        <v>2553.7390623446017</v>
      </c>
      <c r="U207" s="230"/>
      <c r="V207" s="220">
        <f t="shared" si="80"/>
        <v>0</v>
      </c>
      <c r="W207" s="55">
        <f t="shared" si="81"/>
        <v>90.950227531340232</v>
      </c>
      <c r="DO207" s="44">
        <f>'Monthly Data'!F15</f>
        <v>87909194.787768081</v>
      </c>
      <c r="DP207" s="44">
        <f>'Monthly Data'!J15</f>
        <v>32130532.581361752</v>
      </c>
      <c r="DQ207" s="44">
        <f>'Monthly Data'!N15</f>
        <v>115694594.48045985</v>
      </c>
      <c r="DR207" s="44">
        <f t="shared" si="82"/>
        <v>35298963.860157602</v>
      </c>
      <c r="DS207" s="44">
        <f t="shared" si="83"/>
        <v>12682532.251424899</v>
      </c>
      <c r="DT207" s="44">
        <f t="shared" si="84"/>
        <v>66646817.550756402</v>
      </c>
    </row>
    <row r="208" spans="3:124" x14ac:dyDescent="0.2">
      <c r="C208" s="220"/>
      <c r="D208" s="228"/>
      <c r="E208" s="228"/>
      <c r="F208" s="220"/>
      <c r="G208" s="220"/>
      <c r="H208" s="220"/>
      <c r="I208" s="220"/>
      <c r="J208" s="220"/>
      <c r="K208" s="220"/>
      <c r="L208" s="220"/>
      <c r="M208" s="220"/>
      <c r="N208" s="220"/>
      <c r="O208" s="220"/>
      <c r="P208" s="220"/>
      <c r="Q208" s="220"/>
      <c r="R208" s="230">
        <f>'Monthly Data'!F16/'Monthly Data'!G16/'Monthly Data'!CS16</f>
        <v>20.652568519622552</v>
      </c>
      <c r="S208" s="230">
        <f>'Monthly Data'!J16/'Monthly Data'!K16/'Monthly Data'!CS16</f>
        <v>87.117764635637101</v>
      </c>
      <c r="T208" s="55">
        <f>'Monthly Data'!N16/'Monthly Data'!P16/'Monthly Data'!CS16</f>
        <v>2501.6673661036966</v>
      </c>
      <c r="U208" s="230"/>
      <c r="V208" s="220">
        <f t="shared" si="80"/>
        <v>0</v>
      </c>
      <c r="W208" s="55">
        <f t="shared" si="81"/>
        <v>87.117764635637101</v>
      </c>
      <c r="DO208" s="44">
        <f>'Monthly Data'!F16</f>
        <v>91818531.541491702</v>
      </c>
      <c r="DP208" s="44">
        <f>'Monthly Data'!J16</f>
        <v>34082211.880753942</v>
      </c>
      <c r="DQ208" s="44">
        <f>'Monthly Data'!N16</f>
        <v>125478631.74902922</v>
      </c>
      <c r="DR208" s="44">
        <f t="shared" si="82"/>
        <v>35298963.860157602</v>
      </c>
      <c r="DS208" s="44">
        <f t="shared" si="83"/>
        <v>12682532.251424899</v>
      </c>
      <c r="DT208" s="44">
        <f t="shared" si="84"/>
        <v>66646817.550756402</v>
      </c>
    </row>
    <row r="209" spans="3:124" x14ac:dyDescent="0.2">
      <c r="C209" s="220"/>
      <c r="D209" s="228"/>
      <c r="E209" s="228"/>
      <c r="F209" s="220"/>
      <c r="G209" s="220"/>
      <c r="H209" s="220"/>
      <c r="I209" s="220"/>
      <c r="J209" s="220"/>
      <c r="K209" s="220"/>
      <c r="L209" s="220"/>
      <c r="M209" s="220"/>
      <c r="N209" s="220"/>
      <c r="O209" s="220"/>
      <c r="P209" s="220"/>
      <c r="Q209" s="220"/>
      <c r="R209" s="230">
        <f>'Monthly Data'!F17/'Monthly Data'!G17/'Monthly Data'!CS17</f>
        <v>19.459547271514559</v>
      </c>
      <c r="S209" s="230">
        <f>'Monthly Data'!J17/'Monthly Data'!K17/'Monthly Data'!CS17</f>
        <v>83.363111269887639</v>
      </c>
      <c r="T209" s="55">
        <f>'Monthly Data'!N17/'Monthly Data'!P17/'Monthly Data'!CS17</f>
        <v>2464.8425986740494</v>
      </c>
      <c r="U209" s="230"/>
      <c r="V209" s="220">
        <f t="shared" si="80"/>
        <v>0</v>
      </c>
      <c r="W209" s="55">
        <f t="shared" si="81"/>
        <v>83.363111269887639</v>
      </c>
      <c r="DO209" s="44">
        <f>'Monthly Data'!F17</f>
        <v>83778021.295215338</v>
      </c>
      <c r="DP209" s="44">
        <f>'Monthly Data'!J17</f>
        <v>31578780.180146135</v>
      </c>
      <c r="DQ209" s="44">
        <f>'Monthly Data'!N17</f>
        <v>119717405.01759858</v>
      </c>
      <c r="DR209" s="44">
        <f t="shared" si="82"/>
        <v>35298963.860157602</v>
      </c>
      <c r="DS209" s="44">
        <f t="shared" si="83"/>
        <v>12682532.251424899</v>
      </c>
      <c r="DT209" s="44">
        <f t="shared" si="84"/>
        <v>66646817.550756402</v>
      </c>
    </row>
    <row r="210" spans="3:124" x14ac:dyDescent="0.2">
      <c r="C210" s="220"/>
      <c r="D210" s="228"/>
      <c r="E210" s="228"/>
      <c r="F210" s="220"/>
      <c r="G210" s="220"/>
      <c r="H210" s="220"/>
      <c r="I210" s="220"/>
      <c r="J210" s="220"/>
      <c r="K210" s="220"/>
      <c r="L210" s="220"/>
      <c r="M210" s="220"/>
      <c r="N210" s="220"/>
      <c r="O210" s="220"/>
      <c r="P210" s="220"/>
      <c r="Q210" s="220"/>
      <c r="R210" s="230">
        <f>'Monthly Data'!F18/'Monthly Data'!G18/'Monthly Data'!CS18</f>
        <v>19.044337287154132</v>
      </c>
      <c r="S210" s="230">
        <f>'Monthly Data'!J18/'Monthly Data'!K18/'Monthly Data'!CS18</f>
        <v>82.862235175131374</v>
      </c>
      <c r="T210" s="55">
        <f>'Monthly Data'!N18/'Monthly Data'!P18/'Monthly Data'!CS18</f>
        <v>2531.2606524346088</v>
      </c>
      <c r="U210" s="230"/>
      <c r="V210" s="220">
        <f t="shared" si="80"/>
        <v>0</v>
      </c>
      <c r="W210" s="55">
        <f t="shared" si="81"/>
        <v>82.862235175131374</v>
      </c>
      <c r="DO210" s="44">
        <f>'Monthly Data'!F18</f>
        <v>84852159.04893896</v>
      </c>
      <c r="DP210" s="44">
        <f>'Monthly Data'!J18</f>
        <v>32437913.479538325</v>
      </c>
      <c r="DQ210" s="44">
        <f>'Monthly Data'!N18</f>
        <v>127433786.28616795</v>
      </c>
      <c r="DR210" s="44">
        <f t="shared" si="82"/>
        <v>35298963.860157602</v>
      </c>
      <c r="DS210" s="44">
        <f t="shared" si="83"/>
        <v>12682532.251424899</v>
      </c>
      <c r="DT210" s="44">
        <f t="shared" si="84"/>
        <v>66646817.550756402</v>
      </c>
    </row>
    <row r="211" spans="3:124" x14ac:dyDescent="0.2">
      <c r="C211" s="220"/>
      <c r="D211" s="228"/>
      <c r="E211" s="228"/>
      <c r="F211" s="220"/>
      <c r="G211" s="220"/>
      <c r="H211" s="220"/>
      <c r="I211" s="220"/>
      <c r="J211" s="220"/>
      <c r="K211" s="220"/>
      <c r="L211" s="220"/>
      <c r="M211" s="220"/>
      <c r="N211" s="220"/>
      <c r="O211" s="220"/>
      <c r="P211" s="220"/>
      <c r="Q211" s="220"/>
      <c r="R211" s="230">
        <f>'Monthly Data'!F19/'Monthly Data'!G19/'Monthly Data'!CS19</f>
        <v>22.340421980268975</v>
      </c>
      <c r="S211" s="230">
        <f>'Monthly Data'!J19/'Monthly Data'!K19/'Monthly Data'!CS19</f>
        <v>89.670748308345253</v>
      </c>
      <c r="T211" s="55">
        <f>'Monthly Data'!N19/'Monthly Data'!P19/'Monthly Data'!CS19</f>
        <v>2674.891215674832</v>
      </c>
      <c r="U211" s="230"/>
      <c r="V211" s="220">
        <f t="shared" si="80"/>
        <v>0</v>
      </c>
      <c r="W211" s="55">
        <f t="shared" si="81"/>
        <v>89.670748308345253</v>
      </c>
      <c r="DO211" s="44">
        <f>'Monthly Data'!F19</f>
        <v>96396686.802662596</v>
      </c>
      <c r="DP211" s="44">
        <f>'Monthly Data'!J19</f>
        <v>33981626.778930515</v>
      </c>
      <c r="DQ211" s="44">
        <f>'Monthly Data'!N19</f>
        <v>130160206.55473731</v>
      </c>
      <c r="DR211" s="44">
        <f t="shared" si="82"/>
        <v>35298963.860157602</v>
      </c>
      <c r="DS211" s="44">
        <f t="shared" si="83"/>
        <v>12682532.251424899</v>
      </c>
      <c r="DT211" s="44">
        <f t="shared" si="84"/>
        <v>66646817.550756402</v>
      </c>
    </row>
    <row r="212" spans="3:124" x14ac:dyDescent="0.2">
      <c r="C212" s="220"/>
      <c r="D212" s="228"/>
      <c r="E212" s="228"/>
      <c r="F212" s="220"/>
      <c r="G212" s="220"/>
      <c r="H212" s="220"/>
      <c r="I212" s="220"/>
      <c r="J212" s="220"/>
      <c r="K212" s="220"/>
      <c r="L212" s="220"/>
      <c r="M212" s="220"/>
      <c r="N212" s="220"/>
      <c r="O212" s="220"/>
      <c r="P212" s="220"/>
      <c r="Q212" s="220"/>
      <c r="R212" s="230">
        <f>'Monthly Data'!F20/'Monthly Data'!G20/'Monthly Data'!CS20</f>
        <v>27.047792214547069</v>
      </c>
      <c r="S212" s="230">
        <f>'Monthly Data'!J20/'Monthly Data'!K20/'Monthly Data'!CS20</f>
        <v>95.355416040988359</v>
      </c>
      <c r="T212" s="55">
        <f>'Monthly Data'!N20/'Monthly Data'!P20/'Monthly Data'!CS20</f>
        <v>2775.8531646176898</v>
      </c>
      <c r="U212" s="230"/>
      <c r="V212" s="220">
        <f t="shared" si="80"/>
        <v>0</v>
      </c>
      <c r="W212" s="55">
        <f t="shared" si="81"/>
        <v>95.355416040988359</v>
      </c>
      <c r="DO212" s="44">
        <f>'Monthly Data'!F20</f>
        <v>120736313.55638622</v>
      </c>
      <c r="DP212" s="44">
        <f>'Monthly Data'!J20</f>
        <v>37340418.078322709</v>
      </c>
      <c r="DQ212" s="44">
        <f>'Monthly Data'!N20</f>
        <v>139575448.82330668</v>
      </c>
      <c r="DR212" s="44">
        <f t="shared" si="82"/>
        <v>35298963.860157602</v>
      </c>
      <c r="DS212" s="44">
        <f t="shared" si="83"/>
        <v>12682532.251424899</v>
      </c>
      <c r="DT212" s="44">
        <f t="shared" si="84"/>
        <v>66646817.550756402</v>
      </c>
    </row>
    <row r="213" spans="3:124" x14ac:dyDescent="0.2">
      <c r="C213" s="220"/>
      <c r="D213" s="228"/>
      <c r="E213" s="228"/>
      <c r="F213" s="220"/>
      <c r="G213" s="220"/>
      <c r="H213" s="220"/>
      <c r="I213" s="220"/>
      <c r="J213" s="220"/>
      <c r="K213" s="220"/>
      <c r="L213" s="220"/>
      <c r="M213" s="220"/>
      <c r="N213" s="220"/>
      <c r="O213" s="220"/>
      <c r="P213" s="220"/>
      <c r="Q213" s="220"/>
      <c r="R213" s="230">
        <f>'Monthly Data'!F21/'Monthly Data'!G21/'Monthly Data'!CS21</f>
        <v>26.71789309706023</v>
      </c>
      <c r="S213" s="230">
        <f>'Monthly Data'!J21/'Monthly Data'!K21/'Monthly Data'!CS21</f>
        <v>95.077715313750943</v>
      </c>
      <c r="T213" s="55">
        <f>'Monthly Data'!N21/'Monthly Data'!P21/'Monthly Data'!CS21</f>
        <v>2890.4404515309875</v>
      </c>
      <c r="U213" s="230"/>
      <c r="V213" s="220">
        <f t="shared" si="80"/>
        <v>0</v>
      </c>
      <c r="W213" s="55">
        <f t="shared" si="81"/>
        <v>95.077715313750943</v>
      </c>
      <c r="DO213" s="44">
        <f>'Monthly Data'!F21</f>
        <v>119361439.31010985</v>
      </c>
      <c r="DP213" s="44">
        <f>'Monthly Data'!J21</f>
        <v>37258199.377714895</v>
      </c>
      <c r="DQ213" s="44">
        <f>'Monthly Data'!N21</f>
        <v>145516334.09187603</v>
      </c>
      <c r="DR213" s="44">
        <f t="shared" si="82"/>
        <v>35298963.860157602</v>
      </c>
      <c r="DS213" s="44">
        <f t="shared" si="83"/>
        <v>12682532.251424899</v>
      </c>
      <c r="DT213" s="44">
        <f t="shared" si="84"/>
        <v>66646817.550756402</v>
      </c>
    </row>
    <row r="214" spans="3:124" x14ac:dyDescent="0.2">
      <c r="C214" s="220"/>
      <c r="D214" s="228"/>
      <c r="E214" s="228"/>
      <c r="F214" s="220"/>
      <c r="G214" s="220"/>
      <c r="H214" s="220"/>
      <c r="I214" s="220"/>
      <c r="J214" s="220"/>
      <c r="K214" s="220"/>
      <c r="L214" s="220"/>
      <c r="M214" s="220"/>
      <c r="N214" s="220"/>
      <c r="O214" s="220"/>
      <c r="P214" s="220"/>
      <c r="Q214" s="220"/>
      <c r="R214" s="230">
        <f>'Monthly Data'!F22/'Monthly Data'!G22/'Monthly Data'!CS22</f>
        <v>22.739390088427641</v>
      </c>
      <c r="S214" s="230">
        <f>'Monthly Data'!J22/'Monthly Data'!K22/'Monthly Data'!CS22</f>
        <v>85.629747202498578</v>
      </c>
      <c r="T214" s="55">
        <f>'Monthly Data'!N22/'Monthly Data'!P22/'Monthly Data'!CS22</f>
        <v>2678.0133078909153</v>
      </c>
      <c r="U214" s="230"/>
      <c r="V214" s="220">
        <f t="shared" si="80"/>
        <v>0</v>
      </c>
      <c r="W214" s="55">
        <f t="shared" si="81"/>
        <v>85.629747202498578</v>
      </c>
      <c r="DO214" s="44">
        <f>'Monthly Data'!F22</f>
        <v>98395160.063833475</v>
      </c>
      <c r="DP214" s="44">
        <f>'Monthly Data'!J22</f>
        <v>32457955.677107088</v>
      </c>
      <c r="DQ214" s="44">
        <f>'Monthly Data'!N22</f>
        <v>130472808.3604454</v>
      </c>
      <c r="DR214" s="44">
        <f t="shared" si="82"/>
        <v>35298963.860157602</v>
      </c>
      <c r="DS214" s="44">
        <f t="shared" si="83"/>
        <v>12682532.251424899</v>
      </c>
      <c r="DT214" s="44">
        <f t="shared" si="84"/>
        <v>66646817.550756402</v>
      </c>
    </row>
    <row r="215" spans="3:124" x14ac:dyDescent="0.2">
      <c r="C215" s="220"/>
      <c r="D215" s="228"/>
      <c r="E215" s="228"/>
      <c r="F215" s="220"/>
      <c r="G215" s="220"/>
      <c r="H215" s="220"/>
      <c r="I215" s="220"/>
      <c r="J215" s="220"/>
      <c r="K215" s="220"/>
      <c r="L215" s="220"/>
      <c r="M215" s="220"/>
      <c r="N215" s="220"/>
      <c r="O215" s="220"/>
      <c r="P215" s="220"/>
      <c r="Q215" s="220"/>
      <c r="R215" s="230">
        <f>'Monthly Data'!F23/'Monthly Data'!G23/'Monthly Data'!CS23</f>
        <v>18.560817875008006</v>
      </c>
      <c r="S215" s="230">
        <f>'Monthly Data'!J23/'Monthly Data'!K23/'Monthly Data'!CS23</f>
        <v>78.773874682467408</v>
      </c>
      <c r="T215" s="55">
        <f>'Monthly Data'!N23/'Monthly Data'!P23/'Monthly Data'!CS23</f>
        <v>2466.9369851913602</v>
      </c>
      <c r="U215" s="230"/>
      <c r="V215" s="220">
        <f t="shared" si="80"/>
        <v>0</v>
      </c>
      <c r="W215" s="55">
        <f t="shared" si="81"/>
        <v>78.773874682467408</v>
      </c>
      <c r="DO215" s="44">
        <f>'Monthly Data'!F23</f>
        <v>83137429.817557111</v>
      </c>
      <c r="DP215" s="44">
        <f>'Monthly Data'!J23</f>
        <v>30886290.976499278</v>
      </c>
      <c r="DQ215" s="44">
        <f>'Monthly Data'!N23</f>
        <v>124271950.62901476</v>
      </c>
      <c r="DR215" s="44">
        <f t="shared" si="82"/>
        <v>35298963.860157602</v>
      </c>
      <c r="DS215" s="44">
        <f t="shared" si="83"/>
        <v>12682532.251424899</v>
      </c>
      <c r="DT215" s="44">
        <f t="shared" si="84"/>
        <v>66646817.550756402</v>
      </c>
    </row>
    <row r="216" spans="3:124" x14ac:dyDescent="0.2">
      <c r="C216" s="220"/>
      <c r="D216" s="228"/>
      <c r="E216" s="228"/>
      <c r="F216" s="220"/>
      <c r="G216" s="220"/>
      <c r="H216" s="220"/>
      <c r="I216" s="220"/>
      <c r="J216" s="220"/>
      <c r="K216" s="220"/>
      <c r="L216" s="220"/>
      <c r="M216" s="220"/>
      <c r="N216" s="220"/>
      <c r="O216" s="220"/>
      <c r="P216" s="220"/>
      <c r="Q216" s="220"/>
      <c r="R216" s="230">
        <f>'Monthly Data'!F24/'Monthly Data'!G24/'Monthly Data'!CS24</f>
        <v>20.822346759263148</v>
      </c>
      <c r="S216" s="230">
        <f>'Monthly Data'!J24/'Monthly Data'!K24/'Monthly Data'!CS24</f>
        <v>87.058226108192386</v>
      </c>
      <c r="T216" s="55">
        <f>'Monthly Data'!N24/'Monthly Data'!P24/'Monthly Data'!CS24</f>
        <v>2510.2480413354665</v>
      </c>
      <c r="U216" s="230"/>
      <c r="V216" s="220">
        <f t="shared" si="80"/>
        <v>0</v>
      </c>
      <c r="W216" s="55">
        <f t="shared" si="81"/>
        <v>87.058226108192386</v>
      </c>
      <c r="DO216" s="44">
        <f>'Monthly Data'!F24</f>
        <v>90326715.571280748</v>
      </c>
      <c r="DP216" s="44">
        <f>'Monthly Data'!J24</f>
        <v>33064714.275891468</v>
      </c>
      <c r="DQ216" s="44">
        <f>'Monthly Data'!N24</f>
        <v>122525206.89758413</v>
      </c>
      <c r="DR216" s="44">
        <f t="shared" si="82"/>
        <v>35298963.860157602</v>
      </c>
      <c r="DS216" s="44">
        <f t="shared" si="83"/>
        <v>12682532.251424899</v>
      </c>
      <c r="DT216" s="44">
        <f t="shared" si="84"/>
        <v>66646817.550756402</v>
      </c>
    </row>
    <row r="217" spans="3:124" x14ac:dyDescent="0.2">
      <c r="C217" s="220"/>
      <c r="D217" s="228"/>
      <c r="E217" s="228"/>
      <c r="F217" s="220"/>
      <c r="G217" s="220"/>
      <c r="H217" s="220"/>
      <c r="I217" s="220"/>
      <c r="J217" s="220"/>
      <c r="K217" s="220"/>
      <c r="L217" s="220"/>
      <c r="M217" s="220"/>
      <c r="N217" s="220"/>
      <c r="O217" s="220"/>
      <c r="P217" s="220"/>
      <c r="Q217" s="220"/>
      <c r="R217" s="230">
        <f>'Monthly Data'!F25/'Monthly Data'!G25/'Monthly Data'!CS25</f>
        <v>22.810473384328429</v>
      </c>
      <c r="S217" s="230">
        <f>'Monthly Data'!J25/'Monthly Data'!K25/'Monthly Data'!CS25</f>
        <v>85.753678720476742</v>
      </c>
      <c r="T217" s="55">
        <f>'Monthly Data'!N25/'Monthly Data'!P25/'Monthly Data'!CS25</f>
        <v>2396.1481801006526</v>
      </c>
      <c r="U217" s="230"/>
      <c r="V217" s="220">
        <f t="shared" si="80"/>
        <v>0</v>
      </c>
      <c r="W217" s="55">
        <f t="shared" si="81"/>
        <v>85.753678720476742</v>
      </c>
      <c r="DO217" s="44">
        <f>'Monthly Data'!F25</f>
        <v>102342861.32500437</v>
      </c>
      <c r="DP217" s="44">
        <f>'Monthly Data'!J25</f>
        <v>33697422.575283661</v>
      </c>
      <c r="DQ217" s="44">
        <f>'Monthly Data'!N25</f>
        <v>120780245.16615349</v>
      </c>
      <c r="DR217" s="44">
        <f t="shared" si="82"/>
        <v>35298963.860157602</v>
      </c>
      <c r="DS217" s="44">
        <f t="shared" si="83"/>
        <v>12682532.251424899</v>
      </c>
      <c r="DT217" s="44">
        <f t="shared" si="84"/>
        <v>66646817.550756402</v>
      </c>
    </row>
    <row r="218" spans="3:124" x14ac:dyDescent="0.2">
      <c r="C218" s="220"/>
      <c r="D218" s="228"/>
      <c r="E218" s="228"/>
      <c r="F218" s="220"/>
      <c r="G218" s="220"/>
      <c r="H218" s="220"/>
      <c r="I218" s="220"/>
      <c r="J218" s="220"/>
      <c r="K218" s="220"/>
      <c r="L218" s="220"/>
      <c r="M218" s="220"/>
      <c r="N218" s="220"/>
      <c r="O218" s="220"/>
      <c r="P218" s="220"/>
      <c r="Q218" s="220"/>
      <c r="R218" s="230">
        <f>'Monthly Data'!F26/'Monthly Data'!G26/'Monthly Data'!CS26</f>
        <v>23.474165472902989</v>
      </c>
      <c r="S218" s="230">
        <f>'Monthly Data'!J26/'Monthly Data'!K26/'Monthly Data'!CS26</f>
        <v>93.333943453652807</v>
      </c>
      <c r="T218" s="55">
        <f>'Monthly Data'!N26/'Monthly Data'!P26/'Monthly Data'!CS26</f>
        <v>2505.3659596782359</v>
      </c>
      <c r="U218" s="230"/>
      <c r="V218" s="220">
        <f t="shared" si="80"/>
        <v>0</v>
      </c>
      <c r="W218" s="55">
        <f t="shared" si="81"/>
        <v>93.333943453652807</v>
      </c>
      <c r="DO218" s="44">
        <f>'Monthly Data'!F26</f>
        <v>105416679.01993552</v>
      </c>
      <c r="DP218" s="44">
        <f>'Monthly Data'!J26</f>
        <v>36829480.752867945</v>
      </c>
      <c r="DQ218" s="44">
        <f>'Monthly Data'!N26</f>
        <v>122557492.01553993</v>
      </c>
      <c r="DR218" s="44">
        <f t="shared" si="82"/>
        <v>35298963.860157602</v>
      </c>
      <c r="DS218" s="44">
        <f t="shared" si="83"/>
        <v>12682532.251424899</v>
      </c>
      <c r="DT218" s="44">
        <f t="shared" si="84"/>
        <v>66646817.550756402</v>
      </c>
    </row>
    <row r="219" spans="3:124" x14ac:dyDescent="0.2">
      <c r="C219" s="220"/>
      <c r="D219" s="228"/>
      <c r="E219" s="228"/>
      <c r="F219" s="220"/>
      <c r="G219" s="220"/>
      <c r="H219" s="220"/>
      <c r="I219" s="220"/>
      <c r="J219" s="220"/>
      <c r="K219" s="220"/>
      <c r="L219" s="220"/>
      <c r="M219" s="220"/>
      <c r="N219" s="220"/>
      <c r="O219" s="220"/>
      <c r="P219" s="220"/>
      <c r="Q219" s="220"/>
      <c r="R219" s="230">
        <f>'Monthly Data'!F27/'Monthly Data'!G27/'Monthly Data'!CS27</f>
        <v>22.811474908947243</v>
      </c>
      <c r="S219" s="230">
        <f>'Monthly Data'!J27/'Monthly Data'!K27/'Monthly Data'!CS27</f>
        <v>93.545413110322855</v>
      </c>
      <c r="T219" s="55">
        <f>'Monthly Data'!N27/'Monthly Data'!P27/'Monthly Data'!CS27</f>
        <v>2554.4336492672205</v>
      </c>
      <c r="U219" s="230"/>
      <c r="V219" s="220">
        <f t="shared" si="80"/>
        <v>0</v>
      </c>
      <c r="W219" s="55">
        <f t="shared" si="81"/>
        <v>93.545413110322855</v>
      </c>
      <c r="DO219" s="44">
        <f>'Monthly Data'!F27</f>
        <v>92620975.343300313</v>
      </c>
      <c r="DP219" s="44">
        <f>'Monthly Data'!J27</f>
        <v>33366900.493147276</v>
      </c>
      <c r="DQ219" s="44">
        <f>'Monthly Data'!N27</f>
        <v>112793572.2170434</v>
      </c>
      <c r="DR219" s="44">
        <f t="shared" si="82"/>
        <v>35298963.860157602</v>
      </c>
      <c r="DS219" s="44">
        <f t="shared" si="83"/>
        <v>12682532.251424899</v>
      </c>
      <c r="DT219" s="44">
        <f t="shared" si="84"/>
        <v>66646817.550756402</v>
      </c>
    </row>
    <row r="220" spans="3:124" x14ac:dyDescent="0.2">
      <c r="C220" s="220"/>
      <c r="D220" s="228"/>
      <c r="E220" s="228"/>
      <c r="F220" s="220"/>
      <c r="G220" s="220"/>
      <c r="H220" s="220"/>
      <c r="I220" s="220"/>
      <c r="J220" s="220"/>
      <c r="K220" s="220"/>
      <c r="L220" s="220"/>
      <c r="M220" s="220"/>
      <c r="N220" s="220"/>
      <c r="O220" s="220"/>
      <c r="P220" s="220"/>
      <c r="Q220" s="220"/>
      <c r="R220" s="230">
        <f>'Monthly Data'!F28/'Monthly Data'!G28/'Monthly Data'!CS28</f>
        <v>20.958263155255846</v>
      </c>
      <c r="S220" s="230">
        <f>'Monthly Data'!J28/'Monthly Data'!K28/'Monthly Data'!CS28</f>
        <v>88.200884449127926</v>
      </c>
      <c r="T220" s="55">
        <f>'Monthly Data'!N28/'Monthly Data'!P28/'Monthly Data'!CS28</f>
        <v>2472.9735667925834</v>
      </c>
      <c r="U220" s="230"/>
      <c r="V220" s="220">
        <f t="shared" si="80"/>
        <v>0</v>
      </c>
      <c r="W220" s="55">
        <f t="shared" si="81"/>
        <v>88.200884449127926</v>
      </c>
      <c r="DO220" s="44">
        <f>'Monthly Data'!F28</f>
        <v>94241177.603081301</v>
      </c>
      <c r="DP220" s="44">
        <f>'Monthly Data'!J28</f>
        <v>34872336.488189504</v>
      </c>
      <c r="DQ220" s="44">
        <f>'Monthly Data'!N28</f>
        <v>121279569.66264187</v>
      </c>
      <c r="DR220" s="44">
        <f t="shared" si="82"/>
        <v>35298963.860157602</v>
      </c>
      <c r="DS220" s="44">
        <f t="shared" si="83"/>
        <v>12682532.251424899</v>
      </c>
      <c r="DT220" s="44">
        <f t="shared" si="84"/>
        <v>66646817.550756402</v>
      </c>
    </row>
    <row r="221" spans="3:124" x14ac:dyDescent="0.2">
      <c r="C221" s="220"/>
      <c r="D221" s="228"/>
      <c r="E221" s="228"/>
      <c r="F221" s="220"/>
      <c r="G221" s="220"/>
      <c r="H221" s="220"/>
      <c r="I221" s="220"/>
      <c r="J221" s="220"/>
      <c r="K221" s="220"/>
      <c r="L221" s="220"/>
      <c r="M221" s="220"/>
      <c r="N221" s="220"/>
      <c r="O221" s="220"/>
      <c r="P221" s="220"/>
      <c r="Q221" s="220"/>
      <c r="R221" s="230">
        <f>'Monthly Data'!F29/'Monthly Data'!G29/'Monthly Data'!CS29</f>
        <v>18.24290695257276</v>
      </c>
      <c r="S221" s="230">
        <f>'Monthly Data'!J29/'Monthly Data'!K29/'Monthly Data'!CS29</f>
        <v>79.912016216054127</v>
      </c>
      <c r="T221" s="55">
        <f>'Monthly Data'!N29/'Monthly Data'!P29/'Monthly Data'!CS29</f>
        <v>2372.8080922638114</v>
      </c>
      <c r="U221" s="230"/>
      <c r="V221" s="220">
        <f t="shared" si="80"/>
        <v>0</v>
      </c>
      <c r="W221" s="55">
        <f t="shared" si="81"/>
        <v>79.912016216054127</v>
      </c>
      <c r="DO221" s="44">
        <f>'Monthly Data'!F29</f>
        <v>79477048.429578483</v>
      </c>
      <c r="DP221" s="44">
        <f>'Monthly Data'!J29</f>
        <v>30563948.842154223</v>
      </c>
      <c r="DQ221" s="44">
        <f>'Monthly Data'!N29</f>
        <v>112755840.54437633</v>
      </c>
      <c r="DR221" s="44">
        <f t="shared" si="82"/>
        <v>35298963.860157602</v>
      </c>
      <c r="DS221" s="44">
        <f t="shared" si="83"/>
        <v>12682532.251424899</v>
      </c>
      <c r="DT221" s="44">
        <f t="shared" si="84"/>
        <v>66646817.550756402</v>
      </c>
    </row>
    <row r="222" spans="3:124" x14ac:dyDescent="0.2">
      <c r="C222" s="220"/>
      <c r="D222" s="228"/>
      <c r="E222" s="228"/>
      <c r="F222" s="220"/>
      <c r="G222" s="220"/>
      <c r="H222" s="220"/>
      <c r="I222" s="220"/>
      <c r="J222" s="220"/>
      <c r="K222" s="220"/>
      <c r="L222" s="220"/>
      <c r="M222" s="220"/>
      <c r="N222" s="220"/>
      <c r="O222" s="220"/>
      <c r="P222" s="220"/>
      <c r="Q222" s="220"/>
      <c r="R222" s="230">
        <f>'Monthly Data'!F30/'Monthly Data'!G30/'Monthly Data'!CS30</f>
        <v>16.858997679871106</v>
      </c>
      <c r="S222" s="230">
        <f>'Monthly Data'!J30/'Monthly Data'!K30/'Monthly Data'!CS30</f>
        <v>76.887862132258192</v>
      </c>
      <c r="T222" s="55">
        <f>'Monthly Data'!N30/'Monthly Data'!P30/'Monthly Data'!CS30</f>
        <v>2392.9783033098288</v>
      </c>
      <c r="U222" s="230"/>
      <c r="V222" s="220">
        <f t="shared" si="80"/>
        <v>0</v>
      </c>
      <c r="W222" s="55">
        <f t="shared" si="81"/>
        <v>76.887862132258192</v>
      </c>
      <c r="DO222" s="44">
        <f>'Monthly Data'!F30</f>
        <v>75969863.614056066</v>
      </c>
      <c r="DP222" s="44">
        <f>'Monthly Data'!J30</f>
        <v>30439981.506023146</v>
      </c>
      <c r="DQ222" s="44">
        <f>'Monthly Data'!N30</f>
        <v>116762983.33169977</v>
      </c>
      <c r="DR222" s="44">
        <f t="shared" si="82"/>
        <v>35298963.860157602</v>
      </c>
      <c r="DS222" s="44">
        <f t="shared" si="83"/>
        <v>12682532.251424899</v>
      </c>
      <c r="DT222" s="44">
        <f t="shared" si="84"/>
        <v>66646817.550756402</v>
      </c>
    </row>
    <row r="223" spans="3:124" x14ac:dyDescent="0.2">
      <c r="C223" s="220"/>
      <c r="D223" s="228"/>
      <c r="E223" s="228"/>
      <c r="F223" s="220"/>
      <c r="G223" s="220"/>
      <c r="H223" s="220"/>
      <c r="I223" s="220"/>
      <c r="J223" s="220"/>
      <c r="K223" s="220"/>
      <c r="L223" s="220"/>
      <c r="M223" s="220"/>
      <c r="N223" s="220"/>
      <c r="O223" s="220"/>
      <c r="P223" s="220"/>
      <c r="Q223" s="220"/>
      <c r="R223" s="230">
        <f>'Monthly Data'!F31/'Monthly Data'!G31/'Monthly Data'!CS31</f>
        <v>20.171753919597101</v>
      </c>
      <c r="S223" s="230">
        <f>'Monthly Data'!J31/'Monthly Data'!K31/'Monthly Data'!CS31</f>
        <v>83.329319355711505</v>
      </c>
      <c r="T223" s="55">
        <f>'Monthly Data'!N31/'Monthly Data'!P31/'Monthly Data'!CS31</f>
        <v>2562.2550060783478</v>
      </c>
      <c r="U223" s="230"/>
      <c r="V223" s="220">
        <f t="shared" si="80"/>
        <v>0</v>
      </c>
      <c r="W223" s="55">
        <f t="shared" si="81"/>
        <v>83.329319355711505</v>
      </c>
      <c r="DO223" s="44">
        <f>'Monthly Data'!F31</f>
        <v>87994636.970840842</v>
      </c>
      <c r="DP223" s="44">
        <f>'Monthly Data'!J31</f>
        <v>31958460.559302475</v>
      </c>
      <c r="DQ223" s="44">
        <f>'Monthly Data'!N31</f>
        <v>120912813.73683724</v>
      </c>
      <c r="DR223" s="44">
        <f t="shared" si="82"/>
        <v>35298963.860157602</v>
      </c>
      <c r="DS223" s="44">
        <f t="shared" si="83"/>
        <v>12682532.251424899</v>
      </c>
      <c r="DT223" s="44">
        <f t="shared" si="84"/>
        <v>66646817.550756402</v>
      </c>
    </row>
    <row r="224" spans="3:124" x14ac:dyDescent="0.2">
      <c r="C224" s="220"/>
      <c r="D224" s="228"/>
      <c r="E224" s="228"/>
      <c r="F224" s="220"/>
      <c r="G224" s="220"/>
      <c r="H224" s="220"/>
      <c r="I224" s="220"/>
      <c r="J224" s="220"/>
      <c r="K224" s="220"/>
      <c r="L224" s="220"/>
      <c r="M224" s="220"/>
      <c r="N224" s="220"/>
      <c r="O224" s="220"/>
      <c r="P224" s="220"/>
      <c r="Q224" s="220"/>
      <c r="R224" s="230">
        <f>'Monthly Data'!F32/'Monthly Data'!G32/'Monthly Data'!CS32</f>
        <v>28.229436809118198</v>
      </c>
      <c r="S224" s="230">
        <f>'Monthly Data'!J32/'Monthly Data'!K32/'Monthly Data'!CS32</f>
        <v>98.365131256178955</v>
      </c>
      <c r="T224" s="55">
        <f>'Monthly Data'!N32/'Monthly Data'!P32/'Monthly Data'!CS32</f>
        <v>2872.8584266503362</v>
      </c>
      <c r="U224" s="230"/>
      <c r="V224" s="220">
        <f t="shared" si="80"/>
        <v>0</v>
      </c>
      <c r="W224" s="55">
        <f t="shared" si="81"/>
        <v>98.365131256178955</v>
      </c>
      <c r="DO224" s="44">
        <f>'Monthly Data'!F32</f>
        <v>127394508.16810884</v>
      </c>
      <c r="DP224" s="44">
        <f>'Monthly Data'!J32</f>
        <v>39000790.891762398</v>
      </c>
      <c r="DQ224" s="44">
        <f>'Monthly Data'!N32</f>
        <v>140267312.68120268</v>
      </c>
      <c r="DR224" s="44">
        <f t="shared" si="82"/>
        <v>35298963.860157602</v>
      </c>
      <c r="DS224" s="44">
        <f t="shared" si="83"/>
        <v>12682532.251424899</v>
      </c>
      <c r="DT224" s="44">
        <f t="shared" si="84"/>
        <v>66646817.550756402</v>
      </c>
    </row>
    <row r="225" spans="3:124" x14ac:dyDescent="0.2">
      <c r="C225" s="220"/>
      <c r="D225" s="228"/>
      <c r="E225" s="228"/>
      <c r="F225" s="220"/>
      <c r="G225" s="220"/>
      <c r="H225" s="220"/>
      <c r="I225" s="220"/>
      <c r="J225" s="220"/>
      <c r="K225" s="220"/>
      <c r="L225" s="220"/>
      <c r="M225" s="220"/>
      <c r="N225" s="220"/>
      <c r="O225" s="220"/>
      <c r="P225" s="220"/>
      <c r="Q225" s="220"/>
      <c r="R225" s="230">
        <f>'Monthly Data'!F33/'Monthly Data'!G33/'Monthly Data'!CS33</f>
        <v>24.345881176823671</v>
      </c>
      <c r="S225" s="230">
        <f>'Monthly Data'!J33/'Monthly Data'!K33/'Monthly Data'!CS33</f>
        <v>91.625765412684046</v>
      </c>
      <c r="T225" s="55">
        <f>'Monthly Data'!N33/'Monthly Data'!P33/'Monthly Data'!CS33</f>
        <v>2756.4067812973644</v>
      </c>
      <c r="U225" s="230"/>
      <c r="V225" s="220">
        <f t="shared" si="80"/>
        <v>0</v>
      </c>
      <c r="W225" s="55">
        <f t="shared" si="81"/>
        <v>91.625765412684046</v>
      </c>
      <c r="DO225" s="44">
        <f>'Monthly Data'!F33</f>
        <v>109911720.39383872</v>
      </c>
      <c r="DP225" s="44">
        <f>'Monthly Data'!J33</f>
        <v>36320178.532291718</v>
      </c>
      <c r="DQ225" s="44">
        <f>'Monthly Data'!N33</f>
        <v>134325215.26618317</v>
      </c>
      <c r="DR225" s="44">
        <f t="shared" si="82"/>
        <v>35298963.860157602</v>
      </c>
      <c r="DS225" s="44">
        <f t="shared" si="83"/>
        <v>12682532.251424899</v>
      </c>
      <c r="DT225" s="44">
        <f t="shared" si="84"/>
        <v>66646817.550756402</v>
      </c>
    </row>
    <row r="226" spans="3:124" x14ac:dyDescent="0.2">
      <c r="C226" s="220"/>
      <c r="D226" s="228"/>
      <c r="E226" s="228"/>
      <c r="F226" s="220"/>
      <c r="G226" s="220"/>
      <c r="H226" s="220"/>
      <c r="I226" s="220"/>
      <c r="J226" s="220"/>
      <c r="K226" s="220"/>
      <c r="L226" s="220"/>
      <c r="M226" s="220"/>
      <c r="N226" s="220"/>
      <c r="O226" s="220"/>
      <c r="P226" s="220"/>
      <c r="Q226" s="220"/>
      <c r="R226" s="230">
        <f>'Monthly Data'!F34/'Monthly Data'!G34/'Monthly Data'!CS34</f>
        <v>19.883091733835894</v>
      </c>
      <c r="S226" s="230">
        <f>'Monthly Data'!J34/'Monthly Data'!K34/'Monthly Data'!CS34</f>
        <v>83.228749339027019</v>
      </c>
      <c r="T226" s="55">
        <f>'Monthly Data'!N34/'Monthly Data'!P34/'Monthly Data'!CS34</f>
        <v>2634.859719026912</v>
      </c>
      <c r="U226" s="230"/>
      <c r="V226" s="220">
        <f t="shared" ref="V226:V257" si="85">C226</f>
        <v>0</v>
      </c>
      <c r="W226" s="55">
        <f t="shared" ref="W226:W257" si="86">S226</f>
        <v>83.228749339027019</v>
      </c>
      <c r="DO226" s="44">
        <f>'Monthly Data'!F34</f>
        <v>86984748.548102602</v>
      </c>
      <c r="DP226" s="44">
        <f>'Monthly Data'!J34</f>
        <v>31962336.608666547</v>
      </c>
      <c r="DQ226" s="44">
        <f>'Monthly Data'!N34</f>
        <v>124892350.68187562</v>
      </c>
      <c r="DR226" s="44">
        <f t="shared" si="82"/>
        <v>35298963.860157602</v>
      </c>
      <c r="DS226" s="44">
        <f t="shared" si="83"/>
        <v>12682532.251424899</v>
      </c>
      <c r="DT226" s="44">
        <f t="shared" si="84"/>
        <v>66646817.550756402</v>
      </c>
    </row>
    <row r="227" spans="3:124" x14ac:dyDescent="0.2">
      <c r="C227" s="220"/>
      <c r="D227" s="228"/>
      <c r="E227" s="228"/>
      <c r="F227" s="220"/>
      <c r="G227" s="220"/>
      <c r="H227" s="220"/>
      <c r="I227" s="220"/>
      <c r="J227" s="220"/>
      <c r="K227" s="220"/>
      <c r="L227" s="220"/>
      <c r="M227" s="220"/>
      <c r="N227" s="220"/>
      <c r="O227" s="220"/>
      <c r="P227" s="220"/>
      <c r="Q227" s="220"/>
      <c r="R227" s="230">
        <f>'Monthly Data'!F35/'Monthly Data'!G35/'Monthly Data'!CS35</f>
        <v>17.478963495513742</v>
      </c>
      <c r="S227" s="230">
        <f>'Monthly Data'!J35/'Monthly Data'!K35/'Monthly Data'!CS35</f>
        <v>77.682210840526949</v>
      </c>
      <c r="T227" s="55">
        <f>'Monthly Data'!N35/'Monthly Data'!P35/'Monthly Data'!CS35</f>
        <v>2455.1019059175305</v>
      </c>
      <c r="U227" s="230"/>
      <c r="V227" s="220">
        <f t="shared" si="85"/>
        <v>0</v>
      </c>
      <c r="W227" s="55">
        <f t="shared" si="86"/>
        <v>77.682210840526949</v>
      </c>
      <c r="DO227" s="44">
        <f>'Monthly Data'!F35</f>
        <v>79074026.821383372</v>
      </c>
      <c r="DP227" s="44">
        <f>'Monthly Data'!J35</f>
        <v>30759281.251047574</v>
      </c>
      <c r="DQ227" s="44">
        <f>'Monthly Data'!N35</f>
        <v>120326999.51092409</v>
      </c>
      <c r="DR227" s="44">
        <f t="shared" si="82"/>
        <v>35298963.860157602</v>
      </c>
      <c r="DS227" s="44">
        <f t="shared" si="83"/>
        <v>12682532.251424899</v>
      </c>
      <c r="DT227" s="44">
        <f t="shared" si="84"/>
        <v>66646817.550756402</v>
      </c>
    </row>
    <row r="228" spans="3:124" x14ac:dyDescent="0.2">
      <c r="C228" s="220"/>
      <c r="D228" s="228"/>
      <c r="E228" s="228"/>
      <c r="F228" s="220"/>
      <c r="G228" s="220"/>
      <c r="H228" s="220"/>
      <c r="I228" s="220"/>
      <c r="J228" s="220"/>
      <c r="K228" s="220"/>
      <c r="L228" s="220"/>
      <c r="M228" s="220"/>
      <c r="N228" s="220"/>
      <c r="O228" s="220"/>
      <c r="P228" s="220"/>
      <c r="Q228" s="220"/>
      <c r="R228" s="230">
        <f>'Monthly Data'!F36/'Monthly Data'!G36/'Monthly Data'!CS36</f>
        <v>20.283228188766479</v>
      </c>
      <c r="S228" s="230">
        <f>'Monthly Data'!J36/'Monthly Data'!K36/'Monthly Data'!CS36</f>
        <v>86.407135000876806</v>
      </c>
      <c r="T228" s="55">
        <f>'Monthly Data'!N36/'Monthly Data'!P36/'Monthly Data'!CS36</f>
        <v>2519.6897053937441</v>
      </c>
      <c r="U228" s="230"/>
      <c r="V228" s="220">
        <f t="shared" si="85"/>
        <v>0</v>
      </c>
      <c r="W228" s="55">
        <f t="shared" si="86"/>
        <v>86.407135000876806</v>
      </c>
      <c r="DO228" s="44">
        <f>'Monthly Data'!F36</f>
        <v>88890436.20814155</v>
      </c>
      <c r="DP228" s="44">
        <f>'Monthly Data'!J36</f>
        <v>33141456.629586298</v>
      </c>
      <c r="DQ228" s="44">
        <f>'Monthly Data'!N36</f>
        <v>119811245.49147254</v>
      </c>
      <c r="DR228" s="44">
        <f t="shared" si="82"/>
        <v>35298963.860157602</v>
      </c>
      <c r="DS228" s="44">
        <f t="shared" si="83"/>
        <v>12682532.251424899</v>
      </c>
      <c r="DT228" s="44">
        <f t="shared" si="84"/>
        <v>66646817.550756402</v>
      </c>
    </row>
    <row r="229" spans="3:124" x14ac:dyDescent="0.2">
      <c r="C229" s="220"/>
      <c r="D229" s="228"/>
      <c r="E229" s="228"/>
      <c r="F229" s="220"/>
      <c r="G229" s="220"/>
      <c r="H229" s="220"/>
      <c r="I229" s="220"/>
      <c r="J229" s="220"/>
      <c r="K229" s="220"/>
      <c r="L229" s="220"/>
      <c r="M229" s="220"/>
      <c r="N229" s="220"/>
      <c r="O229" s="220"/>
      <c r="P229" s="220"/>
      <c r="Q229" s="220"/>
      <c r="R229" s="230">
        <f>'Monthly Data'!F37/'Monthly Data'!G37/'Monthly Data'!CS37</f>
        <v>21.921338691604525</v>
      </c>
      <c r="S229" s="230">
        <f>'Monthly Data'!J37/'Monthly Data'!K37/'Monthly Data'!CS37</f>
        <v>87.518099879252574</v>
      </c>
      <c r="T229" s="55">
        <f>'Monthly Data'!N37/'Monthly Data'!P37/'Monthly Data'!CS37</f>
        <v>2428.2029115743931</v>
      </c>
      <c r="U229" s="230"/>
      <c r="V229" s="220">
        <f t="shared" si="85"/>
        <v>0</v>
      </c>
      <c r="W229" s="55">
        <f t="shared" si="86"/>
        <v>87.518099879252574</v>
      </c>
      <c r="DO229" s="44">
        <f>'Monthly Data'!F37</f>
        <v>99357327.710085541</v>
      </c>
      <c r="DP229" s="44">
        <f>'Monthly Data'!J37</f>
        <v>34727182.032087423</v>
      </c>
      <c r="DQ229" s="44">
        <f>'Monthly Data'!N37</f>
        <v>119234475.76994899</v>
      </c>
      <c r="DR229" s="44">
        <f t="shared" si="82"/>
        <v>35298963.860157602</v>
      </c>
      <c r="DS229" s="44">
        <f t="shared" si="83"/>
        <v>12682532.251424899</v>
      </c>
      <c r="DT229" s="44">
        <f t="shared" si="84"/>
        <v>66646817.550756402</v>
      </c>
    </row>
    <row r="230" spans="3:124" x14ac:dyDescent="0.2">
      <c r="C230" s="220"/>
      <c r="D230" s="228"/>
      <c r="E230" s="228"/>
      <c r="F230" s="220"/>
      <c r="G230" s="220"/>
      <c r="H230" s="220"/>
      <c r="I230" s="220"/>
      <c r="J230" s="220"/>
      <c r="K230" s="220"/>
      <c r="L230" s="220"/>
      <c r="M230" s="220"/>
      <c r="N230" s="220"/>
      <c r="O230" s="220"/>
      <c r="P230" s="220"/>
      <c r="Q230" s="220"/>
      <c r="R230" s="230">
        <f>'Monthly Data'!F38/'Monthly Data'!G38/'Monthly Data'!CS38</f>
        <v>21.50169194089295</v>
      </c>
      <c r="S230" s="230">
        <f>'Monthly Data'!J38/'Monthly Data'!K38/'Monthly Data'!CS38</f>
        <v>89.365171486107954</v>
      </c>
      <c r="T230" s="55">
        <f>'Monthly Data'!N38/'Monthly Data'!P38/'Monthly Data'!CS38</f>
        <v>2632.494536667954</v>
      </c>
      <c r="U230" s="230"/>
      <c r="V230" s="220">
        <f t="shared" si="85"/>
        <v>0</v>
      </c>
      <c r="W230" s="55">
        <f t="shared" si="86"/>
        <v>89.365171486107954</v>
      </c>
      <c r="DO230" s="44">
        <f>'Monthly Data'!F38</f>
        <v>97545951.767339185</v>
      </c>
      <c r="DP230" s="44">
        <f>'Monthly Data'!J38</f>
        <v>35587534.780226827</v>
      </c>
      <c r="DQ230" s="44">
        <f>'Monthly Data'!N38</f>
        <v>125430467.18861799</v>
      </c>
      <c r="DR230" s="44">
        <f t="shared" si="82"/>
        <v>35298963.860157602</v>
      </c>
      <c r="DS230" s="44">
        <f t="shared" si="83"/>
        <v>12682532.251424899</v>
      </c>
      <c r="DT230" s="44">
        <f t="shared" si="84"/>
        <v>66646817.550756402</v>
      </c>
    </row>
    <row r="231" spans="3:124" x14ac:dyDescent="0.2">
      <c r="C231" s="220"/>
      <c r="D231" s="228"/>
      <c r="E231" s="228"/>
      <c r="F231" s="220"/>
      <c r="G231" s="220"/>
      <c r="H231" s="220"/>
      <c r="I231" s="220"/>
      <c r="J231" s="220"/>
      <c r="K231" s="220"/>
      <c r="L231" s="220"/>
      <c r="M231" s="220"/>
      <c r="N231" s="220"/>
      <c r="O231" s="220"/>
      <c r="P231" s="220"/>
      <c r="Q231" s="220"/>
      <c r="R231" s="230">
        <f>'Monthly Data'!F39/'Monthly Data'!G39/'Monthly Data'!CS39</f>
        <v>21.552125528980195</v>
      </c>
      <c r="S231" s="230">
        <f>'Monthly Data'!J39/'Monthly Data'!K39/'Monthly Data'!CS39</f>
        <v>90.470893446036044</v>
      </c>
      <c r="T231" s="55">
        <f>'Monthly Data'!N39/'Monthly Data'!P39/'Monthly Data'!CS39</f>
        <v>2668.8443808971042</v>
      </c>
      <c r="U231" s="230"/>
      <c r="V231" s="220">
        <f t="shared" si="85"/>
        <v>0</v>
      </c>
      <c r="W231" s="55">
        <f t="shared" si="86"/>
        <v>90.470893446036044</v>
      </c>
      <c r="DO231" s="44">
        <f>'Monthly Data'!F39</f>
        <v>91493578.994513884</v>
      </c>
      <c r="DP231" s="44">
        <f>'Monthly Data'!J39</f>
        <v>33755956.937224291</v>
      </c>
      <c r="DQ231" s="44">
        <f>'Monthly Data'!N39</f>
        <v>118571418.15449654</v>
      </c>
      <c r="DR231" s="44">
        <f t="shared" si="82"/>
        <v>35298963.860157602</v>
      </c>
      <c r="DS231" s="44">
        <f t="shared" si="83"/>
        <v>12682532.251424899</v>
      </c>
      <c r="DT231" s="44">
        <f t="shared" si="84"/>
        <v>66646817.550756402</v>
      </c>
    </row>
    <row r="232" spans="3:124" x14ac:dyDescent="0.2">
      <c r="C232" s="220"/>
      <c r="D232" s="228"/>
      <c r="E232" s="228"/>
      <c r="F232" s="220"/>
      <c r="G232" s="220"/>
      <c r="H232" s="220"/>
      <c r="I232" s="220"/>
      <c r="J232" s="220"/>
      <c r="K232" s="220"/>
      <c r="L232" s="220"/>
      <c r="M232" s="220"/>
      <c r="N232" s="220"/>
      <c r="O232" s="220"/>
      <c r="P232" s="220"/>
      <c r="Q232" s="220"/>
      <c r="R232" s="230">
        <f>'Monthly Data'!F40/'Monthly Data'!G40/'Monthly Data'!CS40</f>
        <v>20.15942293865039</v>
      </c>
      <c r="S232" s="230">
        <f>'Monthly Data'!J40/'Monthly Data'!K40/'Monthly Data'!CS40</f>
        <v>80.066252343822228</v>
      </c>
      <c r="T232" s="55">
        <f>'Monthly Data'!N40/'Monthly Data'!P40/'Monthly Data'!CS40</f>
        <v>2460.1641192657635</v>
      </c>
      <c r="U232" s="230"/>
      <c r="V232" s="220">
        <f t="shared" si="85"/>
        <v>0</v>
      </c>
      <c r="W232" s="55">
        <f t="shared" si="86"/>
        <v>80.066252343822228</v>
      </c>
      <c r="DO232" s="44">
        <f>'Monthly Data'!F40</f>
        <v>91571517.654991493</v>
      </c>
      <c r="DP232" s="44">
        <f>'Monthly Data'!J40</f>
        <v>31961407.074373361</v>
      </c>
      <c r="DQ232" s="44">
        <f>'Monthly Data'!N40</f>
        <v>117295704.87835306</v>
      </c>
      <c r="DR232" s="44">
        <f t="shared" si="82"/>
        <v>35298963.860157602</v>
      </c>
      <c r="DS232" s="44">
        <f t="shared" si="83"/>
        <v>12682532.251424899</v>
      </c>
      <c r="DT232" s="44">
        <f t="shared" si="84"/>
        <v>66646817.550756402</v>
      </c>
    </row>
    <row r="233" spans="3:124" x14ac:dyDescent="0.2">
      <c r="C233" s="220"/>
      <c r="D233" s="228"/>
      <c r="E233" s="228"/>
      <c r="F233" s="220"/>
      <c r="G233" s="220"/>
      <c r="H233" s="220"/>
      <c r="I233" s="220"/>
      <c r="J233" s="220"/>
      <c r="K233" s="220"/>
      <c r="L233" s="220"/>
      <c r="M233" s="220"/>
      <c r="N233" s="220"/>
      <c r="O233" s="220"/>
      <c r="P233" s="220"/>
      <c r="Q233" s="220"/>
      <c r="R233" s="230">
        <f>'Monthly Data'!F41/'Monthly Data'!G41/'Monthly Data'!CS41</f>
        <v>19.496596256959595</v>
      </c>
      <c r="S233" s="230">
        <f>'Monthly Data'!J41/'Monthly Data'!K41/'Monthly Data'!CS41</f>
        <v>68.39986001949552</v>
      </c>
      <c r="T233" s="55">
        <f>'Monthly Data'!N41/'Monthly Data'!P41/'Monthly Data'!CS41</f>
        <v>2135.66217573527</v>
      </c>
      <c r="U233" s="230"/>
      <c r="V233" s="220">
        <f t="shared" si="85"/>
        <v>0</v>
      </c>
      <c r="W233" s="55">
        <f t="shared" si="86"/>
        <v>68.39986001949552</v>
      </c>
      <c r="DO233" s="44">
        <f>'Monthly Data'!F41</f>
        <v>85758313.193750188</v>
      </c>
      <c r="DP233" s="44">
        <f>'Monthly Data'!J41</f>
        <v>26435861.898934826</v>
      </c>
      <c r="DQ233" s="44">
        <f>'Monthly Data'!N41</f>
        <v>98603522.653697401</v>
      </c>
      <c r="DR233" s="44">
        <f t="shared" si="82"/>
        <v>35298963.860157602</v>
      </c>
      <c r="DS233" s="44">
        <f t="shared" si="83"/>
        <v>12682532.251424899</v>
      </c>
      <c r="DT233" s="44">
        <f t="shared" si="84"/>
        <v>66646817.550756402</v>
      </c>
    </row>
    <row r="234" spans="3:124" x14ac:dyDescent="0.2">
      <c r="C234" s="220"/>
      <c r="D234" s="228"/>
      <c r="E234" s="228"/>
      <c r="F234" s="220"/>
      <c r="G234" s="220"/>
      <c r="H234" s="220"/>
      <c r="I234" s="220"/>
      <c r="J234" s="220"/>
      <c r="K234" s="220"/>
      <c r="L234" s="220"/>
      <c r="M234" s="220"/>
      <c r="N234" s="220"/>
      <c r="O234" s="220"/>
      <c r="P234" s="220"/>
      <c r="Q234" s="220"/>
      <c r="R234" s="230">
        <f>'Monthly Data'!F42/'Monthly Data'!G42/'Monthly Data'!CS42</f>
        <v>20.246310837749427</v>
      </c>
      <c r="S234" s="230">
        <f>'Monthly Data'!J42/'Monthly Data'!K42/'Monthly Data'!CS42</f>
        <v>69.068710752341403</v>
      </c>
      <c r="T234" s="55">
        <f>'Monthly Data'!N42/'Monthly Data'!P42/'Monthly Data'!CS42</f>
        <v>2204.3869183235738</v>
      </c>
      <c r="U234" s="230"/>
      <c r="V234" s="220">
        <f t="shared" si="85"/>
        <v>0</v>
      </c>
      <c r="W234" s="55">
        <f t="shared" si="86"/>
        <v>69.068710752341403</v>
      </c>
      <c r="DO234" s="44">
        <f>'Monthly Data'!F42</f>
        <v>92128124.461526498</v>
      </c>
      <c r="DP234" s="44">
        <f>'Monthly Data'!J42</f>
        <v>27588460.479361489</v>
      </c>
      <c r="DQ234" s="44">
        <f>'Monthly Data'!N42</f>
        <v>105305767.47523543</v>
      </c>
      <c r="DR234" s="44">
        <f t="shared" si="82"/>
        <v>35298963.860157602</v>
      </c>
      <c r="DS234" s="44">
        <f t="shared" si="83"/>
        <v>12682532.251424899</v>
      </c>
      <c r="DT234" s="44">
        <f t="shared" si="84"/>
        <v>66646817.550756402</v>
      </c>
    </row>
    <row r="235" spans="3:124" x14ac:dyDescent="0.2">
      <c r="C235" s="220"/>
      <c r="D235" s="228"/>
      <c r="E235" s="228"/>
      <c r="F235" s="220"/>
      <c r="G235" s="220"/>
      <c r="H235" s="220"/>
      <c r="I235" s="220"/>
      <c r="J235" s="220"/>
      <c r="K235" s="220"/>
      <c r="L235" s="220"/>
      <c r="M235" s="220"/>
      <c r="N235" s="220"/>
      <c r="O235" s="220"/>
      <c r="P235" s="220"/>
      <c r="Q235" s="220"/>
      <c r="R235" s="230">
        <f>'Monthly Data'!F43/'Monthly Data'!G43/'Monthly Data'!CS43</f>
        <v>25.573313821856825</v>
      </c>
      <c r="S235" s="230">
        <f>'Monthly Data'!J43/'Monthly Data'!K43/'Monthly Data'!CS43</f>
        <v>82.808367420661071</v>
      </c>
      <c r="T235" s="55">
        <f>'Monthly Data'!N43/'Monthly Data'!P43/'Monthly Data'!CS43</f>
        <v>2633.4880922230736</v>
      </c>
      <c r="U235" s="230"/>
      <c r="V235" s="220">
        <f t="shared" si="85"/>
        <v>0</v>
      </c>
      <c r="W235" s="55">
        <f t="shared" si="86"/>
        <v>82.808367420661071</v>
      </c>
      <c r="DO235" s="44">
        <f>'Monthly Data'!F43</f>
        <v>112735350.78716789</v>
      </c>
      <c r="DP235" s="44">
        <f>'Monthly Data'!J43</f>
        <v>32012058.677479155</v>
      </c>
      <c r="DQ235" s="44">
        <f>'Monthly Data'!N43</f>
        <v>121746154.50347269</v>
      </c>
      <c r="DR235" s="44">
        <f t="shared" si="82"/>
        <v>35298963.860157602</v>
      </c>
      <c r="DS235" s="44">
        <f t="shared" si="83"/>
        <v>12682532.251424899</v>
      </c>
      <c r="DT235" s="44">
        <f t="shared" si="84"/>
        <v>66646817.550756402</v>
      </c>
    </row>
    <row r="236" spans="3:124" x14ac:dyDescent="0.2">
      <c r="C236" s="220"/>
      <c r="D236" s="228"/>
      <c r="E236" s="228"/>
      <c r="F236" s="220"/>
      <c r="G236" s="220"/>
      <c r="H236" s="220"/>
      <c r="I236" s="220"/>
      <c r="J236" s="220"/>
      <c r="K236" s="220"/>
      <c r="L236" s="220"/>
      <c r="M236" s="220"/>
      <c r="N236" s="220"/>
      <c r="O236" s="220"/>
      <c r="P236" s="220"/>
      <c r="Q236" s="220"/>
      <c r="R236" s="230">
        <f>'Monthly Data'!F44/'Monthly Data'!G44/'Monthly Data'!CS44</f>
        <v>32.171609369297109</v>
      </c>
      <c r="S236" s="230">
        <f>'Monthly Data'!J44/'Monthly Data'!K44/'Monthly Data'!CS44</f>
        <v>96.902879111035276</v>
      </c>
      <c r="T236" s="55">
        <f>'Monthly Data'!N44/'Monthly Data'!P44/'Monthly Data'!CS44</f>
        <v>2929.533542459907</v>
      </c>
      <c r="U236" s="230"/>
      <c r="V236" s="220">
        <f t="shared" si="85"/>
        <v>0</v>
      </c>
      <c r="W236" s="55">
        <f t="shared" si="86"/>
        <v>96.902879111035276</v>
      </c>
      <c r="DO236" s="44">
        <f>'Monthly Data'!F44</f>
        <v>146625970.2936959</v>
      </c>
      <c r="DP236" s="44">
        <f>'Monthly Data'!J44</f>
        <v>38745453.377998121</v>
      </c>
      <c r="DQ236" s="44">
        <f>'Monthly Data'!N44</f>
        <v>139946746.85685223</v>
      </c>
      <c r="DR236" s="44">
        <f t="shared" si="82"/>
        <v>35298963.860157602</v>
      </c>
      <c r="DS236" s="44">
        <f t="shared" si="83"/>
        <v>12682532.251424899</v>
      </c>
      <c r="DT236" s="44">
        <f t="shared" si="84"/>
        <v>66646817.550756402</v>
      </c>
    </row>
    <row r="237" spans="3:124" x14ac:dyDescent="0.2">
      <c r="C237" s="220"/>
      <c r="D237" s="228"/>
      <c r="E237" s="228"/>
      <c r="F237" s="220"/>
      <c r="G237" s="220"/>
      <c r="H237" s="220"/>
      <c r="I237" s="220"/>
      <c r="J237" s="220"/>
      <c r="K237" s="220"/>
      <c r="L237" s="220"/>
      <c r="M237" s="220"/>
      <c r="N237" s="220"/>
      <c r="O237" s="220"/>
      <c r="P237" s="220"/>
      <c r="Q237" s="220"/>
      <c r="R237" s="230">
        <f>'Monthly Data'!F45/'Monthly Data'!G45/'Monthly Data'!CS45</f>
        <v>26.485973363364344</v>
      </c>
      <c r="S237" s="230">
        <f>'Monthly Data'!J45/'Monthly Data'!K45/'Monthly Data'!CS45</f>
        <v>88.370860037036849</v>
      </c>
      <c r="T237" s="55">
        <f>'Monthly Data'!N45/'Monthly Data'!P45/'Monthly Data'!CS45</f>
        <v>2800.9765737340645</v>
      </c>
      <c r="U237" s="230"/>
      <c r="V237" s="220">
        <f t="shared" si="85"/>
        <v>0</v>
      </c>
      <c r="W237" s="55">
        <f t="shared" si="86"/>
        <v>88.370860037036849</v>
      </c>
      <c r="DO237" s="44">
        <f>'Monthly Data'!F45</f>
        <v>120844372.34821889</v>
      </c>
      <c r="DP237" s="44">
        <f>'Monthly Data'!J45</f>
        <v>35336767.432149887</v>
      </c>
      <c r="DQ237" s="44">
        <f>'Monthly Data'!N45</f>
        <v>133892282.17763576</v>
      </c>
      <c r="DR237" s="44">
        <f t="shared" si="82"/>
        <v>35298963.860157602</v>
      </c>
      <c r="DS237" s="44">
        <f t="shared" si="83"/>
        <v>12682532.251424899</v>
      </c>
      <c r="DT237" s="44">
        <f t="shared" si="84"/>
        <v>66646817.550756402</v>
      </c>
    </row>
    <row r="238" spans="3:124" x14ac:dyDescent="0.2">
      <c r="C238" s="220"/>
      <c r="D238" s="228"/>
      <c r="E238" s="228"/>
      <c r="F238" s="220"/>
      <c r="G238" s="220"/>
      <c r="H238" s="220"/>
      <c r="I238" s="220"/>
      <c r="J238" s="220"/>
      <c r="K238" s="220"/>
      <c r="L238" s="220"/>
      <c r="M238" s="220"/>
      <c r="N238" s="220"/>
      <c r="O238" s="220"/>
      <c r="P238" s="220"/>
      <c r="Q238" s="220"/>
      <c r="R238" s="230">
        <f>'Monthly Data'!F46/'Monthly Data'!G46/'Monthly Data'!CS46</f>
        <v>19.827557232110561</v>
      </c>
      <c r="S238" s="230">
        <f>'Monthly Data'!J46/'Monthly Data'!K46/'Monthly Data'!CS46</f>
        <v>77.667790408252998</v>
      </c>
      <c r="T238" s="55">
        <f>'Monthly Data'!N46/'Monthly Data'!P46/'Monthly Data'!CS46</f>
        <v>2595.7953269622503</v>
      </c>
      <c r="U238" s="230"/>
      <c r="V238" s="220">
        <f t="shared" si="85"/>
        <v>0</v>
      </c>
      <c r="W238" s="55">
        <f t="shared" si="86"/>
        <v>77.667790408252998</v>
      </c>
      <c r="DO238" s="44">
        <f>'Monthly Data'!F46</f>
        <v>87619165.062130496</v>
      </c>
      <c r="DP238" s="44">
        <f>'Monthly Data'!J46</f>
        <v>30064424.989130653</v>
      </c>
      <c r="DQ238" s="44">
        <f>'Monthly Data'!N46</f>
        <v>120315113.40470029</v>
      </c>
      <c r="DR238" s="44">
        <f t="shared" si="82"/>
        <v>35298963.860157602</v>
      </c>
      <c r="DS238" s="44">
        <f t="shared" si="83"/>
        <v>12682532.251424899</v>
      </c>
      <c r="DT238" s="44">
        <f t="shared" si="84"/>
        <v>66646817.550756402</v>
      </c>
    </row>
    <row r="239" spans="3:124" x14ac:dyDescent="0.2">
      <c r="C239" s="220"/>
      <c r="D239" s="228"/>
      <c r="E239" s="228"/>
      <c r="F239" s="220"/>
      <c r="G239" s="220"/>
      <c r="H239" s="220"/>
      <c r="I239" s="220"/>
      <c r="J239" s="220"/>
      <c r="K239" s="220"/>
      <c r="L239" s="220"/>
      <c r="M239" s="220"/>
      <c r="N239" s="220"/>
      <c r="O239" s="220"/>
      <c r="P239" s="220"/>
      <c r="Q239" s="220"/>
      <c r="R239" s="230">
        <f>'Monthly Data'!F47/'Monthly Data'!G47/'Monthly Data'!CS47</f>
        <v>18.271729157011855</v>
      </c>
      <c r="S239" s="230">
        <f>'Monthly Data'!J47/'Monthly Data'!K47/'Monthly Data'!CS47</f>
        <v>73.740366901900842</v>
      </c>
      <c r="T239" s="55">
        <f>'Monthly Data'!N47/'Monthly Data'!P47/'Monthly Data'!CS47</f>
        <v>2427.4906179434456</v>
      </c>
      <c r="U239" s="230"/>
      <c r="V239" s="220">
        <f t="shared" si="85"/>
        <v>0</v>
      </c>
      <c r="W239" s="55">
        <f t="shared" si="86"/>
        <v>73.740366901900842</v>
      </c>
      <c r="DO239" s="44">
        <f>'Monthly Data'!F47</f>
        <v>83474979.349141687</v>
      </c>
      <c r="DP239" s="44">
        <f>'Monthly Data'!J47</f>
        <v>29507060.335061818</v>
      </c>
      <c r="DQ239" s="44">
        <f>'Monthly Data'!N47</f>
        <v>116415167.56471382</v>
      </c>
      <c r="DR239" s="44">
        <f t="shared" si="82"/>
        <v>35298963.860157602</v>
      </c>
      <c r="DS239" s="44">
        <f t="shared" si="83"/>
        <v>12682532.251424899</v>
      </c>
      <c r="DT239" s="44">
        <f t="shared" si="84"/>
        <v>66646817.550756402</v>
      </c>
    </row>
    <row r="240" spans="3:124" x14ac:dyDescent="0.2">
      <c r="C240" s="220"/>
      <c r="D240" s="228"/>
      <c r="E240" s="228"/>
      <c r="F240" s="220"/>
      <c r="G240" s="220"/>
      <c r="H240" s="220"/>
      <c r="I240" s="220"/>
      <c r="J240" s="220"/>
      <c r="K240" s="220"/>
      <c r="L240" s="220"/>
      <c r="M240" s="220"/>
      <c r="N240" s="220"/>
      <c r="O240" s="220"/>
      <c r="P240" s="220"/>
      <c r="Q240" s="220"/>
      <c r="R240" s="230">
        <f>'Monthly Data'!F48/'Monthly Data'!G48/'Monthly Data'!CS48</f>
        <v>19.48557513915388</v>
      </c>
      <c r="S240" s="230">
        <f>'Monthly Data'!J48/'Monthly Data'!K48/'Monthly Data'!CS48</f>
        <v>78.044503496723365</v>
      </c>
      <c r="T240" s="55">
        <f>'Monthly Data'!N48/'Monthly Data'!P48/'Monthly Data'!CS48</f>
        <v>2491.6456575552252</v>
      </c>
      <c r="U240" s="230"/>
      <c r="V240" s="220">
        <f t="shared" si="85"/>
        <v>0</v>
      </c>
      <c r="W240" s="55">
        <f t="shared" si="86"/>
        <v>78.044503496723365</v>
      </c>
      <c r="DO240" s="44">
        <f>'Monthly Data'!F48</f>
        <v>86270435.371089891</v>
      </c>
      <c r="DP240" s="44">
        <f>'Monthly Data'!J48</f>
        <v>30257073.560644682</v>
      </c>
      <c r="DQ240" s="44">
        <f>'Monthly Data'!N48</f>
        <v>115562525.59741136</v>
      </c>
      <c r="DR240" s="44">
        <f t="shared" si="82"/>
        <v>35298963.860157602</v>
      </c>
      <c r="DS240" s="44">
        <f t="shared" si="83"/>
        <v>12682532.251424899</v>
      </c>
      <c r="DT240" s="44">
        <f t="shared" si="84"/>
        <v>66646817.550756402</v>
      </c>
    </row>
    <row r="241" spans="3:124" x14ac:dyDescent="0.2">
      <c r="C241" s="220"/>
      <c r="D241" s="228"/>
      <c r="E241" s="228"/>
      <c r="F241" s="220"/>
      <c r="G241" s="220"/>
      <c r="H241" s="220"/>
      <c r="I241" s="220"/>
      <c r="J241" s="220"/>
      <c r="K241" s="220"/>
      <c r="L241" s="220"/>
      <c r="M241" s="220"/>
      <c r="N241" s="220"/>
      <c r="O241" s="220"/>
      <c r="P241" s="220"/>
      <c r="Q241" s="220"/>
      <c r="R241" s="230">
        <f>'Monthly Data'!F49/'Monthly Data'!G49/'Monthly Data'!CS49</f>
        <v>22.764507633202061</v>
      </c>
      <c r="S241" s="230">
        <f>'Monthly Data'!J49/'Monthly Data'!K49/'Monthly Data'!CS49</f>
        <v>83.24289464757959</v>
      </c>
      <c r="T241" s="55">
        <f>'Monthly Data'!N49/'Monthly Data'!P49/'Monthly Data'!CS49</f>
        <v>2462.0854356367286</v>
      </c>
      <c r="U241" s="230"/>
      <c r="V241" s="220">
        <f t="shared" si="85"/>
        <v>0</v>
      </c>
      <c r="W241" s="55">
        <f t="shared" si="86"/>
        <v>83.24289464757959</v>
      </c>
      <c r="DO241" s="44">
        <f>'Monthly Data'!F49</f>
        <v>104207857.30909689</v>
      </c>
      <c r="DP241" s="44">
        <f>'Monthly Data'!J49</f>
        <v>33353346.81291895</v>
      </c>
      <c r="DQ241" s="44">
        <f>'Monthly Data'!N49</f>
        <v>117692607.99430689</v>
      </c>
      <c r="DR241" s="44">
        <f t="shared" si="82"/>
        <v>35298963.860157602</v>
      </c>
      <c r="DS241" s="44">
        <f t="shared" si="83"/>
        <v>12682532.251424899</v>
      </c>
      <c r="DT241" s="44">
        <f t="shared" si="84"/>
        <v>66646817.550756402</v>
      </c>
    </row>
    <row r="242" spans="3:124" x14ac:dyDescent="0.2">
      <c r="C242" s="220"/>
      <c r="R242" s="230">
        <f>'Monthly Data'!F50/'Monthly Data'!G50/'Monthly Data'!CS50</f>
        <v>23.096681836092959</v>
      </c>
      <c r="S242" s="230">
        <f>'Monthly Data'!J50/'Monthly Data'!K50/'Monthly Data'!CS50</f>
        <v>82.499983664165057</v>
      </c>
      <c r="T242" s="55">
        <f>'Monthly Data'!N50/'Monthly Data'!P50/'Monthly Data'!CS50</f>
        <v>2526.7907166240152</v>
      </c>
      <c r="U242" s="230"/>
      <c r="V242" s="220">
        <f t="shared" si="85"/>
        <v>0</v>
      </c>
      <c r="W242" s="55">
        <f t="shared" si="86"/>
        <v>82.499983664165057</v>
      </c>
      <c r="DO242" s="44">
        <f>'Monthly Data'!F50</f>
        <v>105751345.12864499</v>
      </c>
      <c r="DP242" s="44">
        <f>'Monthly Data'!J50</f>
        <v>33188670.928305969</v>
      </c>
      <c r="DQ242" s="44">
        <f>'Monthly Data'!N50</f>
        <v>118984048.05510825</v>
      </c>
      <c r="DR242" s="44">
        <f t="shared" si="82"/>
        <v>35298963.860157602</v>
      </c>
      <c r="DS242" s="44">
        <f t="shared" si="83"/>
        <v>12682532.251424899</v>
      </c>
      <c r="DT242" s="44">
        <f t="shared" si="84"/>
        <v>66646817.550756402</v>
      </c>
    </row>
    <row r="243" spans="3:124" x14ac:dyDescent="0.2">
      <c r="C243" s="220"/>
      <c r="R243" s="230">
        <f>'Monthly Data'!F51/'Monthly Data'!G51/'Monthly Data'!CS51</f>
        <v>23.731200354879384</v>
      </c>
      <c r="S243" s="230">
        <f>'Monthly Data'!J51/'Monthly Data'!K51/'Monthly Data'!CS51</f>
        <v>88.075701491498805</v>
      </c>
      <c r="T243" s="55">
        <f>'Monthly Data'!N51/'Monthly Data'!P51/'Monthly Data'!CS51</f>
        <v>2661.6742292627669</v>
      </c>
      <c r="U243" s="230"/>
      <c r="V243" s="220">
        <f t="shared" si="85"/>
        <v>0</v>
      </c>
      <c r="W243" s="55">
        <f t="shared" si="86"/>
        <v>88.075701491498805</v>
      </c>
      <c r="DO243" s="44">
        <f>'Monthly Data'!F51</f>
        <v>98306877.169293538</v>
      </c>
      <c r="DP243" s="44">
        <f>'Monthly Data'!J51</f>
        <v>32029961.907204423</v>
      </c>
      <c r="DQ243" s="44">
        <f>'Monthly Data'!N51</f>
        <v>113057274.56216528</v>
      </c>
      <c r="DR243" s="44">
        <f t="shared" si="82"/>
        <v>35298963.860157602</v>
      </c>
      <c r="DS243" s="44">
        <f t="shared" si="83"/>
        <v>12682532.251424899</v>
      </c>
      <c r="DT243" s="44">
        <f t="shared" si="84"/>
        <v>66646817.550756402</v>
      </c>
    </row>
    <row r="244" spans="3:124" x14ac:dyDescent="0.2">
      <c r="C244" s="220"/>
      <c r="R244" s="230">
        <f>'Monthly Data'!F52/'Monthly Data'!G52/'Monthly Data'!CS52</f>
        <v>20.033166628249056</v>
      </c>
      <c r="S244" s="230">
        <f>'Monthly Data'!J52/'Monthly Data'!K52/'Monthly Data'!CS52</f>
        <v>81.42193483269881</v>
      </c>
      <c r="T244" s="55">
        <f>'Monthly Data'!N52/'Monthly Data'!P52/'Monthly Data'!CS52</f>
        <v>2565.6454232481115</v>
      </c>
      <c r="U244" s="230"/>
      <c r="V244" s="220">
        <f t="shared" si="85"/>
        <v>0</v>
      </c>
      <c r="W244" s="55">
        <f t="shared" si="86"/>
        <v>81.42193483269881</v>
      </c>
      <c r="DO244" s="44">
        <f>'Monthly Data'!F52</f>
        <v>91973029.250623286</v>
      </c>
      <c r="DP244" s="44">
        <f>'Monthly Data'!J52</f>
        <v>32767606.297940973</v>
      </c>
      <c r="DQ244" s="44">
        <f>'Monthly Data'!N52</f>
        <v>120813677.33533032</v>
      </c>
      <c r="DR244" s="44">
        <f t="shared" si="82"/>
        <v>35298963.860157602</v>
      </c>
      <c r="DS244" s="44">
        <f t="shared" si="83"/>
        <v>12682532.251424899</v>
      </c>
      <c r="DT244" s="44">
        <f t="shared" si="84"/>
        <v>66646817.550756402</v>
      </c>
    </row>
    <row r="245" spans="3:124" x14ac:dyDescent="0.2">
      <c r="C245" s="220"/>
      <c r="R245" s="230">
        <f>'Monthly Data'!F53/'Monthly Data'!G53/'Monthly Data'!CS53</f>
        <v>18.658058835596492</v>
      </c>
      <c r="S245" s="230">
        <f>'Monthly Data'!J53/'Monthly Data'!K53/'Monthly Data'!CS53</f>
        <v>73.23602894177148</v>
      </c>
      <c r="T245" s="55">
        <f>'Monthly Data'!N53/'Monthly Data'!P53/'Monthly Data'!CS53</f>
        <v>2402.7615090517065</v>
      </c>
      <c r="U245" s="230"/>
      <c r="V245" s="220">
        <f t="shared" si="85"/>
        <v>0</v>
      </c>
      <c r="W245" s="55">
        <f t="shared" si="86"/>
        <v>73.23602894177148</v>
      </c>
      <c r="DO245" s="44">
        <f>'Monthly Data'!F53</f>
        <v>82981156.929550335</v>
      </c>
      <c r="DP245" s="44">
        <f>'Monthly Data'!J53</f>
        <v>28526897.993398827</v>
      </c>
      <c r="DQ245" s="44">
        <f>'Monthly Data'!N53</f>
        <v>109638007.65802936</v>
      </c>
      <c r="DR245" s="44">
        <f t="shared" si="82"/>
        <v>35298963.860157602</v>
      </c>
      <c r="DS245" s="44">
        <f t="shared" si="83"/>
        <v>12682532.251424899</v>
      </c>
      <c r="DT245" s="44">
        <f t="shared" si="84"/>
        <v>66646817.550756402</v>
      </c>
    </row>
    <row r="246" spans="3:124" x14ac:dyDescent="0.2">
      <c r="C246" s="220"/>
      <c r="R246" s="230">
        <f>'Monthly Data'!F54/'Monthly Data'!G54/'Monthly Data'!CS54</f>
        <v>19.861905420209979</v>
      </c>
      <c r="S246" s="230">
        <f>'Monthly Data'!J54/'Monthly Data'!K54/'Monthly Data'!CS54</f>
        <v>73.164324024215716</v>
      </c>
      <c r="T246" s="55">
        <f>'Monthly Data'!N54/'Monthly Data'!P54/'Monthly Data'!CS54</f>
        <v>2442.4693495273073</v>
      </c>
      <c r="U246" s="230"/>
      <c r="V246" s="220">
        <f t="shared" si="85"/>
        <v>0</v>
      </c>
      <c r="W246" s="55">
        <f t="shared" si="86"/>
        <v>73.164324024215716</v>
      </c>
      <c r="DO246" s="44">
        <f>'Monthly Data'!F54</f>
        <v>91340076.58452858</v>
      </c>
      <c r="DP246" s="44">
        <f>'Monthly Data'!J54</f>
        <v>29460273.547266677</v>
      </c>
      <c r="DQ246" s="44">
        <f>'Monthly Data'!N54</f>
        <v>115240588.84939741</v>
      </c>
      <c r="DR246" s="44">
        <f t="shared" si="82"/>
        <v>35298963.860157602</v>
      </c>
      <c r="DS246" s="44">
        <f t="shared" si="83"/>
        <v>12682532.251424899</v>
      </c>
      <c r="DT246" s="44">
        <f t="shared" si="84"/>
        <v>66646817.550756402</v>
      </c>
    </row>
    <row r="247" spans="3:124" x14ac:dyDescent="0.2">
      <c r="C247" s="220"/>
      <c r="R247" s="230">
        <f>'Monthly Data'!F55/'Monthly Data'!G55/'Monthly Data'!CS55</f>
        <v>25.882117617095911</v>
      </c>
      <c r="S247" s="230">
        <f>'Monthly Data'!J55/'Monthly Data'!K55/'Monthly Data'!CS55</f>
        <v>86.623488476250841</v>
      </c>
      <c r="T247" s="55">
        <f>'Monthly Data'!N55/'Monthly Data'!P55/'Monthly Data'!CS55</f>
        <v>2810.0309001183045</v>
      </c>
      <c r="U247" s="230"/>
      <c r="V247" s="220">
        <f t="shared" si="85"/>
        <v>0</v>
      </c>
      <c r="W247" s="55">
        <f t="shared" si="86"/>
        <v>86.623488476250841</v>
      </c>
      <c r="DO247" s="44">
        <f>'Monthly Data'!F55</f>
        <v>115361515.82174373</v>
      </c>
      <c r="DP247" s="44">
        <f>'Monthly Data'!J55</f>
        <v>33741581.231269225</v>
      </c>
      <c r="DQ247" s="44">
        <f>'Monthly Data'!N55</f>
        <v>128558913.68041244</v>
      </c>
      <c r="DR247" s="44">
        <f t="shared" ref="DR247:DR307" si="87">$EE$17+J247*$EE$18+K247*$EE$19</f>
        <v>35298963.860157602</v>
      </c>
      <c r="DS247" s="44">
        <f t="shared" ref="DS247:DS307" si="88">$EE$37+J247*$EE$38+K247*$EE$39</f>
        <v>12682532.251424899</v>
      </c>
      <c r="DT247" s="44">
        <f t="shared" ref="DT247:DT307" si="89">$EE$60+N247*$EE$61+K247*$EE$62</f>
        <v>66646817.550756402</v>
      </c>
    </row>
    <row r="248" spans="3:124" x14ac:dyDescent="0.2">
      <c r="C248" s="220"/>
      <c r="R248" s="230">
        <f>'Monthly Data'!F56/'Monthly Data'!G56/'Monthly Data'!CS56</f>
        <v>25.942557934920931</v>
      </c>
      <c r="S248" s="230">
        <f>'Monthly Data'!J56/'Monthly Data'!K56/'Monthly Data'!CS56</f>
        <v>89.064251536139707</v>
      </c>
      <c r="T248" s="55">
        <f>'Monthly Data'!N56/'Monthly Data'!P56/'Monthly Data'!CS56</f>
        <v>2810.8944646306627</v>
      </c>
      <c r="U248" s="230"/>
      <c r="V248" s="220">
        <f t="shared" si="85"/>
        <v>0</v>
      </c>
      <c r="W248" s="55">
        <f t="shared" si="86"/>
        <v>89.064251536139707</v>
      </c>
      <c r="DO248" s="44">
        <f>'Monthly Data'!F56</f>
        <v>119528701.30399828</v>
      </c>
      <c r="DP248" s="44">
        <f>'Monthly Data'!J56</f>
        <v>35821107.582326174</v>
      </c>
      <c r="DQ248" s="44">
        <f>'Monthly Data'!N56</f>
        <v>132710760.35860747</v>
      </c>
      <c r="DR248" s="44">
        <f t="shared" si="87"/>
        <v>35298963.860157602</v>
      </c>
      <c r="DS248" s="44">
        <f t="shared" si="88"/>
        <v>12682532.251424899</v>
      </c>
      <c r="DT248" s="44">
        <f t="shared" si="89"/>
        <v>66646817.550756402</v>
      </c>
    </row>
    <row r="249" spans="3:124" x14ac:dyDescent="0.2">
      <c r="C249" s="220"/>
      <c r="R249" s="230">
        <f>'Monthly Data'!F57/'Monthly Data'!G57/'Monthly Data'!CS57</f>
        <v>28.656779708564489</v>
      </c>
      <c r="S249" s="230">
        <f>'Monthly Data'!J57/'Monthly Data'!K57/'Monthly Data'!CS57</f>
        <v>95.405043004569293</v>
      </c>
      <c r="T249" s="55">
        <f>'Monthly Data'!N57/'Monthly Data'!P57/'Monthly Data'!CS57</f>
        <v>2993.3800034919727</v>
      </c>
      <c r="U249" s="230"/>
      <c r="V249" s="220">
        <f t="shared" si="85"/>
        <v>0</v>
      </c>
      <c r="W249" s="55">
        <f t="shared" si="86"/>
        <v>95.405043004569293</v>
      </c>
      <c r="DO249" s="44">
        <f>'Monthly Data'!F57</f>
        <v>132199542.12188883</v>
      </c>
      <c r="DP249" s="44">
        <f>'Monthly Data'!J57</f>
        <v>38356548.084514029</v>
      </c>
      <c r="DQ249" s="44">
        <f>'Monthly Data'!N57</f>
        <v>140955270.9844335</v>
      </c>
      <c r="DR249" s="44">
        <f t="shared" si="87"/>
        <v>35298963.860157602</v>
      </c>
      <c r="DS249" s="44">
        <f t="shared" si="88"/>
        <v>12682532.251424899</v>
      </c>
      <c r="DT249" s="44">
        <f t="shared" si="89"/>
        <v>66646817.550756402</v>
      </c>
    </row>
    <row r="250" spans="3:124" x14ac:dyDescent="0.2">
      <c r="C250" s="220"/>
      <c r="R250" s="230">
        <f>'Monthly Data'!F58/'Monthly Data'!G58/'Monthly Data'!CS58</f>
        <v>20.738437341860262</v>
      </c>
      <c r="S250" s="230">
        <f>'Monthly Data'!J58/'Monthly Data'!K58/'Monthly Data'!CS58</f>
        <v>81.60972190610255</v>
      </c>
      <c r="T250" s="55">
        <f>'Monthly Data'!N58/'Monthly Data'!P58/'Monthly Data'!CS58</f>
        <v>2675.7627492557936</v>
      </c>
      <c r="U250" s="230"/>
      <c r="V250" s="220">
        <f t="shared" si="85"/>
        <v>0</v>
      </c>
      <c r="W250" s="55">
        <f t="shared" si="86"/>
        <v>81.60972190610255</v>
      </c>
      <c r="DO250" s="44">
        <f>'Monthly Data'!F58</f>
        <v>92658508.505937979</v>
      </c>
      <c r="DP250" s="44">
        <f>'Monthly Data'!J58</f>
        <v>31815550.085094079</v>
      </c>
      <c r="DQ250" s="44">
        <f>'Monthly Data'!N58</f>
        <v>122416145.77845256</v>
      </c>
      <c r="DR250" s="44">
        <f t="shared" si="87"/>
        <v>35298963.860157602</v>
      </c>
      <c r="DS250" s="44">
        <f t="shared" si="88"/>
        <v>12682532.251424899</v>
      </c>
      <c r="DT250" s="44">
        <f t="shared" si="89"/>
        <v>66646817.550756402</v>
      </c>
    </row>
    <row r="251" spans="3:124" x14ac:dyDescent="0.2">
      <c r="C251" s="220"/>
      <c r="R251" s="230">
        <f>'Monthly Data'!F59/'Monthly Data'!G59/'Monthly Data'!CS59</f>
        <v>18.921782941321489</v>
      </c>
      <c r="S251" s="230">
        <f>'Monthly Data'!J59/'Monthly Data'!K59/'Monthly Data'!CS59</f>
        <v>76.702169134202606</v>
      </c>
      <c r="T251" s="55">
        <f>'Monthly Data'!N59/'Monthly Data'!P59/'Monthly Data'!CS59</f>
        <v>2559.560004113107</v>
      </c>
      <c r="U251" s="230"/>
      <c r="V251" s="220">
        <f t="shared" si="85"/>
        <v>0</v>
      </c>
      <c r="W251" s="55">
        <f t="shared" si="86"/>
        <v>76.702169134202606</v>
      </c>
      <c r="DO251" s="44">
        <f>'Monthly Data'!F59</f>
        <v>87440775.674946621</v>
      </c>
      <c r="DP251" s="44">
        <f>'Monthly Data'!J59</f>
        <v>30918107.462813132</v>
      </c>
      <c r="DQ251" s="44">
        <f>'Monthly Data'!N59</f>
        <v>120765160.1140646</v>
      </c>
      <c r="DR251" s="44">
        <f t="shared" si="87"/>
        <v>35298963.860157602</v>
      </c>
      <c r="DS251" s="44">
        <f t="shared" si="88"/>
        <v>12682532.251424899</v>
      </c>
      <c r="DT251" s="44">
        <f t="shared" si="89"/>
        <v>66646817.550756402</v>
      </c>
    </row>
    <row r="252" spans="3:124" x14ac:dyDescent="0.2">
      <c r="C252" s="220"/>
      <c r="R252" s="230">
        <f>'Monthly Data'!F60/'Monthly Data'!G60/'Monthly Data'!CS60</f>
        <v>20.049726055135253</v>
      </c>
      <c r="S252" s="230">
        <f>'Monthly Data'!J60/'Monthly Data'!K60/'Monthly Data'!CS60</f>
        <v>81.560889755773204</v>
      </c>
      <c r="T252" s="55">
        <f>'Monthly Data'!N60/'Monthly Data'!P60/'Monthly Data'!CS60</f>
        <v>2584.9858384473778</v>
      </c>
      <c r="U252" s="230"/>
      <c r="V252" s="220">
        <f t="shared" si="85"/>
        <v>0</v>
      </c>
      <c r="W252" s="55">
        <f t="shared" si="86"/>
        <v>81.560889755773204</v>
      </c>
      <c r="DO252" s="44">
        <f>'Monthly Data'!F60</f>
        <v>89753400.674855173</v>
      </c>
      <c r="DP252" s="44">
        <f>'Monthly Data'!J60</f>
        <v>31869917.672068384</v>
      </c>
      <c r="DQ252" s="44">
        <f>'Monthly Data'!N60</f>
        <v>118650849.98473464</v>
      </c>
      <c r="DR252" s="44">
        <f t="shared" si="87"/>
        <v>35298963.860157602</v>
      </c>
      <c r="DS252" s="44">
        <f t="shared" si="88"/>
        <v>12682532.251424899</v>
      </c>
      <c r="DT252" s="44">
        <f t="shared" si="89"/>
        <v>66646817.550756402</v>
      </c>
    </row>
    <row r="253" spans="3:124" x14ac:dyDescent="0.2">
      <c r="C253" s="220"/>
      <c r="R253" s="230">
        <f>'Monthly Data'!F61/'Monthly Data'!G61/'Monthly Data'!CS61</f>
        <v>21.98139733176923</v>
      </c>
      <c r="S253" s="230">
        <f>'Monthly Data'!J61/'Monthly Data'!K61/'Monthly Data'!CS61</f>
        <v>83.93059815764525</v>
      </c>
      <c r="T253" s="55">
        <f>'Monthly Data'!N61/'Monthly Data'!P61/'Monthly Data'!CS61</f>
        <v>2464.2899461137672</v>
      </c>
      <c r="U253" s="230"/>
      <c r="V253" s="220">
        <f t="shared" si="85"/>
        <v>0</v>
      </c>
      <c r="W253" s="55">
        <f t="shared" si="86"/>
        <v>83.93059815764525</v>
      </c>
      <c r="DO253" s="44">
        <f>'Monthly Data'!F61</f>
        <v>101925936.95283271</v>
      </c>
      <c r="DP253" s="44">
        <f>'Monthly Data'!J61</f>
        <v>33904688.36236053</v>
      </c>
      <c r="DQ253" s="44">
        <f>'Monthly Data'!N61</f>
        <v>116117342.26088069</v>
      </c>
      <c r="DR253" s="44">
        <f t="shared" si="87"/>
        <v>35298963.860157602</v>
      </c>
      <c r="DS253" s="44">
        <f t="shared" si="88"/>
        <v>12682532.251424899</v>
      </c>
      <c r="DT253" s="44">
        <f t="shared" si="89"/>
        <v>66646817.550756402</v>
      </c>
    </row>
    <row r="254" spans="3:124" x14ac:dyDescent="0.2">
      <c r="C254" s="220"/>
      <c r="R254" s="230">
        <f>'Monthly Data'!F62/'Monthly Data'!G62/'Monthly Data'!CS62</f>
        <v>24.421217458023236</v>
      </c>
      <c r="S254" s="230">
        <f>'Monthly Data'!J62/'Monthly Data'!K62/'Monthly Data'!CS62</f>
        <v>91.183941771017416</v>
      </c>
      <c r="T254" s="55">
        <f>'Monthly Data'!N62/'Monthly Data'!P62/'Monthly Data'!CS62</f>
        <v>2774.6875636413606</v>
      </c>
      <c r="U254" s="230"/>
      <c r="V254" s="220">
        <f t="shared" si="85"/>
        <v>0</v>
      </c>
      <c r="W254" s="55">
        <f t="shared" si="86"/>
        <v>91.183941771017416</v>
      </c>
      <c r="DO254" s="44">
        <f>'Monthly Data'!F62</f>
        <v>113400436.11189753</v>
      </c>
      <c r="DP254" s="44">
        <f>'Monthly Data'!J62</f>
        <v>37072199.286133692</v>
      </c>
      <c r="DQ254" s="44">
        <f>'Monthly Data'!N62</f>
        <v>125926420.38829951</v>
      </c>
      <c r="DR254" s="44">
        <f t="shared" si="87"/>
        <v>35298963.860157602</v>
      </c>
      <c r="DS254" s="44">
        <f t="shared" si="88"/>
        <v>12682532.251424899</v>
      </c>
      <c r="DT254" s="44">
        <f t="shared" si="89"/>
        <v>66646817.550756402</v>
      </c>
    </row>
    <row r="255" spans="3:124" x14ac:dyDescent="0.2">
      <c r="C255" s="220"/>
      <c r="R255" s="230">
        <f>'Monthly Data'!F63/'Monthly Data'!G63/'Monthly Data'!CS63</f>
        <v>23.407877957005876</v>
      </c>
      <c r="S255" s="230">
        <f>'Monthly Data'!J63/'Monthly Data'!K63/'Monthly Data'!CS63</f>
        <v>92.777235837594233</v>
      </c>
      <c r="T255" s="55">
        <f>'Monthly Data'!N63/'Monthly Data'!P63/'Monthly Data'!CS63</f>
        <v>2841.5085489820203</v>
      </c>
      <c r="U255" s="230"/>
      <c r="V255" s="220">
        <f t="shared" si="85"/>
        <v>0</v>
      </c>
      <c r="W255" s="55">
        <f t="shared" si="86"/>
        <v>92.777235837594233</v>
      </c>
      <c r="DO255" s="44">
        <f>'Monthly Data'!F63</f>
        <v>98271140.502125725</v>
      </c>
      <c r="DP255" s="44">
        <f>'Monthly Data'!J63</f>
        <v>34106025.220729686</v>
      </c>
      <c r="DQ255" s="44">
        <f>'Monthly Data'!N63</f>
        <v>115603933.80678451</v>
      </c>
      <c r="DR255" s="44">
        <f t="shared" si="87"/>
        <v>35298963.860157602</v>
      </c>
      <c r="DS255" s="44">
        <f t="shared" si="88"/>
        <v>12682532.251424899</v>
      </c>
      <c r="DT255" s="44">
        <f t="shared" si="89"/>
        <v>66646817.550756402</v>
      </c>
    </row>
    <row r="256" spans="3:124" x14ac:dyDescent="0.2">
      <c r="C256" s="220"/>
      <c r="R256" s="230">
        <f>'Monthly Data'!F64/'Monthly Data'!G64/'Monthly Data'!CS64</f>
        <v>21.025111399498122</v>
      </c>
      <c r="S256" s="230">
        <f>'Monthly Data'!J64/'Monthly Data'!K64/'Monthly Data'!CS64</f>
        <v>87.427646768984786</v>
      </c>
      <c r="T256" s="55">
        <f>'Monthly Data'!N64/'Monthly Data'!P64/'Monthly Data'!CS64</f>
        <v>2785.0720704195883</v>
      </c>
      <c r="U256" s="230"/>
      <c r="V256" s="220">
        <f t="shared" si="85"/>
        <v>0</v>
      </c>
      <c r="W256" s="55">
        <f t="shared" si="86"/>
        <v>87.427646768984786</v>
      </c>
      <c r="DO256" s="44">
        <f>'Monthly Data'!F64</f>
        <v>97810437.164043024</v>
      </c>
      <c r="DP256" s="44">
        <f>'Monthly Data'!J64</f>
        <v>35656141.74767568</v>
      </c>
      <c r="DQ256" s="44">
        <f>'Monthly Data'!N64</f>
        <v>125620675.73627552</v>
      </c>
      <c r="DR256" s="44">
        <f t="shared" si="87"/>
        <v>35298963.860157602</v>
      </c>
      <c r="DS256" s="44">
        <f t="shared" si="88"/>
        <v>12682532.251424899</v>
      </c>
      <c r="DT256" s="44">
        <f t="shared" si="89"/>
        <v>66646817.550756402</v>
      </c>
    </row>
    <row r="257" spans="3:124" x14ac:dyDescent="0.2">
      <c r="C257" s="220"/>
      <c r="R257" s="230">
        <f>'Monthly Data'!F65/'Monthly Data'!G65/'Monthly Data'!CS65</f>
        <v>19.024470918867561</v>
      </c>
      <c r="S257" s="230">
        <f>'Monthly Data'!J65/'Monthly Data'!K65/'Monthly Data'!CS65</f>
        <v>80.441984547303363</v>
      </c>
      <c r="T257" s="55">
        <f>'Monthly Data'!N65/'Monthly Data'!P65/'Monthly Data'!CS65</f>
        <v>2633.0312055303107</v>
      </c>
      <c r="U257" s="230"/>
      <c r="V257" s="220">
        <f t="shared" si="85"/>
        <v>0</v>
      </c>
      <c r="W257" s="231">
        <f t="shared" si="86"/>
        <v>80.441984547303363</v>
      </c>
      <c r="DO257" s="44">
        <f>'Monthly Data'!F65</f>
        <v>85783051.575556532</v>
      </c>
      <c r="DP257" s="44">
        <f>'Monthly Data'!J65</f>
        <v>31746429.201593272</v>
      </c>
      <c r="DQ257" s="44">
        <f>'Monthly Data'!N65</f>
        <v>115405757.73839353</v>
      </c>
      <c r="DR257" s="44">
        <f t="shared" si="87"/>
        <v>35298963.860157602</v>
      </c>
      <c r="DS257" s="44">
        <f t="shared" si="88"/>
        <v>12682532.251424899</v>
      </c>
      <c r="DT257" s="44">
        <f t="shared" si="89"/>
        <v>66646817.550756402</v>
      </c>
    </row>
    <row r="258" spans="3:124" x14ac:dyDescent="0.2">
      <c r="C258" s="220"/>
      <c r="R258" s="230">
        <f>'Monthly Data'!F66/'Monthly Data'!G66/'Monthly Data'!CS66</f>
        <v>19.186330472901556</v>
      </c>
      <c r="S258" s="230">
        <f>'Monthly Data'!J66/'Monthly Data'!K66/'Monthly Data'!CS66</f>
        <v>80.383558310808937</v>
      </c>
      <c r="T258" s="55">
        <f>'Monthly Data'!N66/'Monthly Data'!P66/'Monthly Data'!CS66</f>
        <v>2709.5187202571942</v>
      </c>
      <c r="U258" s="230"/>
      <c r="V258" s="220">
        <f t="shared" ref="V258:V289" si="90">C258</f>
        <v>0</v>
      </c>
      <c r="W258" s="231">
        <f t="shared" ref="W258:W289" si="91">S258</f>
        <v>80.383558310808937</v>
      </c>
      <c r="DO258" s="44">
        <f>'Monthly Data'!F66</f>
        <v>89296731.492021337</v>
      </c>
      <c r="DP258" s="44">
        <f>'Monthly Data'!J66</f>
        <v>32818195.351553965</v>
      </c>
      <c r="DQ258" s="44">
        <f>'Monthly Data'!N66</f>
        <v>122884802.51982453</v>
      </c>
      <c r="DR258" s="44">
        <f t="shared" si="87"/>
        <v>35298963.860157602</v>
      </c>
      <c r="DS258" s="44">
        <f t="shared" si="88"/>
        <v>12682532.251424899</v>
      </c>
      <c r="DT258" s="44">
        <f t="shared" si="89"/>
        <v>66646817.550756402</v>
      </c>
    </row>
    <row r="259" spans="3:124" x14ac:dyDescent="0.2">
      <c r="C259" s="220"/>
      <c r="R259" s="230">
        <f>'Monthly Data'!F67/'Monthly Data'!G67/'Monthly Data'!CS67</f>
        <v>23.14739064985428</v>
      </c>
      <c r="S259" s="230">
        <f>'Monthly Data'!J67/'Monthly Data'!K67/'Monthly Data'!CS67</f>
        <v>89.708173965236909</v>
      </c>
      <c r="T259" s="55">
        <f>'Monthly Data'!N67/'Monthly Data'!P67/'Monthly Data'!CS67</f>
        <v>2968.0779863459879</v>
      </c>
      <c r="U259" s="230"/>
      <c r="V259" s="220">
        <f t="shared" si="90"/>
        <v>0</v>
      </c>
      <c r="W259" s="55">
        <f t="shared" si="91"/>
        <v>89.708173965236909</v>
      </c>
      <c r="DO259" s="44">
        <f>'Monthly Data'!F67</f>
        <v>104358390.42752253</v>
      </c>
      <c r="DP259" s="44">
        <f>'Monthly Data'!J67</f>
        <v>35352197.196220562</v>
      </c>
      <c r="DQ259" s="44">
        <f>'Monthly Data'!N67</f>
        <v>130536069.83949654</v>
      </c>
      <c r="DR259" s="44">
        <f t="shared" si="87"/>
        <v>35298963.860157602</v>
      </c>
      <c r="DS259" s="44">
        <f t="shared" si="88"/>
        <v>12682532.251424899</v>
      </c>
      <c r="DT259" s="44">
        <f t="shared" si="89"/>
        <v>66646817.550756402</v>
      </c>
    </row>
    <row r="260" spans="3:124" x14ac:dyDescent="0.2">
      <c r="C260" s="220"/>
      <c r="D260" s="228"/>
      <c r="E260" s="228"/>
      <c r="F260" s="228"/>
      <c r="G260" s="228"/>
      <c r="H260" s="228"/>
      <c r="I260" s="228"/>
      <c r="J260" s="228"/>
      <c r="K260" s="228"/>
      <c r="L260" s="228"/>
      <c r="M260" s="228"/>
      <c r="N260" s="228"/>
      <c r="O260" s="228"/>
      <c r="P260" s="228"/>
      <c r="Q260" s="228"/>
      <c r="R260" s="230">
        <f>'Monthly Data'!F68/'Monthly Data'!G68/'Monthly Data'!CS68</f>
        <v>27.01096332337849</v>
      </c>
      <c r="S260" s="230">
        <f>'Monthly Data'!J68/'Monthly Data'!K68/'Monthly Data'!CS68</f>
        <v>95.524348881726112</v>
      </c>
      <c r="T260" s="55">
        <f>'Monthly Data'!N68/'Monthly Data'!P68/'Monthly Data'!CS68</f>
        <v>3055.9694867964217</v>
      </c>
      <c r="U260" s="230"/>
      <c r="V260" s="220">
        <f t="shared" si="90"/>
        <v>0</v>
      </c>
      <c r="W260" s="55">
        <f t="shared" si="91"/>
        <v>95.524348881726112</v>
      </c>
      <c r="DO260" s="44">
        <f>'Monthly Data'!F68</f>
        <v>125884000.32741234</v>
      </c>
      <c r="DP260" s="44">
        <f>'Monthly Data'!J68</f>
        <v>38896081.999405652</v>
      </c>
      <c r="DQ260" s="44">
        <f>'Monthly Data'!N68</f>
        <v>139071059.40513155</v>
      </c>
      <c r="DR260" s="44">
        <f t="shared" si="87"/>
        <v>35298963.860157602</v>
      </c>
      <c r="DS260" s="44">
        <f t="shared" si="88"/>
        <v>12682532.251424899</v>
      </c>
      <c r="DT260" s="44">
        <f t="shared" si="89"/>
        <v>66646817.550756402</v>
      </c>
    </row>
    <row r="261" spans="3:124" x14ac:dyDescent="0.2">
      <c r="C261" s="220"/>
      <c r="D261" s="228"/>
      <c r="E261" s="228"/>
      <c r="F261" s="228"/>
      <c r="G261" s="228"/>
      <c r="H261" s="228"/>
      <c r="I261" s="228"/>
      <c r="J261" s="228"/>
      <c r="K261" s="228"/>
      <c r="L261" s="228"/>
      <c r="M261" s="228"/>
      <c r="N261" s="228"/>
      <c r="O261" s="228"/>
      <c r="P261" s="228"/>
      <c r="Q261" s="228"/>
      <c r="R261" s="230">
        <f>'Monthly Data'!F69/'Monthly Data'!G69/'Monthly Data'!CS69</f>
        <v>25.963290677023561</v>
      </c>
      <c r="S261" s="230">
        <f>'Monthly Data'!J69/'Monthly Data'!K69/'Monthly Data'!CS69</f>
        <v>95.271022987898476</v>
      </c>
      <c r="T261" s="55">
        <f>'Monthly Data'!N69/'Monthly Data'!P69/'Monthly Data'!CS69</f>
        <v>3131.7314020471176</v>
      </c>
      <c r="V261" s="220">
        <f t="shared" si="90"/>
        <v>0</v>
      </c>
      <c r="W261" s="55">
        <f t="shared" si="91"/>
        <v>95.271022987898476</v>
      </c>
      <c r="DO261" s="44">
        <f>'Monthly Data'!F69</f>
        <v>121150244.47990614</v>
      </c>
      <c r="DP261" s="44">
        <f>'Monthly Data'!J69</f>
        <v>38840185.92272944</v>
      </c>
      <c r="DQ261" s="44">
        <f>'Monthly Data'!N69</f>
        <v>143004251.01167753</v>
      </c>
      <c r="DR261" s="44">
        <f t="shared" si="87"/>
        <v>35298963.860157602</v>
      </c>
      <c r="DS261" s="44">
        <f t="shared" si="88"/>
        <v>12682532.251424899</v>
      </c>
      <c r="DT261" s="44">
        <f t="shared" si="89"/>
        <v>66646817.550756402</v>
      </c>
    </row>
    <row r="262" spans="3:124" x14ac:dyDescent="0.2">
      <c r="C262" s="220"/>
      <c r="D262" s="228"/>
      <c r="E262" s="228"/>
      <c r="F262" s="228"/>
      <c r="G262" s="228"/>
      <c r="H262" s="228"/>
      <c r="I262" s="228"/>
      <c r="J262" s="228"/>
      <c r="K262" s="228"/>
      <c r="L262" s="228"/>
      <c r="M262" s="228"/>
      <c r="N262" s="228"/>
      <c r="O262" s="228"/>
      <c r="P262" s="228"/>
      <c r="Q262" s="228"/>
      <c r="R262" s="230">
        <f>'Monthly Data'!F70/'Monthly Data'!G70/'Monthly Data'!CS70</f>
        <v>21.216746045641415</v>
      </c>
      <c r="S262" s="230">
        <f>'Monthly Data'!J70/'Monthly Data'!K70/'Monthly Data'!CS70</f>
        <v>85.321792238382855</v>
      </c>
      <c r="T262" s="55">
        <f>'Monthly Data'!N70/'Monthly Data'!P70/'Monthly Data'!CS70</f>
        <v>2924.8235818671315</v>
      </c>
      <c r="V262" s="220">
        <f t="shared" si="90"/>
        <v>0</v>
      </c>
      <c r="W262" s="55">
        <f t="shared" si="91"/>
        <v>85.321792238382855</v>
      </c>
      <c r="DO262" s="44">
        <f>'Monthly Data'!F70</f>
        <v>95896085.279471442</v>
      </c>
      <c r="DP262" s="44">
        <f>'Monthly Data'!J70</f>
        <v>33654327.730507731</v>
      </c>
      <c r="DQ262" s="44">
        <f>'Monthly Data'!N70</f>
        <v>129335698.79016455</v>
      </c>
      <c r="DR262" s="44">
        <f t="shared" si="87"/>
        <v>35298963.860157602</v>
      </c>
      <c r="DS262" s="44">
        <f t="shared" si="88"/>
        <v>12682532.251424899</v>
      </c>
      <c r="DT262" s="44">
        <f t="shared" si="89"/>
        <v>66646817.550756402</v>
      </c>
    </row>
    <row r="263" spans="3:124" x14ac:dyDescent="0.2">
      <c r="C263" s="220"/>
      <c r="D263" s="228"/>
      <c r="E263" s="228"/>
      <c r="F263" s="228"/>
      <c r="G263" s="228"/>
      <c r="H263" s="228"/>
      <c r="I263" s="228"/>
      <c r="J263" s="228"/>
      <c r="K263" s="228"/>
      <c r="L263" s="228"/>
      <c r="M263" s="228"/>
      <c r="N263" s="228"/>
      <c r="O263" s="228"/>
      <c r="P263" s="228"/>
      <c r="Q263" s="228"/>
      <c r="R263" s="230">
        <f>'Monthly Data'!F71/'Monthly Data'!G71/'Monthly Data'!CS71</f>
        <v>17.61509333852921</v>
      </c>
      <c r="S263" s="230">
        <f>'Monthly Data'!J71/'Monthly Data'!K71/'Monthly Data'!CS71</f>
        <v>76.918179268406746</v>
      </c>
      <c r="T263" s="55">
        <f>'Monthly Data'!N71/'Monthly Data'!P71/'Monthly Data'!CS71</f>
        <v>2597.0851275365544</v>
      </c>
      <c r="V263" s="220">
        <f t="shared" si="90"/>
        <v>0</v>
      </c>
      <c r="W263" s="55">
        <f t="shared" si="91"/>
        <v>76.918179268406746</v>
      </c>
      <c r="DO263" s="44">
        <f>'Monthly Data'!F71</f>
        <v>82407651.875134245</v>
      </c>
      <c r="DP263" s="44">
        <f>'Monthly Data'!J71</f>
        <v>31415307.367699027</v>
      </c>
      <c r="DQ263" s="44">
        <f>'Monthly Data'!N71</f>
        <v>118832227.09556258</v>
      </c>
      <c r="DR263" s="44">
        <f t="shared" si="87"/>
        <v>35298963.860157602</v>
      </c>
      <c r="DS263" s="44">
        <f t="shared" si="88"/>
        <v>12682532.251424899</v>
      </c>
      <c r="DT263" s="44">
        <f t="shared" si="89"/>
        <v>66646817.550756402</v>
      </c>
    </row>
    <row r="264" spans="3:124" x14ac:dyDescent="0.2">
      <c r="C264" s="220"/>
      <c r="D264" s="228"/>
      <c r="E264" s="228"/>
      <c r="F264" s="228"/>
      <c r="G264" s="228"/>
      <c r="H264" s="228"/>
      <c r="I264" s="228"/>
      <c r="J264" s="228"/>
      <c r="K264" s="228"/>
      <c r="L264" s="228"/>
      <c r="M264" s="228"/>
      <c r="N264" s="228"/>
      <c r="O264" s="228"/>
      <c r="P264" s="228"/>
      <c r="Q264" s="228"/>
      <c r="R264" s="230">
        <f>'Monthly Data'!F72/'Monthly Data'!G72/'Monthly Data'!CS72</f>
        <v>19.323102466988527</v>
      </c>
      <c r="S264" s="230">
        <f>'Monthly Data'!J72/'Monthly Data'!K72/'Monthly Data'!CS72</f>
        <v>83.554253936876776</v>
      </c>
      <c r="T264" s="55">
        <f>'Monthly Data'!N72/'Monthly Data'!P72/'Monthly Data'!CS72</f>
        <v>2717.807477823319</v>
      </c>
      <c r="V264" s="220">
        <f t="shared" si="90"/>
        <v>0</v>
      </c>
      <c r="W264" s="55">
        <f t="shared" si="91"/>
        <v>83.554253936876776</v>
      </c>
      <c r="DO264" s="44">
        <f>'Monthly Data'!F72</f>
        <v>87684954.067774549</v>
      </c>
      <c r="DP264" s="44">
        <f>'Monthly Data'!J72</f>
        <v>33054898.399967819</v>
      </c>
      <c r="DQ264" s="44">
        <f>'Monthly Data'!N72</f>
        <v>120344515.11801657</v>
      </c>
      <c r="DR264" s="44">
        <f t="shared" si="87"/>
        <v>35298963.860157602</v>
      </c>
      <c r="DS264" s="44">
        <f t="shared" si="88"/>
        <v>12682532.251424899</v>
      </c>
      <c r="DT264" s="44">
        <f t="shared" si="89"/>
        <v>66646817.550756402</v>
      </c>
    </row>
    <row r="265" spans="3:124" x14ac:dyDescent="0.2">
      <c r="C265" s="220"/>
      <c r="D265" s="228"/>
      <c r="E265" s="228"/>
      <c r="F265" s="228"/>
      <c r="G265" s="228"/>
      <c r="H265" s="228"/>
      <c r="I265" s="228"/>
      <c r="J265" s="228"/>
      <c r="K265" s="228"/>
      <c r="L265" s="228"/>
      <c r="M265" s="228"/>
      <c r="N265" s="228"/>
      <c r="O265" s="228"/>
      <c r="P265" s="228"/>
      <c r="Q265" s="228"/>
      <c r="R265" s="230">
        <f>'Monthly Data'!F73/'Monthly Data'!G73/'Monthly Data'!CS73</f>
        <v>22.29183802186753</v>
      </c>
      <c r="S265" s="230">
        <f>'Monthly Data'!J73/'Monthly Data'!K73/'Monthly Data'!CS73</f>
        <v>88.340196212638332</v>
      </c>
      <c r="T265" s="55">
        <f>'Monthly Data'!N73/'Monthly Data'!P73/'Monthly Data'!CS73</f>
        <v>2659.0209834858197</v>
      </c>
      <c r="V265" s="220">
        <f t="shared" si="90"/>
        <v>0</v>
      </c>
      <c r="W265" s="55">
        <f t="shared" si="91"/>
        <v>88.340196212638332</v>
      </c>
      <c r="DO265" s="44">
        <f>'Monthly Data'!F73</f>
        <v>104600325.92757934</v>
      </c>
      <c r="DP265" s="44">
        <f>'Monthly Data'!J73</f>
        <v>36113207.191137917</v>
      </c>
      <c r="DQ265" s="44">
        <f>'Monthly Data'!N73</f>
        <v>122243171.67379358</v>
      </c>
      <c r="DR265" s="44">
        <f t="shared" si="87"/>
        <v>35298963.860157602</v>
      </c>
      <c r="DS265" s="44">
        <f t="shared" si="88"/>
        <v>12682532.251424899</v>
      </c>
      <c r="DT265" s="44">
        <f t="shared" si="89"/>
        <v>66646817.550756402</v>
      </c>
    </row>
    <row r="266" spans="3:124" x14ac:dyDescent="0.2">
      <c r="C266" s="220"/>
      <c r="R266" s="230">
        <f>'Monthly Data'!F74/'Monthly Data'!G74/'Monthly Data'!CS74</f>
        <v>21.525942230790694</v>
      </c>
      <c r="S266" s="230">
        <f>'Monthly Data'!J74/'Monthly Data'!K74/'Monthly Data'!CS74</f>
        <v>89.442667027736093</v>
      </c>
      <c r="T266" s="55">
        <f>'Monthly Data'!N74/'Monthly Data'!P74/'Monthly Data'!CS74</f>
        <v>2774.7475921315995</v>
      </c>
      <c r="V266" s="220">
        <f t="shared" si="90"/>
        <v>0</v>
      </c>
      <c r="W266" s="55">
        <f t="shared" si="91"/>
        <v>89.442667027736093</v>
      </c>
      <c r="DO266" s="44">
        <f>'Monthly Data'!F74</f>
        <v>101095920.38269933</v>
      </c>
      <c r="DP266" s="44">
        <f>'Monthly Data'!J74</f>
        <v>36644302.910595365</v>
      </c>
      <c r="DQ266" s="44">
        <f>'Monthly Data'!N74</f>
        <v>125499058.84452012</v>
      </c>
      <c r="DR266" s="44">
        <f t="shared" si="87"/>
        <v>35298963.860157602</v>
      </c>
      <c r="DS266" s="44">
        <f t="shared" si="88"/>
        <v>12682532.251424899</v>
      </c>
      <c r="DT266" s="44">
        <f t="shared" si="89"/>
        <v>66646817.550756402</v>
      </c>
    </row>
    <row r="267" spans="3:124" x14ac:dyDescent="0.2">
      <c r="C267" s="220"/>
      <c r="R267" s="230">
        <f>'Monthly Data'!F75/'Monthly Data'!G75/'Monthly Data'!CS75</f>
        <v>21.445211531891342</v>
      </c>
      <c r="S267" s="230">
        <f>'Monthly Data'!J75/'Monthly Data'!K75/'Monthly Data'!CS75</f>
        <v>90.952535282472383</v>
      </c>
      <c r="T267" s="55">
        <f>'Monthly Data'!N75/'Monthly Data'!P75/'Monthly Data'!CS75</f>
        <v>2831.8633825866859</v>
      </c>
      <c r="V267" s="220">
        <f t="shared" si="90"/>
        <v>0</v>
      </c>
      <c r="W267" s="55">
        <f t="shared" si="91"/>
        <v>90.952535282472383</v>
      </c>
      <c r="DO267" s="44">
        <f>'Monthly Data'!F75</f>
        <v>91047446.956413373</v>
      </c>
      <c r="DP267" s="44">
        <f>'Monthly Data'!J75</f>
        <v>33697550.512014888</v>
      </c>
      <c r="DQ267" s="44">
        <f>'Monthly Data'!N75</f>
        <v>115607990.73071887</v>
      </c>
      <c r="DR267" s="44">
        <f t="shared" si="87"/>
        <v>35298963.860157602</v>
      </c>
      <c r="DS267" s="44">
        <f t="shared" si="88"/>
        <v>12682532.251424899</v>
      </c>
      <c r="DT267" s="44">
        <f t="shared" si="89"/>
        <v>66646817.550756402</v>
      </c>
    </row>
    <row r="268" spans="3:124" x14ac:dyDescent="0.2">
      <c r="C268" s="220"/>
      <c r="R268" s="230">
        <f>'Monthly Data'!F76/'Monthly Data'!G76/'Monthly Data'!CS76</f>
        <v>20.38686591153218</v>
      </c>
      <c r="S268" s="230">
        <f>'Monthly Data'!J76/'Monthly Data'!K76/'Monthly Data'!CS76</f>
        <v>88.644069640949951</v>
      </c>
      <c r="T268" s="55">
        <f>'Monthly Data'!N76/'Monthly Data'!P76/'Monthly Data'!CS76</f>
        <v>2770.2311308311942</v>
      </c>
      <c r="V268" s="220">
        <f t="shared" si="90"/>
        <v>0</v>
      </c>
      <c r="W268" s="55">
        <f t="shared" si="91"/>
        <v>88.644069640949951</v>
      </c>
      <c r="DO268" s="44">
        <f>'Monthly Data'!F76</f>
        <v>95849298.594118595</v>
      </c>
      <c r="DP268" s="44">
        <f>'Monthly Data'!J76</f>
        <v>36355592.281842805</v>
      </c>
      <c r="DQ268" s="44">
        <f>'Monthly Data'!N76</f>
        <v>125466538.14647563</v>
      </c>
      <c r="DR268" s="44">
        <f t="shared" si="87"/>
        <v>35298963.860157602</v>
      </c>
      <c r="DS268" s="44">
        <f t="shared" si="88"/>
        <v>12682532.251424899</v>
      </c>
      <c r="DT268" s="44">
        <f t="shared" si="89"/>
        <v>66646817.550756402</v>
      </c>
    </row>
    <row r="269" spans="3:124" x14ac:dyDescent="0.2">
      <c r="C269" s="220"/>
      <c r="R269" s="230">
        <f>'Monthly Data'!F77/'Monthly Data'!G77/'Monthly Data'!CS77</f>
        <v>18.485098056859286</v>
      </c>
      <c r="S269" s="230">
        <f>'Monthly Data'!J77/'Monthly Data'!K77/'Monthly Data'!CS77</f>
        <v>80.593372771386186</v>
      </c>
      <c r="T269" s="55">
        <f>'Monthly Data'!N77/'Monthly Data'!P77/'Monthly Data'!CS77</f>
        <v>2609.9009351928444</v>
      </c>
      <c r="V269" s="220">
        <f t="shared" si="90"/>
        <v>0</v>
      </c>
      <c r="W269" s="55">
        <f t="shared" si="91"/>
        <v>80.593372771386186</v>
      </c>
      <c r="DO269" s="44">
        <f>'Monthly Data'!F77</f>
        <v>84098508.162623033</v>
      </c>
      <c r="DP269" s="44">
        <f>'Monthly Data'!J77</f>
        <v>31973002.845864329</v>
      </c>
      <c r="DQ269" s="44">
        <f>'Monthly Data'!N77</f>
        <v>114391957.98950237</v>
      </c>
      <c r="DR269" s="44">
        <f t="shared" si="87"/>
        <v>35298963.860157602</v>
      </c>
      <c r="DS269" s="44">
        <f t="shared" si="88"/>
        <v>12682532.251424899</v>
      </c>
      <c r="DT269" s="44">
        <f t="shared" si="89"/>
        <v>66646817.550756402</v>
      </c>
    </row>
    <row r="270" spans="3:124" x14ac:dyDescent="0.2">
      <c r="C270" s="220"/>
      <c r="R270" s="230">
        <f>'Monthly Data'!F78/'Monthly Data'!G78/'Monthly Data'!CS78</f>
        <v>17.949608702303411</v>
      </c>
      <c r="S270" s="230">
        <f>'Monthly Data'!J78/'Monthly Data'!K78/'Monthly Data'!CS78</f>
        <v>80.728749336517154</v>
      </c>
      <c r="T270" s="55">
        <f>'Monthly Data'!N78/'Monthly Data'!P78/'Monthly Data'!CS78</f>
        <v>2719.0021291196763</v>
      </c>
      <c r="V270" s="220">
        <f t="shared" si="90"/>
        <v>0</v>
      </c>
      <c r="W270" s="232">
        <f t="shared" si="91"/>
        <v>80.728749336517154</v>
      </c>
      <c r="DO270" s="44">
        <f>'Monthly Data'!F78</f>
        <v>84438333.862071276</v>
      </c>
      <c r="DP270" s="44">
        <f>'Monthly Data'!J78</f>
        <v>33099271.600468054</v>
      </c>
      <c r="DQ270" s="44">
        <f>'Monthly Data'!N78</f>
        <v>123483481.6939701</v>
      </c>
      <c r="DR270" s="44">
        <f t="shared" si="87"/>
        <v>35298963.860157602</v>
      </c>
      <c r="DS270" s="44">
        <f t="shared" si="88"/>
        <v>12682532.251424899</v>
      </c>
      <c r="DT270" s="44">
        <f t="shared" si="89"/>
        <v>66646817.550756402</v>
      </c>
    </row>
    <row r="271" spans="3:124" x14ac:dyDescent="0.2">
      <c r="C271" s="220"/>
      <c r="R271" s="230">
        <f>'Monthly Data'!F79/'Monthly Data'!G79/'Monthly Data'!CS79</f>
        <v>21.361320710332802</v>
      </c>
      <c r="S271" s="230">
        <f>'Monthly Data'!J79/'Monthly Data'!K79/'Monthly Data'!CS79</f>
        <v>86.820988063755621</v>
      </c>
      <c r="T271" s="55">
        <f>'Monthly Data'!N79/'Monthly Data'!P79/'Monthly Data'!CS79</f>
        <v>2891.342722639215</v>
      </c>
      <c r="V271" s="220">
        <f t="shared" si="90"/>
        <v>0</v>
      </c>
      <c r="W271" s="55">
        <f t="shared" si="91"/>
        <v>86.820988063755621</v>
      </c>
      <c r="DO271" s="44">
        <f>'Monthly Data'!F79</f>
        <v>97286503.750689998</v>
      </c>
      <c r="DP271" s="44">
        <f>'Monthly Data'!J79</f>
        <v>34472273.31071417</v>
      </c>
      <c r="DQ271" s="44">
        <f>'Monthly Data'!N79</f>
        <v>127247993.22335185</v>
      </c>
      <c r="DR271" s="44">
        <f t="shared" si="87"/>
        <v>35298963.860157602</v>
      </c>
      <c r="DS271" s="44">
        <f t="shared" si="88"/>
        <v>12682532.251424899</v>
      </c>
      <c r="DT271" s="44">
        <f t="shared" si="89"/>
        <v>66646817.550756402</v>
      </c>
    </row>
    <row r="272" spans="3:124" x14ac:dyDescent="0.2">
      <c r="C272" s="220"/>
      <c r="R272" s="230">
        <f>'Monthly Data'!F80/'Monthly Data'!G80/'Monthly Data'!CS80</f>
        <v>25.810335594435472</v>
      </c>
      <c r="S272" s="230">
        <f>'Monthly Data'!J80/'Monthly Data'!K80/'Monthly Data'!CS80</f>
        <v>93.447560438315676</v>
      </c>
      <c r="T272" s="55">
        <f>'Monthly Data'!N80/'Monthly Data'!P80/'Monthly Data'!CS80</f>
        <v>3023.438857452968</v>
      </c>
      <c r="V272" s="220">
        <f t="shared" si="90"/>
        <v>0</v>
      </c>
      <c r="W272" s="55">
        <f t="shared" si="91"/>
        <v>93.447560438315676</v>
      </c>
      <c r="DO272" s="44">
        <f>'Monthly Data'!F80</f>
        <v>121481480.73199384</v>
      </c>
      <c r="DP272" s="44">
        <f>'Monthly Data'!J80</f>
        <v>38328544.836939998</v>
      </c>
      <c r="DQ272" s="44">
        <f>'Monthly Data'!N80</f>
        <v>137496928.92038861</v>
      </c>
      <c r="DR272" s="44">
        <f t="shared" si="87"/>
        <v>35298963.860157602</v>
      </c>
      <c r="DS272" s="44">
        <f t="shared" si="88"/>
        <v>12682532.251424899</v>
      </c>
      <c r="DT272" s="44">
        <f t="shared" si="89"/>
        <v>66646817.550756402</v>
      </c>
    </row>
    <row r="273" spans="3:124" x14ac:dyDescent="0.2">
      <c r="C273" s="220"/>
      <c r="R273" s="230">
        <f>'Monthly Data'!F81/'Monthly Data'!G81/'Monthly Data'!CS81</f>
        <v>22.637488912631653</v>
      </c>
      <c r="S273" s="230">
        <f>'Monthly Data'!J81/'Monthly Data'!K81/'Monthly Data'!CS81</f>
        <v>88.815330713175356</v>
      </c>
      <c r="T273" s="55">
        <f>'Monthly Data'!N81/'Monthly Data'!P81/'Monthly Data'!CS81</f>
        <v>2943.9696444889764</v>
      </c>
      <c r="V273" s="220">
        <f t="shared" si="90"/>
        <v>0</v>
      </c>
      <c r="W273" s="55">
        <f t="shared" si="91"/>
        <v>88.815330713175356</v>
      </c>
      <c r="DO273" s="44">
        <f>'Monthly Data'!F81</f>
        <v>106591355.68128458</v>
      </c>
      <c r="DP273" s="44">
        <f>'Monthly Data'!J81</f>
        <v>36428584.860646717</v>
      </c>
      <c r="DQ273" s="44">
        <f>'Monthly Data'!N81</f>
        <v>133974170.58140434</v>
      </c>
      <c r="DR273" s="44">
        <f t="shared" si="87"/>
        <v>35298963.860157602</v>
      </c>
      <c r="DS273" s="44">
        <f t="shared" si="88"/>
        <v>12682532.251424899</v>
      </c>
      <c r="DT273" s="44">
        <f t="shared" si="89"/>
        <v>66646817.550756402</v>
      </c>
    </row>
    <row r="274" spans="3:124" x14ac:dyDescent="0.2">
      <c r="C274" s="220"/>
      <c r="R274" s="230">
        <f>'Monthly Data'!F82/'Monthly Data'!G82/'Monthly Data'!CS82</f>
        <v>20.741083929137314</v>
      </c>
      <c r="S274" s="230">
        <f>'Monthly Data'!J82/'Monthly Data'!K82/'Monthly Data'!CS82</f>
        <v>84.643489527807375</v>
      </c>
      <c r="T274" s="55">
        <f>'Monthly Data'!N82/'Monthly Data'!P82/'Monthly Data'!CS82</f>
        <v>2856.4894765084155</v>
      </c>
      <c r="V274" s="220">
        <f t="shared" si="90"/>
        <v>0</v>
      </c>
      <c r="W274" s="55">
        <f t="shared" si="91"/>
        <v>84.643489527807375</v>
      </c>
      <c r="DO274" s="44">
        <f>'Monthly Data'!F82</f>
        <v>94551964.486079708</v>
      </c>
      <c r="DP274" s="44">
        <f>'Monthly Data'!J82</f>
        <v>33579765.16547174</v>
      </c>
      <c r="DQ274" s="44">
        <f>'Monthly Data'!N82</f>
        <v>125628407.1768401</v>
      </c>
      <c r="DR274" s="44">
        <f t="shared" si="87"/>
        <v>35298963.860157602</v>
      </c>
      <c r="DS274" s="44">
        <f t="shared" si="88"/>
        <v>12682532.251424899</v>
      </c>
      <c r="DT274" s="44">
        <f t="shared" si="89"/>
        <v>66646817.550756402</v>
      </c>
    </row>
    <row r="275" spans="3:124" x14ac:dyDescent="0.2">
      <c r="C275" s="220"/>
      <c r="R275" s="230">
        <f>'Monthly Data'!F83/'Monthly Data'!G83/'Monthly Data'!CS83</f>
        <v>18.537013585888175</v>
      </c>
      <c r="S275" s="230">
        <f>'Monthly Data'!J83/'Monthly Data'!K83/'Monthly Data'!CS83</f>
        <v>79.953774966133935</v>
      </c>
      <c r="T275" s="55">
        <f>'Monthly Data'!N83/'Monthly Data'!P83/'Monthly Data'!CS83</f>
        <v>2699.3033856236525</v>
      </c>
      <c r="V275" s="220">
        <f t="shared" si="90"/>
        <v>0</v>
      </c>
      <c r="W275" s="55">
        <f t="shared" si="91"/>
        <v>79.953774966133935</v>
      </c>
      <c r="DO275" s="44">
        <f>'Monthly Data'!F83</f>
        <v>87394678.400082737</v>
      </c>
      <c r="DP275" s="44">
        <f>'Monthly Data'!J83</f>
        <v>32793920.29388446</v>
      </c>
      <c r="DQ275" s="44">
        <f>'Monthly Data'!N83</f>
        <v>122505184.85314384</v>
      </c>
      <c r="DR275" s="44">
        <f t="shared" si="87"/>
        <v>35298963.860157602</v>
      </c>
      <c r="DS275" s="44">
        <f t="shared" si="88"/>
        <v>12682532.251424899</v>
      </c>
      <c r="DT275" s="44">
        <f t="shared" si="89"/>
        <v>66646817.550756402</v>
      </c>
    </row>
    <row r="276" spans="3:124" x14ac:dyDescent="0.2">
      <c r="C276" s="220"/>
      <c r="R276" s="230">
        <f>'Monthly Data'!F84/'Monthly Data'!G84/'Monthly Data'!CS84</f>
        <v>19.86976139090817</v>
      </c>
      <c r="S276" s="230">
        <f>'Monthly Data'!J84/'Monthly Data'!K84/'Monthly Data'!CS84</f>
        <v>85.474651269291797</v>
      </c>
      <c r="T276" s="55">
        <f>'Monthly Data'!N84/'Monthly Data'!P84/'Monthly Data'!CS84</f>
        <v>2750.9088492296632</v>
      </c>
      <c r="V276" s="220">
        <f t="shared" si="90"/>
        <v>0</v>
      </c>
      <c r="W276" s="55">
        <f t="shared" si="91"/>
        <v>85.474651269291797</v>
      </c>
      <c r="DO276" s="44">
        <f>'Monthly Data'!F84</f>
        <v>90724734.418044969</v>
      </c>
      <c r="DP276" s="44">
        <f>'Monthly Data'!J84</f>
        <v>33988995.077233881</v>
      </c>
      <c r="DQ276" s="44">
        <f>'Monthly Data'!N84</f>
        <v>120984971.18912058</v>
      </c>
      <c r="DR276" s="44">
        <f t="shared" si="87"/>
        <v>35298963.860157602</v>
      </c>
      <c r="DS276" s="44">
        <f t="shared" si="88"/>
        <v>12682532.251424899</v>
      </c>
      <c r="DT276" s="44">
        <f t="shared" si="89"/>
        <v>66646817.550756402</v>
      </c>
    </row>
    <row r="277" spans="3:124" x14ac:dyDescent="0.2">
      <c r="C277" s="220"/>
      <c r="R277" s="230">
        <f>'Monthly Data'!F85/'Monthly Data'!G85/'Monthly Data'!CS85</f>
        <v>21.18026338091838</v>
      </c>
      <c r="S277" s="230">
        <f>'Monthly Data'!J85/'Monthly Data'!K85/'Monthly Data'!CS85</f>
        <v>85.838605392628892</v>
      </c>
      <c r="T277" s="55">
        <f>'Monthly Data'!N85/'Monthly Data'!P85/'Monthly Data'!CS85</f>
        <v>2611.6080272247359</v>
      </c>
      <c r="V277" s="220">
        <f t="shared" si="90"/>
        <v>0</v>
      </c>
      <c r="W277" s="55">
        <f t="shared" si="91"/>
        <v>85.838605392628892</v>
      </c>
      <c r="DO277" s="44">
        <f>'Monthly Data'!F85</f>
        <v>100027267.37958151</v>
      </c>
      <c r="DP277" s="44">
        <f>'Monthly Data'!J85</f>
        <v>35287478.129461206</v>
      </c>
      <c r="DQ277" s="44">
        <f>'Monthly Data'!N85</f>
        <v>118768098.25409932</v>
      </c>
      <c r="DR277" s="44">
        <f t="shared" si="87"/>
        <v>35298963.860157602</v>
      </c>
      <c r="DS277" s="44">
        <f t="shared" si="88"/>
        <v>12682532.251424899</v>
      </c>
      <c r="DT277" s="44">
        <f t="shared" si="89"/>
        <v>66646817.550756402</v>
      </c>
    </row>
    <row r="278" spans="3:124" x14ac:dyDescent="0.2">
      <c r="C278" s="220"/>
      <c r="R278" s="230">
        <f>'Monthly Data'!F86/'Monthly Data'!G86/'Monthly Data'!CS86</f>
        <v>22.849854769958931</v>
      </c>
      <c r="S278" s="230">
        <f>'Monthly Data'!J86/'Monthly Data'!K86/'Monthly Data'!CS86</f>
        <v>92.978824700499729</v>
      </c>
      <c r="T278" s="55">
        <f>'Monthly Data'!N86/'Monthly Data'!P86/'Monthly Data'!CS86</f>
        <v>2835.0310092795453</v>
      </c>
      <c r="V278" s="220">
        <f t="shared" si="90"/>
        <v>0</v>
      </c>
      <c r="W278" s="55">
        <f t="shared" si="91"/>
        <v>92.978824700499729</v>
      </c>
      <c r="DO278" s="44">
        <f>'Monthly Data'!F86</f>
        <v>107987271.15008742</v>
      </c>
      <c r="DP278" s="44">
        <f>'Monthly Data'!J86</f>
        <v>38219875.681387417</v>
      </c>
      <c r="DQ278" s="44">
        <f>'Monthly Data'!N86</f>
        <v>130159108.66703321</v>
      </c>
      <c r="DR278" s="44">
        <f t="shared" si="87"/>
        <v>35298963.860157602</v>
      </c>
      <c r="DS278" s="44">
        <f t="shared" si="88"/>
        <v>12682532.251424899</v>
      </c>
      <c r="DT278" s="44">
        <f t="shared" si="89"/>
        <v>66646817.550756402</v>
      </c>
    </row>
    <row r="279" spans="3:124" x14ac:dyDescent="0.2">
      <c r="C279" s="220"/>
      <c r="R279" s="230">
        <f>'Monthly Data'!F87/'Monthly Data'!G87/'Monthly Data'!CS87</f>
        <v>21.081466217547728</v>
      </c>
      <c r="S279" s="230">
        <f>'Monthly Data'!J87/'Monthly Data'!K87/'Monthly Data'!CS87</f>
        <v>89.00095126310076</v>
      </c>
      <c r="T279" s="55">
        <f>'Monthly Data'!N87/'Monthly Data'!P87/'Monthly Data'!CS87</f>
        <v>2788.4146047729973</v>
      </c>
      <c r="V279" s="220">
        <f t="shared" si="90"/>
        <v>0</v>
      </c>
      <c r="W279" s="55">
        <f t="shared" si="91"/>
        <v>89.00095126310076</v>
      </c>
      <c r="DO279" s="44">
        <f>'Monthly Data'!F87</f>
        <v>93237063.884746984</v>
      </c>
      <c r="DP279" s="44">
        <f>'Monthly Data'!J87</f>
        <v>34257979.157338955</v>
      </c>
      <c r="DQ279" s="44">
        <f>'Monthly Data'!N87</f>
        <v>119840482.88393389</v>
      </c>
      <c r="DR279" s="44">
        <f t="shared" si="87"/>
        <v>35298963.860157602</v>
      </c>
      <c r="DS279" s="44">
        <f t="shared" si="88"/>
        <v>12682532.251424899</v>
      </c>
      <c r="DT279" s="44">
        <f t="shared" si="89"/>
        <v>66646817.550756402</v>
      </c>
    </row>
    <row r="280" spans="3:124" x14ac:dyDescent="0.2">
      <c r="C280" s="220"/>
      <c r="R280" s="230">
        <f>'Monthly Data'!F88/'Monthly Data'!G88/'Monthly Data'!CS88</f>
        <v>19.883781891217943</v>
      </c>
      <c r="S280" s="230">
        <f>'Monthly Data'!J88/'Monthly Data'!K88/'Monthly Data'!CS88</f>
        <v>83.812615297561621</v>
      </c>
      <c r="T280" s="55">
        <f>'Monthly Data'!N88/'Monthly Data'!P88/'Monthly Data'!CS88</f>
        <v>2677.57295912168</v>
      </c>
      <c r="V280" s="220">
        <f t="shared" si="90"/>
        <v>0</v>
      </c>
      <c r="W280" s="55">
        <f t="shared" si="91"/>
        <v>83.812615297561621</v>
      </c>
      <c r="DO280" s="44">
        <f>'Monthly Data'!F88</f>
        <v>94045575.889152646</v>
      </c>
      <c r="DP280" s="44">
        <f>'Monthly Data'!J88</f>
        <v>34527361.185368188</v>
      </c>
      <c r="DQ280" s="44">
        <f>'Monthly Data'!N88</f>
        <v>123262071.17316654</v>
      </c>
      <c r="DR280" s="44">
        <f t="shared" si="87"/>
        <v>35298963.860157602</v>
      </c>
      <c r="DS280" s="44">
        <f t="shared" si="88"/>
        <v>12682532.251424899</v>
      </c>
      <c r="DT280" s="44">
        <f t="shared" si="89"/>
        <v>66646817.550756402</v>
      </c>
    </row>
    <row r="281" spans="3:124" x14ac:dyDescent="0.2">
      <c r="C281" s="220"/>
      <c r="R281" s="230">
        <f>'Monthly Data'!F89/'Monthly Data'!G89/'Monthly Data'!CS89</f>
        <v>18.010886616743917</v>
      </c>
      <c r="S281" s="230">
        <f>'Monthly Data'!J89/'Monthly Data'!K89/'Monthly Data'!CS89</f>
        <v>80.084107110777282</v>
      </c>
      <c r="T281" s="55">
        <f>'Monthly Data'!N89/'Monthly Data'!P89/'Monthly Data'!CS89</f>
        <v>2672.1638826161443</v>
      </c>
      <c r="V281" s="220">
        <f t="shared" si="90"/>
        <v>0</v>
      </c>
      <c r="W281" s="55">
        <f t="shared" si="91"/>
        <v>80.084107110777282</v>
      </c>
      <c r="DO281" s="44">
        <f>'Monthly Data'!F89</f>
        <v>82535428.2478275</v>
      </c>
      <c r="DP281" s="44">
        <f>'Monthly Data'!J89</f>
        <v>31963168.830053426</v>
      </c>
      <c r="DQ281" s="44">
        <f>'Monthly Data'!N89</f>
        <v>119205230.8035062</v>
      </c>
      <c r="DR281" s="44">
        <f t="shared" si="87"/>
        <v>35298963.860157602</v>
      </c>
      <c r="DS281" s="44">
        <f t="shared" si="88"/>
        <v>12682532.251424899</v>
      </c>
      <c r="DT281" s="44">
        <f t="shared" si="89"/>
        <v>66646817.550756402</v>
      </c>
    </row>
    <row r="282" spans="3:124" x14ac:dyDescent="0.2">
      <c r="C282" s="220"/>
      <c r="R282" s="230">
        <f>'Monthly Data'!F90/'Monthly Data'!G90/'Monthly Data'!CS90</f>
        <v>19.037996244953025</v>
      </c>
      <c r="S282" s="230">
        <f>'Monthly Data'!J90/'Monthly Data'!K90/'Monthly Data'!CS90</f>
        <v>81.362357249121402</v>
      </c>
      <c r="T282" s="55">
        <f>'Monthly Data'!N90/'Monthly Data'!P90/'Monthly Data'!CS90</f>
        <v>2762.0943788360923</v>
      </c>
      <c r="V282" s="220">
        <f t="shared" si="90"/>
        <v>0</v>
      </c>
      <c r="W282" s="55">
        <f t="shared" si="91"/>
        <v>81.362357249121402</v>
      </c>
      <c r="DO282" s="44">
        <f>'Monthly Data'!F90</f>
        <v>90145540.473728657</v>
      </c>
      <c r="DP282" s="44">
        <f>'Monthly Data'!J90</f>
        <v>33702078.344445564</v>
      </c>
      <c r="DQ282" s="44">
        <f>'Monthly Data'!N90</f>
        <v>127838014.13567087</v>
      </c>
      <c r="DR282" s="44">
        <f t="shared" si="87"/>
        <v>35298963.860157602</v>
      </c>
      <c r="DS282" s="44">
        <f t="shared" si="88"/>
        <v>12682532.251424899</v>
      </c>
      <c r="DT282" s="44">
        <f t="shared" si="89"/>
        <v>66646817.550756402</v>
      </c>
    </row>
    <row r="283" spans="3:124" x14ac:dyDescent="0.2">
      <c r="C283" s="220"/>
      <c r="R283" s="230">
        <f>'Monthly Data'!F91/'Monthly Data'!G91/'Monthly Data'!CS91</f>
        <v>24.319914388128396</v>
      </c>
      <c r="S283" s="230">
        <f>'Monthly Data'!J91/'Monthly Data'!K91/'Monthly Data'!CS91</f>
        <v>90.714240804738751</v>
      </c>
      <c r="T283" s="55">
        <f>'Monthly Data'!N91/'Monthly Data'!P91/'Monthly Data'!CS91</f>
        <v>2986.0243782192892</v>
      </c>
      <c r="V283" s="220">
        <f t="shared" si="90"/>
        <v>0</v>
      </c>
      <c r="W283" s="55">
        <f t="shared" si="91"/>
        <v>90.714240804738751</v>
      </c>
      <c r="DO283" s="44">
        <f>'Monthly Data'!F91</f>
        <v>111435063.72212371</v>
      </c>
      <c r="DP283" s="44">
        <f>'Monthly Data'!J91</f>
        <v>36390924.841228999</v>
      </c>
      <c r="DQ283" s="44">
        <f>'Monthly Data'!N91</f>
        <v>133833612.63178854</v>
      </c>
      <c r="DR283" s="44">
        <f t="shared" si="87"/>
        <v>35298963.860157602</v>
      </c>
      <c r="DS283" s="44">
        <f t="shared" si="88"/>
        <v>12682532.251424899</v>
      </c>
      <c r="DT283" s="44">
        <f t="shared" si="89"/>
        <v>66646817.550756402</v>
      </c>
    </row>
    <row r="284" spans="3:124" x14ac:dyDescent="0.2">
      <c r="C284" s="220"/>
      <c r="R284" s="230">
        <f>'Monthly Data'!F92/'Monthly Data'!G92/'Monthly Data'!CS92</f>
        <v>27.474584139450961</v>
      </c>
      <c r="S284" s="230">
        <f>'Monthly Data'!J92/'Monthly Data'!K92/'Monthly Data'!CS92</f>
        <v>96.560120275101269</v>
      </c>
      <c r="T284" s="55">
        <f>'Monthly Data'!N92/'Monthly Data'!P92/'Monthly Data'!CS92</f>
        <v>3108.9360889923068</v>
      </c>
      <c r="V284" s="220">
        <f t="shared" si="90"/>
        <v>0</v>
      </c>
      <c r="W284" s="55">
        <f t="shared" si="91"/>
        <v>96.560120275101269</v>
      </c>
      <c r="DO284" s="44">
        <f>'Monthly Data'!F92</f>
        <v>130191861.16614237</v>
      </c>
      <c r="DP284" s="44">
        <f>'Monthly Data'!J92</f>
        <v>40087127.052448839</v>
      </c>
      <c r="DQ284" s="44">
        <f>'Monthly Data'!N92</f>
        <v>144180020.06310722</v>
      </c>
      <c r="DR284" s="44">
        <f t="shared" si="87"/>
        <v>35298963.860157602</v>
      </c>
      <c r="DS284" s="44">
        <f t="shared" si="88"/>
        <v>12682532.251424899</v>
      </c>
      <c r="DT284" s="44">
        <f t="shared" si="89"/>
        <v>66646817.550756402</v>
      </c>
    </row>
    <row r="285" spans="3:124" x14ac:dyDescent="0.2">
      <c r="C285" s="220"/>
      <c r="R285" s="230">
        <f>'Monthly Data'!F93/'Monthly Data'!G93/'Monthly Data'!CS93</f>
        <v>25.353806303381518</v>
      </c>
      <c r="S285" s="230">
        <f>'Monthly Data'!J93/'Monthly Data'!K93/'Monthly Data'!CS93</f>
        <v>92.296391855641915</v>
      </c>
      <c r="T285" s="55">
        <f>'Monthly Data'!N93/'Monthly Data'!P93/'Monthly Data'!CS93</f>
        <v>3019.4389101552356</v>
      </c>
      <c r="V285" s="220">
        <f t="shared" si="90"/>
        <v>0</v>
      </c>
      <c r="W285" s="55">
        <f t="shared" si="91"/>
        <v>92.296391855641915</v>
      </c>
      <c r="DO285" s="44">
        <f>'Monthly Data'!F93</f>
        <v>120170576.65742104</v>
      </c>
      <c r="DP285" s="44">
        <f>'Monthly Data'!J93</f>
        <v>38411450.880521774</v>
      </c>
      <c r="DQ285" s="44">
        <f>'Monthly Data'!N93</f>
        <v>140684717.14086288</v>
      </c>
      <c r="DR285" s="44">
        <f t="shared" si="87"/>
        <v>35298963.860157602</v>
      </c>
      <c r="DS285" s="44">
        <f t="shared" si="88"/>
        <v>12682532.251424899</v>
      </c>
      <c r="DT285" s="44">
        <f t="shared" si="89"/>
        <v>66646817.550756402</v>
      </c>
    </row>
    <row r="286" spans="3:124" x14ac:dyDescent="0.2">
      <c r="C286" s="220"/>
      <c r="R286" s="230">
        <f>'Monthly Data'!F94/'Monthly Data'!G94/'Monthly Data'!CS94</f>
        <v>21.83867793655315</v>
      </c>
      <c r="S286" s="230">
        <f>'Monthly Data'!J94/'Monthly Data'!K94/'Monthly Data'!CS94</f>
        <v>85.937553896108952</v>
      </c>
      <c r="T286" s="55">
        <f>'Monthly Data'!N94/'Monthly Data'!P94/'Monthly Data'!CS94</f>
        <v>2920.5151413647086</v>
      </c>
      <c r="V286" s="220">
        <f t="shared" si="90"/>
        <v>0</v>
      </c>
      <c r="W286" s="55">
        <f t="shared" si="91"/>
        <v>85.937553896108952</v>
      </c>
      <c r="DO286" s="44">
        <f>'Monthly Data'!F94</f>
        <v>100285392.95244572</v>
      </c>
      <c r="DP286" s="44">
        <f>'Monthly Data'!J94</f>
        <v>34606193.578424111</v>
      </c>
      <c r="DQ286" s="44">
        <f>'Monthly Data'!N94</f>
        <v>131948874.08685753</v>
      </c>
      <c r="DR286" s="44">
        <f t="shared" si="87"/>
        <v>35298963.860157602</v>
      </c>
      <c r="DS286" s="44">
        <f t="shared" si="88"/>
        <v>12682532.251424899</v>
      </c>
      <c r="DT286" s="44">
        <f t="shared" si="89"/>
        <v>66646817.550756402</v>
      </c>
    </row>
    <row r="287" spans="3:124" x14ac:dyDescent="0.2">
      <c r="C287" s="220"/>
      <c r="R287" s="230">
        <f>'Monthly Data'!F95/'Monthly Data'!G95/'Monthly Data'!CS95</f>
        <v>17.624590858315006</v>
      </c>
      <c r="S287" s="230">
        <f>'Monthly Data'!J95/'Monthly Data'!K95/'Monthly Data'!CS95</f>
        <v>78.104299825966947</v>
      </c>
      <c r="T287" s="55">
        <f>'Monthly Data'!N95/'Monthly Data'!P95/'Monthly Data'!CS95</f>
        <v>2700.9443157128053</v>
      </c>
      <c r="V287" s="220">
        <f t="shared" si="90"/>
        <v>0</v>
      </c>
      <c r="W287" s="55">
        <f t="shared" si="91"/>
        <v>78.104299825966947</v>
      </c>
      <c r="DO287" s="44">
        <f>'Monthly Data'!F95</f>
        <v>83692326.02029407</v>
      </c>
      <c r="DP287" s="44">
        <f>'Monthly Data'!J95</f>
        <v>32483265.88042035</v>
      </c>
      <c r="DQ287" s="44">
        <f>'Monthly Data'!N95</f>
        <v>126263744.87094221</v>
      </c>
      <c r="DR287" s="44">
        <f t="shared" si="87"/>
        <v>35298963.860157602</v>
      </c>
      <c r="DS287" s="44">
        <f t="shared" si="88"/>
        <v>12682532.251424899</v>
      </c>
      <c r="DT287" s="44">
        <f t="shared" si="89"/>
        <v>66646817.550756402</v>
      </c>
    </row>
    <row r="288" spans="3:124" x14ac:dyDescent="0.2">
      <c r="C288" s="220"/>
      <c r="R288" s="230">
        <f>'Monthly Data'!F96/'Monthly Data'!G96/'Monthly Data'!CS96</f>
        <v>19.169395183462747</v>
      </c>
      <c r="S288" s="230">
        <f>'Monthly Data'!J96/'Monthly Data'!K96/'Monthly Data'!CS96</f>
        <v>81.50585872784491</v>
      </c>
      <c r="T288" s="55">
        <f>'Monthly Data'!N96/'Monthly Data'!P96/'Monthly Data'!CS96</f>
        <v>2695.2372838536699</v>
      </c>
      <c r="V288" s="220">
        <f t="shared" si="90"/>
        <v>0</v>
      </c>
      <c r="W288" s="55">
        <f t="shared" si="91"/>
        <v>81.50585872784491</v>
      </c>
      <c r="DO288" s="44">
        <f>'Monthly Data'!F96</f>
        <v>88124968.455559433</v>
      </c>
      <c r="DP288" s="44">
        <f>'Monthly Data'!J96</f>
        <v>32809368.372306686</v>
      </c>
      <c r="DQ288" s="44">
        <f>'Monthly Data'!N96</f>
        <v>122175106.07708685</v>
      </c>
      <c r="DR288" s="44">
        <f t="shared" si="87"/>
        <v>35298963.860157602</v>
      </c>
      <c r="DS288" s="44">
        <f t="shared" si="88"/>
        <v>12682532.251424899</v>
      </c>
      <c r="DT288" s="44">
        <f t="shared" si="89"/>
        <v>66646817.550756402</v>
      </c>
    </row>
    <row r="289" spans="3:124" x14ac:dyDescent="0.2">
      <c r="C289" s="220"/>
      <c r="R289" s="230">
        <f>'Monthly Data'!F97/'Monthly Data'!G97/'Monthly Data'!CS97</f>
        <v>22.602247466546537</v>
      </c>
      <c r="S289" s="230">
        <f>'Monthly Data'!J97/'Monthly Data'!K97/'Monthly Data'!CS97</f>
        <v>88.265649666910889</v>
      </c>
      <c r="T289" s="55">
        <f>'Monthly Data'!N97/'Monthly Data'!P97/'Monthly Data'!CS97</f>
        <v>2666.6321944874167</v>
      </c>
      <c r="V289" s="220">
        <f t="shared" si="90"/>
        <v>0</v>
      </c>
      <c r="W289" s="55">
        <f t="shared" si="91"/>
        <v>88.265649666910889</v>
      </c>
      <c r="DO289" s="44">
        <f>'Monthly Data'!F97</f>
        <v>107392341.21479669</v>
      </c>
      <c r="DP289" s="44">
        <f>'Monthly Data'!J97</f>
        <v>36744901.690685332</v>
      </c>
      <c r="DQ289" s="44">
        <f>'Monthly Data'!N97</f>
        <v>125238381.01410152</v>
      </c>
      <c r="DR289" s="44">
        <f t="shared" si="87"/>
        <v>35298963.860157602</v>
      </c>
      <c r="DS289" s="44">
        <f t="shared" si="88"/>
        <v>12682532.251424899</v>
      </c>
      <c r="DT289" s="44">
        <f t="shared" si="89"/>
        <v>66646817.550756402</v>
      </c>
    </row>
    <row r="290" spans="3:124" x14ac:dyDescent="0.2">
      <c r="C290" s="220"/>
      <c r="R290" s="230">
        <f>'Monthly Data'!F98/'Monthly Data'!G98/'Monthly Data'!CS98</f>
        <v>23.903674579633261</v>
      </c>
      <c r="S290" s="230">
        <f>'Monthly Data'!J98/'Monthly Data'!K98/'Monthly Data'!CS98</f>
        <v>96.260496780015558</v>
      </c>
      <c r="T290" s="55">
        <f>'Monthly Data'!N98/'Monthly Data'!P98/'Monthly Data'!CS98</f>
        <v>2931.7503693380522</v>
      </c>
      <c r="V290" s="220">
        <f t="shared" ref="V290:V313" si="92">C290</f>
        <v>0</v>
      </c>
      <c r="W290" s="55">
        <f t="shared" ref="W290:W313" si="93">S290</f>
        <v>96.260496780015558</v>
      </c>
      <c r="DO290" s="44">
        <f>'Monthly Data'!F98</f>
        <v>113660418.88730848</v>
      </c>
      <c r="DP290" s="44">
        <f>'Monthly Data'!J98</f>
        <v>40183559.338830374</v>
      </c>
      <c r="DQ290" s="44">
        <f>'Monthly Data'!N98</f>
        <v>137053466.26581526</v>
      </c>
      <c r="DR290" s="44">
        <f t="shared" si="87"/>
        <v>35298963.860157602</v>
      </c>
      <c r="DS290" s="44">
        <f t="shared" si="88"/>
        <v>12682532.251424899</v>
      </c>
      <c r="DT290" s="44">
        <f t="shared" si="89"/>
        <v>66646817.550756402</v>
      </c>
    </row>
    <row r="291" spans="3:124" x14ac:dyDescent="0.2">
      <c r="C291" s="220"/>
      <c r="R291" s="230">
        <f>'Monthly Data'!F99/'Monthly Data'!G99/'Monthly Data'!CS99</f>
        <v>23.133132691461746</v>
      </c>
      <c r="S291" s="230">
        <f>'Monthly Data'!J99/'Monthly Data'!K99/'Monthly Data'!CS99</f>
        <v>95.914887127384162</v>
      </c>
      <c r="T291" s="55">
        <f>'Monthly Data'!N99/'Monthly Data'!P99/'Monthly Data'!CS99</f>
        <v>2905.4462779251403</v>
      </c>
      <c r="V291" s="220">
        <f t="shared" si="92"/>
        <v>0</v>
      </c>
      <c r="W291" s="55">
        <f t="shared" si="93"/>
        <v>95.914887127384162</v>
      </c>
      <c r="DO291" s="44">
        <f>'Monthly Data'!F99</f>
        <v>99387988.37269628</v>
      </c>
      <c r="DP291" s="44">
        <f>'Monthly Data'!J99</f>
        <v>36188686.913162045</v>
      </c>
      <c r="DQ291" s="44">
        <f>'Monthly Data'!N99</f>
        <v>122760916.13489303</v>
      </c>
      <c r="DR291" s="44">
        <f t="shared" si="87"/>
        <v>35298963.860157602</v>
      </c>
      <c r="DS291" s="44">
        <f t="shared" si="88"/>
        <v>12682532.251424899</v>
      </c>
      <c r="DT291" s="44">
        <f t="shared" si="89"/>
        <v>66646817.550756402</v>
      </c>
    </row>
    <row r="292" spans="3:124" x14ac:dyDescent="0.2">
      <c r="C292" s="220"/>
      <c r="R292" s="230">
        <f>'Monthly Data'!F100/'Monthly Data'!G100/'Monthly Data'!CS100</f>
        <v>20.324622870979734</v>
      </c>
      <c r="S292" s="230">
        <f>'Monthly Data'!J100/'Monthly Data'!K100/'Monthly Data'!CS100</f>
        <v>86.600773167431669</v>
      </c>
      <c r="T292" s="55">
        <f>'Monthly Data'!N100/'Monthly Data'!P100/'Monthly Data'!CS100</f>
        <v>2741.6806463281564</v>
      </c>
      <c r="V292" s="220">
        <f t="shared" si="92"/>
        <v>0</v>
      </c>
      <c r="W292" s="55">
        <f t="shared" si="93"/>
        <v>86.600773167431669</v>
      </c>
      <c r="DO292" s="44">
        <f>'Monthly Data'!F100</f>
        <v>96704636.918613061</v>
      </c>
      <c r="DP292" s="44">
        <f>'Monthly Data'!J100</f>
        <v>36194100.339142725</v>
      </c>
      <c r="DQ292" s="44">
        <f>'Monthly Data'!N100</f>
        <v>128253078.95458482</v>
      </c>
      <c r="DR292" s="44">
        <f t="shared" si="87"/>
        <v>35298963.860157602</v>
      </c>
      <c r="DS292" s="44">
        <f t="shared" si="88"/>
        <v>12682532.251424899</v>
      </c>
      <c r="DT292" s="44">
        <f t="shared" si="89"/>
        <v>66646817.550756402</v>
      </c>
    </row>
    <row r="293" spans="3:124" x14ac:dyDescent="0.2">
      <c r="C293" s="220"/>
      <c r="R293" s="230">
        <f>'Monthly Data'!F101/'Monthly Data'!G101/'Monthly Data'!CS101</f>
        <v>18.669528546067724</v>
      </c>
      <c r="S293" s="230">
        <f>'Monthly Data'!J101/'Monthly Data'!K101/'Monthly Data'!CS101</f>
        <v>82.349870506807605</v>
      </c>
      <c r="T293" s="55">
        <f>'Monthly Data'!N101/'Monthly Data'!P101/'Monthly Data'!CS101</f>
        <v>2698.9736033037689</v>
      </c>
      <c r="V293" s="220">
        <f t="shared" si="92"/>
        <v>0</v>
      </c>
      <c r="W293" s="55">
        <f t="shared" si="93"/>
        <v>82.349870506807605</v>
      </c>
      <c r="DO293" s="44">
        <f>'Monthly Data'!F101</f>
        <v>85992221.873758852</v>
      </c>
      <c r="DP293" s="44">
        <f>'Monthly Data'!J101</f>
        <v>33302287.632952996</v>
      </c>
      <c r="DQ293" s="44">
        <f>'Monthly Data'!N101</f>
        <v>122182535.02156162</v>
      </c>
      <c r="DR293" s="44">
        <f t="shared" si="87"/>
        <v>35298963.860157602</v>
      </c>
      <c r="DS293" s="44">
        <f t="shared" si="88"/>
        <v>12682532.251424899</v>
      </c>
      <c r="DT293" s="44">
        <f t="shared" si="89"/>
        <v>66646817.550756402</v>
      </c>
    </row>
    <row r="294" spans="3:124" x14ac:dyDescent="0.2">
      <c r="C294" s="220"/>
      <c r="R294" s="230">
        <f>'Monthly Data'!F102/'Monthly Data'!G102/'Monthly Data'!CS102</f>
        <v>17.853740120785755</v>
      </c>
      <c r="S294" s="230">
        <f>'Monthly Data'!J102/'Monthly Data'!K102/'Monthly Data'!CS102</f>
        <v>78.52137110372577</v>
      </c>
      <c r="T294" s="55">
        <f>'Monthly Data'!N102/'Monthly Data'!P102/'Monthly Data'!CS102</f>
        <v>2677.1056676928306</v>
      </c>
      <c r="V294" s="220">
        <f t="shared" si="92"/>
        <v>0</v>
      </c>
      <c r="W294" s="55">
        <f t="shared" si="93"/>
        <v>78.52137110372577</v>
      </c>
      <c r="DO294" s="44">
        <f>'Monthly Data'!F102</f>
        <v>84993551.117046133</v>
      </c>
      <c r="DP294" s="44">
        <f>'Monthly Data'!J102</f>
        <v>32819813.044337571</v>
      </c>
      <c r="DQ294" s="44">
        <f>'Monthly Data'!N102</f>
        <v>125315316.3047014</v>
      </c>
      <c r="DR294" s="44">
        <f t="shared" si="87"/>
        <v>35298963.860157602</v>
      </c>
      <c r="DS294" s="44">
        <f t="shared" si="88"/>
        <v>12682532.251424899</v>
      </c>
      <c r="DT294" s="44">
        <f t="shared" si="89"/>
        <v>66646817.550756402</v>
      </c>
    </row>
    <row r="295" spans="3:124" x14ac:dyDescent="0.2">
      <c r="C295" s="220"/>
      <c r="R295" s="230">
        <f>'Monthly Data'!F103/'Monthly Data'!G103/'Monthly Data'!CS103</f>
        <v>24.963424412358552</v>
      </c>
      <c r="S295" s="230">
        <f>'Monthly Data'!J103/'Monthly Data'!K103/'Monthly Data'!CS103</f>
        <v>92.849377713881211</v>
      </c>
      <c r="T295" s="55">
        <f>'Monthly Data'!N103/'Monthly Data'!P103/'Monthly Data'!CS103</f>
        <v>3045.2003552594711</v>
      </c>
      <c r="V295" s="220">
        <f t="shared" si="92"/>
        <v>0</v>
      </c>
      <c r="W295" s="55">
        <f t="shared" si="93"/>
        <v>92.849377713881211</v>
      </c>
      <c r="DO295" s="44">
        <f>'Monthly Data'!F103</f>
        <v>115056173.48231643</v>
      </c>
      <c r="DP295" s="44">
        <f>'Monthly Data'!J103</f>
        <v>37612354.418116137</v>
      </c>
      <c r="DQ295" s="44">
        <f>'Monthly Data'!N103</f>
        <v>138313000.13588518</v>
      </c>
      <c r="DR295" s="44">
        <f t="shared" si="87"/>
        <v>35298963.860157602</v>
      </c>
      <c r="DS295" s="44">
        <f t="shared" si="88"/>
        <v>12682532.251424899</v>
      </c>
      <c r="DT295" s="44">
        <f t="shared" si="89"/>
        <v>66646817.550756402</v>
      </c>
    </row>
    <row r="296" spans="3:124" x14ac:dyDescent="0.2">
      <c r="C296" s="220"/>
      <c r="R296" s="230">
        <f>'Monthly Data'!F104/'Monthly Data'!G104/'Monthly Data'!CS104</f>
        <v>29.598517896808168</v>
      </c>
      <c r="S296" s="230">
        <f>'Monthly Data'!J104/'Monthly Data'!K104/'Monthly Data'!CS104</f>
        <v>102.17941414361083</v>
      </c>
      <c r="T296" s="55">
        <f>'Monthly Data'!N104/'Monthly Data'!P104/'Monthly Data'!CS104</f>
        <v>3222.9506808806764</v>
      </c>
      <c r="V296" s="220">
        <f t="shared" si="92"/>
        <v>0</v>
      </c>
      <c r="W296" s="55">
        <f t="shared" si="93"/>
        <v>102.17941414361083</v>
      </c>
      <c r="DO296" s="44">
        <f>'Monthly Data'!F104</f>
        <v>140976675.19585302</v>
      </c>
      <c r="DP296" s="44">
        <f>'Monthly Data'!J104</f>
        <v>42809598.246677913</v>
      </c>
      <c r="DQ296" s="44">
        <f>'Monthly Data'!N104</f>
        <v>151365878.72756097</v>
      </c>
      <c r="DR296" s="44">
        <f t="shared" si="87"/>
        <v>35298963.860157602</v>
      </c>
      <c r="DS296" s="44">
        <f t="shared" si="88"/>
        <v>12682532.251424899</v>
      </c>
      <c r="DT296" s="44">
        <f t="shared" si="89"/>
        <v>66646817.550756402</v>
      </c>
    </row>
    <row r="297" spans="3:124" x14ac:dyDescent="0.2">
      <c r="C297" s="220"/>
      <c r="R297" s="230">
        <f>'Monthly Data'!F105/'Monthly Data'!G105/'Monthly Data'!CS105</f>
        <v>25.601097851730337</v>
      </c>
      <c r="S297" s="230">
        <f>'Monthly Data'!J105/'Monthly Data'!K105/'Monthly Data'!CS105</f>
        <v>93.452962322461744</v>
      </c>
      <c r="T297" s="55">
        <f>'Monthly Data'!N105/'Monthly Data'!P105/'Monthly Data'!CS105</f>
        <v>2999.2472454087028</v>
      </c>
      <c r="V297" s="220">
        <f t="shared" si="92"/>
        <v>0</v>
      </c>
      <c r="W297" s="55">
        <f t="shared" si="93"/>
        <v>93.452962322461744</v>
      </c>
      <c r="DO297" s="44">
        <f>'Monthly Data'!F105</f>
        <v>121948218.3047366</v>
      </c>
      <c r="DP297" s="44">
        <f>'Monthly Data'!J105</f>
        <v>39144829.233934194</v>
      </c>
      <c r="DQ297" s="44">
        <f>'Monthly Data'!N105</f>
        <v>141417506.86826575</v>
      </c>
      <c r="DR297" s="44">
        <f t="shared" si="87"/>
        <v>35298963.860157602</v>
      </c>
      <c r="DS297" s="44">
        <f t="shared" si="88"/>
        <v>12682532.251424899</v>
      </c>
      <c r="DT297" s="44">
        <f t="shared" si="89"/>
        <v>66646817.550756402</v>
      </c>
    </row>
    <row r="298" spans="3:124" x14ac:dyDescent="0.2">
      <c r="C298" s="220"/>
      <c r="R298" s="230">
        <f>'Monthly Data'!F106/'Monthly Data'!G106/'Monthly Data'!CS106</f>
        <v>20.633812838129089</v>
      </c>
      <c r="S298" s="230">
        <f>'Monthly Data'!J106/'Monthly Data'!K106/'Monthly Data'!CS106</f>
        <v>85.695706547547346</v>
      </c>
      <c r="T298" s="55">
        <f>'Monthly Data'!N106/'Monthly Data'!P106/'Monthly Data'!CS106</f>
        <v>2860.6454062713997</v>
      </c>
      <c r="V298" s="220">
        <f t="shared" si="92"/>
        <v>0</v>
      </c>
      <c r="W298" s="55">
        <f t="shared" si="93"/>
        <v>85.695706547547346</v>
      </c>
      <c r="DO298" s="44">
        <f>'Monthly Data'!F106</f>
        <v>95222363.852296785</v>
      </c>
      <c r="DP298" s="44">
        <f>'Monthly Data'!J106</f>
        <v>34783887.287649468</v>
      </c>
      <c r="DQ298" s="44">
        <f>'Monthly Data'!N106</f>
        <v>131475262.87223354</v>
      </c>
      <c r="DR298" s="44">
        <f t="shared" si="87"/>
        <v>35298963.860157602</v>
      </c>
      <c r="DS298" s="44">
        <f t="shared" si="88"/>
        <v>12682532.251424899</v>
      </c>
      <c r="DT298" s="44">
        <f t="shared" si="89"/>
        <v>66646817.550756402</v>
      </c>
    </row>
    <row r="299" spans="3:124" x14ac:dyDescent="0.2">
      <c r="C299" s="220"/>
      <c r="R299" s="230">
        <f>'Monthly Data'!F107/'Monthly Data'!G107/'Monthly Data'!CS107</f>
        <v>18.374045630213942</v>
      </c>
      <c r="S299" s="230">
        <f>'Monthly Data'!J107/'Monthly Data'!K107/'Monthly Data'!CS107</f>
        <v>80.439078034709667</v>
      </c>
      <c r="T299" s="55">
        <f>'Monthly Data'!N107/'Monthly Data'!P107/'Monthly Data'!CS107</f>
        <v>2694.2188768376009</v>
      </c>
      <c r="V299" s="220">
        <f t="shared" si="92"/>
        <v>0</v>
      </c>
      <c r="W299" s="55">
        <f t="shared" si="93"/>
        <v>80.439078034709667</v>
      </c>
      <c r="DO299" s="44">
        <f>'Monthly Data'!F107</f>
        <v>87631115.335631788</v>
      </c>
      <c r="DP299" s="44">
        <f>'Monthly Data'!J107</f>
        <v>33721107.220164739</v>
      </c>
      <c r="DQ299" s="44">
        <f>'Monthly Data'!N107</f>
        <v>127953842.89877133</v>
      </c>
      <c r="DR299" s="44">
        <f t="shared" si="87"/>
        <v>35298963.860157602</v>
      </c>
      <c r="DS299" s="44">
        <f t="shared" si="88"/>
        <v>12682532.251424899</v>
      </c>
      <c r="DT299" s="44">
        <f t="shared" si="89"/>
        <v>66646817.550756402</v>
      </c>
    </row>
    <row r="300" spans="3:124" x14ac:dyDescent="0.2">
      <c r="C300" s="220"/>
      <c r="R300" s="230">
        <f>'Monthly Data'!F108/'Monthly Data'!G108/'Monthly Data'!CS108</f>
        <v>20.209884390669423</v>
      </c>
      <c r="S300" s="230">
        <f>'Monthly Data'!J108/'Monthly Data'!K108/'Monthly Data'!CS108</f>
        <v>85.472530340258302</v>
      </c>
      <c r="T300" s="55">
        <f>'Monthly Data'!N108/'Monthly Data'!P108/'Monthly Data'!CS108</f>
        <v>2682.9860844223108</v>
      </c>
      <c r="V300" s="220">
        <f t="shared" si="92"/>
        <v>0</v>
      </c>
      <c r="W300" s="55">
        <f t="shared" si="93"/>
        <v>85.472530340258302</v>
      </c>
      <c r="DO300" s="44">
        <f>'Monthly Data'!F108</f>
        <v>93364815.512638971</v>
      </c>
      <c r="DP300" s="44">
        <f>'Monthly Data'!J108</f>
        <v>34683043.361470014</v>
      </c>
      <c r="DQ300" s="44">
        <f>'Monthly Data'!N108</f>
        <v>123873467.5177781</v>
      </c>
      <c r="DR300" s="44">
        <f t="shared" si="87"/>
        <v>35298963.860157602</v>
      </c>
      <c r="DS300" s="44">
        <f t="shared" si="88"/>
        <v>12682532.251424899</v>
      </c>
      <c r="DT300" s="44">
        <f t="shared" si="89"/>
        <v>66646817.550756402</v>
      </c>
    </row>
    <row r="301" spans="3:124" x14ac:dyDescent="0.2">
      <c r="C301" s="220"/>
      <c r="R301" s="230">
        <f>'Monthly Data'!F109/'Monthly Data'!G109/'Monthly Data'!CS109</f>
        <v>23.362020352389475</v>
      </c>
      <c r="S301" s="230">
        <f>'Monthly Data'!J109/'Monthly Data'!K109/'Monthly Data'!CS109</f>
        <v>92.804748678769613</v>
      </c>
      <c r="T301" s="55">
        <f>'Monthly Data'!N109/'Monthly Data'!P109/'Monthly Data'!CS109</f>
        <v>2704.8291000779195</v>
      </c>
      <c r="V301" s="220">
        <f t="shared" si="92"/>
        <v>0</v>
      </c>
      <c r="W301" s="55">
        <f t="shared" si="93"/>
        <v>92.804748678769613</v>
      </c>
      <c r="DO301" s="44">
        <f>'Monthly Data'!F109</f>
        <v>111581704.96910296</v>
      </c>
      <c r="DP301" s="44">
        <f>'Monthly Data'!J109</f>
        <v>38907834.05508209</v>
      </c>
      <c r="DQ301" s="44">
        <f>'Monthly Data'!N109</f>
        <v>129128541.23771989</v>
      </c>
      <c r="DR301" s="44">
        <f t="shared" si="87"/>
        <v>35298963.860157602</v>
      </c>
      <c r="DS301" s="44">
        <f t="shared" si="88"/>
        <v>12682532.251424899</v>
      </c>
      <c r="DT301" s="44">
        <f t="shared" si="89"/>
        <v>66646817.550756402</v>
      </c>
    </row>
    <row r="302" spans="3:124" x14ac:dyDescent="0.2">
      <c r="C302" s="220"/>
      <c r="R302" s="230" t="e">
        <f>'Monthly Data'!F110/'Monthly Data'!G110/'Monthly Data'!CS110</f>
        <v>#DIV/0!</v>
      </c>
      <c r="S302" s="230" t="e">
        <f>'Monthly Data'!J110/'Monthly Data'!K110/'Monthly Data'!CS110</f>
        <v>#DIV/0!</v>
      </c>
      <c r="T302" s="55" t="e">
        <f>'Monthly Data'!N110/'Monthly Data'!P110/'Monthly Data'!CS110</f>
        <v>#DIV/0!</v>
      </c>
      <c r="V302" s="220">
        <f t="shared" si="92"/>
        <v>0</v>
      </c>
      <c r="W302" s="55" t="e">
        <f t="shared" si="93"/>
        <v>#DIV/0!</v>
      </c>
      <c r="DO302" s="44">
        <f>'Monthly Data'!F110</f>
        <v>0</v>
      </c>
      <c r="DP302" s="44">
        <f>'Monthly Data'!J110</f>
        <v>0</v>
      </c>
      <c r="DQ302" s="44">
        <f>'Monthly Data'!N110</f>
        <v>0</v>
      </c>
      <c r="DR302" s="44">
        <f t="shared" si="87"/>
        <v>35298963.860157602</v>
      </c>
      <c r="DS302" s="44">
        <f t="shared" si="88"/>
        <v>12682532.251424899</v>
      </c>
      <c r="DT302" s="44">
        <f t="shared" si="89"/>
        <v>66646817.550756402</v>
      </c>
    </row>
    <row r="303" spans="3:124" x14ac:dyDescent="0.2">
      <c r="C303" s="220"/>
      <c r="R303" s="230" t="e">
        <f>'Monthly Data'!#REF!/'Monthly Data'!#REF!/'Monthly Data'!#REF!</f>
        <v>#REF!</v>
      </c>
      <c r="S303" s="230" t="e">
        <f>'Monthly Data'!#REF!/'Monthly Data'!#REF!/'Monthly Data'!#REF!</f>
        <v>#REF!</v>
      </c>
      <c r="T303" s="55" t="e">
        <f>'Monthly Data'!#REF!/'Monthly Data'!#REF!/'Monthly Data'!#REF!</f>
        <v>#REF!</v>
      </c>
      <c r="V303" s="220">
        <f t="shared" si="92"/>
        <v>0</v>
      </c>
      <c r="W303" s="55" t="e">
        <f t="shared" si="93"/>
        <v>#REF!</v>
      </c>
      <c r="DO303" s="44" t="e">
        <f>'Monthly Data'!#REF!</f>
        <v>#REF!</v>
      </c>
      <c r="DP303" s="44" t="e">
        <f>'Monthly Data'!#REF!</f>
        <v>#REF!</v>
      </c>
      <c r="DQ303" s="44" t="e">
        <f>'Monthly Data'!#REF!</f>
        <v>#REF!</v>
      </c>
      <c r="DR303" s="44">
        <f t="shared" si="87"/>
        <v>35298963.860157602</v>
      </c>
      <c r="DS303" s="44">
        <f t="shared" si="88"/>
        <v>12682532.251424899</v>
      </c>
      <c r="DT303" s="44">
        <f t="shared" si="89"/>
        <v>66646817.550756402</v>
      </c>
    </row>
    <row r="304" spans="3:124" x14ac:dyDescent="0.2">
      <c r="C304" s="220"/>
      <c r="R304" s="230" t="e">
        <f>'Monthly Data'!#REF!/'Monthly Data'!#REF!/'Monthly Data'!#REF!</f>
        <v>#REF!</v>
      </c>
      <c r="S304" s="230" t="e">
        <f>'Monthly Data'!#REF!/'Monthly Data'!#REF!/'Monthly Data'!#REF!</f>
        <v>#REF!</v>
      </c>
      <c r="T304" s="55" t="e">
        <f>'Monthly Data'!#REF!/'Monthly Data'!#REF!/'Monthly Data'!#REF!</f>
        <v>#REF!</v>
      </c>
      <c r="V304" s="220">
        <f t="shared" si="92"/>
        <v>0</v>
      </c>
      <c r="W304" s="55" t="e">
        <f t="shared" si="93"/>
        <v>#REF!</v>
      </c>
      <c r="DO304" s="44" t="e">
        <f>'Monthly Data'!#REF!</f>
        <v>#REF!</v>
      </c>
      <c r="DP304" s="44" t="e">
        <f>'Monthly Data'!#REF!</f>
        <v>#REF!</v>
      </c>
      <c r="DQ304" s="44" t="e">
        <f>'Monthly Data'!#REF!</f>
        <v>#REF!</v>
      </c>
      <c r="DR304" s="44">
        <f t="shared" si="87"/>
        <v>35298963.860157602</v>
      </c>
      <c r="DS304" s="44">
        <f t="shared" si="88"/>
        <v>12682532.251424899</v>
      </c>
      <c r="DT304" s="44">
        <f t="shared" si="89"/>
        <v>66646817.550756402</v>
      </c>
    </row>
    <row r="305" spans="3:124" x14ac:dyDescent="0.2">
      <c r="C305" s="220"/>
      <c r="R305" s="230" t="e">
        <f>'Monthly Data'!#REF!/'Monthly Data'!#REF!/'Monthly Data'!#REF!</f>
        <v>#REF!</v>
      </c>
      <c r="S305" s="230" t="e">
        <f>'Monthly Data'!#REF!/'Monthly Data'!#REF!/'Monthly Data'!#REF!</f>
        <v>#REF!</v>
      </c>
      <c r="T305" s="55" t="e">
        <f>'Monthly Data'!#REF!/'Monthly Data'!#REF!/'Monthly Data'!#REF!</f>
        <v>#REF!</v>
      </c>
      <c r="V305" s="220">
        <f t="shared" si="92"/>
        <v>0</v>
      </c>
      <c r="W305" s="55" t="e">
        <f t="shared" si="93"/>
        <v>#REF!</v>
      </c>
      <c r="DO305" s="44" t="e">
        <f>'Monthly Data'!#REF!</f>
        <v>#REF!</v>
      </c>
      <c r="DP305" s="44" t="e">
        <f>'Monthly Data'!#REF!</f>
        <v>#REF!</v>
      </c>
      <c r="DQ305" s="44" t="e">
        <f>'Monthly Data'!#REF!</f>
        <v>#REF!</v>
      </c>
      <c r="DR305" s="44">
        <f t="shared" si="87"/>
        <v>35298963.860157602</v>
      </c>
      <c r="DS305" s="44">
        <f t="shared" si="88"/>
        <v>12682532.251424899</v>
      </c>
      <c r="DT305" s="44">
        <f t="shared" si="89"/>
        <v>66646817.550756402</v>
      </c>
    </row>
    <row r="306" spans="3:124" x14ac:dyDescent="0.2">
      <c r="C306" s="220"/>
      <c r="R306" s="230" t="e">
        <f>'Monthly Data'!#REF!/'Monthly Data'!#REF!/'Monthly Data'!#REF!</f>
        <v>#REF!</v>
      </c>
      <c r="S306" s="230" t="e">
        <f>'Monthly Data'!#REF!/'Monthly Data'!#REF!/'Monthly Data'!#REF!</f>
        <v>#REF!</v>
      </c>
      <c r="T306" s="55" t="e">
        <f>'Monthly Data'!#REF!/'Monthly Data'!#REF!/'Monthly Data'!#REF!</f>
        <v>#REF!</v>
      </c>
      <c r="V306" s="220">
        <f t="shared" si="92"/>
        <v>0</v>
      </c>
      <c r="W306" s="55" t="e">
        <f t="shared" si="93"/>
        <v>#REF!</v>
      </c>
      <c r="DO306" s="44" t="e">
        <f>'Monthly Data'!#REF!</f>
        <v>#REF!</v>
      </c>
      <c r="DP306" s="44" t="e">
        <f>'Monthly Data'!#REF!</f>
        <v>#REF!</v>
      </c>
      <c r="DQ306" s="44" t="e">
        <f>'Monthly Data'!#REF!</f>
        <v>#REF!</v>
      </c>
      <c r="DR306" s="44">
        <f t="shared" si="87"/>
        <v>35298963.860157602</v>
      </c>
      <c r="DS306" s="44">
        <f t="shared" si="88"/>
        <v>12682532.251424899</v>
      </c>
      <c r="DT306" s="44">
        <f t="shared" si="89"/>
        <v>66646817.550756402</v>
      </c>
    </row>
    <row r="307" spans="3:124" x14ac:dyDescent="0.2">
      <c r="C307" s="220"/>
      <c r="R307" s="230" t="e">
        <f>'Monthly Data'!#REF!/'Monthly Data'!#REF!/'Monthly Data'!#REF!</f>
        <v>#REF!</v>
      </c>
      <c r="S307" s="230" t="e">
        <f>'Monthly Data'!#REF!/'Monthly Data'!#REF!/'Monthly Data'!#REF!</f>
        <v>#REF!</v>
      </c>
      <c r="T307" s="55" t="e">
        <f>'Monthly Data'!#REF!/'Monthly Data'!#REF!/'Monthly Data'!#REF!</f>
        <v>#REF!</v>
      </c>
      <c r="V307" s="220">
        <f t="shared" si="92"/>
        <v>0</v>
      </c>
      <c r="W307" s="55" t="e">
        <f t="shared" si="93"/>
        <v>#REF!</v>
      </c>
      <c r="DO307" s="44" t="e">
        <f>'Monthly Data'!#REF!</f>
        <v>#REF!</v>
      </c>
      <c r="DP307" s="44" t="e">
        <f>'Monthly Data'!#REF!</f>
        <v>#REF!</v>
      </c>
      <c r="DQ307" s="44" t="e">
        <f>'Monthly Data'!#REF!</f>
        <v>#REF!</v>
      </c>
      <c r="DR307" s="44">
        <f t="shared" si="87"/>
        <v>35298963.860157602</v>
      </c>
      <c r="DS307" s="44">
        <f t="shared" si="88"/>
        <v>12682532.251424899</v>
      </c>
      <c r="DT307" s="44">
        <f t="shared" si="89"/>
        <v>66646817.550756402</v>
      </c>
    </row>
    <row r="308" spans="3:124" x14ac:dyDescent="0.2">
      <c r="C308" s="220"/>
      <c r="R308" s="230" t="e">
        <f>'Monthly Data'!#REF!/'Monthly Data'!#REF!/'Monthly Data'!#REF!</f>
        <v>#REF!</v>
      </c>
      <c r="S308" s="230" t="e">
        <f>'Monthly Data'!#REF!/'Monthly Data'!#REF!/'Monthly Data'!#REF!</f>
        <v>#REF!</v>
      </c>
      <c r="T308" s="55" t="e">
        <f>'Monthly Data'!#REF!/'Monthly Data'!#REF!/'Monthly Data'!#REF!</f>
        <v>#REF!</v>
      </c>
      <c r="V308" s="220">
        <f t="shared" si="92"/>
        <v>0</v>
      </c>
      <c r="W308" s="55" t="e">
        <f t="shared" si="93"/>
        <v>#REF!</v>
      </c>
      <c r="DO308" s="44" t="e">
        <f>'Monthly Data'!#REF!</f>
        <v>#REF!</v>
      </c>
      <c r="DP308" s="44" t="e">
        <f>'Monthly Data'!#REF!</f>
        <v>#REF!</v>
      </c>
      <c r="DQ308" s="44" t="e">
        <f>'Monthly Data'!#REF!</f>
        <v>#REF!</v>
      </c>
      <c r="DR308" s="44">
        <f t="shared" ref="DR308:DR313" si="94">$EE$17+J308*$EE$18+K308*$EE$19</f>
        <v>35298963.860157602</v>
      </c>
      <c r="DS308" s="44">
        <f t="shared" ref="DS308:DS313" si="95">$EE$37+J308*$EE$38+K308*$EE$39</f>
        <v>12682532.251424899</v>
      </c>
      <c r="DT308" s="44">
        <f t="shared" ref="DT308:DT313" si="96">$EE$60+N308*$EE$61+K308*$EE$62</f>
        <v>66646817.550756402</v>
      </c>
    </row>
    <row r="309" spans="3:124" x14ac:dyDescent="0.2">
      <c r="C309" s="220"/>
      <c r="R309" s="230" t="e">
        <f>'Monthly Data'!#REF!/'Monthly Data'!#REF!/'Monthly Data'!#REF!</f>
        <v>#REF!</v>
      </c>
      <c r="S309" s="230" t="e">
        <f>'Monthly Data'!#REF!/'Monthly Data'!#REF!/'Monthly Data'!#REF!</f>
        <v>#REF!</v>
      </c>
      <c r="T309" s="55" t="e">
        <f>'Monthly Data'!#REF!/'Monthly Data'!#REF!/'Monthly Data'!#REF!</f>
        <v>#REF!</v>
      </c>
      <c r="V309" s="220">
        <f t="shared" si="92"/>
        <v>0</v>
      </c>
      <c r="W309" s="55" t="e">
        <f t="shared" si="93"/>
        <v>#REF!</v>
      </c>
      <c r="DO309" s="44" t="e">
        <f>'Monthly Data'!#REF!</f>
        <v>#REF!</v>
      </c>
      <c r="DP309" s="44" t="e">
        <f>'Monthly Data'!#REF!</f>
        <v>#REF!</v>
      </c>
      <c r="DQ309" s="44" t="e">
        <f>'Monthly Data'!#REF!</f>
        <v>#REF!</v>
      </c>
      <c r="DR309" s="44">
        <f t="shared" si="94"/>
        <v>35298963.860157602</v>
      </c>
      <c r="DS309" s="44">
        <f t="shared" si="95"/>
        <v>12682532.251424899</v>
      </c>
      <c r="DT309" s="44">
        <f t="shared" si="96"/>
        <v>66646817.550756402</v>
      </c>
    </row>
    <row r="310" spans="3:124" x14ac:dyDescent="0.2">
      <c r="C310" s="220"/>
      <c r="R310" s="230" t="e">
        <f>'Monthly Data'!#REF!/'Monthly Data'!#REF!/'Monthly Data'!#REF!</f>
        <v>#REF!</v>
      </c>
      <c r="S310" s="230" t="e">
        <f>'Monthly Data'!#REF!/'Monthly Data'!#REF!/'Monthly Data'!#REF!</f>
        <v>#REF!</v>
      </c>
      <c r="T310" s="55" t="e">
        <f>'Monthly Data'!#REF!/'Monthly Data'!#REF!/'Monthly Data'!#REF!</f>
        <v>#REF!</v>
      </c>
      <c r="V310" s="220">
        <f t="shared" si="92"/>
        <v>0</v>
      </c>
      <c r="W310" s="55" t="e">
        <f t="shared" si="93"/>
        <v>#REF!</v>
      </c>
      <c r="DO310" s="44" t="e">
        <f>'Monthly Data'!#REF!</f>
        <v>#REF!</v>
      </c>
      <c r="DP310" s="44" t="e">
        <f>'Monthly Data'!#REF!</f>
        <v>#REF!</v>
      </c>
      <c r="DQ310" s="44" t="e">
        <f>'Monthly Data'!#REF!</f>
        <v>#REF!</v>
      </c>
      <c r="DR310" s="44">
        <f t="shared" si="94"/>
        <v>35298963.860157602</v>
      </c>
      <c r="DS310" s="44">
        <f t="shared" si="95"/>
        <v>12682532.251424899</v>
      </c>
      <c r="DT310" s="44">
        <f t="shared" si="96"/>
        <v>66646817.550756402</v>
      </c>
    </row>
    <row r="311" spans="3:124" x14ac:dyDescent="0.2">
      <c r="C311" s="220"/>
      <c r="R311" s="230" t="e">
        <f>'Monthly Data'!#REF!/'Monthly Data'!#REF!/'Monthly Data'!#REF!</f>
        <v>#REF!</v>
      </c>
      <c r="S311" s="230" t="e">
        <f>'Monthly Data'!#REF!/'Monthly Data'!#REF!/'Monthly Data'!#REF!</f>
        <v>#REF!</v>
      </c>
      <c r="T311" s="55" t="e">
        <f>'Monthly Data'!#REF!/'Monthly Data'!#REF!/'Monthly Data'!#REF!</f>
        <v>#REF!</v>
      </c>
      <c r="V311" s="220">
        <f t="shared" si="92"/>
        <v>0</v>
      </c>
      <c r="W311" s="55" t="e">
        <f t="shared" si="93"/>
        <v>#REF!</v>
      </c>
      <c r="DO311" s="44" t="e">
        <f>'Monthly Data'!#REF!</f>
        <v>#REF!</v>
      </c>
      <c r="DP311" s="44" t="e">
        <f>'Monthly Data'!#REF!</f>
        <v>#REF!</v>
      </c>
      <c r="DQ311" s="44" t="e">
        <f>'Monthly Data'!#REF!</f>
        <v>#REF!</v>
      </c>
      <c r="DR311" s="44">
        <f t="shared" si="94"/>
        <v>35298963.860157602</v>
      </c>
      <c r="DS311" s="44">
        <f t="shared" si="95"/>
        <v>12682532.251424899</v>
      </c>
      <c r="DT311" s="44">
        <f t="shared" si="96"/>
        <v>66646817.550756402</v>
      </c>
    </row>
    <row r="312" spans="3:124" x14ac:dyDescent="0.2">
      <c r="C312" s="220"/>
      <c r="R312" s="230" t="e">
        <f>'Monthly Data'!#REF!/'Monthly Data'!#REF!/'Monthly Data'!#REF!</f>
        <v>#REF!</v>
      </c>
      <c r="S312" s="230" t="e">
        <f>'Monthly Data'!#REF!/'Monthly Data'!#REF!/'Monthly Data'!#REF!</f>
        <v>#REF!</v>
      </c>
      <c r="T312" s="55" t="e">
        <f>'Monthly Data'!#REF!/'Monthly Data'!#REF!/'Monthly Data'!#REF!</f>
        <v>#REF!</v>
      </c>
      <c r="V312" s="220">
        <f t="shared" si="92"/>
        <v>0</v>
      </c>
      <c r="W312" s="55" t="e">
        <f t="shared" si="93"/>
        <v>#REF!</v>
      </c>
      <c r="DO312" s="44" t="e">
        <f>'Monthly Data'!#REF!</f>
        <v>#REF!</v>
      </c>
      <c r="DP312" s="44" t="e">
        <f>'Monthly Data'!#REF!</f>
        <v>#REF!</v>
      </c>
      <c r="DQ312" s="44" t="e">
        <f>'Monthly Data'!#REF!</f>
        <v>#REF!</v>
      </c>
      <c r="DR312" s="44">
        <f t="shared" si="94"/>
        <v>35298963.860157602</v>
      </c>
      <c r="DS312" s="44">
        <f t="shared" si="95"/>
        <v>12682532.251424899</v>
      </c>
      <c r="DT312" s="44">
        <f t="shared" si="96"/>
        <v>66646817.550756402</v>
      </c>
    </row>
    <row r="313" spans="3:124" x14ac:dyDescent="0.2">
      <c r="C313" s="220"/>
      <c r="R313" s="230" t="e">
        <f>'Monthly Data'!#REF!/'Monthly Data'!#REF!/'Monthly Data'!#REF!</f>
        <v>#REF!</v>
      </c>
      <c r="S313" s="230" t="e">
        <f>'Monthly Data'!#REF!/'Monthly Data'!#REF!/'Monthly Data'!#REF!</f>
        <v>#REF!</v>
      </c>
      <c r="T313" s="55" t="e">
        <f>'Monthly Data'!#REF!/'Monthly Data'!#REF!/'Monthly Data'!#REF!</f>
        <v>#REF!</v>
      </c>
      <c r="V313" s="220">
        <f t="shared" si="92"/>
        <v>0</v>
      </c>
      <c r="W313" s="55" t="e">
        <f t="shared" si="93"/>
        <v>#REF!</v>
      </c>
      <c r="DO313" s="44" t="e">
        <f>'Monthly Data'!#REF!</f>
        <v>#REF!</v>
      </c>
      <c r="DP313" s="44" t="e">
        <f>'Monthly Data'!#REF!</f>
        <v>#REF!</v>
      </c>
      <c r="DQ313" s="44" t="e">
        <f>'Monthly Data'!#REF!</f>
        <v>#REF!</v>
      </c>
      <c r="DR313" s="44">
        <f t="shared" si="94"/>
        <v>35298963.860157602</v>
      </c>
      <c r="DS313" s="44">
        <f t="shared" si="95"/>
        <v>12682532.251424899</v>
      </c>
      <c r="DT313" s="44">
        <f t="shared" si="96"/>
        <v>66646817.550756402</v>
      </c>
    </row>
    <row r="314" spans="3:124" x14ac:dyDescent="0.2">
      <c r="C314" s="220"/>
      <c r="R314" s="230" t="e">
        <f>'Monthly Data'!#REF!/'Monthly Data'!#REF!/'Monthly Data'!#REF!</f>
        <v>#REF!</v>
      </c>
      <c r="S314" s="230" t="e">
        <f>'Monthly Data'!#REF!/'Monthly Data'!#REF!/'Monthly Data'!#REF!</f>
        <v>#REF!</v>
      </c>
      <c r="T314" s="55" t="e">
        <f>'Monthly Data'!#REF!/'Monthly Data'!#REF!/'Monthly Data'!#REF!</f>
        <v>#REF!</v>
      </c>
      <c r="V314" s="220">
        <f>C314</f>
        <v>0</v>
      </c>
      <c r="W314" s="55" t="e">
        <f>S314</f>
        <v>#REF!</v>
      </c>
    </row>
    <row r="315" spans="3:124" x14ac:dyDescent="0.2">
      <c r="C315" s="220"/>
      <c r="R315" s="230" t="e">
        <f>'Monthly Data'!#REF!/'Monthly Data'!#REF!/'Monthly Data'!#REF!</f>
        <v>#REF!</v>
      </c>
      <c r="S315" s="230" t="e">
        <f>'Monthly Data'!#REF!/'Monthly Data'!#REF!/'Monthly Data'!#REF!</f>
        <v>#REF!</v>
      </c>
      <c r="T315" s="55" t="e">
        <f>'Monthly Data'!#REF!/'Monthly Data'!#REF!/'Monthly Data'!#REF!</f>
        <v>#REF!</v>
      </c>
      <c r="V315" s="220">
        <f>C315</f>
        <v>0</v>
      </c>
      <c r="W315" s="55" t="e">
        <f>S315</f>
        <v>#REF!</v>
      </c>
    </row>
    <row r="316" spans="3:124" x14ac:dyDescent="0.2">
      <c r="C316" s="220"/>
      <c r="R316" s="230" t="e">
        <f>'Monthly Data'!#REF!/'Monthly Data'!#REF!/'Monthly Data'!#REF!</f>
        <v>#REF!</v>
      </c>
      <c r="S316" s="230" t="e">
        <f>'Monthly Data'!#REF!/'Monthly Data'!#REF!/'Monthly Data'!#REF!</f>
        <v>#REF!</v>
      </c>
      <c r="T316" s="55" t="e">
        <f>'Monthly Data'!#REF!/'Monthly Data'!#REF!/'Monthly Data'!#REF!</f>
        <v>#REF!</v>
      </c>
      <c r="V316" s="220">
        <f>C316</f>
        <v>0</v>
      </c>
      <c r="W316" s="55" t="e">
        <f>S316</f>
        <v>#REF!</v>
      </c>
    </row>
    <row r="317" spans="3:124" x14ac:dyDescent="0.2">
      <c r="C317" s="220"/>
      <c r="R317" s="230" t="e">
        <f>'Monthly Data'!#REF!/'Monthly Data'!#REF!/'Monthly Data'!#REF!</f>
        <v>#REF!</v>
      </c>
      <c r="S317" s="230" t="e">
        <f>'Monthly Data'!#REF!/'Monthly Data'!#REF!/'Monthly Data'!#REF!</f>
        <v>#REF!</v>
      </c>
      <c r="T317" s="55" t="e">
        <f>'Monthly Data'!#REF!/'Monthly Data'!#REF!/'Monthly Data'!#REF!</f>
        <v>#REF!</v>
      </c>
      <c r="V317" s="220">
        <f>C317</f>
        <v>0</v>
      </c>
      <c r="W317" s="55" t="e">
        <f>S317</f>
        <v>#REF!</v>
      </c>
    </row>
    <row r="318" spans="3:124" x14ac:dyDescent="0.2">
      <c r="C318" s="220"/>
      <c r="R318" s="230" t="e">
        <f>'Monthly Data'!#REF!/'Monthly Data'!#REF!/'Monthly Data'!#REF!</f>
        <v>#REF!</v>
      </c>
      <c r="S318" s="230" t="e">
        <f>'Monthly Data'!#REF!/'Monthly Data'!#REF!/'Monthly Data'!#REF!</f>
        <v>#REF!</v>
      </c>
      <c r="T318" s="55" t="e">
        <f>'Monthly Data'!#REF!/'Monthly Data'!#REF!/'Monthly Data'!#REF!</f>
        <v>#REF!</v>
      </c>
      <c r="V318" s="220">
        <f>C318</f>
        <v>0</v>
      </c>
      <c r="W318" s="55" t="e">
        <f>S318</f>
        <v>#REF!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210D-B47B-4A54-B926-22F18E0A1326}">
  <sheetPr codeName="Sheet1">
    <tabColor theme="7" tint="0.79998168889431442"/>
  </sheetPr>
  <dimension ref="A1:Y107"/>
  <sheetViews>
    <sheetView workbookViewId="0">
      <selection activeCell="E4" sqref="E4"/>
    </sheetView>
  </sheetViews>
  <sheetFormatPr defaultColWidth="9.33203125" defaultRowHeight="15" x14ac:dyDescent="0.25"/>
  <cols>
    <col min="1" max="1" width="22.33203125" style="237" bestFit="1" customWidth="1"/>
    <col min="2" max="2" width="14.5" style="238" bestFit="1" customWidth="1"/>
    <col min="3" max="10" width="15.5" style="237" customWidth="1"/>
    <col min="11" max="12" width="13.33203125" style="237" bestFit="1" customWidth="1"/>
    <col min="13" max="13" width="16.5" style="237" customWidth="1"/>
    <col min="14" max="20" width="14.6640625" style="237" customWidth="1"/>
    <col min="21" max="21" width="14.33203125" style="237" customWidth="1"/>
    <col min="22" max="22" width="12.83203125" style="237" bestFit="1" customWidth="1"/>
    <col min="23" max="23" width="6.1640625" style="237" bestFit="1" customWidth="1"/>
    <col min="24" max="16384" width="9.33203125" style="237"/>
  </cols>
  <sheetData>
    <row r="1" spans="1:25" x14ac:dyDescent="0.25">
      <c r="D1" s="237" t="s">
        <v>523</v>
      </c>
    </row>
    <row r="3" spans="1:25" x14ac:dyDescent="0.25">
      <c r="A3" s="237" t="s">
        <v>41</v>
      </c>
      <c r="B3" s="238" t="s">
        <v>42</v>
      </c>
      <c r="C3" s="237" t="s">
        <v>24</v>
      </c>
      <c r="D3" s="237" t="s">
        <v>436</v>
      </c>
      <c r="E3" s="237" t="s">
        <v>437</v>
      </c>
      <c r="F3" s="237" t="s">
        <v>438</v>
      </c>
      <c r="G3" s="237" t="s">
        <v>439</v>
      </c>
      <c r="H3" s="237" t="s">
        <v>440</v>
      </c>
      <c r="I3" s="237" t="s">
        <v>441</v>
      </c>
      <c r="J3" s="237" t="s">
        <v>442</v>
      </c>
    </row>
    <row r="4" spans="1:25" x14ac:dyDescent="0.25">
      <c r="A4" s="237">
        <v>2017</v>
      </c>
      <c r="B4" s="240">
        <f>A4</f>
        <v>2017</v>
      </c>
      <c r="C4" s="54">
        <v>27228489.146813598</v>
      </c>
      <c r="D4" s="54">
        <v>5385036.8766751634</v>
      </c>
      <c r="E4" s="54">
        <v>39893488.74288632</v>
      </c>
      <c r="F4" s="54">
        <v>1094067.9520114877</v>
      </c>
      <c r="G4" s="54">
        <v>66213.982676529224</v>
      </c>
      <c r="H4" s="54"/>
      <c r="I4" s="54"/>
      <c r="J4" s="54"/>
      <c r="K4" s="239">
        <f t="shared" ref="K4:K14" si="0">SUM(C4:J4)</f>
        <v>73667296.701063097</v>
      </c>
    </row>
    <row r="5" spans="1:25" x14ac:dyDescent="0.25">
      <c r="A5" s="241"/>
      <c r="B5" s="238">
        <f>B4+1</f>
        <v>2018</v>
      </c>
      <c r="C5" s="54">
        <v>21621487.582125738</v>
      </c>
      <c r="D5" s="54">
        <v>5547709.004675163</v>
      </c>
      <c r="E5" s="54">
        <v>40984434.253410012</v>
      </c>
      <c r="F5" s="54">
        <v>1139921.313487797</v>
      </c>
      <c r="G5" s="54">
        <v>66213.982676529224</v>
      </c>
      <c r="H5" s="54"/>
      <c r="I5" s="54"/>
      <c r="J5" s="54"/>
      <c r="K5" s="239">
        <f t="shared" si="0"/>
        <v>69359766.136375248</v>
      </c>
      <c r="M5" s="237" t="str">
        <f>C3</f>
        <v>Residential</v>
      </c>
      <c r="N5" s="237" t="str">
        <f t="shared" ref="N5:T5" si="1">D3</f>
        <v>GS&lt;50 kW</v>
      </c>
      <c r="O5" s="237" t="str">
        <f t="shared" si="1"/>
        <v>GS 50 - 4,999 kW</v>
      </c>
      <c r="P5" s="237" t="str">
        <f t="shared" si="1"/>
        <v>Co-Generation 1,000 - 4,999 kW</v>
      </c>
      <c r="Q5" s="237" t="str">
        <f t="shared" si="1"/>
        <v>Large User</v>
      </c>
      <c r="R5" s="237" t="str">
        <f t="shared" si="1"/>
        <v>Street Lighting</v>
      </c>
      <c r="S5" s="237" t="str">
        <f t="shared" si="1"/>
        <v>Sentinel Lighting</v>
      </c>
      <c r="T5" s="237" t="str">
        <f t="shared" si="1"/>
        <v>Unmetered Scattered Load</v>
      </c>
      <c r="X5" s="54"/>
      <c r="Y5" s="54"/>
    </row>
    <row r="6" spans="1:25" x14ac:dyDescent="0.25">
      <c r="A6" s="241"/>
      <c r="B6" s="238">
        <f t="shared" ref="B6:B14" si="2">B5+1</f>
        <v>2019</v>
      </c>
      <c r="C6" s="54">
        <v>21621487.582125738</v>
      </c>
      <c r="D6" s="54">
        <v>5535466.1024352815</v>
      </c>
      <c r="E6" s="54">
        <v>40940495.229291394</v>
      </c>
      <c r="F6" s="54">
        <v>1138566.288725503</v>
      </c>
      <c r="G6" s="54">
        <v>65886.547636792631</v>
      </c>
      <c r="H6" s="54"/>
      <c r="I6" s="54"/>
      <c r="J6" s="54"/>
      <c r="K6" s="239">
        <f t="shared" si="0"/>
        <v>69301901.750214726</v>
      </c>
      <c r="X6" s="54"/>
      <c r="Y6" s="54"/>
    </row>
    <row r="7" spans="1:25" x14ac:dyDescent="0.25">
      <c r="A7" s="241"/>
      <c r="B7" s="238">
        <f t="shared" si="2"/>
        <v>2020</v>
      </c>
      <c r="C7" s="54">
        <v>21621487.582125738</v>
      </c>
      <c r="D7" s="54">
        <v>5535466.1024352815</v>
      </c>
      <c r="E7" s="54">
        <v>40816332.229291394</v>
      </c>
      <c r="F7" s="54">
        <v>1138566.288725503</v>
      </c>
      <c r="G7" s="54">
        <v>65886.547636792631</v>
      </c>
      <c r="H7" s="54"/>
      <c r="I7" s="54"/>
      <c r="J7" s="54"/>
      <c r="K7" s="239">
        <f t="shared" si="0"/>
        <v>69177738.750214726</v>
      </c>
      <c r="L7" s="237">
        <v>2017</v>
      </c>
      <c r="M7" s="54">
        <f t="shared" ref="M7:M16" si="3">SUMIFS(C:C,$B:$B,$L7)-SUMIFS(C:C,$A:$A,$L7)/2</f>
        <v>13614244.573406799</v>
      </c>
      <c r="N7" s="54">
        <f t="shared" ref="N7:N17" si="4">SUMIFS(D:D,$B:$B,$L7)-SUMIFS(D:D,$A:$A,$L7)/2</f>
        <v>2692518.4383375817</v>
      </c>
      <c r="O7" s="54">
        <f t="shared" ref="O7:O17" si="5">SUMIFS(E:E,$B:$B,$L7)-SUMIFS(E:E,$A:$A,$L7)/2</f>
        <v>19946744.37144316</v>
      </c>
      <c r="P7" s="54">
        <f t="shared" ref="P7:T17" si="6">SUMIFS(F:F,$B:$B,$L7)-SUMIFS(F:F,$A:$A,$L7)/2</f>
        <v>547033.97600574384</v>
      </c>
      <c r="Q7" s="54">
        <f t="shared" si="6"/>
        <v>33106.991338264612</v>
      </c>
      <c r="R7" s="54">
        <f t="shared" si="6"/>
        <v>0</v>
      </c>
      <c r="S7" s="54">
        <f t="shared" si="6"/>
        <v>0</v>
      </c>
      <c r="T7" s="54">
        <f t="shared" si="6"/>
        <v>0</v>
      </c>
      <c r="U7" s="239">
        <f t="shared" ref="U7:U17" si="7">SUM(M7:T7)</f>
        <v>36833648.350531548</v>
      </c>
      <c r="X7" s="54"/>
      <c r="Y7" s="54"/>
    </row>
    <row r="8" spans="1:25" x14ac:dyDescent="0.25">
      <c r="A8" s="241"/>
      <c r="B8" s="238">
        <f t="shared" si="2"/>
        <v>2021</v>
      </c>
      <c r="C8" s="54">
        <v>21618821.582125738</v>
      </c>
      <c r="D8" s="54">
        <v>5535466.1024352815</v>
      </c>
      <c r="E8" s="54">
        <v>40816332.229291394</v>
      </c>
      <c r="F8" s="54">
        <v>1138566.288725503</v>
      </c>
      <c r="G8" s="54">
        <v>65886.547636792631</v>
      </c>
      <c r="H8" s="54"/>
      <c r="I8" s="54"/>
      <c r="J8" s="54"/>
      <c r="K8" s="239">
        <f t="shared" si="0"/>
        <v>69175072.750214726</v>
      </c>
      <c r="L8" s="237">
        <f>L7+1</f>
        <v>2018</v>
      </c>
      <c r="M8" s="54">
        <f t="shared" si="3"/>
        <v>24443882.154292915</v>
      </c>
      <c r="N8" s="54">
        <f t="shared" si="4"/>
        <v>7262897.1435193345</v>
      </c>
      <c r="O8" s="54">
        <f t="shared" si="5"/>
        <v>46632614.268263906</v>
      </c>
      <c r="P8" s="54">
        <f t="shared" si="6"/>
        <v>1139921.313487797</v>
      </c>
      <c r="Q8" s="54">
        <f t="shared" si="6"/>
        <v>1803127.2327571718</v>
      </c>
      <c r="R8" s="54">
        <f t="shared" si="6"/>
        <v>0</v>
      </c>
      <c r="S8" s="54">
        <f t="shared" si="6"/>
        <v>0</v>
      </c>
      <c r="T8" s="54">
        <f t="shared" si="6"/>
        <v>0</v>
      </c>
      <c r="U8" s="239">
        <f t="shared" si="7"/>
        <v>81282442.112321123</v>
      </c>
      <c r="X8" s="54"/>
      <c r="Y8" s="54"/>
    </row>
    <row r="9" spans="1:25" x14ac:dyDescent="0.25">
      <c r="B9" s="238">
        <f t="shared" si="2"/>
        <v>2022</v>
      </c>
      <c r="C9" s="54">
        <v>21612460.582125738</v>
      </c>
      <c r="D9" s="54">
        <v>5411967.5738833975</v>
      </c>
      <c r="E9" s="54">
        <v>39978896.384886637</v>
      </c>
      <c r="F9" s="54">
        <v>1103766.2927026381</v>
      </c>
      <c r="G9" s="54">
        <v>65884.787059596216</v>
      </c>
      <c r="H9" s="54"/>
      <c r="I9" s="54"/>
      <c r="J9" s="54"/>
      <c r="K9" s="239">
        <f t="shared" si="0"/>
        <v>68172975.62065801</v>
      </c>
      <c r="L9" s="237">
        <f t="shared" ref="L9:L17" si="8">L8+1</f>
        <v>2019</v>
      </c>
      <c r="M9" s="54">
        <f t="shared" si="3"/>
        <v>25899260.352106653</v>
      </c>
      <c r="N9" s="54">
        <f t="shared" si="4"/>
        <v>9704631.8478100356</v>
      </c>
      <c r="O9" s="54">
        <f t="shared" si="5"/>
        <v>57578697.611699656</v>
      </c>
      <c r="P9" s="54">
        <f t="shared" si="6"/>
        <v>1138566.288725503</v>
      </c>
      <c r="Q9" s="54">
        <f t="shared" si="6"/>
        <v>3734992.0361532648</v>
      </c>
      <c r="R9" s="54">
        <f t="shared" si="6"/>
        <v>0</v>
      </c>
      <c r="S9" s="54">
        <f t="shared" si="6"/>
        <v>0</v>
      </c>
      <c r="T9" s="54">
        <f t="shared" si="6"/>
        <v>0</v>
      </c>
      <c r="U9" s="239">
        <f t="shared" si="7"/>
        <v>98056148.136495128</v>
      </c>
      <c r="X9" s="54"/>
      <c r="Y9" s="54"/>
    </row>
    <row r="10" spans="1:25" x14ac:dyDescent="0.25">
      <c r="B10" s="238">
        <f t="shared" si="2"/>
        <v>2023</v>
      </c>
      <c r="C10" s="54">
        <v>21611084.12972362</v>
      </c>
      <c r="D10" s="54">
        <v>5224449.1430618353</v>
      </c>
      <c r="E10" s="54">
        <v>37029633.495939754</v>
      </c>
      <c r="F10" s="54">
        <v>1088023.3088766357</v>
      </c>
      <c r="G10" s="54">
        <v>60377.152240592623</v>
      </c>
      <c r="H10" s="54"/>
      <c r="I10" s="54"/>
      <c r="J10" s="54"/>
      <c r="K10" s="239">
        <f t="shared" si="0"/>
        <v>65013567.229842432</v>
      </c>
      <c r="L10" s="237">
        <f t="shared" si="8"/>
        <v>2020</v>
      </c>
      <c r="M10" s="54">
        <f t="shared" si="3"/>
        <v>25899260.352106653</v>
      </c>
      <c r="N10" s="54">
        <f t="shared" si="4"/>
        <v>10099398.591308264</v>
      </c>
      <c r="O10" s="54">
        <f t="shared" si="5"/>
        <v>65099044.526591338</v>
      </c>
      <c r="P10" s="54">
        <f t="shared" si="6"/>
        <v>1138566.288725503</v>
      </c>
      <c r="Q10" s="54">
        <f t="shared" si="6"/>
        <v>3913092.5907073161</v>
      </c>
      <c r="R10" s="54">
        <f t="shared" si="6"/>
        <v>0</v>
      </c>
      <c r="S10" s="54">
        <f t="shared" si="6"/>
        <v>0</v>
      </c>
      <c r="T10" s="54">
        <f t="shared" si="6"/>
        <v>0</v>
      </c>
      <c r="U10" s="239">
        <f t="shared" si="7"/>
        <v>106149362.34943908</v>
      </c>
      <c r="X10" s="54"/>
      <c r="Y10" s="54"/>
    </row>
    <row r="11" spans="1:25" x14ac:dyDescent="0.25">
      <c r="B11" s="238">
        <f t="shared" si="2"/>
        <v>2024</v>
      </c>
      <c r="C11" s="54">
        <v>21610807.26700452</v>
      </c>
      <c r="D11" s="54">
        <v>5221751.7403912935</v>
      </c>
      <c r="E11" s="54">
        <v>37007980.426350832</v>
      </c>
      <c r="F11" s="54">
        <v>1087108.4957274396</v>
      </c>
      <c r="G11" s="54">
        <v>60365.573658850626</v>
      </c>
      <c r="H11" s="54"/>
      <c r="I11" s="54"/>
      <c r="J11" s="54"/>
      <c r="K11" s="239">
        <f t="shared" si="0"/>
        <v>64988013.503132939</v>
      </c>
      <c r="L11" s="237">
        <f t="shared" si="8"/>
        <v>2021</v>
      </c>
      <c r="M11" s="54">
        <f t="shared" si="3"/>
        <v>26064887.781119995</v>
      </c>
      <c r="N11" s="54">
        <f t="shared" si="4"/>
        <v>10922004.44380023</v>
      </c>
      <c r="O11" s="54">
        <f t="shared" si="5"/>
        <v>72527918.290805548</v>
      </c>
      <c r="P11" s="54">
        <f t="shared" si="6"/>
        <v>1138566.288725503</v>
      </c>
      <c r="Q11" s="54">
        <f t="shared" si="6"/>
        <v>10442880.778093327</v>
      </c>
      <c r="R11" s="54">
        <f t="shared" si="6"/>
        <v>0</v>
      </c>
      <c r="S11" s="54">
        <f t="shared" si="6"/>
        <v>0</v>
      </c>
      <c r="T11" s="54">
        <f t="shared" si="6"/>
        <v>0</v>
      </c>
      <c r="U11" s="239">
        <f t="shared" si="7"/>
        <v>121096257.58254461</v>
      </c>
      <c r="X11" s="54"/>
      <c r="Y11" s="54"/>
    </row>
    <row r="12" spans="1:25" x14ac:dyDescent="0.25">
      <c r="B12" s="238">
        <f t="shared" si="2"/>
        <v>2025</v>
      </c>
      <c r="C12" s="54">
        <v>21610779.544239953</v>
      </c>
      <c r="D12" s="54">
        <v>5186775.3552405778</v>
      </c>
      <c r="E12" s="54">
        <v>36093826.621119723</v>
      </c>
      <c r="F12" s="54">
        <v>1076745.4177655219</v>
      </c>
      <c r="G12" s="54">
        <v>60258.978629672667</v>
      </c>
      <c r="H12" s="54"/>
      <c r="I12" s="54"/>
      <c r="J12" s="54"/>
      <c r="K12" s="239">
        <f t="shared" si="0"/>
        <v>64028385.916995443</v>
      </c>
      <c r="L12" s="237">
        <f t="shared" si="8"/>
        <v>2022</v>
      </c>
      <c r="M12" s="54">
        <f t="shared" si="3"/>
        <v>26333269.355849259</v>
      </c>
      <c r="N12" s="54">
        <f t="shared" si="4"/>
        <v>13820848.650259836</v>
      </c>
      <c r="O12" s="54">
        <f t="shared" si="5"/>
        <v>84100057.425102502</v>
      </c>
      <c r="P12" s="54">
        <f t="shared" si="6"/>
        <v>1288200.7532020796</v>
      </c>
      <c r="Q12" s="54">
        <f t="shared" si="6"/>
        <v>17373269.393094897</v>
      </c>
      <c r="R12" s="54">
        <f t="shared" si="6"/>
        <v>0</v>
      </c>
      <c r="S12" s="54">
        <f t="shared" si="6"/>
        <v>0</v>
      </c>
      <c r="T12" s="54">
        <f t="shared" si="6"/>
        <v>0</v>
      </c>
      <c r="U12" s="239">
        <f t="shared" si="7"/>
        <v>142915645.57750857</v>
      </c>
      <c r="X12" s="54"/>
      <c r="Y12" s="54"/>
    </row>
    <row r="13" spans="1:25" x14ac:dyDescent="0.25">
      <c r="B13" s="238">
        <f t="shared" si="2"/>
        <v>2026</v>
      </c>
      <c r="C13" s="54">
        <v>21579688.348724332</v>
      </c>
      <c r="D13" s="54">
        <v>5134287.2973386934</v>
      </c>
      <c r="E13" s="54">
        <v>34677777.948727839</v>
      </c>
      <c r="F13" s="54">
        <v>1060616.622222126</v>
      </c>
      <c r="G13" s="54">
        <v>59869.329023089282</v>
      </c>
      <c r="H13" s="54"/>
      <c r="I13" s="54"/>
      <c r="J13" s="54"/>
      <c r="K13" s="239">
        <f t="shared" si="0"/>
        <v>62512239.54603608</v>
      </c>
      <c r="L13" s="237">
        <f t="shared" si="8"/>
        <v>2023</v>
      </c>
      <c r="M13" s="54">
        <f t="shared" si="3"/>
        <v>26637001.951727662</v>
      </c>
      <c r="N13" s="54">
        <f t="shared" si="4"/>
        <v>16730837.627436405</v>
      </c>
      <c r="O13" s="54">
        <f t="shared" si="5"/>
        <v>90661551.540290728</v>
      </c>
      <c r="P13" s="54">
        <f t="shared" si="6"/>
        <v>1539668.2044468191</v>
      </c>
      <c r="Q13" s="54">
        <f t="shared" si="6"/>
        <v>17805319.228203833</v>
      </c>
      <c r="R13" s="54">
        <f t="shared" si="6"/>
        <v>0</v>
      </c>
      <c r="S13" s="54">
        <f t="shared" si="6"/>
        <v>0</v>
      </c>
      <c r="T13" s="54">
        <f t="shared" si="6"/>
        <v>0</v>
      </c>
      <c r="U13" s="239">
        <f t="shared" si="7"/>
        <v>153374378.55210546</v>
      </c>
      <c r="X13" s="54"/>
      <c r="Y13" s="54"/>
    </row>
    <row r="14" spans="1:25" x14ac:dyDescent="0.25">
      <c r="B14" s="238">
        <f t="shared" si="2"/>
        <v>2027</v>
      </c>
      <c r="C14" s="54">
        <v>21217618.368355885</v>
      </c>
      <c r="D14" s="54">
        <v>4637765.9661588324</v>
      </c>
      <c r="E14" s="54">
        <v>29010071.493691869</v>
      </c>
      <c r="F14" s="54">
        <v>923516.68326976383</v>
      </c>
      <c r="G14" s="54">
        <v>58492.675788329158</v>
      </c>
      <c r="H14" s="54"/>
      <c r="I14" s="54"/>
      <c r="J14" s="54"/>
      <c r="K14" s="239">
        <f t="shared" si="0"/>
        <v>55847465.187264673</v>
      </c>
      <c r="L14" s="237">
        <f t="shared" si="8"/>
        <v>2024</v>
      </c>
      <c r="M14" s="54">
        <f t="shared" si="3"/>
        <v>27537298.325586654</v>
      </c>
      <c r="N14" s="54">
        <f t="shared" si="4"/>
        <v>19969721.591706242</v>
      </c>
      <c r="O14" s="54">
        <f t="shared" si="5"/>
        <v>98366211.79033044</v>
      </c>
      <c r="P14" s="54">
        <f t="shared" si="6"/>
        <v>1779501.8966138866</v>
      </c>
      <c r="Q14" s="54">
        <f t="shared" si="6"/>
        <v>18039965.979152411</v>
      </c>
      <c r="R14" s="54">
        <f t="shared" si="6"/>
        <v>0</v>
      </c>
      <c r="S14" s="54">
        <f t="shared" si="6"/>
        <v>0</v>
      </c>
      <c r="T14" s="54">
        <f t="shared" si="6"/>
        <v>0</v>
      </c>
      <c r="U14" s="239">
        <f t="shared" si="7"/>
        <v>165692699.58338964</v>
      </c>
      <c r="X14" s="54"/>
      <c r="Y14" s="54"/>
    </row>
    <row r="15" spans="1:25" x14ac:dyDescent="0.25">
      <c r="C15" s="64"/>
      <c r="D15" s="64"/>
      <c r="E15" s="64"/>
      <c r="F15" s="64"/>
      <c r="G15" s="64"/>
      <c r="H15" s="64"/>
      <c r="I15" s="64"/>
      <c r="J15" s="64"/>
      <c r="K15" s="239"/>
      <c r="L15" s="237">
        <f t="shared" si="8"/>
        <v>2025</v>
      </c>
      <c r="M15" s="54">
        <f t="shared" si="3"/>
        <v>29328020.558354661</v>
      </c>
      <c r="N15" s="54">
        <f t="shared" si="4"/>
        <v>23754236.007176153</v>
      </c>
      <c r="O15" s="54">
        <f t="shared" si="5"/>
        <v>108445623.7440249</v>
      </c>
      <c r="P15" s="54">
        <f t="shared" si="6"/>
        <v>2093689.4565186005</v>
      </c>
      <c r="Q15" s="54">
        <f t="shared" si="6"/>
        <v>18624224.500551958</v>
      </c>
      <c r="R15" s="54">
        <f t="shared" si="6"/>
        <v>0</v>
      </c>
      <c r="S15" s="54">
        <f t="shared" si="6"/>
        <v>0</v>
      </c>
      <c r="T15" s="54">
        <f t="shared" si="6"/>
        <v>0</v>
      </c>
      <c r="U15" s="239">
        <f t="shared" si="7"/>
        <v>182245794.26662627</v>
      </c>
      <c r="X15" s="54"/>
      <c r="Y15" s="54"/>
    </row>
    <row r="16" spans="1:25" x14ac:dyDescent="0.25">
      <c r="A16" s="237">
        <v>2018</v>
      </c>
      <c r="B16" s="240">
        <f>A16</f>
        <v>2018</v>
      </c>
      <c r="C16" s="64">
        <v>5644789.1443343516</v>
      </c>
      <c r="D16" s="64">
        <v>3430376.2776883431</v>
      </c>
      <c r="E16" s="64">
        <v>11296360.029707789</v>
      </c>
      <c r="F16" s="64">
        <v>0</v>
      </c>
      <c r="G16" s="64">
        <v>3473826.500161285</v>
      </c>
      <c r="H16" s="64"/>
      <c r="I16" s="64"/>
      <c r="J16" s="64"/>
      <c r="K16" s="239">
        <f t="shared" ref="K16:K25" si="9">SUM(C16:J16)</f>
        <v>23845351.951891769</v>
      </c>
      <c r="L16" s="237">
        <f t="shared" si="8"/>
        <v>2026</v>
      </c>
      <c r="M16" s="54">
        <f t="shared" si="3"/>
        <v>33840230.656299822</v>
      </c>
      <c r="N16" s="54">
        <f t="shared" si="4"/>
        <v>31960931.004376169</v>
      </c>
      <c r="O16" s="54">
        <f t="shared" si="5"/>
        <v>130409334.60519165</v>
      </c>
      <c r="P16" s="54">
        <f t="shared" si="6"/>
        <v>2743355.0299790641</v>
      </c>
      <c r="Q16" s="54">
        <f t="shared" si="6"/>
        <v>19835336.225818478</v>
      </c>
      <c r="R16" s="54">
        <f t="shared" si="6"/>
        <v>0</v>
      </c>
      <c r="S16" s="54">
        <f t="shared" si="6"/>
        <v>0</v>
      </c>
      <c r="T16" s="54">
        <f t="shared" si="6"/>
        <v>0</v>
      </c>
      <c r="U16" s="239">
        <f t="shared" si="7"/>
        <v>218789187.52166519</v>
      </c>
      <c r="X16" s="54"/>
      <c r="Y16" s="54"/>
    </row>
    <row r="17" spans="1:24" x14ac:dyDescent="0.25">
      <c r="B17" s="238">
        <f>B16+1</f>
        <v>2019</v>
      </c>
      <c r="C17" s="64">
        <v>4277772.769980914</v>
      </c>
      <c r="D17" s="64">
        <v>3303400.807274715</v>
      </c>
      <c r="E17" s="64">
        <v>11296360.029707789</v>
      </c>
      <c r="F17" s="64">
        <v>0</v>
      </c>
      <c r="G17" s="64">
        <v>3473826.500161285</v>
      </c>
      <c r="H17" s="64"/>
      <c r="I17" s="64"/>
      <c r="J17" s="64"/>
      <c r="K17" s="239">
        <f t="shared" si="9"/>
        <v>22351360.107124705</v>
      </c>
      <c r="L17" s="237">
        <f t="shared" si="8"/>
        <v>2027</v>
      </c>
      <c r="M17" s="54">
        <f>SUMIFS(C:C,$B:$B,$L17)-SUMIFS(C:C,$A:$A,$L17)/2</f>
        <v>31435602.24294097</v>
      </c>
      <c r="N17" s="54">
        <f t="shared" si="4"/>
        <v>26399384.564339019</v>
      </c>
      <c r="O17" s="54">
        <f t="shared" si="5"/>
        <v>111574265.75886767</v>
      </c>
      <c r="P17" s="54">
        <f t="shared" si="6"/>
        <v>2239627.497429145</v>
      </c>
      <c r="Q17" s="54">
        <f t="shared" si="6"/>
        <v>18173092.183363464</v>
      </c>
      <c r="R17" s="54">
        <f t="shared" si="6"/>
        <v>0</v>
      </c>
      <c r="S17" s="54">
        <f t="shared" si="6"/>
        <v>0</v>
      </c>
      <c r="T17" s="54">
        <f t="shared" si="6"/>
        <v>0</v>
      </c>
      <c r="U17" s="239">
        <f t="shared" si="7"/>
        <v>189821972.24694026</v>
      </c>
    </row>
    <row r="18" spans="1:24" x14ac:dyDescent="0.25">
      <c r="B18" s="238">
        <f t="shared" ref="B18:B25" si="10">B17+1</f>
        <v>2020</v>
      </c>
      <c r="C18" s="64">
        <v>4277772.769980914</v>
      </c>
      <c r="D18" s="64">
        <v>3039318.1354076886</v>
      </c>
      <c r="E18" s="64">
        <v>11240498.352978937</v>
      </c>
      <c r="F18" s="64">
        <v>0</v>
      </c>
      <c r="G18" s="64">
        <v>3456648.0663601495</v>
      </c>
      <c r="H18" s="64"/>
      <c r="I18" s="64"/>
      <c r="J18" s="64"/>
      <c r="K18" s="239">
        <f t="shared" si="9"/>
        <v>22014237.324727688</v>
      </c>
      <c r="M18" s="54"/>
      <c r="N18" s="54"/>
      <c r="O18" s="54"/>
      <c r="P18" s="54"/>
      <c r="Q18" s="54"/>
      <c r="R18" s="54"/>
      <c r="S18" s="54"/>
      <c r="T18" s="54"/>
      <c r="U18" s="239"/>
    </row>
    <row r="19" spans="1:24" x14ac:dyDescent="0.25">
      <c r="B19" s="238">
        <f t="shared" si="10"/>
        <v>2021</v>
      </c>
      <c r="C19" s="64">
        <v>4277772.769980914</v>
      </c>
      <c r="D19" s="64">
        <v>3037245.6249046996</v>
      </c>
      <c r="E19" s="64">
        <v>11240498.352978937</v>
      </c>
      <c r="F19" s="64">
        <v>0</v>
      </c>
      <c r="G19" s="64">
        <v>3456648.0663601495</v>
      </c>
      <c r="H19" s="64"/>
      <c r="I19" s="64"/>
      <c r="J19" s="64"/>
      <c r="K19" s="239">
        <f t="shared" si="9"/>
        <v>22012164.814224701</v>
      </c>
      <c r="X19" s="239"/>
    </row>
    <row r="20" spans="1:24" x14ac:dyDescent="0.25">
      <c r="B20" s="238">
        <f t="shared" si="10"/>
        <v>2022</v>
      </c>
      <c r="C20" s="64">
        <v>4277772.769980914</v>
      </c>
      <c r="D20" s="64">
        <v>3037245.6249046996</v>
      </c>
      <c r="E20" s="64">
        <v>11240498.352978937</v>
      </c>
      <c r="F20" s="64">
        <v>0</v>
      </c>
      <c r="G20" s="64">
        <v>3456648.0663601495</v>
      </c>
      <c r="H20" s="64"/>
      <c r="I20" s="64"/>
      <c r="J20" s="64"/>
      <c r="K20" s="239">
        <f t="shared" si="9"/>
        <v>22012164.814224701</v>
      </c>
      <c r="M20" s="54"/>
      <c r="N20" s="54"/>
      <c r="O20" s="54"/>
      <c r="P20" s="54"/>
      <c r="Q20" s="54"/>
      <c r="R20" s="54"/>
      <c r="S20" s="54"/>
      <c r="T20" s="54"/>
      <c r="U20" s="239"/>
    </row>
    <row r="21" spans="1:24" x14ac:dyDescent="0.25">
      <c r="B21" s="238">
        <f t="shared" si="10"/>
        <v>2023</v>
      </c>
      <c r="C21" s="64">
        <v>4277772.769980914</v>
      </c>
      <c r="D21" s="64">
        <v>3037182.6667646263</v>
      </c>
      <c r="E21" s="64">
        <v>11240197.991740011</v>
      </c>
      <c r="F21" s="64">
        <v>0</v>
      </c>
      <c r="G21" s="64">
        <v>3456555.7000732524</v>
      </c>
      <c r="H21" s="64"/>
      <c r="I21" s="64"/>
      <c r="J21" s="64"/>
      <c r="K21" s="239">
        <f t="shared" si="9"/>
        <v>22011709.128558803</v>
      </c>
      <c r="M21" s="54"/>
      <c r="N21" s="54"/>
      <c r="O21" s="54"/>
      <c r="P21" s="54"/>
      <c r="Q21" s="54"/>
      <c r="R21" s="54"/>
      <c r="S21" s="54"/>
      <c r="T21" s="54"/>
      <c r="U21" s="239"/>
    </row>
    <row r="22" spans="1:24" x14ac:dyDescent="0.25">
      <c r="B22" s="238">
        <f t="shared" si="10"/>
        <v>2024</v>
      </c>
      <c r="C22" s="64">
        <v>4277772.769980914</v>
      </c>
      <c r="D22" s="64">
        <v>2825545.1740666684</v>
      </c>
      <c r="E22" s="64">
        <v>10591184.410802295</v>
      </c>
      <c r="F22" s="64">
        <v>0</v>
      </c>
      <c r="G22" s="64">
        <v>3256972.7750870758</v>
      </c>
      <c r="H22" s="64"/>
      <c r="I22" s="64"/>
      <c r="J22" s="64"/>
      <c r="K22" s="239">
        <f t="shared" si="9"/>
        <v>20951475.129936956</v>
      </c>
      <c r="M22" s="54"/>
      <c r="N22" s="54"/>
      <c r="O22" s="54"/>
      <c r="P22" s="54"/>
      <c r="Q22" s="54"/>
      <c r="R22" s="54"/>
      <c r="S22" s="54"/>
      <c r="T22" s="54"/>
      <c r="U22" s="239"/>
    </row>
    <row r="23" spans="1:24" x14ac:dyDescent="0.25">
      <c r="B23" s="238">
        <f t="shared" si="10"/>
        <v>2025</v>
      </c>
      <c r="C23" s="64">
        <v>4277617.9786812551</v>
      </c>
      <c r="D23" s="64">
        <v>2817464.0249290536</v>
      </c>
      <c r="E23" s="64">
        <v>10553470.711518168</v>
      </c>
      <c r="F23" s="64">
        <v>0</v>
      </c>
      <c r="G23" s="64">
        <v>3245375.1588949775</v>
      </c>
      <c r="H23" s="64"/>
      <c r="I23" s="64"/>
      <c r="J23" s="64"/>
      <c r="K23" s="239">
        <f t="shared" si="9"/>
        <v>20893927.874023456</v>
      </c>
    </row>
    <row r="24" spans="1:24" x14ac:dyDescent="0.25">
      <c r="B24" s="238">
        <f t="shared" si="10"/>
        <v>2026</v>
      </c>
      <c r="C24" s="64">
        <v>4277617.9786812551</v>
      </c>
      <c r="D24" s="64">
        <v>2717186.7060236307</v>
      </c>
      <c r="E24" s="64">
        <v>10349804.653775422</v>
      </c>
      <c r="F24" s="64">
        <v>0</v>
      </c>
      <c r="G24" s="64">
        <v>3182744.3161536423</v>
      </c>
      <c r="H24" s="64"/>
      <c r="I24" s="64"/>
      <c r="J24" s="64"/>
      <c r="K24" s="239">
        <f t="shared" si="9"/>
        <v>20527353.65463395</v>
      </c>
      <c r="M24" s="237" t="s">
        <v>421</v>
      </c>
      <c r="W24" s="54"/>
    </row>
    <row r="25" spans="1:24" x14ac:dyDescent="0.25">
      <c r="B25" s="238">
        <f t="shared" si="10"/>
        <v>2027</v>
      </c>
      <c r="C25" s="64">
        <v>4275073.5708322246</v>
      </c>
      <c r="D25" s="64">
        <v>2577814.3394426354</v>
      </c>
      <c r="E25" s="64">
        <v>9684885.7624441423</v>
      </c>
      <c r="F25" s="64">
        <v>0</v>
      </c>
      <c r="G25" s="64">
        <v>2978270.2325470657</v>
      </c>
      <c r="H25" s="64"/>
      <c r="I25" s="64"/>
      <c r="J25" s="64"/>
      <c r="K25" s="239">
        <f t="shared" si="9"/>
        <v>19516043.905266069</v>
      </c>
      <c r="M25" s="54"/>
      <c r="W25" s="54"/>
    </row>
    <row r="26" spans="1:24" x14ac:dyDescent="0.25">
      <c r="C26" s="64"/>
      <c r="D26" s="64"/>
      <c r="E26" s="64"/>
      <c r="F26" s="64"/>
      <c r="G26" s="64"/>
      <c r="H26" s="64"/>
      <c r="I26" s="64"/>
      <c r="J26" s="64"/>
      <c r="K26" s="239"/>
      <c r="M26" s="237" t="str">
        <f t="shared" ref="M26:T26" si="11">M5</f>
        <v>Residential</v>
      </c>
      <c r="N26" s="237" t="str">
        <f t="shared" si="11"/>
        <v>GS&lt;50 kW</v>
      </c>
      <c r="O26" s="237" t="str">
        <f t="shared" si="11"/>
        <v>GS 50 - 4,999 kW</v>
      </c>
      <c r="P26" s="237" t="str">
        <f t="shared" si="11"/>
        <v>Co-Generation 1,000 - 4,999 kW</v>
      </c>
      <c r="Q26" s="237" t="str">
        <f t="shared" si="11"/>
        <v>Large User</v>
      </c>
      <c r="R26" s="237" t="str">
        <f t="shared" si="11"/>
        <v>Street Lighting</v>
      </c>
      <c r="S26" s="237" t="str">
        <f t="shared" si="11"/>
        <v>Sentinel Lighting</v>
      </c>
      <c r="T26" s="237" t="str">
        <f t="shared" si="11"/>
        <v>Unmetered Scattered Load</v>
      </c>
      <c r="W26" s="54"/>
    </row>
    <row r="27" spans="1:24" x14ac:dyDescent="0.25">
      <c r="A27" s="237">
        <v>2019</v>
      </c>
      <c r="B27" s="240">
        <f>A27</f>
        <v>2019</v>
      </c>
      <c r="C27" s="64">
        <v>0</v>
      </c>
      <c r="D27" s="64">
        <v>1731529.8762000764</v>
      </c>
      <c r="E27" s="64">
        <v>10683684.705400934</v>
      </c>
      <c r="F27" s="64">
        <v>0</v>
      </c>
      <c r="G27" s="64">
        <v>390557.97671037383</v>
      </c>
      <c r="H27" s="64"/>
      <c r="I27" s="64"/>
      <c r="J27" s="64"/>
      <c r="K27" s="239">
        <f t="shared" ref="K27:K34" si="12">SUM(C27:J27)</f>
        <v>12805772.558311384</v>
      </c>
      <c r="M27" s="54"/>
      <c r="N27" s="54"/>
      <c r="O27" s="54"/>
      <c r="P27" s="54"/>
      <c r="Q27" s="54"/>
      <c r="R27" s="54"/>
      <c r="S27" s="54"/>
      <c r="T27" s="54"/>
      <c r="U27" s="239"/>
      <c r="W27" s="54"/>
    </row>
    <row r="28" spans="1:24" x14ac:dyDescent="0.25">
      <c r="B28" s="238">
        <f t="shared" ref="B28:B82" si="13">B27+1</f>
        <v>2020</v>
      </c>
      <c r="C28" s="64">
        <v>0</v>
      </c>
      <c r="D28" s="64">
        <v>1524614.3534652947</v>
      </c>
      <c r="E28" s="245">
        <v>10683684.705400934</v>
      </c>
      <c r="F28" s="245">
        <v>0</v>
      </c>
      <c r="G28" s="245">
        <v>390557.97671037383</v>
      </c>
      <c r="H28" s="64"/>
      <c r="I28" s="245"/>
      <c r="J28" s="64"/>
      <c r="K28" s="239">
        <f t="shared" si="12"/>
        <v>12598857.035576602</v>
      </c>
      <c r="L28" s="237">
        <v>2025</v>
      </c>
      <c r="M28" s="54">
        <f>SUMIFS(C$4:C$82,$B$4:$B$82,$L28)-C80/2</f>
        <v>29328020.558354661</v>
      </c>
      <c r="N28" s="54">
        <f t="shared" ref="N28:T30" si="14">SUMIFS(D$4:D$82,$B$4:$B$82,$L28)-D80/2</f>
        <v>23754236.007176153</v>
      </c>
      <c r="O28" s="54">
        <f t="shared" si="14"/>
        <v>108445623.7440249</v>
      </c>
      <c r="P28" s="54">
        <f t="shared" si="14"/>
        <v>2093689.4565186005</v>
      </c>
      <c r="Q28" s="54">
        <f t="shared" si="14"/>
        <v>18624224.500551958</v>
      </c>
      <c r="R28" s="54">
        <f t="shared" si="14"/>
        <v>0</v>
      </c>
      <c r="S28" s="54">
        <f t="shared" si="14"/>
        <v>0</v>
      </c>
      <c r="T28" s="54">
        <f t="shared" si="14"/>
        <v>0</v>
      </c>
      <c r="U28" s="239">
        <f>SUM(M28:T28)</f>
        <v>182245794.26662627</v>
      </c>
      <c r="W28" s="54"/>
    </row>
    <row r="29" spans="1:24" x14ac:dyDescent="0.25">
      <c r="B29" s="238">
        <f t="shared" si="13"/>
        <v>2021</v>
      </c>
      <c r="C29" s="64">
        <v>0</v>
      </c>
      <c r="D29" s="64">
        <v>1113353.6745462792</v>
      </c>
      <c r="E29" s="64">
        <v>10630852.77195365</v>
      </c>
      <c r="F29" s="64">
        <v>0</v>
      </c>
      <c r="G29" s="64">
        <v>388626.62684355892</v>
      </c>
      <c r="H29" s="64"/>
      <c r="I29" s="64"/>
      <c r="J29" s="64"/>
      <c r="K29" s="239">
        <f t="shared" si="12"/>
        <v>12132833.073343487</v>
      </c>
      <c r="L29" s="237">
        <v>2026</v>
      </c>
      <c r="M29" s="54">
        <f>SUMIFS(C$4:C$82,$B$4:$B$82,$L29)-C81/2</f>
        <v>29012629.173568308</v>
      </c>
      <c r="N29" s="54">
        <f t="shared" si="14"/>
        <v>23244976.126819007</v>
      </c>
      <c r="O29" s="54">
        <f t="shared" si="14"/>
        <v>106430996.34015176</v>
      </c>
      <c r="P29" s="54">
        <f t="shared" si="14"/>
        <v>2083110.6874357122</v>
      </c>
      <c r="Q29" s="54">
        <f t="shared" si="14"/>
        <v>18556243.339118406</v>
      </c>
      <c r="R29" s="54">
        <f t="shared" si="14"/>
        <v>0</v>
      </c>
      <c r="S29" s="54">
        <f t="shared" si="14"/>
        <v>0</v>
      </c>
      <c r="T29" s="54">
        <f t="shared" si="14"/>
        <v>0</v>
      </c>
      <c r="U29" s="239">
        <f>SUM(M29:T29)</f>
        <v>179327955.66709322</v>
      </c>
      <c r="W29" s="54"/>
    </row>
    <row r="30" spans="1:24" x14ac:dyDescent="0.25">
      <c r="B30" s="238">
        <f t="shared" si="13"/>
        <v>2022</v>
      </c>
      <c r="C30" s="64">
        <v>0</v>
      </c>
      <c r="D30" s="64">
        <v>1109976.3718853611</v>
      </c>
      <c r="E30" s="64">
        <v>10630852.77195365</v>
      </c>
      <c r="F30" s="64">
        <v>0</v>
      </c>
      <c r="G30" s="64">
        <v>388626.62684355892</v>
      </c>
      <c r="H30" s="64"/>
      <c r="I30" s="64"/>
      <c r="J30" s="64"/>
      <c r="K30" s="239">
        <f t="shared" si="12"/>
        <v>12129455.77068257</v>
      </c>
      <c r="L30" s="237">
        <v>2027</v>
      </c>
      <c r="M30" s="54">
        <f>SUMIFS(C$4:C$82,$B$4:$B$82,$L30)-C82/2</f>
        <v>28647898.98121253</v>
      </c>
      <c r="N30" s="54">
        <f t="shared" si="14"/>
        <v>22219399.481789052</v>
      </c>
      <c r="O30" s="54">
        <f t="shared" si="14"/>
        <v>98970453.156509027</v>
      </c>
      <c r="P30" s="54">
        <f t="shared" si="14"/>
        <v>1934101.4795512659</v>
      </c>
      <c r="Q30" s="54">
        <f t="shared" si="14"/>
        <v>17585721.948146097</v>
      </c>
      <c r="R30" s="54">
        <f t="shared" si="14"/>
        <v>0</v>
      </c>
      <c r="S30" s="54">
        <f t="shared" si="14"/>
        <v>0</v>
      </c>
      <c r="T30" s="54">
        <f t="shared" si="14"/>
        <v>0</v>
      </c>
      <c r="U30" s="239">
        <f>SUM(M30:T30)</f>
        <v>169357575.04720795</v>
      </c>
    </row>
    <row r="31" spans="1:24" ht="13.9" customHeight="1" x14ac:dyDescent="0.25">
      <c r="B31" s="238">
        <f t="shared" si="13"/>
        <v>2023</v>
      </c>
      <c r="C31" s="64">
        <v>0</v>
      </c>
      <c r="D31" s="64">
        <v>1109976.3718853611</v>
      </c>
      <c r="E31" s="64">
        <v>10630852.77195365</v>
      </c>
      <c r="F31" s="64">
        <v>0</v>
      </c>
      <c r="G31" s="64">
        <v>388626.62684355892</v>
      </c>
      <c r="H31" s="64"/>
      <c r="I31" s="64"/>
      <c r="J31" s="64"/>
      <c r="K31" s="239">
        <f t="shared" si="12"/>
        <v>12129455.77068257</v>
      </c>
      <c r="M31" s="242"/>
      <c r="N31" s="243"/>
      <c r="O31" s="243"/>
      <c r="P31" s="243"/>
      <c r="Q31" s="243"/>
      <c r="R31" s="243"/>
    </row>
    <row r="32" spans="1:24" x14ac:dyDescent="0.25">
      <c r="B32" s="238">
        <f t="shared" si="13"/>
        <v>2024</v>
      </c>
      <c r="C32" s="64">
        <v>0</v>
      </c>
      <c r="D32" s="64">
        <v>1109976.3718853611</v>
      </c>
      <c r="E32" s="64">
        <v>10630568.701264864</v>
      </c>
      <c r="F32" s="64">
        <v>0</v>
      </c>
      <c r="G32" s="64">
        <v>388616.24221723259</v>
      </c>
      <c r="H32" s="64"/>
      <c r="I32" s="64"/>
      <c r="J32" s="64"/>
      <c r="K32" s="239">
        <f t="shared" si="12"/>
        <v>12129161.315367458</v>
      </c>
      <c r="M32" s="243"/>
      <c r="N32" s="243"/>
      <c r="O32" s="243"/>
      <c r="P32" s="243"/>
      <c r="Q32" s="243"/>
      <c r="R32" s="243"/>
    </row>
    <row r="33" spans="1:23" x14ac:dyDescent="0.25">
      <c r="B33" s="238">
        <f t="shared" si="13"/>
        <v>2025</v>
      </c>
      <c r="C33" s="64">
        <v>0</v>
      </c>
      <c r="D33" s="64">
        <v>986782.4343801575</v>
      </c>
      <c r="E33" s="64">
        <v>10016755.362275427</v>
      </c>
      <c r="F33" s="64">
        <v>0</v>
      </c>
      <c r="G33" s="64">
        <v>366177.38311908243</v>
      </c>
      <c r="H33" s="64"/>
      <c r="I33" s="64"/>
      <c r="J33" s="64"/>
      <c r="K33" s="239">
        <f t="shared" si="12"/>
        <v>11369715.179774666</v>
      </c>
      <c r="L33"/>
      <c r="M33" s="242"/>
      <c r="N33" s="243"/>
      <c r="O33" s="243"/>
      <c r="P33" s="243"/>
      <c r="Q33" s="243"/>
      <c r="R33" s="243"/>
    </row>
    <row r="34" spans="1:23" x14ac:dyDescent="0.25">
      <c r="B34" s="238">
        <f t="shared" si="13"/>
        <v>2026</v>
      </c>
      <c r="C34" s="64">
        <v>0</v>
      </c>
      <c r="D34" s="64">
        <v>986495.54296365893</v>
      </c>
      <c r="E34" s="64">
        <v>9981087.1230225805</v>
      </c>
      <c r="F34" s="64">
        <v>0</v>
      </c>
      <c r="G34" s="64">
        <v>364873.47760899458</v>
      </c>
      <c r="H34" s="64"/>
      <c r="I34" s="64"/>
      <c r="J34" s="64"/>
      <c r="K34" s="239">
        <f t="shared" si="12"/>
        <v>11332456.143595234</v>
      </c>
      <c r="L34"/>
      <c r="M34" s="243"/>
      <c r="N34" s="243"/>
      <c r="O34" s="243"/>
      <c r="P34" s="243"/>
      <c r="Q34" s="243"/>
      <c r="R34" s="243"/>
    </row>
    <row r="35" spans="1:23" x14ac:dyDescent="0.25">
      <c r="B35" s="238">
        <f t="shared" si="13"/>
        <v>2027</v>
      </c>
      <c r="C35" s="64">
        <v>0</v>
      </c>
      <c r="D35" s="64">
        <v>892653.00873552065</v>
      </c>
      <c r="E35" s="64">
        <v>9788467.2047132123</v>
      </c>
      <c r="F35" s="64">
        <v>0</v>
      </c>
      <c r="G35" s="64">
        <v>357831.97014752927</v>
      </c>
      <c r="H35" s="64"/>
      <c r="I35" s="64"/>
      <c r="J35" s="64"/>
      <c r="K35" s="239"/>
      <c r="L35"/>
      <c r="M35" s="243"/>
      <c r="N35" s="243"/>
      <c r="O35" s="243"/>
      <c r="P35" s="243"/>
      <c r="Q35" s="243"/>
      <c r="R35" s="243"/>
    </row>
    <row r="36" spans="1:23" x14ac:dyDescent="0.25">
      <c r="C36" s="64"/>
      <c r="D36" s="64"/>
      <c r="E36" s="64"/>
      <c r="F36" s="64"/>
      <c r="G36" s="64"/>
      <c r="H36" s="64"/>
      <c r="I36" s="64"/>
      <c r="J36" s="64"/>
      <c r="K36" s="239"/>
      <c r="L36"/>
      <c r="M36" s="243"/>
      <c r="N36" s="243"/>
      <c r="O36" s="243"/>
      <c r="P36" s="243"/>
      <c r="Q36" s="243"/>
      <c r="R36" s="243"/>
      <c r="S36" s="54"/>
      <c r="T36" s="54"/>
      <c r="U36" s="54"/>
      <c r="V36" s="54"/>
    </row>
    <row r="37" spans="1:23" x14ac:dyDescent="0.25">
      <c r="A37" s="237">
        <v>2020</v>
      </c>
      <c r="B37" s="240">
        <f>A37</f>
        <v>2020</v>
      </c>
      <c r="C37" s="54">
        <v>0</v>
      </c>
      <c r="D37" s="54">
        <v>0</v>
      </c>
      <c r="E37" s="54">
        <v>4717058.4778401349</v>
      </c>
      <c r="F37" s="54">
        <v>0</v>
      </c>
      <c r="G37" s="54">
        <v>0</v>
      </c>
      <c r="H37" s="54"/>
      <c r="I37" s="54"/>
      <c r="J37" s="54"/>
      <c r="K37" s="239">
        <f t="shared" ref="K37:K43" si="15">SUM(C37:J37)</f>
        <v>4717058.4778401349</v>
      </c>
      <c r="L37">
        <v>2017</v>
      </c>
      <c r="M37" s="243">
        <f>M7</f>
        <v>13614244.573406799</v>
      </c>
      <c r="N37" s="243">
        <f>N7</f>
        <v>2692518.4383375817</v>
      </c>
      <c r="O37" s="243">
        <f>O7</f>
        <v>19946744.37144316</v>
      </c>
      <c r="P37" s="243">
        <f>P7</f>
        <v>547033.97600574384</v>
      </c>
      <c r="Q37" s="243">
        <f>Q7</f>
        <v>33106.991338264612</v>
      </c>
      <c r="R37" s="243"/>
      <c r="S37" s="54"/>
      <c r="T37" s="54"/>
      <c r="U37" s="54"/>
      <c r="V37" s="54"/>
    </row>
    <row r="38" spans="1:23" x14ac:dyDescent="0.25">
      <c r="B38" s="238">
        <f t="shared" si="13"/>
        <v>2021</v>
      </c>
      <c r="C38" s="54">
        <v>0</v>
      </c>
      <c r="D38" s="54">
        <v>0</v>
      </c>
      <c r="E38" s="54">
        <v>4717058.4778401349</v>
      </c>
      <c r="F38" s="54">
        <v>0</v>
      </c>
      <c r="G38" s="54">
        <v>0</v>
      </c>
      <c r="H38" s="54"/>
      <c r="I38" s="54"/>
      <c r="J38" s="54"/>
      <c r="K38" s="239">
        <f t="shared" si="15"/>
        <v>4717058.4778401349</v>
      </c>
      <c r="L38">
        <f t="shared" ref="L38:L47" si="16">L8</f>
        <v>2018</v>
      </c>
      <c r="M38" s="243">
        <f>M8-M7</f>
        <v>10829637.580886116</v>
      </c>
      <c r="N38" s="243">
        <f t="shared" ref="M38:O47" si="17">N8-N7</f>
        <v>4570378.7051817533</v>
      </c>
      <c r="O38" s="243">
        <f t="shared" si="17"/>
        <v>26685869.896820746</v>
      </c>
      <c r="P38" s="243">
        <f t="shared" ref="P38:Q47" si="18">P8-P7</f>
        <v>592887.3374820532</v>
      </c>
      <c r="Q38" s="243">
        <f t="shared" si="18"/>
        <v>1770020.2414189072</v>
      </c>
      <c r="R38" s="243"/>
      <c r="S38" s="54" t="s">
        <v>323</v>
      </c>
      <c r="T38" s="54"/>
      <c r="U38" s="54"/>
      <c r="V38" s="54"/>
    </row>
    <row r="39" spans="1:23" x14ac:dyDescent="0.25">
      <c r="B39" s="238">
        <f t="shared" si="13"/>
        <v>2022</v>
      </c>
      <c r="C39" s="54">
        <v>0</v>
      </c>
      <c r="D39" s="54">
        <v>0</v>
      </c>
      <c r="E39" s="54">
        <v>4693732.1324415095</v>
      </c>
      <c r="F39" s="54">
        <v>0</v>
      </c>
      <c r="G39" s="54">
        <v>0</v>
      </c>
      <c r="H39" s="54"/>
      <c r="I39" s="54"/>
      <c r="J39" s="54"/>
      <c r="K39" s="239">
        <f t="shared" si="15"/>
        <v>4693732.1324415095</v>
      </c>
      <c r="L39">
        <f t="shared" si="16"/>
        <v>2019</v>
      </c>
      <c r="M39" s="243">
        <f t="shared" si="17"/>
        <v>1455378.1978137381</v>
      </c>
      <c r="N39" s="243">
        <f t="shared" si="17"/>
        <v>2441734.7042907011</v>
      </c>
      <c r="O39" s="243">
        <f t="shared" si="17"/>
        <v>10946083.343435749</v>
      </c>
      <c r="P39" s="243">
        <f t="shared" si="18"/>
        <v>-1355.0247622940224</v>
      </c>
      <c r="Q39" s="243">
        <f t="shared" si="18"/>
        <v>1931864.803396093</v>
      </c>
      <c r="R39" s="243"/>
      <c r="T39" s="54"/>
      <c r="U39" s="54"/>
      <c r="V39" s="54"/>
    </row>
    <row r="40" spans="1:23" x14ac:dyDescent="0.25">
      <c r="B40" s="238">
        <f t="shared" si="13"/>
        <v>2023</v>
      </c>
      <c r="C40" s="54">
        <v>0</v>
      </c>
      <c r="D40" s="54">
        <v>0</v>
      </c>
      <c r="E40" s="54">
        <v>4693732.1324415095</v>
      </c>
      <c r="F40" s="54">
        <v>0</v>
      </c>
      <c r="G40" s="54">
        <v>0</v>
      </c>
      <c r="H40" s="54"/>
      <c r="I40" s="54"/>
      <c r="J40" s="54"/>
      <c r="K40" s="239">
        <f t="shared" si="15"/>
        <v>4693732.1324415095</v>
      </c>
      <c r="L40">
        <f t="shared" si="16"/>
        <v>2020</v>
      </c>
      <c r="M40" s="243">
        <f t="shared" si="17"/>
        <v>0</v>
      </c>
      <c r="N40" s="243">
        <f t="shared" si="17"/>
        <v>394766.74349822849</v>
      </c>
      <c r="O40" s="243">
        <f t="shared" si="17"/>
        <v>7520346.9148916826</v>
      </c>
      <c r="P40" s="243">
        <f t="shared" si="18"/>
        <v>0</v>
      </c>
      <c r="Q40" s="243">
        <f t="shared" si="18"/>
        <v>178100.55455405125</v>
      </c>
      <c r="R40" s="243"/>
      <c r="U40" s="54"/>
      <c r="V40" s="54"/>
      <c r="W40" s="244"/>
    </row>
    <row r="41" spans="1:23" x14ac:dyDescent="0.25">
      <c r="B41" s="238">
        <f t="shared" si="13"/>
        <v>2024</v>
      </c>
      <c r="C41" s="54">
        <v>0</v>
      </c>
      <c r="D41" s="54">
        <v>0</v>
      </c>
      <c r="E41" s="54">
        <v>4693732.1324415095</v>
      </c>
      <c r="F41" s="54">
        <v>0</v>
      </c>
      <c r="G41" s="54">
        <v>0</v>
      </c>
      <c r="H41" s="54"/>
      <c r="I41" s="54"/>
      <c r="J41" s="54"/>
      <c r="K41" s="239">
        <f t="shared" si="15"/>
        <v>4693732.1324415095</v>
      </c>
      <c r="L41">
        <f t="shared" si="16"/>
        <v>2021</v>
      </c>
      <c r="M41" s="243">
        <f t="shared" si="17"/>
        <v>165627.42901334167</v>
      </c>
      <c r="N41" s="243">
        <f t="shared" si="17"/>
        <v>822605.85249196552</v>
      </c>
      <c r="O41" s="243">
        <f t="shared" si="17"/>
        <v>7428873.7642142102</v>
      </c>
      <c r="P41" s="243">
        <f t="shared" si="18"/>
        <v>0</v>
      </c>
      <c r="Q41" s="243">
        <f t="shared" si="18"/>
        <v>6529788.1873860108</v>
      </c>
      <c r="R41" s="243"/>
      <c r="V41" s="54"/>
    </row>
    <row r="42" spans="1:23" x14ac:dyDescent="0.25">
      <c r="B42" s="238">
        <f t="shared" si="13"/>
        <v>2025</v>
      </c>
      <c r="C42" s="54">
        <v>0</v>
      </c>
      <c r="D42" s="54">
        <v>0</v>
      </c>
      <c r="E42" s="54">
        <v>4693606.7096039969</v>
      </c>
      <c r="F42" s="54">
        <v>0</v>
      </c>
      <c r="G42" s="54">
        <v>0</v>
      </c>
      <c r="H42" s="54"/>
      <c r="I42" s="54"/>
      <c r="J42" s="54"/>
      <c r="K42" s="239">
        <f t="shared" si="15"/>
        <v>4693606.7096039969</v>
      </c>
      <c r="L42">
        <f t="shared" si="16"/>
        <v>2022</v>
      </c>
      <c r="M42" s="243">
        <f t="shared" si="17"/>
        <v>268381.57472926378</v>
      </c>
      <c r="N42" s="243">
        <f t="shared" si="17"/>
        <v>2898844.2064596061</v>
      </c>
      <c r="O42" s="243">
        <f t="shared" si="17"/>
        <v>11572139.134296954</v>
      </c>
      <c r="P42" s="243">
        <f t="shared" si="18"/>
        <v>149634.46447657654</v>
      </c>
      <c r="Q42" s="243">
        <f t="shared" si="18"/>
        <v>6930388.6150015704</v>
      </c>
      <c r="R42" s="243"/>
    </row>
    <row r="43" spans="1:23" x14ac:dyDescent="0.25">
      <c r="B43" s="238">
        <f t="shared" si="13"/>
        <v>2026</v>
      </c>
      <c r="C43" s="54">
        <v>0</v>
      </c>
      <c r="D43" s="54">
        <v>0</v>
      </c>
      <c r="E43" s="54">
        <v>4408044.2796139484</v>
      </c>
      <c r="F43" s="54">
        <v>0</v>
      </c>
      <c r="G43" s="54">
        <v>0</v>
      </c>
      <c r="H43" s="54"/>
      <c r="I43" s="54"/>
      <c r="J43" s="54"/>
      <c r="K43" s="239">
        <f t="shared" si="15"/>
        <v>4408044.2796139484</v>
      </c>
      <c r="L43">
        <f t="shared" si="16"/>
        <v>2023</v>
      </c>
      <c r="M43" s="243">
        <f t="shared" si="17"/>
        <v>303732.59587840363</v>
      </c>
      <c r="N43" s="243">
        <f t="shared" si="17"/>
        <v>2909988.9771765694</v>
      </c>
      <c r="O43" s="243">
        <f t="shared" si="17"/>
        <v>6561494.1151882261</v>
      </c>
      <c r="P43" s="243">
        <f t="shared" si="18"/>
        <v>251467.45124473958</v>
      </c>
      <c r="Q43" s="243">
        <f t="shared" si="18"/>
        <v>432049.83510893583</v>
      </c>
      <c r="R43" s="243"/>
    </row>
    <row r="44" spans="1:23" x14ac:dyDescent="0.25">
      <c r="B44" s="238">
        <f t="shared" si="13"/>
        <v>2027</v>
      </c>
      <c r="C44" s="54">
        <v>0</v>
      </c>
      <c r="D44" s="54">
        <v>0</v>
      </c>
      <c r="E44" s="54">
        <v>4371064.1049889661</v>
      </c>
      <c r="F44" s="54">
        <v>0</v>
      </c>
      <c r="G44" s="54">
        <v>0</v>
      </c>
      <c r="H44" s="54"/>
      <c r="I44" s="54"/>
      <c r="J44" s="54"/>
      <c r="K44" s="239"/>
      <c r="L44">
        <f t="shared" si="16"/>
        <v>2024</v>
      </c>
      <c r="M44" s="243">
        <f t="shared" si="17"/>
        <v>900296.37385899201</v>
      </c>
      <c r="N44" s="243">
        <f t="shared" si="17"/>
        <v>3238883.9642698374</v>
      </c>
      <c r="O44" s="243">
        <f t="shared" si="17"/>
        <v>7704660.2500397116</v>
      </c>
      <c r="P44" s="243">
        <f t="shared" si="18"/>
        <v>239833.69216706743</v>
      </c>
      <c r="Q44" s="243">
        <f t="shared" si="18"/>
        <v>234646.75094857812</v>
      </c>
      <c r="R44" s="243"/>
    </row>
    <row r="45" spans="1:23" x14ac:dyDescent="0.25">
      <c r="C45" s="54"/>
      <c r="D45" s="54"/>
      <c r="E45" s="54"/>
      <c r="F45" s="54"/>
      <c r="G45" s="54"/>
      <c r="H45" s="54"/>
      <c r="I45" s="54"/>
      <c r="J45" s="54"/>
      <c r="K45" s="239"/>
      <c r="L45">
        <f t="shared" si="16"/>
        <v>2025</v>
      </c>
      <c r="M45" s="243">
        <f t="shared" si="17"/>
        <v>1790722.2327680066</v>
      </c>
      <c r="N45" s="243">
        <f t="shared" si="17"/>
        <v>3784514.4154699109</v>
      </c>
      <c r="O45" s="243">
        <f t="shared" si="17"/>
        <v>10079411.953694463</v>
      </c>
      <c r="P45" s="243">
        <f t="shared" si="18"/>
        <v>314187.55990471388</v>
      </c>
      <c r="Q45" s="243">
        <f t="shared" si="18"/>
        <v>584258.52139954641</v>
      </c>
      <c r="R45" s="243"/>
    </row>
    <row r="46" spans="1:23" x14ac:dyDescent="0.25">
      <c r="A46" s="237">
        <v>2021</v>
      </c>
      <c r="B46" s="240">
        <f>A46</f>
        <v>2021</v>
      </c>
      <c r="C46" s="54">
        <v>0</v>
      </c>
      <c r="D46" s="54">
        <v>0</v>
      </c>
      <c r="E46" s="54">
        <v>764973.31273657293</v>
      </c>
      <c r="F46" s="54">
        <v>0</v>
      </c>
      <c r="G46" s="54">
        <v>0</v>
      </c>
      <c r="H46" s="54"/>
      <c r="I46" s="54"/>
      <c r="J46" s="54"/>
      <c r="K46" s="239">
        <f t="shared" ref="K46:K52" si="19">SUM(C46:J46)</f>
        <v>764973.31273657293</v>
      </c>
      <c r="L46">
        <f t="shared" si="16"/>
        <v>2026</v>
      </c>
      <c r="M46" s="243">
        <f t="shared" si="17"/>
        <v>4512210.0979451612</v>
      </c>
      <c r="N46" s="243">
        <f t="shared" si="17"/>
        <v>8206694.9972000159</v>
      </c>
      <c r="O46" s="243">
        <f t="shared" si="17"/>
        <v>21963710.861166745</v>
      </c>
      <c r="P46" s="243">
        <f t="shared" si="18"/>
        <v>649665.57346046367</v>
      </c>
      <c r="Q46" s="243">
        <f t="shared" si="18"/>
        <v>1211111.7252665199</v>
      </c>
      <c r="R46" s="243"/>
    </row>
    <row r="47" spans="1:23" x14ac:dyDescent="0.25">
      <c r="B47" s="238">
        <f t="shared" ref="B47:B52" si="20">B46+1</f>
        <v>2022</v>
      </c>
      <c r="C47" s="54">
        <v>0</v>
      </c>
      <c r="D47" s="54">
        <v>0</v>
      </c>
      <c r="E47" s="54">
        <v>764973.31273657293</v>
      </c>
      <c r="F47" s="54">
        <v>0</v>
      </c>
      <c r="G47" s="54">
        <v>0</v>
      </c>
      <c r="H47" s="54"/>
      <c r="I47" s="54"/>
      <c r="J47" s="54"/>
      <c r="K47" s="239">
        <f t="shared" si="19"/>
        <v>764973.31273657293</v>
      </c>
      <c r="L47">
        <f t="shared" si="16"/>
        <v>2027</v>
      </c>
      <c r="M47" s="243">
        <f>M17-M16</f>
        <v>-2404628.4133588523</v>
      </c>
      <c r="N47" s="243">
        <f t="shared" si="17"/>
        <v>-5561546.4400371499</v>
      </c>
      <c r="O47" s="243">
        <f t="shared" si="17"/>
        <v>-18835068.846323982</v>
      </c>
      <c r="P47" s="243">
        <f t="shared" si="18"/>
        <v>-503727.53254991909</v>
      </c>
      <c r="Q47" s="243">
        <f t="shared" si="18"/>
        <v>-1662244.0424550138</v>
      </c>
      <c r="R47" s="243"/>
    </row>
    <row r="48" spans="1:23" x14ac:dyDescent="0.25">
      <c r="B48" s="238">
        <f t="shared" si="20"/>
        <v>2023</v>
      </c>
      <c r="C48" s="54">
        <v>0</v>
      </c>
      <c r="D48" s="54">
        <v>0</v>
      </c>
      <c r="E48" s="54">
        <v>761190.44004219095</v>
      </c>
      <c r="F48" s="54">
        <v>0</v>
      </c>
      <c r="G48" s="54">
        <v>0</v>
      </c>
      <c r="H48" s="54"/>
      <c r="I48" s="54"/>
      <c r="J48" s="54"/>
      <c r="K48" s="239">
        <f t="shared" si="19"/>
        <v>761190.44004219095</v>
      </c>
    </row>
    <row r="49" spans="1:11" x14ac:dyDescent="0.25">
      <c r="B49" s="238">
        <f t="shared" si="20"/>
        <v>2024</v>
      </c>
      <c r="C49" s="54">
        <v>0</v>
      </c>
      <c r="D49" s="54">
        <v>0</v>
      </c>
      <c r="E49" s="54">
        <v>761190.44004219095</v>
      </c>
      <c r="F49" s="54">
        <v>0</v>
      </c>
      <c r="G49" s="54">
        <v>0</v>
      </c>
      <c r="H49" s="54"/>
      <c r="I49" s="54"/>
      <c r="J49" s="54"/>
      <c r="K49" s="239">
        <f t="shared" si="19"/>
        <v>761190.44004219095</v>
      </c>
    </row>
    <row r="50" spans="1:11" x14ac:dyDescent="0.25">
      <c r="B50" s="238">
        <f t="shared" si="20"/>
        <v>2025</v>
      </c>
      <c r="C50" s="54">
        <v>0</v>
      </c>
      <c r="D50" s="54">
        <v>0</v>
      </c>
      <c r="E50" s="54">
        <v>761190.44004219095</v>
      </c>
      <c r="F50" s="54">
        <v>0</v>
      </c>
      <c r="G50" s="54">
        <v>0</v>
      </c>
      <c r="H50" s="54"/>
      <c r="I50" s="54"/>
      <c r="J50" s="54"/>
      <c r="K50" s="239">
        <f t="shared" si="19"/>
        <v>761190.44004219095</v>
      </c>
    </row>
    <row r="51" spans="1:11" x14ac:dyDescent="0.25">
      <c r="B51" s="238">
        <f t="shared" si="20"/>
        <v>2026</v>
      </c>
      <c r="C51" s="54">
        <v>0</v>
      </c>
      <c r="D51" s="54">
        <v>0</v>
      </c>
      <c r="E51" s="54">
        <v>761170.10000952973</v>
      </c>
      <c r="F51" s="54">
        <v>0</v>
      </c>
      <c r="G51" s="54">
        <v>0</v>
      </c>
      <c r="H51" s="54"/>
      <c r="I51" s="54"/>
      <c r="J51" s="54"/>
      <c r="K51" s="239">
        <f t="shared" si="19"/>
        <v>761170.10000952973</v>
      </c>
    </row>
    <row r="52" spans="1:11" x14ac:dyDescent="0.25">
      <c r="B52" s="238">
        <f t="shared" si="20"/>
        <v>2027</v>
      </c>
      <c r="C52" s="54">
        <v>0</v>
      </c>
      <c r="D52" s="54">
        <v>0</v>
      </c>
      <c r="E52" s="54">
        <v>717219.83039035276</v>
      </c>
      <c r="F52" s="54">
        <v>0</v>
      </c>
      <c r="G52" s="54">
        <v>0</v>
      </c>
      <c r="H52" s="54"/>
      <c r="I52" s="54"/>
      <c r="J52" s="54"/>
      <c r="K52" s="239">
        <f t="shared" si="19"/>
        <v>717219.83039035276</v>
      </c>
    </row>
    <row r="53" spans="1:11" x14ac:dyDescent="0.25">
      <c r="C53" s="54"/>
      <c r="D53" s="54"/>
      <c r="E53" s="54"/>
      <c r="F53" s="54"/>
      <c r="G53" s="54"/>
      <c r="H53" s="54"/>
      <c r="I53" s="54"/>
      <c r="J53" s="54"/>
      <c r="K53" s="239"/>
    </row>
    <row r="54" spans="1:11" x14ac:dyDescent="0.25">
      <c r="A54" s="237">
        <v>2021</v>
      </c>
      <c r="B54" s="240">
        <f>A54</f>
        <v>2021</v>
      </c>
      <c r="C54" s="54">
        <f>'CDM-eDSM Framework'!P46</f>
        <v>336586.85802668828</v>
      </c>
      <c r="D54" s="54">
        <f>'CDM-eDSM Framework'!P47</f>
        <v>2471878.0838279394</v>
      </c>
      <c r="E54" s="54">
        <f>'CDM-eDSM Framework'!P48</f>
        <v>9481379.6047462896</v>
      </c>
      <c r="F54" s="54">
        <f>'CDM-eDSM Framework'!P51</f>
        <v>0</v>
      </c>
      <c r="G54" s="54">
        <f>'CDM-eDSM Framework'!P52</f>
        <v>13063439.074505655</v>
      </c>
      <c r="H54" s="54"/>
      <c r="I54" s="54"/>
      <c r="J54" s="54"/>
      <c r="K54" s="239">
        <f t="shared" ref="K54:K59" si="21">SUM(C54:J54)</f>
        <v>25353283.621106572</v>
      </c>
    </row>
    <row r="55" spans="1:11" x14ac:dyDescent="0.25">
      <c r="B55" s="238">
        <f t="shared" si="13"/>
        <v>2022</v>
      </c>
      <c r="C55" s="54">
        <f>C$54*(SUM(C5,C17,C28,C38,C47)/SUM(C$4,C$16,C$27,C$37,C$46))</f>
        <v>265180.44808077905</v>
      </c>
      <c r="D55" s="54">
        <f>D$54*(SUM(D5,D17,D28,D38,D47)/SUM(D$4,D$16,D$27,D$37,D$46))</f>
        <v>2431749.6637661476</v>
      </c>
      <c r="E55" s="54">
        <f>E$54*(SUM(E5,E17,E28,E38,E47)/SUM(E$4,E$16,E$27,E$37,E$46))</f>
        <v>9634947.7393484525</v>
      </c>
      <c r="F55" s="54">
        <f>F$54*(SUM(F5,F17,F28,F38,F47)/SUM(F$4,F$16,F$27,F$37,F$46))</f>
        <v>0</v>
      </c>
      <c r="G55" s="54">
        <f>G$54*(SUM(G5,G17,G28,G38,G47)/SUM(G$4,G$16,G$27,G$37,G$46))</f>
        <v>13063439.074505655</v>
      </c>
      <c r="H55" s="54"/>
      <c r="I55" s="54"/>
      <c r="K55" s="239">
        <f t="shared" si="21"/>
        <v>25395316.925701037</v>
      </c>
    </row>
    <row r="56" spans="1:11" x14ac:dyDescent="0.25">
      <c r="B56" s="238">
        <f t="shared" si="13"/>
        <v>2023</v>
      </c>
      <c r="C56" s="54">
        <f t="shared" ref="C56:G60" si="22">C$54*(SUM(C6,C18,C29,C39,C48)/SUM(C$4,C$16,C$27,C$37,C$46))</f>
        <v>265180.44808077905</v>
      </c>
      <c r="D56" s="54">
        <f t="shared" si="22"/>
        <v>2270600.6573980595</v>
      </c>
      <c r="E56" s="54">
        <f t="shared" si="22"/>
        <v>9609646.1814659927</v>
      </c>
      <c r="F56" s="54">
        <f t="shared" si="22"/>
        <v>0</v>
      </c>
      <c r="G56" s="54">
        <f t="shared" si="22"/>
        <v>12998839.007879948</v>
      </c>
      <c r="H56" s="54"/>
      <c r="I56" s="54"/>
      <c r="K56" s="239">
        <f t="shared" si="21"/>
        <v>25144266.294824779</v>
      </c>
    </row>
    <row r="57" spans="1:11" x14ac:dyDescent="0.25">
      <c r="B57" s="238">
        <f t="shared" si="13"/>
        <v>2024</v>
      </c>
      <c r="C57" s="54">
        <f t="shared" si="22"/>
        <v>265180.44808077905</v>
      </c>
      <c r="D57" s="54">
        <f t="shared" si="22"/>
        <v>2269323.3893136694</v>
      </c>
      <c r="E57" s="54">
        <f t="shared" si="22"/>
        <v>9592168.241355624</v>
      </c>
      <c r="F57" s="54">
        <f t="shared" si="22"/>
        <v>0</v>
      </c>
      <c r="G57" s="54">
        <f t="shared" si="22"/>
        <v>12998839.007879948</v>
      </c>
      <c r="H57" s="54"/>
      <c r="I57" s="54"/>
      <c r="K57" s="239">
        <f t="shared" si="21"/>
        <v>25125511.08663002</v>
      </c>
    </row>
    <row r="58" spans="1:11" x14ac:dyDescent="0.25">
      <c r="B58" s="238">
        <f t="shared" si="13"/>
        <v>2025</v>
      </c>
      <c r="C58" s="54">
        <f t="shared" si="22"/>
        <v>265153.15112075116</v>
      </c>
      <c r="D58" s="54">
        <f t="shared" si="22"/>
        <v>2269323.3893136694</v>
      </c>
      <c r="E58" s="54">
        <f t="shared" si="22"/>
        <v>9592168.241355624</v>
      </c>
      <c r="F58" s="54">
        <f t="shared" si="22"/>
        <v>0</v>
      </c>
      <c r="G58" s="54">
        <f t="shared" si="22"/>
        <v>12998839.007879948</v>
      </c>
      <c r="H58" s="54"/>
      <c r="I58" s="54"/>
      <c r="K58" s="239">
        <f t="shared" si="21"/>
        <v>25125483.789669991</v>
      </c>
    </row>
    <row r="59" spans="1:11" x14ac:dyDescent="0.25">
      <c r="B59" s="238">
        <f t="shared" si="13"/>
        <v>2026</v>
      </c>
      <c r="C59" s="54">
        <f t="shared" si="22"/>
        <v>265088.02135228249</v>
      </c>
      <c r="D59" s="54">
        <f t="shared" si="22"/>
        <v>2240364.388580096</v>
      </c>
      <c r="E59" s="54">
        <f t="shared" si="22"/>
        <v>9474182.8847217765</v>
      </c>
      <c r="F59" s="54">
        <f t="shared" si="22"/>
        <v>0</v>
      </c>
      <c r="G59" s="54">
        <f t="shared" si="22"/>
        <v>12998491.661413059</v>
      </c>
      <c r="H59" s="54"/>
      <c r="I59" s="54"/>
      <c r="K59" s="239">
        <f t="shared" si="21"/>
        <v>24978126.956067212</v>
      </c>
    </row>
    <row r="60" spans="1:11" x14ac:dyDescent="0.25">
      <c r="B60" s="238">
        <f t="shared" si="13"/>
        <v>2027</v>
      </c>
      <c r="C60" s="54">
        <f t="shared" si="22"/>
        <v>265073.92796661076</v>
      </c>
      <c r="D60" s="54">
        <f t="shared" si="22"/>
        <v>2117941.695121346</v>
      </c>
      <c r="E60" s="54">
        <f t="shared" si="22"/>
        <v>8834879.2544263583</v>
      </c>
      <c r="F60" s="54">
        <f t="shared" si="22"/>
        <v>0</v>
      </c>
      <c r="G60" s="54">
        <f t="shared" si="22"/>
        <v>12242292.132997481</v>
      </c>
      <c r="I60" s="54"/>
      <c r="K60" s="239"/>
    </row>
    <row r="61" spans="1:11" x14ac:dyDescent="0.25">
      <c r="C61" s="54"/>
      <c r="D61" s="54"/>
      <c r="E61" s="54"/>
      <c r="F61" s="54"/>
      <c r="G61" s="54"/>
      <c r="I61" s="54"/>
    </row>
    <row r="62" spans="1:11" x14ac:dyDescent="0.25">
      <c r="A62" s="237">
        <v>2022</v>
      </c>
      <c r="B62" s="240">
        <f>A62</f>
        <v>2022</v>
      </c>
      <c r="C62" s="54">
        <f>'CDM-eDSM Framework'!Q46</f>
        <v>355711.11132365925</v>
      </c>
      <c r="D62" s="54">
        <f>'CDM-eDSM Framework'!Q47</f>
        <v>3659818.8316404619</v>
      </c>
      <c r="E62" s="54">
        <f>'CDM-eDSM Framework'!Q48</f>
        <v>14312313.461513493</v>
      </c>
      <c r="F62" s="54">
        <f>'CDM-eDSM Framework'!Q49</f>
        <v>368868.92099888297</v>
      </c>
      <c r="G62" s="54">
        <f>'CDM-eDSM Framework'!Q50</f>
        <v>797341.67665187805</v>
      </c>
      <c r="I62" s="54"/>
      <c r="K62" s="239">
        <f>SUM(C62:J62)</f>
        <v>19494054.002128374</v>
      </c>
    </row>
    <row r="63" spans="1:11" x14ac:dyDescent="0.25">
      <c r="B63" s="238">
        <f t="shared" si="13"/>
        <v>2023</v>
      </c>
      <c r="C63" s="54">
        <f>C$62*(SUM(C5,C17,C28,C38,C47)/SUM(C$4,C$16,C$27,C$37,C$46))</f>
        <v>280247.51899445971</v>
      </c>
      <c r="D63" s="54">
        <f>D$62*(SUM(D5,D17,D28,D38,D47)/SUM(D$4,D$16,D$27,D$37,D$46))</f>
        <v>3600405.4049075814</v>
      </c>
      <c r="E63" s="54">
        <f>E$62*(SUM(E5,E17,E28,E38,E47)/SUM(E$4,E$16,E$27,E$37,E$46))</f>
        <v>14544127.3295107</v>
      </c>
      <c r="F63" s="54">
        <f>F$62*(SUM(F5,F17,F28,F38,F47)/SUM(F$4,F$16,F$27,F$37,F$46))</f>
        <v>384328.54573319783</v>
      </c>
      <c r="G63" s="54">
        <f>G$62*(SUM(G5,G17,G28,G38,G47)/SUM(G$4,G$16,G$27,G$37,G$46))</f>
        <v>797341.67665187805</v>
      </c>
      <c r="I63" s="54"/>
      <c r="K63" s="239">
        <f>SUM(C63:J63)</f>
        <v>19606450.475797817</v>
      </c>
    </row>
    <row r="64" spans="1:11" x14ac:dyDescent="0.25">
      <c r="B64" s="238">
        <f t="shared" si="13"/>
        <v>2024</v>
      </c>
      <c r="C64" s="54">
        <f t="shared" ref="C64:E66" si="23">C$62*(SUM(C6,C18,C29,C39,C48)/SUM(C$4,C$16,C$27,C$37,C$46))</f>
        <v>280247.51899445971</v>
      </c>
      <c r="D64" s="54">
        <f t="shared" si="23"/>
        <v>3361811.0453942055</v>
      </c>
      <c r="E64" s="54">
        <f t="shared" si="23"/>
        <v>14505934.171703041</v>
      </c>
      <c r="F64" s="54">
        <f t="shared" ref="F64:G67" si="24">F$62*(SUM(F6,F18,F29,F39,F48)/SUM(F$4,F$16,F$27,F$37,F$46))</f>
        <v>383871.69429076667</v>
      </c>
      <c r="G64" s="54">
        <f t="shared" si="24"/>
        <v>793398.73902715358</v>
      </c>
      <c r="I64" s="54"/>
      <c r="K64" s="239">
        <f>SUM(C64:J64)</f>
        <v>19325263.169409629</v>
      </c>
    </row>
    <row r="65" spans="1:20" x14ac:dyDescent="0.25">
      <c r="B65" s="238">
        <f t="shared" si="13"/>
        <v>2025</v>
      </c>
      <c r="C65" s="54">
        <f t="shared" si="23"/>
        <v>280247.51899445971</v>
      </c>
      <c r="D65" s="54">
        <f t="shared" si="23"/>
        <v>3359919.9449314089</v>
      </c>
      <c r="E65" s="54">
        <f t="shared" si="23"/>
        <v>14479550.905981254</v>
      </c>
      <c r="F65" s="54">
        <f t="shared" si="24"/>
        <v>383871.69429076667</v>
      </c>
      <c r="G65" s="54">
        <f t="shared" si="24"/>
        <v>793398.73902715358</v>
      </c>
      <c r="I65" s="54"/>
      <c r="K65" s="239">
        <f>SUM(C65:J65)</f>
        <v>19296988.803225044</v>
      </c>
    </row>
    <row r="66" spans="1:20" x14ac:dyDescent="0.25">
      <c r="B66" s="238">
        <f t="shared" si="13"/>
        <v>2026</v>
      </c>
      <c r="C66" s="54">
        <f t="shared" si="23"/>
        <v>280218.67107079388</v>
      </c>
      <c r="D66" s="54">
        <f t="shared" si="23"/>
        <v>3359919.9449314089</v>
      </c>
      <c r="E66" s="54">
        <f t="shared" si="23"/>
        <v>14479550.905981254</v>
      </c>
      <c r="F66" s="54">
        <f t="shared" si="24"/>
        <v>383871.69429076667</v>
      </c>
      <c r="G66" s="54">
        <f t="shared" si="24"/>
        <v>793398.73902715358</v>
      </c>
      <c r="I66" s="54"/>
      <c r="K66" s="239">
        <f>SUM(C66:J66)</f>
        <v>19296959.955301378</v>
      </c>
    </row>
    <row r="67" spans="1:20" x14ac:dyDescent="0.25">
      <c r="B67" s="238">
        <f t="shared" si="13"/>
        <v>2027</v>
      </c>
      <c r="C67" s="54">
        <f>C$62*(SUM(C9,C21,C32,C42,C51)/SUM(C$4,C$16,C$27,C$37,C$46))</f>
        <v>280149.84074729856</v>
      </c>
      <c r="D67" s="54">
        <f>D$62*(SUM(D9,D21,D32,D42,D51)/SUM(D$4,D$16,D$27,D$37,D$46))</f>
        <v>3317043.7622735268</v>
      </c>
      <c r="E67" s="54">
        <f>E$62*(SUM(E9,E21,E32,E42,E51)/SUM(E$4,E$16,E$27,E$37,E$46))</f>
        <v>14301449.882880481</v>
      </c>
      <c r="F67" s="54">
        <f t="shared" si="24"/>
        <v>372138.75123168243</v>
      </c>
      <c r="G67" s="54">
        <f t="shared" si="24"/>
        <v>793377.53834541049</v>
      </c>
      <c r="I67" s="54"/>
    </row>
    <row r="68" spans="1:20" x14ac:dyDescent="0.25">
      <c r="C68" s="54"/>
      <c r="D68" s="54"/>
      <c r="E68" s="54"/>
      <c r="F68" s="54"/>
      <c r="G68" s="54"/>
      <c r="I68" s="54"/>
    </row>
    <row r="69" spans="1:20" x14ac:dyDescent="0.25">
      <c r="A69" s="237">
        <v>2023</v>
      </c>
      <c r="B69" s="240">
        <f>A69</f>
        <v>2023</v>
      </c>
      <c r="C69" s="54">
        <f>'CDM-eDSM Framework'!R46</f>
        <v>405434.16989578353</v>
      </c>
      <c r="D69" s="54">
        <f>'CDM-eDSM Framework'!R47</f>
        <v>2976446.7668378823</v>
      </c>
      <c r="E69" s="54">
        <f>'CDM-eDSM Framework'!R48</f>
        <v>4304342.3943938492</v>
      </c>
      <c r="F69" s="54">
        <f>'CDM-eDSM Framework'!R49</f>
        <v>134632.69967397145</v>
      </c>
      <c r="G69" s="54">
        <f>'CDM-eDSM Framework'!R50</f>
        <v>207158.12902920812</v>
      </c>
      <c r="I69" s="54"/>
      <c r="K69" s="239">
        <f>SUM(C69:J69)</f>
        <v>8028014.1598306941</v>
      </c>
    </row>
    <row r="70" spans="1:20" x14ac:dyDescent="0.25">
      <c r="B70" s="238">
        <f>B69+1</f>
        <v>2024</v>
      </c>
      <c r="C70" s="54">
        <f>C$69*(SUM(C5,C17,C28,C38,C47)/SUM(C$4,C$16,C$27,C$37,C$46))</f>
        <v>319421.90337002923</v>
      </c>
      <c r="D70" s="54">
        <f>D$69*(SUM(D5,D17,D28,D38,D47)/SUM(D$4,D$16,D$27,D$37,D$46))</f>
        <v>2928127.1887273518</v>
      </c>
      <c r="E70" s="54">
        <f>E$69*(SUM(E5,E17,E28,E38,E47)/SUM(E$4,E$16,E$27,E$37,E$46))</f>
        <v>4374059.0242253533</v>
      </c>
      <c r="F70" s="54">
        <f>F$69*(SUM(F5,F17,F28,F38,F47)/SUM(F$4,F$16,F$27,F$37,F$46))</f>
        <v>140275.27592650865</v>
      </c>
      <c r="G70" s="54">
        <f>G$69*(SUM(G5,G17,G28,G38,G47)/SUM(G$4,G$16,G$27,G$37,G$46))</f>
        <v>207158.12902920812</v>
      </c>
      <c r="I70" s="54"/>
      <c r="K70" s="239">
        <f>SUM(C70:J70)</f>
        <v>7969041.5212784512</v>
      </c>
      <c r="M70"/>
      <c r="N70"/>
      <c r="O70"/>
      <c r="P70"/>
      <c r="Q70"/>
      <c r="R70"/>
      <c r="S70"/>
      <c r="T70"/>
    </row>
    <row r="71" spans="1:20" x14ac:dyDescent="0.25">
      <c r="B71" s="238">
        <f t="shared" si="13"/>
        <v>2025</v>
      </c>
      <c r="C71" s="54">
        <f t="shared" ref="C71:E73" si="25">C$69*(SUM(C6,C18,C29,C39,C48)/SUM(C$4,C$16,C$27,C$37,C$46))</f>
        <v>319421.90337002923</v>
      </c>
      <c r="D71" s="54">
        <f t="shared" si="25"/>
        <v>2734083.8651016788</v>
      </c>
      <c r="E71" s="54">
        <f t="shared" si="25"/>
        <v>4362572.6611877251</v>
      </c>
      <c r="F71" s="54">
        <f t="shared" ref="F71:G73" si="26">F$69*(SUM(F6,F18,F29,F39,F48)/SUM(F$4,F$16,F$27,F$37,F$46))</f>
        <v>140108.53066947291</v>
      </c>
      <c r="G71" s="54">
        <f t="shared" si="26"/>
        <v>206133.710508096</v>
      </c>
      <c r="I71" s="54"/>
      <c r="K71" s="239">
        <f>SUM(C71:J71)</f>
        <v>7762320.6708370028</v>
      </c>
      <c r="M71"/>
      <c r="N71"/>
      <c r="O71"/>
      <c r="P71"/>
      <c r="Q71"/>
      <c r="R71"/>
      <c r="S71"/>
      <c r="T71"/>
    </row>
    <row r="72" spans="1:20" x14ac:dyDescent="0.25">
      <c r="B72" s="238">
        <f t="shared" si="13"/>
        <v>2026</v>
      </c>
      <c r="C72" s="54">
        <f t="shared" si="25"/>
        <v>319421.90337002923</v>
      </c>
      <c r="D72" s="54">
        <f t="shared" si="25"/>
        <v>2732545.8764423509</v>
      </c>
      <c r="E72" s="54">
        <f t="shared" si="25"/>
        <v>4354638.0523312166</v>
      </c>
      <c r="F72" s="54">
        <f t="shared" si="26"/>
        <v>140108.53066947291</v>
      </c>
      <c r="G72" s="54">
        <f t="shared" si="26"/>
        <v>206133.710508096</v>
      </c>
      <c r="I72" s="54"/>
      <c r="K72" s="239">
        <f>SUM(C72:J72)</f>
        <v>7752848.0733211664</v>
      </c>
      <c r="M72"/>
      <c r="N72"/>
      <c r="O72"/>
      <c r="P72"/>
      <c r="Q72"/>
      <c r="R72"/>
      <c r="S72"/>
      <c r="T72"/>
    </row>
    <row r="73" spans="1:20" x14ac:dyDescent="0.25">
      <c r="B73" s="238">
        <f t="shared" si="13"/>
        <v>2027</v>
      </c>
      <c r="C73" s="54">
        <f t="shared" si="25"/>
        <v>319389.02294090472</v>
      </c>
      <c r="D73" s="54">
        <f t="shared" si="25"/>
        <v>2732545.8764423509</v>
      </c>
      <c r="E73" s="54">
        <f t="shared" si="25"/>
        <v>4354638.0523312166</v>
      </c>
      <c r="F73" s="54">
        <f t="shared" si="26"/>
        <v>140108.53066947291</v>
      </c>
      <c r="G73" s="54">
        <f t="shared" si="26"/>
        <v>206133.710508096</v>
      </c>
      <c r="I73" s="54"/>
      <c r="M73"/>
      <c r="N73"/>
      <c r="O73"/>
      <c r="P73"/>
      <c r="Q73"/>
      <c r="R73"/>
      <c r="S73"/>
      <c r="T73"/>
    </row>
    <row r="74" spans="1:20" x14ac:dyDescent="0.25">
      <c r="C74" s="54"/>
      <c r="D74" s="54"/>
      <c r="E74" s="54"/>
      <c r="F74" s="54"/>
      <c r="G74" s="54"/>
      <c r="I74" s="54"/>
      <c r="M74"/>
      <c r="N74"/>
      <c r="O74"/>
      <c r="P74"/>
      <c r="Q74"/>
      <c r="R74"/>
      <c r="S74"/>
      <c r="T74"/>
    </row>
    <row r="75" spans="1:20" x14ac:dyDescent="0.25">
      <c r="A75" s="237">
        <v>2024</v>
      </c>
      <c r="B75" s="238">
        <f>A75</f>
        <v>2024</v>
      </c>
      <c r="C75" s="54">
        <f>'CDM-eDSM Framework'!S46</f>
        <v>1567736.8363119063</v>
      </c>
      <c r="D75" s="54">
        <f>'CDM-eDSM Framework'!S47</f>
        <v>4506373.3638553862</v>
      </c>
      <c r="E75" s="54">
        <f>'CDM-eDSM Framework'!S48</f>
        <v>12418788.484289484</v>
      </c>
      <c r="F75" s="54">
        <f>'CDM-eDSM Framework'!S49</f>
        <v>336492.86133834335</v>
      </c>
      <c r="G75" s="54">
        <f>'CDM-eDSM Framework'!S50</f>
        <v>669231.02450589172</v>
      </c>
      <c r="I75" s="54"/>
      <c r="K75" s="239">
        <f>SUM(C75:J75)</f>
        <v>19498622.570301011</v>
      </c>
      <c r="M75"/>
      <c r="N75"/>
      <c r="O75"/>
      <c r="P75"/>
      <c r="Q75"/>
      <c r="R75"/>
      <c r="S75"/>
      <c r="T75"/>
    </row>
    <row r="76" spans="1:20" x14ac:dyDescent="0.25">
      <c r="B76" s="238">
        <f t="shared" si="13"/>
        <v>2025</v>
      </c>
      <c r="C76" s="54">
        <f t="shared" ref="C76:G78" si="27">C$75*(SUM(C5,C17,C28,C38,C47)/SUM(C$4,C$16,C$27,C$37,C$46))</f>
        <v>1235143.7580280404</v>
      </c>
      <c r="D76" s="54">
        <f t="shared" si="27"/>
        <v>4433216.9875425138</v>
      </c>
      <c r="E76" s="54">
        <f t="shared" si="27"/>
        <v>12619933.281887976</v>
      </c>
      <c r="F76" s="54">
        <f t="shared" si="27"/>
        <v>350595.5766009349</v>
      </c>
      <c r="G76" s="54">
        <f t="shared" si="27"/>
        <v>669231.02450589172</v>
      </c>
      <c r="I76" s="54"/>
      <c r="K76" s="239">
        <f>SUM(C76:J76)</f>
        <v>19308120.628565356</v>
      </c>
      <c r="M76"/>
      <c r="N76"/>
      <c r="O76"/>
      <c r="P76"/>
      <c r="Q76"/>
      <c r="R76"/>
      <c r="S76"/>
      <c r="T76"/>
    </row>
    <row r="77" spans="1:20" x14ac:dyDescent="0.25">
      <c r="B77" s="238">
        <f t="shared" si="13"/>
        <v>2026</v>
      </c>
      <c r="C77" s="54">
        <f t="shared" si="27"/>
        <v>1235143.7580280404</v>
      </c>
      <c r="D77" s="54">
        <f t="shared" si="27"/>
        <v>4139433.2468879875</v>
      </c>
      <c r="E77" s="54">
        <f t="shared" si="27"/>
        <v>12586793.094619451</v>
      </c>
      <c r="F77" s="54">
        <f t="shared" si="27"/>
        <v>350178.82354769879</v>
      </c>
      <c r="G77" s="54">
        <f t="shared" si="27"/>
        <v>665921.60739723453</v>
      </c>
      <c r="I77" s="54"/>
      <c r="K77" s="239">
        <f>SUM(C77:J77)</f>
        <v>18977470.530480415</v>
      </c>
      <c r="M77"/>
      <c r="N77"/>
      <c r="O77"/>
      <c r="P77"/>
      <c r="Q77"/>
      <c r="R77"/>
      <c r="S77"/>
      <c r="T77"/>
    </row>
    <row r="78" spans="1:20" x14ac:dyDescent="0.25">
      <c r="B78" s="238">
        <f t="shared" si="13"/>
        <v>2027</v>
      </c>
      <c r="C78" s="54">
        <f t="shared" si="27"/>
        <v>1235143.7580280404</v>
      </c>
      <c r="D78" s="54">
        <f t="shared" si="27"/>
        <v>4137104.7150272718</v>
      </c>
      <c r="E78" s="54">
        <f t="shared" si="27"/>
        <v>12563900.345840244</v>
      </c>
      <c r="F78" s="54">
        <f t="shared" si="27"/>
        <v>350178.82354769879</v>
      </c>
      <c r="G78" s="54">
        <f t="shared" si="27"/>
        <v>665921.60739723453</v>
      </c>
      <c r="I78" s="54"/>
      <c r="K78" s="239">
        <f>SUM(C78:J78)</f>
        <v>18952249.249840491</v>
      </c>
      <c r="M78"/>
      <c r="N78"/>
      <c r="O78"/>
      <c r="P78"/>
      <c r="Q78"/>
      <c r="R78"/>
      <c r="S78"/>
      <c r="T78"/>
    </row>
    <row r="79" spans="1:20" x14ac:dyDescent="0.25">
      <c r="B79" s="240"/>
      <c r="C79" s="54"/>
      <c r="D79" s="54"/>
      <c r="E79" s="54"/>
      <c r="F79" s="54"/>
      <c r="G79" s="54"/>
      <c r="I79" s="54"/>
      <c r="L79" s="54"/>
      <c r="M79" s="54"/>
    </row>
    <row r="80" spans="1:20" x14ac:dyDescent="0.25">
      <c r="A80" s="237">
        <v>2025</v>
      </c>
      <c r="B80" s="238">
        <f>A80</f>
        <v>2025</v>
      </c>
      <c r="C80" s="54">
        <f>'CDM-eDSM Framework'!T46</f>
        <v>2679313.4078403409</v>
      </c>
      <c r="D80" s="54">
        <f>'CDM-eDSM Framework'!T47</f>
        <v>3933340.0114741893</v>
      </c>
      <c r="E80" s="54">
        <f>'CDM-eDSM Framework'!T48</f>
        <v>10545097.618105641</v>
      </c>
      <c r="F80" s="54">
        <f>'CDM-eDSM Framework'!T49</f>
        <v>284736.47438380838</v>
      </c>
      <c r="G80" s="54">
        <f>'CDM-eDSM Framework'!T50</f>
        <v>569620.99597427133</v>
      </c>
      <c r="I80" s="54"/>
      <c r="K80" s="239">
        <f>SUM(C80:J80)</f>
        <v>18012108.50777825</v>
      </c>
    </row>
    <row r="81" spans="1:13" x14ac:dyDescent="0.25">
      <c r="B81" s="238">
        <f t="shared" si="13"/>
        <v>2026</v>
      </c>
      <c r="C81" s="54">
        <f t="shared" ref="C81:G82" si="28">C$80*(SUM(C5,C17,C28,C38,C47)/SUM(C$4,C$16,C$27,C$37,C$46))</f>
        <v>2110900.9846831402</v>
      </c>
      <c r="D81" s="54">
        <f t="shared" si="28"/>
        <v>3869486.2473023492</v>
      </c>
      <c r="E81" s="54">
        <f t="shared" si="28"/>
        <v>10715894.594697481</v>
      </c>
      <c r="F81" s="54">
        <f t="shared" si="28"/>
        <v>296670.03341129515</v>
      </c>
      <c r="G81" s="54">
        <f t="shared" si="28"/>
        <v>569620.99597427133</v>
      </c>
      <c r="I81" s="54"/>
      <c r="K81" s="239">
        <f>SUM(C81:J81)</f>
        <v>17562572.856068537</v>
      </c>
    </row>
    <row r="82" spans="1:13" x14ac:dyDescent="0.25">
      <c r="B82" s="238">
        <f t="shared" si="13"/>
        <v>2027</v>
      </c>
      <c r="C82" s="54">
        <f t="shared" si="28"/>
        <v>2110900.9846831402</v>
      </c>
      <c r="D82" s="54">
        <f t="shared" si="28"/>
        <v>3613060.2371751317</v>
      </c>
      <c r="E82" s="54">
        <f t="shared" si="28"/>
        <v>10687754.449604342</v>
      </c>
      <c r="F82" s="54">
        <f t="shared" si="28"/>
        <v>296317.38166529621</v>
      </c>
      <c r="G82" s="54">
        <f t="shared" si="28"/>
        <v>566804.16082990624</v>
      </c>
      <c r="I82" s="54"/>
      <c r="K82" s="239">
        <f>SUM(C82:J82)</f>
        <v>17274837.213957816</v>
      </c>
    </row>
    <row r="83" spans="1:13" x14ac:dyDescent="0.25">
      <c r="C83" s="54"/>
      <c r="D83" s="54"/>
      <c r="E83" s="54"/>
      <c r="F83" s="54"/>
      <c r="G83" s="54"/>
      <c r="I83" s="54"/>
    </row>
    <row r="84" spans="1:13" x14ac:dyDescent="0.25">
      <c r="A84" s="237">
        <v>2026</v>
      </c>
      <c r="B84" s="238">
        <f>A84</f>
        <v>2026</v>
      </c>
      <c r="C84" s="54">
        <f>'CDM-eDSM Framework'!U46</f>
        <v>2929026.4464585525</v>
      </c>
      <c r="D84" s="54">
        <f>'CDM-eDSM Framework'!U47</f>
        <v>4570270.2877474204</v>
      </c>
      <c r="E84" s="54">
        <f>'CDM-eDSM Framework'!U48</f>
        <v>12280985.426982749</v>
      </c>
      <c r="F84" s="54">
        <f>'CDM-eDSM Framework'!U49</f>
        <v>331996.69915554242</v>
      </c>
      <c r="G84" s="54">
        <f>'CDM-eDSM Framework'!U50</f>
        <v>662854.92580862518</v>
      </c>
      <c r="I84" s="54"/>
      <c r="K84" s="239">
        <f>SUM(C84:J84)</f>
        <v>20775133.786152888</v>
      </c>
    </row>
    <row r="85" spans="1:13" x14ac:dyDescent="0.25">
      <c r="B85" s="238">
        <f>B84</f>
        <v>2026</v>
      </c>
      <c r="C85" s="248">
        <f>C$84*(SUM(C5,C17,C28,C38,C47)/SUM(C$4,C$16,C$27,C$37,C$46))</f>
        <v>2307637.7671606657</v>
      </c>
      <c r="D85" s="248">
        <f>D$84*(SUM(D5,D17,D28,D38,D47)/SUM(D$4,D$16,D$27,D$37,D$46))</f>
        <v>4496076.6100322781</v>
      </c>
      <c r="E85" s="248">
        <f>E$84*(SUM(E5,E17,E28,E38,E47)/SUM(E$4,E$16,E$27,E$37,E$46))</f>
        <v>12479898.254199792</v>
      </c>
      <c r="F85" s="248">
        <f>F$84*(SUM(F5,F17,F28,F38,F47)/SUM(F$4,F$16,F$27,F$37,F$46))</f>
        <v>345910.97625993274</v>
      </c>
      <c r="G85" s="248">
        <f>G$84*(SUM(G5,G17,G28,G38,G47)/SUM(G$4,G$16,G$27,G$37,G$46))</f>
        <v>662854.92580862518</v>
      </c>
      <c r="K85" s="239">
        <f>SUM(C85:J85)</f>
        <v>20292378.533461291</v>
      </c>
    </row>
    <row r="86" spans="1:13" x14ac:dyDescent="0.25">
      <c r="K86" s="239"/>
    </row>
    <row r="87" spans="1:13" x14ac:dyDescent="0.25">
      <c r="A87" s="237">
        <v>2027</v>
      </c>
      <c r="B87" s="238">
        <f>A87</f>
        <v>2027</v>
      </c>
      <c r="C87" s="54">
        <f>'CDM-eDSM Framework'!V46</f>
        <v>3464505.5387737383</v>
      </c>
      <c r="D87" s="54">
        <f>'CDM-eDSM Framework'!V47</f>
        <v>4746909.9279248035</v>
      </c>
      <c r="E87" s="54">
        <f>'CDM-eDSM Framework'!V48</f>
        <v>14519870.755112946</v>
      </c>
      <c r="F87" s="54">
        <f>'CDM-eDSM Framework'!V49</f>
        <v>314734.65409046173</v>
      </c>
      <c r="G87" s="54">
        <f>'CDM-eDSM Framework'!V50</f>
        <v>607936.30960482766</v>
      </c>
      <c r="K87" s="239">
        <f>SUM(C87:J87)</f>
        <v>23653957.185506776</v>
      </c>
    </row>
    <row r="91" spans="1:13" x14ac:dyDescent="0.25">
      <c r="L91" s="54"/>
      <c r="M91" s="54"/>
    </row>
    <row r="94" spans="1:13" x14ac:dyDescent="0.25">
      <c r="B94" s="237"/>
    </row>
    <row r="95" spans="1:13" x14ac:dyDescent="0.25">
      <c r="B95" s="237"/>
    </row>
    <row r="96" spans="1:13" x14ac:dyDescent="0.25">
      <c r="B96" s="237"/>
    </row>
    <row r="97" spans="2:18" x14ac:dyDescent="0.25">
      <c r="B97" s="237"/>
    </row>
    <row r="98" spans="2:18" x14ac:dyDescent="0.25">
      <c r="B98" s="237"/>
    </row>
    <row r="99" spans="2:18" x14ac:dyDescent="0.25">
      <c r="B99" s="237"/>
    </row>
    <row r="100" spans="2:18" x14ac:dyDescent="0.25">
      <c r="B100" s="237"/>
    </row>
    <row r="101" spans="2:18" x14ac:dyDescent="0.25">
      <c r="B101" s="237"/>
    </row>
    <row r="102" spans="2:18" x14ac:dyDescent="0.25">
      <c r="B102" s="237"/>
      <c r="L102" s="246"/>
      <c r="M102" s="246"/>
    </row>
    <row r="103" spans="2:18" x14ac:dyDescent="0.25">
      <c r="B103" s="237"/>
      <c r="L103" s="246"/>
      <c r="M103" s="246"/>
    </row>
    <row r="104" spans="2:18" x14ac:dyDescent="0.25">
      <c r="B104" s="237"/>
      <c r="N104" s="239"/>
      <c r="O104" s="247"/>
      <c r="P104" s="247"/>
      <c r="Q104" s="247"/>
      <c r="R104" s="247"/>
    </row>
    <row r="105" spans="2:18" x14ac:dyDescent="0.25">
      <c r="B105" s="237"/>
      <c r="L105" s="239"/>
      <c r="M105" s="54"/>
    </row>
    <row r="106" spans="2:18" x14ac:dyDescent="0.25">
      <c r="B106" s="237"/>
      <c r="L106" s="247"/>
      <c r="M106" s="54"/>
    </row>
    <row r="107" spans="2:18" x14ac:dyDescent="0.25">
      <c r="B107" s="2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AG128"/>
  <sheetViews>
    <sheetView topLeftCell="Y31" zoomScaleNormal="100" workbookViewId="0">
      <selection activeCell="AE69" sqref="AE69"/>
    </sheetView>
  </sheetViews>
  <sheetFormatPr defaultColWidth="9.33203125" defaultRowHeight="12.75" x14ac:dyDescent="0.2"/>
  <cols>
    <col min="1" max="1" width="10.5" bestFit="1" customWidth="1"/>
    <col min="4" max="4" width="14.6640625" bestFit="1" customWidth="1"/>
    <col min="7" max="8" width="9.6640625" customWidth="1"/>
    <col min="9" max="9" width="12.5" bestFit="1" customWidth="1"/>
    <col min="10" max="12" width="12.5" customWidth="1"/>
    <col min="14" max="14" width="14.6640625" bestFit="1" customWidth="1"/>
    <col min="15" max="15" width="12.83203125" bestFit="1" customWidth="1"/>
    <col min="16" max="16" width="13.83203125" bestFit="1" customWidth="1"/>
    <col min="17" max="18" width="12.5" customWidth="1"/>
    <col min="19" max="22" width="13.5" customWidth="1"/>
    <col min="23" max="23" width="14.33203125" bestFit="1" customWidth="1"/>
    <col min="24" max="24" width="14.6640625" bestFit="1" customWidth="1"/>
    <col min="26" max="26" width="15.1640625" bestFit="1" customWidth="1"/>
    <col min="27" max="27" width="15.33203125" customWidth="1"/>
    <col min="28" max="28" width="17.6640625" customWidth="1"/>
    <col min="29" max="29" width="14.1640625" customWidth="1"/>
    <col min="30" max="30" width="12.1640625" customWidth="1"/>
    <col min="31" max="31" width="12.5" bestFit="1" customWidth="1"/>
    <col min="32" max="32" width="15.6640625" customWidth="1"/>
    <col min="33" max="33" width="13.33203125" bestFit="1" customWidth="1"/>
  </cols>
  <sheetData>
    <row r="1" spans="1:31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Data'!F1</f>
        <v>Res_NoCDM</v>
      </c>
      <c r="E1" s="181" t="str">
        <f>'Monthly Data'!BF1</f>
        <v>HDD18</v>
      </c>
      <c r="F1" s="181" t="str">
        <f>'Monthly Data'!BK1</f>
        <v>CDD14</v>
      </c>
      <c r="G1" s="182" t="str">
        <f>'Monthly Data'!G1</f>
        <v>Residential_Customers</v>
      </c>
      <c r="H1" s="171" t="str">
        <f>'Monthly Data'!CC1</f>
        <v>Dec</v>
      </c>
      <c r="I1" s="181" t="str">
        <f>'Monthly Data'!CS1</f>
        <v>Month Days</v>
      </c>
      <c r="J1" s="181" t="str">
        <f>'Monthly Data'!CK1</f>
        <v>Summer</v>
      </c>
      <c r="K1" s="181" t="str">
        <f>'Monthly Data'!DB1</f>
        <v>CovHDD18</v>
      </c>
      <c r="L1" s="181" t="str">
        <f>'Monthly Data'!DG1</f>
        <v>CovCDD14</v>
      </c>
      <c r="N1" s="171" t="s">
        <v>65</v>
      </c>
      <c r="O1" s="181" t="str">
        <f t="shared" ref="O1:V1" si="0">E1</f>
        <v>HDD18</v>
      </c>
      <c r="P1" s="181" t="str">
        <f t="shared" si="0"/>
        <v>CDD14</v>
      </c>
      <c r="Q1" s="181" t="str">
        <f t="shared" si="0"/>
        <v>Residential_Customers</v>
      </c>
      <c r="R1" s="181" t="str">
        <f t="shared" si="0"/>
        <v>Dec</v>
      </c>
      <c r="S1" s="181" t="str">
        <f t="shared" si="0"/>
        <v>Month Days</v>
      </c>
      <c r="T1" s="181" t="str">
        <f t="shared" si="0"/>
        <v>Summer</v>
      </c>
      <c r="U1" s="181" t="str">
        <f t="shared" si="0"/>
        <v>CovHDD18</v>
      </c>
      <c r="V1" s="181" t="str">
        <f t="shared" si="0"/>
        <v>CovCDD14</v>
      </c>
      <c r="W1" s="171" t="s">
        <v>75</v>
      </c>
      <c r="X1" s="171" t="s">
        <v>76</v>
      </c>
    </row>
    <row r="2" spans="1:31" x14ac:dyDescent="0.2">
      <c r="A2" s="8">
        <f>'Monthly Data'!A2</f>
        <v>42736</v>
      </c>
      <c r="B2">
        <f t="shared" ref="B2:B56" si="1">YEAR(A2)</f>
        <v>2017</v>
      </c>
      <c r="C2">
        <f t="shared" ref="C2:C56" si="2">MONTH(A2)</f>
        <v>1</v>
      </c>
      <c r="D2" s="19">
        <f>'Monthly Data'!F2</f>
        <v>96528111.989106089</v>
      </c>
      <c r="E2" s="21">
        <f>'Monthly Data'!BF2</f>
        <v>631.09166666666658</v>
      </c>
      <c r="F2" s="21">
        <f>'Monthly Data'!BK2</f>
        <v>0</v>
      </c>
      <c r="G2" s="11">
        <f>'Monthly Data'!G2</f>
        <v>141495</v>
      </c>
      <c r="H2">
        <f>'Monthly Data'!CC2</f>
        <v>0</v>
      </c>
      <c r="I2" s="21">
        <f>'Monthly Data'!CS2</f>
        <v>31</v>
      </c>
      <c r="J2" s="21">
        <f>'Monthly Data'!CK2</f>
        <v>0</v>
      </c>
      <c r="K2" s="21">
        <f>'Monthly Data'!DB2</f>
        <v>0</v>
      </c>
      <c r="L2" s="21">
        <f>'Monthly Data'!DG2</f>
        <v>0</v>
      </c>
      <c r="N2" s="11">
        <f>'Res Predicted Monthly'!$AB$9</f>
        <v>-154534728.74811399</v>
      </c>
      <c r="O2" s="11">
        <f>E2*'Res Predicted Monthly'!$AB$10</f>
        <v>38743097.636722185</v>
      </c>
      <c r="P2" s="11">
        <f>F2*'Res Predicted Monthly'!$AB$11</f>
        <v>0</v>
      </c>
      <c r="Q2" s="11">
        <f>G2*'Res Predicted Monthly'!$AB$12</f>
        <v>139651052.63807085</v>
      </c>
      <c r="R2" s="11">
        <f>H2*'Res Predicted Monthly'!$AB$13</f>
        <v>0</v>
      </c>
      <c r="S2" s="11">
        <f>I2*'Res Predicted Monthly'!$AB$14</f>
        <v>70054115.695287749</v>
      </c>
      <c r="T2" s="11">
        <f>J2*$AB$15</f>
        <v>0</v>
      </c>
      <c r="U2" s="11">
        <f>K2*$AB$16</f>
        <v>0</v>
      </c>
      <c r="V2" s="11">
        <f>L2*$AB$17</f>
        <v>0</v>
      </c>
      <c r="W2" s="11">
        <f>SUM(N2:V2)</f>
        <v>93913537.221966788</v>
      </c>
      <c r="X2" s="11">
        <f t="shared" ref="X2:X21" si="3">W2-D2</f>
        <v>-2614574.7671393007</v>
      </c>
      <c r="Y2" s="23">
        <f t="shared" ref="Y2:Y21" si="4">ABS(X2/D2)</f>
        <v>2.7086148410676206E-2</v>
      </c>
    </row>
    <row r="3" spans="1:31" x14ac:dyDescent="0.2">
      <c r="A3" s="8">
        <f>'Monthly Data'!A3</f>
        <v>42767</v>
      </c>
      <c r="B3">
        <f t="shared" si="1"/>
        <v>2017</v>
      </c>
      <c r="C3">
        <f t="shared" si="2"/>
        <v>2</v>
      </c>
      <c r="D3" s="19">
        <f>'Monthly Data'!F3</f>
        <v>81300090.78765358</v>
      </c>
      <c r="E3" s="21">
        <f>'Monthly Data'!BF3</f>
        <v>505.97916666666669</v>
      </c>
      <c r="F3" s="21">
        <f>'Monthly Data'!BK3</f>
        <v>0</v>
      </c>
      <c r="G3" s="11">
        <f>'Monthly Data'!G3</f>
        <v>141664</v>
      </c>
      <c r="H3">
        <f>'Monthly Data'!CC3</f>
        <v>0</v>
      </c>
      <c r="I3" s="21">
        <f>'Monthly Data'!CS3</f>
        <v>28</v>
      </c>
      <c r="J3" s="21">
        <f>'Monthly Data'!CK3</f>
        <v>0</v>
      </c>
      <c r="K3" s="21">
        <f>'Monthly Data'!DB3</f>
        <v>0</v>
      </c>
      <c r="L3" s="21">
        <f>'Monthly Data'!DG3</f>
        <v>0</v>
      </c>
      <c r="N3" s="11">
        <f>'Res Predicted Monthly'!$AB$9</f>
        <v>-154534728.74811399</v>
      </c>
      <c r="O3" s="11">
        <f>E3*'Res Predicted Monthly'!$AB$10</f>
        <v>31062365.88395346</v>
      </c>
      <c r="P3" s="11">
        <f>F3*'Res Predicted Monthly'!$AB$11</f>
        <v>0</v>
      </c>
      <c r="Q3" s="11">
        <f>G3*'Res Predicted Monthly'!$AB$12</f>
        <v>139817850.24855766</v>
      </c>
      <c r="R3" s="11">
        <f>H3*'Res Predicted Monthly'!$AB$13</f>
        <v>0</v>
      </c>
      <c r="S3" s="11">
        <f>I3*'Res Predicted Monthly'!$AB$14</f>
        <v>63274685.144130871</v>
      </c>
      <c r="T3" s="11">
        <f t="shared" ref="T3:T66" si="5">J3*$AB$15</f>
        <v>0</v>
      </c>
      <c r="U3" s="11">
        <f t="shared" ref="U3:U66" si="6">K3*$AB$16</f>
        <v>0</v>
      </c>
      <c r="V3" s="11">
        <f t="shared" ref="V3:V66" si="7">L3*$AB$17</f>
        <v>0</v>
      </c>
      <c r="W3" s="11">
        <f t="shared" ref="W3:W66" si="8">SUM(N3:V3)</f>
        <v>79620172.52852799</v>
      </c>
      <c r="X3" s="11">
        <f t="shared" si="3"/>
        <v>-1679918.2591255903</v>
      </c>
      <c r="Y3" s="23">
        <f t="shared" si="4"/>
        <v>2.066317814470026E-2</v>
      </c>
    </row>
    <row r="4" spans="1:31" x14ac:dyDescent="0.2">
      <c r="A4" s="8">
        <f>'Monthly Data'!A4</f>
        <v>42795</v>
      </c>
      <c r="B4">
        <f t="shared" si="1"/>
        <v>2017</v>
      </c>
      <c r="C4">
        <f t="shared" si="2"/>
        <v>3</v>
      </c>
      <c r="D4" s="19">
        <f>'Monthly Data'!F4</f>
        <v>87978694.586201057</v>
      </c>
      <c r="E4" s="21">
        <f>'Monthly Data'!BF4</f>
        <v>563.39166666666665</v>
      </c>
      <c r="F4" s="21">
        <f>'Monthly Data'!BK4</f>
        <v>0</v>
      </c>
      <c r="G4" s="11">
        <f>'Monthly Data'!G4</f>
        <v>141783</v>
      </c>
      <c r="H4">
        <f>'Monthly Data'!CC4</f>
        <v>0</v>
      </c>
      <c r="I4" s="21">
        <f>'Monthly Data'!CS4</f>
        <v>31</v>
      </c>
      <c r="J4" s="21">
        <f>'Monthly Data'!CK4</f>
        <v>0</v>
      </c>
      <c r="K4" s="21">
        <f>'Monthly Data'!DB4</f>
        <v>0</v>
      </c>
      <c r="L4" s="21">
        <f>'Monthly Data'!DG4</f>
        <v>0</v>
      </c>
      <c r="N4" s="11">
        <f>'Res Predicted Monthly'!$AB$9</f>
        <v>-154534728.74811399</v>
      </c>
      <c r="O4" s="11">
        <f>E4*'Res Predicted Monthly'!$AB$10</f>
        <v>34586953.848831743</v>
      </c>
      <c r="P4" s="11">
        <f>F4*'Res Predicted Monthly'!$AB$11</f>
        <v>0</v>
      </c>
      <c r="Q4" s="11">
        <f>G4*'Res Predicted Monthly'!$AB$12</f>
        <v>139935299.45357502</v>
      </c>
      <c r="R4" s="11">
        <f>H4*'Res Predicted Monthly'!$AB$13</f>
        <v>0</v>
      </c>
      <c r="S4" s="11">
        <f>I4*'Res Predicted Monthly'!$AB$14</f>
        <v>70054115.695287749</v>
      </c>
      <c r="T4" s="11">
        <f t="shared" si="5"/>
        <v>0</v>
      </c>
      <c r="U4" s="11">
        <f t="shared" si="6"/>
        <v>0</v>
      </c>
      <c r="V4" s="11">
        <f t="shared" si="7"/>
        <v>0</v>
      </c>
      <c r="W4" s="11">
        <f t="shared" si="8"/>
        <v>90041640.249580517</v>
      </c>
      <c r="X4" s="11">
        <f t="shared" si="3"/>
        <v>2062945.6633794606</v>
      </c>
      <c r="Y4" s="23">
        <f t="shared" si="4"/>
        <v>2.344824133936424E-2</v>
      </c>
      <c r="AA4" t="s">
        <v>535</v>
      </c>
    </row>
    <row r="5" spans="1:31" x14ac:dyDescent="0.2">
      <c r="A5" s="8">
        <f>'Monthly Data'!A5</f>
        <v>42826</v>
      </c>
      <c r="B5">
        <f t="shared" si="1"/>
        <v>2017</v>
      </c>
      <c r="C5">
        <f t="shared" si="2"/>
        <v>4</v>
      </c>
      <c r="D5" s="19">
        <f>'Monthly Data'!F5</f>
        <v>73074109.384748533</v>
      </c>
      <c r="E5" s="21">
        <f>'Monthly Data'!BF5</f>
        <v>259.11666666666662</v>
      </c>
      <c r="F5" s="21">
        <f>'Monthly Data'!BK5</f>
        <v>11.354166666666671</v>
      </c>
      <c r="G5" s="11">
        <f>'Monthly Data'!G5</f>
        <v>141833</v>
      </c>
      <c r="H5">
        <f>'Monthly Data'!CC5</f>
        <v>0</v>
      </c>
      <c r="I5" s="21">
        <f>'Monthly Data'!CS5</f>
        <v>30</v>
      </c>
      <c r="J5" s="21">
        <f>'Monthly Data'!CK5</f>
        <v>0</v>
      </c>
      <c r="K5" s="21">
        <f>'Monthly Data'!DB5</f>
        <v>0</v>
      </c>
      <c r="L5" s="21">
        <f>'Monthly Data'!DG5</f>
        <v>0</v>
      </c>
      <c r="N5" s="11">
        <f>'Res Predicted Monthly'!$AB$9</f>
        <v>-154534728.74811399</v>
      </c>
      <c r="O5" s="11">
        <f>E5*'Res Predicted Monthly'!$AB$10</f>
        <v>15907328.279254723</v>
      </c>
      <c r="P5" s="11">
        <f>F5*'Res Predicted Monthly'!$AB$11</f>
        <v>3225184.9859265899</v>
      </c>
      <c r="Q5" s="11">
        <f>G5*'Res Predicted Monthly'!$AB$12</f>
        <v>139984647.85904449</v>
      </c>
      <c r="R5" s="11">
        <f>H5*'Res Predicted Monthly'!$AB$13</f>
        <v>0</v>
      </c>
      <c r="S5" s="11">
        <f>I5*'Res Predicted Monthly'!$AB$14</f>
        <v>67794305.5115688</v>
      </c>
      <c r="T5" s="11">
        <f t="shared" si="5"/>
        <v>0</v>
      </c>
      <c r="U5" s="11">
        <f t="shared" si="6"/>
        <v>0</v>
      </c>
      <c r="V5" s="11">
        <f t="shared" si="7"/>
        <v>0</v>
      </c>
      <c r="W5" s="11">
        <f t="shared" si="8"/>
        <v>72376737.887680635</v>
      </c>
      <c r="X5" s="11">
        <f t="shared" si="3"/>
        <v>-697371.49706789851</v>
      </c>
      <c r="Y5" s="23">
        <f t="shared" si="4"/>
        <v>9.543345829863081E-3</v>
      </c>
      <c r="AA5" t="s">
        <v>177</v>
      </c>
    </row>
    <row r="6" spans="1:31" x14ac:dyDescent="0.2">
      <c r="A6" s="8">
        <f>'Monthly Data'!A6</f>
        <v>42856</v>
      </c>
      <c r="B6">
        <f t="shared" si="1"/>
        <v>2017</v>
      </c>
      <c r="C6">
        <f t="shared" si="2"/>
        <v>5</v>
      </c>
      <c r="D6" s="19">
        <f>'Monthly Data'!F6</f>
        <v>74177213.18329601</v>
      </c>
      <c r="E6" s="21">
        <f>'Monthly Data'!BF6</f>
        <v>189.45833333333337</v>
      </c>
      <c r="F6" s="21">
        <f>'Monthly Data'!BK6</f>
        <v>37.183333333333337</v>
      </c>
      <c r="G6" s="11">
        <f>'Monthly Data'!G6</f>
        <v>141997</v>
      </c>
      <c r="H6">
        <f>'Monthly Data'!CC6</f>
        <v>0</v>
      </c>
      <c r="I6" s="21">
        <f>'Monthly Data'!CS6</f>
        <v>31</v>
      </c>
      <c r="J6" s="21">
        <f>'Monthly Data'!CK6</f>
        <v>1</v>
      </c>
      <c r="K6" s="21">
        <f>'Monthly Data'!DB6</f>
        <v>0</v>
      </c>
      <c r="L6" s="21">
        <f>'Monthly Data'!DG6</f>
        <v>0</v>
      </c>
      <c r="N6" s="11">
        <f>'Res Predicted Monthly'!$AB$9</f>
        <v>-154534728.74811399</v>
      </c>
      <c r="O6" s="11">
        <f>E6*'Res Predicted Monthly'!$AB$10</f>
        <v>11630961.228174448</v>
      </c>
      <c r="P6" s="11">
        <f>F6*'Res Predicted Monthly'!$AB$11</f>
        <v>10562036.996113351</v>
      </c>
      <c r="Q6" s="11">
        <f>G6*'Res Predicted Monthly'!$AB$12</f>
        <v>140146510.62898439</v>
      </c>
      <c r="R6" s="11">
        <f>H6*'Res Predicted Monthly'!$AB$13</f>
        <v>0</v>
      </c>
      <c r="S6" s="11">
        <f>I6*'Res Predicted Monthly'!$AB$14</f>
        <v>70054115.695287749</v>
      </c>
      <c r="T6" s="11">
        <f t="shared" si="5"/>
        <v>-2784507.8509929599</v>
      </c>
      <c r="U6" s="11">
        <f t="shared" si="6"/>
        <v>0</v>
      </c>
      <c r="V6" s="11">
        <f t="shared" si="7"/>
        <v>0</v>
      </c>
      <c r="W6" s="11">
        <f t="shared" si="8"/>
        <v>75074387.949452981</v>
      </c>
      <c r="X6" s="11">
        <f t="shared" si="3"/>
        <v>897174.76615697145</v>
      </c>
      <c r="Y6" s="23">
        <f t="shared" si="4"/>
        <v>1.2095018505750585E-2</v>
      </c>
      <c r="AA6" t="s">
        <v>546</v>
      </c>
    </row>
    <row r="7" spans="1:31" x14ac:dyDescent="0.2">
      <c r="A7" s="8">
        <f>'Monthly Data'!A7</f>
        <v>42887</v>
      </c>
      <c r="B7">
        <f t="shared" si="1"/>
        <v>2017</v>
      </c>
      <c r="C7">
        <f t="shared" si="2"/>
        <v>6</v>
      </c>
      <c r="D7" s="19">
        <f>'Monthly Data'!F7</f>
        <v>91127350.981843486</v>
      </c>
      <c r="E7" s="21">
        <f>'Monthly Data'!BF7</f>
        <v>33.816666666666677</v>
      </c>
      <c r="F7" s="21">
        <f>'Monthly Data'!BK7</f>
        <v>147.1333333333333</v>
      </c>
      <c r="G7" s="11">
        <f>'Monthly Data'!G7</f>
        <v>142062</v>
      </c>
      <c r="H7">
        <f>'Monthly Data'!CC7</f>
        <v>0</v>
      </c>
      <c r="I7" s="21">
        <f>'Monthly Data'!CS7</f>
        <v>30</v>
      </c>
      <c r="J7" s="21">
        <f>'Monthly Data'!CK7</f>
        <v>1</v>
      </c>
      <c r="K7" s="21">
        <f>'Monthly Data'!DB7</f>
        <v>0</v>
      </c>
      <c r="L7" s="21">
        <f>'Monthly Data'!DG7</f>
        <v>0</v>
      </c>
      <c r="N7" s="11">
        <f>'Res Predicted Monthly'!$AB$9</f>
        <v>-154534728.74811399</v>
      </c>
      <c r="O7" s="11">
        <f>E7*'Res Predicted Monthly'!$AB$10</f>
        <v>2076025.5405292243</v>
      </c>
      <c r="P7" s="11">
        <f>F7*'Res Predicted Monthly'!$AB$11</f>
        <v>41793663.201115474</v>
      </c>
      <c r="Q7" s="11">
        <f>G7*'Res Predicted Monthly'!$AB$12</f>
        <v>140210663.55609471</v>
      </c>
      <c r="R7" s="11">
        <f>H7*'Res Predicted Monthly'!$AB$13</f>
        <v>0</v>
      </c>
      <c r="S7" s="11">
        <f>I7*'Res Predicted Monthly'!$AB$14</f>
        <v>67794305.5115688</v>
      </c>
      <c r="T7" s="11">
        <f t="shared" si="5"/>
        <v>-2784507.8509929599</v>
      </c>
      <c r="U7" s="11">
        <f t="shared" si="6"/>
        <v>0</v>
      </c>
      <c r="V7" s="11">
        <f t="shared" si="7"/>
        <v>0</v>
      </c>
      <c r="W7" s="11">
        <f t="shared" si="8"/>
        <v>94555421.210201249</v>
      </c>
      <c r="X7" s="11">
        <f t="shared" si="3"/>
        <v>3428070.2283577621</v>
      </c>
      <c r="Y7" s="23">
        <f t="shared" si="4"/>
        <v>3.7618455835951845E-2</v>
      </c>
    </row>
    <row r="8" spans="1:31" x14ac:dyDescent="0.2">
      <c r="A8" s="8">
        <f>'Monthly Data'!A8</f>
        <v>42917</v>
      </c>
      <c r="B8">
        <f t="shared" si="1"/>
        <v>2017</v>
      </c>
      <c r="C8">
        <f t="shared" si="2"/>
        <v>7</v>
      </c>
      <c r="D8" s="19">
        <f>'Monthly Data'!F8</f>
        <v>108227347.78039098</v>
      </c>
      <c r="E8" s="21">
        <f>'Monthly Data'!BF8</f>
        <v>0.49166666666666714</v>
      </c>
      <c r="F8" s="21">
        <f>'Monthly Data'!BK8</f>
        <v>206.83541666666665</v>
      </c>
      <c r="G8" s="11">
        <f>'Monthly Data'!G8</f>
        <v>142175</v>
      </c>
      <c r="H8">
        <f>'Monthly Data'!CC8</f>
        <v>0</v>
      </c>
      <c r="I8" s="21">
        <f>'Monthly Data'!CS8</f>
        <v>31</v>
      </c>
      <c r="J8" s="21">
        <f>'Monthly Data'!CK8</f>
        <v>1</v>
      </c>
      <c r="K8" s="21">
        <f>'Monthly Data'!DB8</f>
        <v>0</v>
      </c>
      <c r="L8" s="21">
        <f>'Monthly Data'!DG8</f>
        <v>0</v>
      </c>
      <c r="N8" s="11">
        <f>'Res Predicted Monthly'!$AB$9</f>
        <v>-154534728.74811399</v>
      </c>
      <c r="O8" s="11">
        <f>E8*'Res Predicted Monthly'!$AB$10</f>
        <v>30183.712885959663</v>
      </c>
      <c r="P8" s="11">
        <f>F8*'Res Predicted Monthly'!$AB$11</f>
        <v>58752218.456472963</v>
      </c>
      <c r="Q8" s="11">
        <f>G8*'Res Predicted Monthly'!$AB$12</f>
        <v>140322190.95245573</v>
      </c>
      <c r="R8" s="11">
        <f>H8*'Res Predicted Monthly'!$AB$13</f>
        <v>0</v>
      </c>
      <c r="S8" s="11">
        <f>I8*'Res Predicted Monthly'!$AB$14</f>
        <v>70054115.695287749</v>
      </c>
      <c r="T8" s="11">
        <f t="shared" si="5"/>
        <v>-2784507.8509929599</v>
      </c>
      <c r="U8" s="11">
        <f t="shared" si="6"/>
        <v>0</v>
      </c>
      <c r="V8" s="11">
        <f t="shared" si="7"/>
        <v>0</v>
      </c>
      <c r="W8" s="11">
        <f t="shared" si="8"/>
        <v>111839472.21799543</v>
      </c>
      <c r="X8" s="11">
        <f t="shared" si="3"/>
        <v>3612124.4376044571</v>
      </c>
      <c r="Y8" s="23">
        <f t="shared" si="4"/>
        <v>3.3375339151191091E-2</v>
      </c>
      <c r="AB8" t="s">
        <v>61</v>
      </c>
      <c r="AC8" t="s">
        <v>62</v>
      </c>
      <c r="AD8" t="s">
        <v>63</v>
      </c>
      <c r="AE8" t="s">
        <v>64</v>
      </c>
    </row>
    <row r="9" spans="1:31" x14ac:dyDescent="0.2">
      <c r="A9" s="8">
        <f>'Monthly Data'!A9</f>
        <v>42948</v>
      </c>
      <c r="B9">
        <f t="shared" si="1"/>
        <v>2017</v>
      </c>
      <c r="C9">
        <f t="shared" si="2"/>
        <v>8</v>
      </c>
      <c r="D9" s="19">
        <f>'Monthly Data'!F9</f>
        <v>95371179.578938454</v>
      </c>
      <c r="E9" s="21">
        <f>'Monthly Data'!BF9</f>
        <v>20.012500000000003</v>
      </c>
      <c r="F9" s="21">
        <f>'Monthly Data'!BK9</f>
        <v>149.20833333333331</v>
      </c>
      <c r="G9" s="11">
        <f>'Monthly Data'!G9</f>
        <v>142403</v>
      </c>
      <c r="H9">
        <f>'Monthly Data'!CC9</f>
        <v>0</v>
      </c>
      <c r="I9" s="21">
        <f>'Monthly Data'!CS9</f>
        <v>31</v>
      </c>
      <c r="J9" s="21">
        <f>'Monthly Data'!CK9</f>
        <v>1</v>
      </c>
      <c r="K9" s="21">
        <f>'Monthly Data'!DB9</f>
        <v>0</v>
      </c>
      <c r="L9" s="21">
        <f>'Monthly Data'!DG9</f>
        <v>0</v>
      </c>
      <c r="N9" s="11">
        <f>'Res Predicted Monthly'!$AB$9</f>
        <v>-154534728.74811399</v>
      </c>
      <c r="O9" s="11">
        <f>E9*'Res Predicted Monthly'!$AB$10</f>
        <v>1228579.4321293572</v>
      </c>
      <c r="P9" s="11">
        <f>F9*'Res Predicted Monthly'!$AB$11</f>
        <v>42383073.15450684</v>
      </c>
      <c r="Q9" s="11">
        <f>G9*'Res Predicted Monthly'!$AB$12</f>
        <v>140547219.68139654</v>
      </c>
      <c r="R9" s="11">
        <f>H9*'Res Predicted Monthly'!$AB$13</f>
        <v>0</v>
      </c>
      <c r="S9" s="11">
        <f>I9*'Res Predicted Monthly'!$AB$14</f>
        <v>70054115.695287749</v>
      </c>
      <c r="T9" s="11">
        <f t="shared" si="5"/>
        <v>-2784507.8509929599</v>
      </c>
      <c r="U9" s="11">
        <f t="shared" si="6"/>
        <v>0</v>
      </c>
      <c r="V9" s="11">
        <f t="shared" si="7"/>
        <v>0</v>
      </c>
      <c r="W9" s="11">
        <f t="shared" si="8"/>
        <v>96893751.364213526</v>
      </c>
      <c r="X9" s="11">
        <f t="shared" si="3"/>
        <v>1522571.7852750719</v>
      </c>
      <c r="Y9" s="23">
        <f t="shared" si="4"/>
        <v>1.5964694910948894E-2</v>
      </c>
      <c r="AA9" t="s">
        <v>65</v>
      </c>
      <c r="AB9" s="11">
        <v>-154534728.74811399</v>
      </c>
      <c r="AC9">
        <v>11091066.3634596</v>
      </c>
      <c r="AD9">
        <v>-13.933261571424699</v>
      </c>
      <c r="AE9" s="20">
        <v>4.5120735231412403E-25</v>
      </c>
    </row>
    <row r="10" spans="1:31" x14ac:dyDescent="0.2">
      <c r="A10" s="8">
        <f>'Monthly Data'!A10</f>
        <v>42979</v>
      </c>
      <c r="B10">
        <f t="shared" si="1"/>
        <v>2017</v>
      </c>
      <c r="C10">
        <f t="shared" si="2"/>
        <v>9</v>
      </c>
      <c r="D10" s="19">
        <f>'Monthly Data'!F10</f>
        <v>89157887.377485931</v>
      </c>
      <c r="E10" s="21">
        <f>'Monthly Data'!BF10</f>
        <v>71.945833333333312</v>
      </c>
      <c r="F10" s="21">
        <f>'Monthly Data'!BK10</f>
        <v>112.60833333333332</v>
      </c>
      <c r="G10" s="11">
        <f>'Monthly Data'!G10</f>
        <v>142513</v>
      </c>
      <c r="H10">
        <f>'Monthly Data'!CC10</f>
        <v>0</v>
      </c>
      <c r="I10" s="21">
        <f>'Monthly Data'!CS10</f>
        <v>30</v>
      </c>
      <c r="J10" s="21">
        <f>'Monthly Data'!CK10</f>
        <v>0</v>
      </c>
      <c r="K10" s="21">
        <f>'Monthly Data'!DB10</f>
        <v>0</v>
      </c>
      <c r="L10" s="21">
        <f>'Monthly Data'!DG10</f>
        <v>0</v>
      </c>
      <c r="N10" s="11">
        <f>'Res Predicted Monthly'!$AB$9</f>
        <v>-154534728.74811399</v>
      </c>
      <c r="O10" s="11">
        <f>E10*'Res Predicted Monthly'!$AB$10</f>
        <v>4416798.054253092</v>
      </c>
      <c r="P10" s="11">
        <f>F10*'Res Predicted Monthly'!$AB$11</f>
        <v>31986733.735652104</v>
      </c>
      <c r="Q10" s="11">
        <f>G10*'Res Predicted Monthly'!$AB$12</f>
        <v>140655786.17342937</v>
      </c>
      <c r="R10" s="11">
        <f>H10*'Res Predicted Monthly'!$AB$13</f>
        <v>0</v>
      </c>
      <c r="S10" s="11">
        <f>I10*'Res Predicted Monthly'!$AB$14</f>
        <v>67794305.5115688</v>
      </c>
      <c r="T10" s="11">
        <f t="shared" si="5"/>
        <v>0</v>
      </c>
      <c r="U10" s="11">
        <f t="shared" si="6"/>
        <v>0</v>
      </c>
      <c r="V10" s="11">
        <f t="shared" si="7"/>
        <v>0</v>
      </c>
      <c r="W10" s="11">
        <f t="shared" si="8"/>
        <v>90318894.726789385</v>
      </c>
      <c r="X10" s="11">
        <f t="shared" si="3"/>
        <v>1161007.3493034542</v>
      </c>
      <c r="Y10" s="23">
        <f t="shared" si="4"/>
        <v>1.3021925299641305E-2</v>
      </c>
      <c r="AA10" t="s">
        <v>26</v>
      </c>
      <c r="AB10" s="11">
        <v>61390.602479917899</v>
      </c>
      <c r="AC10">
        <v>1523.3957385409899</v>
      </c>
      <c r="AD10">
        <v>40.298525804407099</v>
      </c>
      <c r="AE10" s="20">
        <v>3.1900268591295901E-63</v>
      </c>
    </row>
    <row r="11" spans="1:31" x14ac:dyDescent="0.2">
      <c r="A11" s="8">
        <f>'Monthly Data'!A11</f>
        <v>43009</v>
      </c>
      <c r="B11">
        <f t="shared" si="1"/>
        <v>2017</v>
      </c>
      <c r="C11">
        <f t="shared" si="2"/>
        <v>10</v>
      </c>
      <c r="D11" s="19">
        <f>'Monthly Data'!F11</f>
        <v>77506626.176033407</v>
      </c>
      <c r="E11" s="21">
        <f>'Monthly Data'!BF11</f>
        <v>183.64583333333334</v>
      </c>
      <c r="F11" s="21">
        <f>'Monthly Data'!BK11</f>
        <v>36.987500000000026</v>
      </c>
      <c r="G11" s="11">
        <f>'Monthly Data'!G11</f>
        <v>142654</v>
      </c>
      <c r="H11">
        <f>'Monthly Data'!CC11</f>
        <v>0</v>
      </c>
      <c r="I11" s="21">
        <f>'Monthly Data'!CS11</f>
        <v>31</v>
      </c>
      <c r="J11" s="21">
        <f>'Monthly Data'!CK11</f>
        <v>0</v>
      </c>
      <c r="K11" s="21">
        <f>'Monthly Data'!DB11</f>
        <v>0</v>
      </c>
      <c r="L11" s="21">
        <f>'Monthly Data'!DG11</f>
        <v>0</v>
      </c>
      <c r="N11" s="11">
        <f>'Res Predicted Monthly'!$AB$9</f>
        <v>-154534728.74811399</v>
      </c>
      <c r="O11" s="11">
        <f>E11*'Res Predicted Monthly'!$AB$10</f>
        <v>11274128.351259923</v>
      </c>
      <c r="P11" s="11">
        <f>F11*'Res Predicted Monthly'!$AB$11</f>
        <v>10506409.952319395</v>
      </c>
      <c r="Q11" s="11">
        <f>G11*'Res Predicted Monthly'!$AB$12</f>
        <v>140794948.6768533</v>
      </c>
      <c r="R11" s="11">
        <f>H11*'Res Predicted Monthly'!$AB$13</f>
        <v>0</v>
      </c>
      <c r="S11" s="11">
        <f>I11*'Res Predicted Monthly'!$AB$14</f>
        <v>70054115.695287749</v>
      </c>
      <c r="T11" s="11">
        <f t="shared" si="5"/>
        <v>0</v>
      </c>
      <c r="U11" s="11">
        <f t="shared" si="6"/>
        <v>0</v>
      </c>
      <c r="V11" s="11">
        <f t="shared" si="7"/>
        <v>0</v>
      </c>
      <c r="W11" s="11">
        <f t="shared" si="8"/>
        <v>78094873.927606374</v>
      </c>
      <c r="X11" s="11">
        <f t="shared" si="3"/>
        <v>588247.75157296658</v>
      </c>
      <c r="Y11" s="23">
        <f t="shared" si="4"/>
        <v>7.5896446613085127E-3</v>
      </c>
      <c r="AA11" t="s">
        <v>31</v>
      </c>
      <c r="AB11" s="11">
        <v>284052.98958619498</v>
      </c>
      <c r="AC11">
        <v>5420.1285137551004</v>
      </c>
      <c r="AD11">
        <v>52.407058036600198</v>
      </c>
      <c r="AE11" s="20">
        <v>5.1719505972081499E-74</v>
      </c>
    </row>
    <row r="12" spans="1:31" x14ac:dyDescent="0.2">
      <c r="A12" s="8">
        <f>'Monthly Data'!A12</f>
        <v>43040</v>
      </c>
      <c r="B12">
        <f t="shared" si="1"/>
        <v>2017</v>
      </c>
      <c r="C12">
        <f t="shared" si="2"/>
        <v>11</v>
      </c>
      <c r="D12" s="19">
        <f>'Monthly Data'!F12</f>
        <v>84425507.974580884</v>
      </c>
      <c r="E12" s="21">
        <f>'Monthly Data'!BF12</f>
        <v>451.08124999999984</v>
      </c>
      <c r="F12" s="21">
        <f>'Monthly Data'!BK12</f>
        <v>0</v>
      </c>
      <c r="G12" s="11">
        <f>'Monthly Data'!G12</f>
        <v>142883</v>
      </c>
      <c r="H12">
        <f>'Monthly Data'!CC12</f>
        <v>0</v>
      </c>
      <c r="I12" s="21">
        <f>'Monthly Data'!CS12</f>
        <v>30</v>
      </c>
      <c r="J12" s="21">
        <f>'Monthly Data'!CK12</f>
        <v>0</v>
      </c>
      <c r="K12" s="21">
        <f>'Monthly Data'!DB12</f>
        <v>0</v>
      </c>
      <c r="L12" s="21">
        <f>'Monthly Data'!DG12</f>
        <v>0</v>
      </c>
      <c r="N12" s="11">
        <f>'Res Predicted Monthly'!$AB$9</f>
        <v>-154534728.74811399</v>
      </c>
      <c r="O12" s="11">
        <f>E12*'Res Predicted Monthly'!$AB$10</f>
        <v>27692149.704894457</v>
      </c>
      <c r="P12" s="11">
        <f>F12*'Res Predicted Monthly'!$AB$11</f>
        <v>0</v>
      </c>
      <c r="Q12" s="11">
        <f>G12*'Res Predicted Monthly'!$AB$12</f>
        <v>141020964.37390351</v>
      </c>
      <c r="R12" s="11">
        <f>H12*'Res Predicted Monthly'!$AB$13</f>
        <v>0</v>
      </c>
      <c r="S12" s="11">
        <f>I12*'Res Predicted Monthly'!$AB$14</f>
        <v>67794305.5115688</v>
      </c>
      <c r="T12" s="11">
        <f t="shared" si="5"/>
        <v>0</v>
      </c>
      <c r="U12" s="11">
        <f t="shared" si="6"/>
        <v>0</v>
      </c>
      <c r="V12" s="11">
        <f t="shared" si="7"/>
        <v>0</v>
      </c>
      <c r="W12" s="11">
        <f t="shared" si="8"/>
        <v>81972690.842252776</v>
      </c>
      <c r="X12" s="11">
        <f t="shared" si="3"/>
        <v>-2452817.132328108</v>
      </c>
      <c r="Y12" s="23">
        <f t="shared" si="4"/>
        <v>2.905303374741447E-2</v>
      </c>
      <c r="AA12" t="s">
        <v>9</v>
      </c>
      <c r="AB12" s="11">
        <v>986.96810938952501</v>
      </c>
      <c r="AC12">
        <v>57.980805788663297</v>
      </c>
      <c r="AD12">
        <v>17.022324818785201</v>
      </c>
      <c r="AE12" s="20">
        <v>3.6317823347535E-31</v>
      </c>
    </row>
    <row r="13" spans="1:31" x14ac:dyDescent="0.2">
      <c r="A13" s="8">
        <f>'Monthly Data'!A13</f>
        <v>43070</v>
      </c>
      <c r="B13">
        <f t="shared" si="1"/>
        <v>2017</v>
      </c>
      <c r="C13">
        <f t="shared" si="2"/>
        <v>12</v>
      </c>
      <c r="D13" s="19">
        <f>'Monthly Data'!F13</f>
        <v>102733791.77312838</v>
      </c>
      <c r="E13" s="21">
        <f>'Monthly Data'!BF13</f>
        <v>716.54583333333335</v>
      </c>
      <c r="F13" s="21">
        <f>'Monthly Data'!BK13</f>
        <v>0</v>
      </c>
      <c r="G13" s="11">
        <f>'Monthly Data'!G13</f>
        <v>143018</v>
      </c>
      <c r="H13">
        <f>'Monthly Data'!CC13</f>
        <v>1</v>
      </c>
      <c r="I13" s="21">
        <f>'Monthly Data'!CS13</f>
        <v>31</v>
      </c>
      <c r="J13" s="21">
        <f>'Monthly Data'!CK13</f>
        <v>0</v>
      </c>
      <c r="K13" s="21">
        <f>'Monthly Data'!DB13</f>
        <v>0</v>
      </c>
      <c r="L13" s="21">
        <f>'Monthly Data'!DG13</f>
        <v>0</v>
      </c>
      <c r="N13" s="11">
        <f>'Res Predicted Monthly'!$AB$9</f>
        <v>-154534728.74811399</v>
      </c>
      <c r="O13" s="11">
        <f>E13*'Res Predicted Monthly'!$AB$10</f>
        <v>43989180.412808172</v>
      </c>
      <c r="P13" s="11">
        <f>F13*'Res Predicted Monthly'!$AB$11</f>
        <v>0</v>
      </c>
      <c r="Q13" s="11">
        <f>G13*'Res Predicted Monthly'!$AB$12</f>
        <v>141154205.06867108</v>
      </c>
      <c r="R13" s="11">
        <f>H13*'Res Predicted Monthly'!$AB$13</f>
        <v>3702152.17603915</v>
      </c>
      <c r="S13" s="11">
        <f>I13*'Res Predicted Monthly'!$AB$14</f>
        <v>70054115.695287749</v>
      </c>
      <c r="T13" s="11">
        <f t="shared" si="5"/>
        <v>0</v>
      </c>
      <c r="U13" s="11">
        <f t="shared" si="6"/>
        <v>0</v>
      </c>
      <c r="V13" s="11">
        <f t="shared" si="7"/>
        <v>0</v>
      </c>
      <c r="W13" s="11">
        <f t="shared" si="8"/>
        <v>104364924.60469216</v>
      </c>
      <c r="X13" s="11">
        <f t="shared" si="3"/>
        <v>1631132.8315637857</v>
      </c>
      <c r="Y13" s="23">
        <f t="shared" si="4"/>
        <v>1.5877276633241469E-2</v>
      </c>
      <c r="AA13" t="s">
        <v>54</v>
      </c>
      <c r="AB13" s="11">
        <v>3702152.17603915</v>
      </c>
      <c r="AC13">
        <v>735416.534210023</v>
      </c>
      <c r="AD13">
        <v>5.0340888514506501</v>
      </c>
      <c r="AE13">
        <v>2.1543671539419E-6</v>
      </c>
    </row>
    <row r="14" spans="1:31" x14ac:dyDescent="0.2">
      <c r="A14" s="8">
        <f>'Monthly Data'!A14</f>
        <v>43101</v>
      </c>
      <c r="B14">
        <f t="shared" si="1"/>
        <v>2018</v>
      </c>
      <c r="C14">
        <f t="shared" si="2"/>
        <v>1</v>
      </c>
      <c r="D14" s="19">
        <f>'Monthly Data'!F14</f>
        <v>104765390.03404444</v>
      </c>
      <c r="E14" s="21">
        <f>'Monthly Data'!BF14</f>
        <v>750.29583333333323</v>
      </c>
      <c r="F14" s="21">
        <f>'Monthly Data'!BK14</f>
        <v>0</v>
      </c>
      <c r="G14" s="11">
        <f>'Monthly Data'!G14</f>
        <v>143169</v>
      </c>
      <c r="H14">
        <f>'Monthly Data'!CC14</f>
        <v>0</v>
      </c>
      <c r="I14" s="21">
        <f>'Monthly Data'!CS14</f>
        <v>31</v>
      </c>
      <c r="J14" s="21">
        <f>'Monthly Data'!CK14</f>
        <v>0</v>
      </c>
      <c r="K14" s="21">
        <f>'Monthly Data'!DB14</f>
        <v>0</v>
      </c>
      <c r="L14" s="21">
        <f>'Monthly Data'!DG14</f>
        <v>0</v>
      </c>
      <c r="N14" s="11">
        <f>'Res Predicted Monthly'!$AB$9</f>
        <v>-154534728.74811399</v>
      </c>
      <c r="O14" s="11">
        <f>E14*'Res Predicted Monthly'!$AB$10</f>
        <v>46061113.246505395</v>
      </c>
      <c r="P14" s="11">
        <f>F14*'Res Predicted Monthly'!$AB$11</f>
        <v>0</v>
      </c>
      <c r="Q14" s="11">
        <f>G14*'Res Predicted Monthly'!$AB$12</f>
        <v>141303237.25318891</v>
      </c>
      <c r="R14" s="11">
        <f>H14*'Res Predicted Monthly'!$AB$13</f>
        <v>0</v>
      </c>
      <c r="S14" s="11">
        <f>I14*'Res Predicted Monthly'!$AB$14</f>
        <v>70054115.695287749</v>
      </c>
      <c r="T14" s="11">
        <f t="shared" si="5"/>
        <v>0</v>
      </c>
      <c r="U14" s="11">
        <f t="shared" si="6"/>
        <v>0</v>
      </c>
      <c r="V14" s="11">
        <f t="shared" si="7"/>
        <v>0</v>
      </c>
      <c r="W14" s="11">
        <f t="shared" si="8"/>
        <v>102883737.44686806</v>
      </c>
      <c r="X14" s="11">
        <f t="shared" si="3"/>
        <v>-1881652.5871763825</v>
      </c>
      <c r="Y14" s="23">
        <f t="shared" si="4"/>
        <v>1.7960631717830886E-2</v>
      </c>
      <c r="AA14" t="s">
        <v>178</v>
      </c>
      <c r="AB14" s="11">
        <v>2259810.1837189598</v>
      </c>
      <c r="AC14">
        <v>231835.055624242</v>
      </c>
      <c r="AD14">
        <v>9.7474912826887792</v>
      </c>
      <c r="AE14" s="20">
        <v>3.8898009217110002E-16</v>
      </c>
    </row>
    <row r="15" spans="1:31" x14ac:dyDescent="0.2">
      <c r="A15" s="8">
        <f>'Monthly Data'!A15</f>
        <v>43132</v>
      </c>
      <c r="B15">
        <f t="shared" si="1"/>
        <v>2018</v>
      </c>
      <c r="C15">
        <f t="shared" si="2"/>
        <v>2</v>
      </c>
      <c r="D15" s="19">
        <f>'Monthly Data'!F15</f>
        <v>87909194.787768081</v>
      </c>
      <c r="E15" s="21">
        <f>'Monthly Data'!BF15</f>
        <v>574.37083333333339</v>
      </c>
      <c r="F15" s="21">
        <f>'Monthly Data'!BK15</f>
        <v>0</v>
      </c>
      <c r="G15" s="11">
        <f>'Monthly Data'!G15</f>
        <v>143313</v>
      </c>
      <c r="H15">
        <f>'Monthly Data'!CC15</f>
        <v>0</v>
      </c>
      <c r="I15" s="21">
        <f>'Monthly Data'!CS15</f>
        <v>28</v>
      </c>
      <c r="J15" s="21">
        <f>'Monthly Data'!CK15</f>
        <v>0</v>
      </c>
      <c r="K15" s="21">
        <f>'Monthly Data'!DB15</f>
        <v>0</v>
      </c>
      <c r="L15" s="21">
        <f>'Monthly Data'!DG15</f>
        <v>0</v>
      </c>
      <c r="N15" s="11">
        <f>'Res Predicted Monthly'!$AB$9</f>
        <v>-154534728.74811399</v>
      </c>
      <c r="O15" s="11">
        <f>E15*'Res Predicted Monthly'!$AB$10</f>
        <v>35260971.505225845</v>
      </c>
      <c r="P15" s="11">
        <f>F15*'Res Predicted Monthly'!$AB$11</f>
        <v>0</v>
      </c>
      <c r="Q15" s="11">
        <f>G15*'Res Predicted Monthly'!$AB$12</f>
        <v>141445360.660941</v>
      </c>
      <c r="R15" s="11">
        <f>H15*'Res Predicted Monthly'!$AB$13</f>
        <v>0</v>
      </c>
      <c r="S15" s="11">
        <f>I15*'Res Predicted Monthly'!$AB$14</f>
        <v>63274685.144130871</v>
      </c>
      <c r="T15" s="11">
        <f t="shared" si="5"/>
        <v>0</v>
      </c>
      <c r="U15" s="11">
        <f t="shared" si="6"/>
        <v>0</v>
      </c>
      <c r="V15" s="11">
        <f t="shared" si="7"/>
        <v>0</v>
      </c>
      <c r="W15" s="11">
        <f t="shared" si="8"/>
        <v>85446288.562183723</v>
      </c>
      <c r="X15" s="11">
        <f t="shared" si="3"/>
        <v>-2462906.225584358</v>
      </c>
      <c r="Y15" s="23">
        <f t="shared" si="4"/>
        <v>2.8016480318473504E-2</v>
      </c>
      <c r="AA15" t="s">
        <v>515</v>
      </c>
      <c r="AB15" s="11">
        <v>-2784507.8509929599</v>
      </c>
      <c r="AC15">
        <v>726676.09961248504</v>
      </c>
      <c r="AD15">
        <v>-3.8318417964728</v>
      </c>
      <c r="AE15">
        <v>2.2343810426392099E-4</v>
      </c>
    </row>
    <row r="16" spans="1:31" x14ac:dyDescent="0.2">
      <c r="A16" s="8">
        <f>'Monthly Data'!A16</f>
        <v>43160</v>
      </c>
      <c r="B16">
        <f t="shared" si="1"/>
        <v>2018</v>
      </c>
      <c r="C16">
        <f t="shared" si="2"/>
        <v>3</v>
      </c>
      <c r="D16" s="19">
        <f>'Monthly Data'!F16</f>
        <v>91818531.541491702</v>
      </c>
      <c r="E16" s="21">
        <f>'Monthly Data'!BF16</f>
        <v>595.81666666666683</v>
      </c>
      <c r="F16" s="21">
        <f>'Monthly Data'!BK16</f>
        <v>0</v>
      </c>
      <c r="G16" s="11">
        <f>'Monthly Data'!G16</f>
        <v>143415</v>
      </c>
      <c r="H16">
        <f>'Monthly Data'!CC16</f>
        <v>0</v>
      </c>
      <c r="I16" s="21">
        <f>'Monthly Data'!CS16</f>
        <v>31</v>
      </c>
      <c r="J16" s="21">
        <f>'Monthly Data'!CK16</f>
        <v>0</v>
      </c>
      <c r="K16" s="21">
        <f>'Monthly Data'!DB16</f>
        <v>0</v>
      </c>
      <c r="L16" s="21">
        <f>'Monthly Data'!DG16</f>
        <v>0</v>
      </c>
      <c r="N16" s="11">
        <f>'Res Predicted Monthly'!$AB$9</f>
        <v>-154534728.74811399</v>
      </c>
      <c r="O16" s="11">
        <f>E16*'Res Predicted Monthly'!$AB$10</f>
        <v>36577544.134243093</v>
      </c>
      <c r="P16" s="11">
        <f>F16*'Res Predicted Monthly'!$AB$11</f>
        <v>0</v>
      </c>
      <c r="Q16" s="11">
        <f>G16*'Res Predicted Monthly'!$AB$12</f>
        <v>141546031.40809873</v>
      </c>
      <c r="R16" s="11">
        <f>H16*'Res Predicted Monthly'!$AB$13</f>
        <v>0</v>
      </c>
      <c r="S16" s="11">
        <f>I16*'Res Predicted Monthly'!$AB$14</f>
        <v>70054115.695287749</v>
      </c>
      <c r="T16" s="11">
        <f t="shared" si="5"/>
        <v>0</v>
      </c>
      <c r="U16" s="11">
        <f t="shared" si="6"/>
        <v>0</v>
      </c>
      <c r="V16" s="11">
        <f t="shared" si="7"/>
        <v>0</v>
      </c>
      <c r="W16" s="11">
        <f t="shared" si="8"/>
        <v>93642962.489515588</v>
      </c>
      <c r="X16" s="11">
        <f t="shared" si="3"/>
        <v>1824430.9480238855</v>
      </c>
      <c r="Y16" s="23">
        <f t="shared" si="4"/>
        <v>1.9869964345916889E-2</v>
      </c>
      <c r="AA16" t="s">
        <v>335</v>
      </c>
      <c r="AB16" s="11">
        <v>10580.2973093172</v>
      </c>
      <c r="AC16">
        <v>2680.5104295251099</v>
      </c>
      <c r="AD16">
        <v>3.9471203666204899</v>
      </c>
      <c r="AE16">
        <v>1.48039543701533E-4</v>
      </c>
    </row>
    <row r="17" spans="1:31" x14ac:dyDescent="0.2">
      <c r="A17" s="8">
        <f>'Monthly Data'!A17</f>
        <v>43191</v>
      </c>
      <c r="B17">
        <f t="shared" si="1"/>
        <v>2018</v>
      </c>
      <c r="C17">
        <f t="shared" si="2"/>
        <v>4</v>
      </c>
      <c r="D17" s="19">
        <f>'Monthly Data'!F17</f>
        <v>83778021.295215338</v>
      </c>
      <c r="E17" s="21">
        <f>'Monthly Data'!BF17</f>
        <v>460.90000000000003</v>
      </c>
      <c r="F17" s="21">
        <f>'Monthly Data'!BK17</f>
        <v>0</v>
      </c>
      <c r="G17" s="11">
        <f>'Monthly Data'!G17</f>
        <v>143508</v>
      </c>
      <c r="H17">
        <f>'Monthly Data'!CC17</f>
        <v>0</v>
      </c>
      <c r="I17" s="21">
        <f>'Monthly Data'!CS17</f>
        <v>30</v>
      </c>
      <c r="J17" s="21">
        <f>'Monthly Data'!CK17</f>
        <v>0</v>
      </c>
      <c r="K17" s="21">
        <f>'Monthly Data'!DB17</f>
        <v>0</v>
      </c>
      <c r="L17" s="21">
        <f>'Monthly Data'!DG17</f>
        <v>0</v>
      </c>
      <c r="N17" s="11">
        <f>'Res Predicted Monthly'!$AB$9</f>
        <v>-154534728.74811399</v>
      </c>
      <c r="O17" s="11">
        <f>E17*'Res Predicted Monthly'!$AB$10</f>
        <v>28294928.682994161</v>
      </c>
      <c r="P17" s="11">
        <f>F17*'Res Predicted Monthly'!$AB$11</f>
        <v>0</v>
      </c>
      <c r="Q17" s="11">
        <f>G17*'Res Predicted Monthly'!$AB$12</f>
        <v>141637819.44227195</v>
      </c>
      <c r="R17" s="11">
        <f>H17*'Res Predicted Monthly'!$AB$13</f>
        <v>0</v>
      </c>
      <c r="S17" s="11">
        <f>I17*'Res Predicted Monthly'!$AB$14</f>
        <v>67794305.5115688</v>
      </c>
      <c r="T17" s="11">
        <f t="shared" si="5"/>
        <v>0</v>
      </c>
      <c r="U17" s="11">
        <f t="shared" si="6"/>
        <v>0</v>
      </c>
      <c r="V17" s="11">
        <f t="shared" si="7"/>
        <v>0</v>
      </c>
      <c r="W17" s="11">
        <f t="shared" si="8"/>
        <v>83192324.888720915</v>
      </c>
      <c r="X17" s="11">
        <f t="shared" si="3"/>
        <v>-585696.40649442375</v>
      </c>
      <c r="Y17" s="23">
        <f t="shared" si="4"/>
        <v>6.9910508441176755E-3</v>
      </c>
      <c r="AA17" t="s">
        <v>340</v>
      </c>
      <c r="AB17" s="11">
        <v>47920.1816909341</v>
      </c>
      <c r="AC17">
        <v>9457.2810300905294</v>
      </c>
      <c r="AD17">
        <v>5.0670146671612004</v>
      </c>
      <c r="AE17" s="20">
        <v>1.8785778000440801E-6</v>
      </c>
    </row>
    <row r="18" spans="1:31" x14ac:dyDescent="0.2">
      <c r="A18" s="8">
        <f>'Monthly Data'!A18</f>
        <v>43221</v>
      </c>
      <c r="B18">
        <f t="shared" si="1"/>
        <v>2018</v>
      </c>
      <c r="C18">
        <f t="shared" si="2"/>
        <v>5</v>
      </c>
      <c r="D18" s="19">
        <f>'Monthly Data'!F18</f>
        <v>84852159.04893896</v>
      </c>
      <c r="E18" s="21">
        <f>'Monthly Data'!BF18</f>
        <v>73.595833333333331</v>
      </c>
      <c r="F18" s="21">
        <f>'Monthly Data'!BK18</f>
        <v>107.17916666666667</v>
      </c>
      <c r="G18" s="11">
        <f>'Monthly Data'!G18</f>
        <v>143726</v>
      </c>
      <c r="H18">
        <f>'Monthly Data'!CC18</f>
        <v>0</v>
      </c>
      <c r="I18" s="21">
        <f>'Monthly Data'!CS18</f>
        <v>31</v>
      </c>
      <c r="J18" s="21">
        <f>'Monthly Data'!CK18</f>
        <v>1</v>
      </c>
      <c r="K18" s="21">
        <f>'Monthly Data'!DB18</f>
        <v>0</v>
      </c>
      <c r="L18" s="21">
        <f>'Monthly Data'!DG18</f>
        <v>0</v>
      </c>
      <c r="N18" s="11">
        <f>'Res Predicted Monthly'!$AB$9</f>
        <v>-154534728.74811399</v>
      </c>
      <c r="O18" s="11">
        <f>E18*'Res Predicted Monthly'!$AB$10</f>
        <v>4518092.5483449576</v>
      </c>
      <c r="P18" s="11">
        <f>F18*'Res Predicted Monthly'!$AB$11</f>
        <v>30444562.713023726</v>
      </c>
      <c r="Q18" s="11">
        <f>G18*'Res Predicted Monthly'!$AB$12</f>
        <v>141852978.49011886</v>
      </c>
      <c r="R18" s="11">
        <f>H18*'Res Predicted Monthly'!$AB$13</f>
        <v>0</v>
      </c>
      <c r="S18" s="11">
        <f>I18*'Res Predicted Monthly'!$AB$14</f>
        <v>70054115.695287749</v>
      </c>
      <c r="T18" s="11">
        <f t="shared" si="5"/>
        <v>-2784507.8509929599</v>
      </c>
      <c r="U18" s="11">
        <f t="shared" si="6"/>
        <v>0</v>
      </c>
      <c r="V18" s="11">
        <f t="shared" si="7"/>
        <v>0</v>
      </c>
      <c r="W18" s="11">
        <f t="shared" si="8"/>
        <v>89550512.84766835</v>
      </c>
      <c r="X18" s="11">
        <f t="shared" si="3"/>
        <v>4698353.7987293899</v>
      </c>
      <c r="Y18" s="23">
        <f t="shared" si="4"/>
        <v>5.5371057747859873E-2</v>
      </c>
    </row>
    <row r="19" spans="1:31" x14ac:dyDescent="0.2">
      <c r="A19" s="8">
        <f>'Monthly Data'!A19</f>
        <v>43252</v>
      </c>
      <c r="B19">
        <f t="shared" si="1"/>
        <v>2018</v>
      </c>
      <c r="C19">
        <f t="shared" si="2"/>
        <v>6</v>
      </c>
      <c r="D19" s="19">
        <f>'Monthly Data'!F19</f>
        <v>96396686.802662596</v>
      </c>
      <c r="E19" s="21">
        <f>'Monthly Data'!BF19</f>
        <v>21.091666666666665</v>
      </c>
      <c r="F19" s="21">
        <f>'Monthly Data'!BK19</f>
        <v>155.0625</v>
      </c>
      <c r="G19" s="11">
        <f>'Monthly Data'!G19</f>
        <v>143830</v>
      </c>
      <c r="H19">
        <f>'Monthly Data'!CC19</f>
        <v>0</v>
      </c>
      <c r="I19" s="21">
        <f>'Monthly Data'!CS19</f>
        <v>30</v>
      </c>
      <c r="J19" s="21">
        <f>'Monthly Data'!CK19</f>
        <v>1</v>
      </c>
      <c r="K19" s="21">
        <f>'Monthly Data'!DB19</f>
        <v>0</v>
      </c>
      <c r="L19" s="21">
        <f>'Monthly Data'!DG19</f>
        <v>0</v>
      </c>
      <c r="N19" s="11">
        <f>'Res Predicted Monthly'!$AB$9</f>
        <v>-154534728.74811399</v>
      </c>
      <c r="O19" s="11">
        <f>E19*'Res Predicted Monthly'!$AB$10</f>
        <v>1294830.1239722683</v>
      </c>
      <c r="P19" s="11">
        <f>F19*'Res Predicted Monthly'!$AB$11</f>
        <v>44045966.697709359</v>
      </c>
      <c r="Q19" s="11">
        <f>G19*'Res Predicted Monthly'!$AB$12</f>
        <v>141955623.17349538</v>
      </c>
      <c r="R19" s="11">
        <f>H19*'Res Predicted Monthly'!$AB$13</f>
        <v>0</v>
      </c>
      <c r="S19" s="11">
        <f>I19*'Res Predicted Monthly'!$AB$14</f>
        <v>67794305.5115688</v>
      </c>
      <c r="T19" s="11">
        <f t="shared" si="5"/>
        <v>-2784507.8509929599</v>
      </c>
      <c r="U19" s="11">
        <f t="shared" si="6"/>
        <v>0</v>
      </c>
      <c r="V19" s="11">
        <f t="shared" si="7"/>
        <v>0</v>
      </c>
      <c r="W19" s="11">
        <f t="shared" si="8"/>
        <v>97771488.907638848</v>
      </c>
      <c r="X19" s="11">
        <f t="shared" si="3"/>
        <v>1374802.1049762517</v>
      </c>
      <c r="Y19" s="23">
        <f t="shared" si="4"/>
        <v>1.4261922796067281E-2</v>
      </c>
      <c r="AA19" t="s">
        <v>152</v>
      </c>
    </row>
    <row r="20" spans="1:31" x14ac:dyDescent="0.2">
      <c r="A20" s="8">
        <f>'Monthly Data'!A20</f>
        <v>43282</v>
      </c>
      <c r="B20">
        <f t="shared" si="1"/>
        <v>2018</v>
      </c>
      <c r="C20">
        <f t="shared" si="2"/>
        <v>7</v>
      </c>
      <c r="D20" s="19">
        <f>'Monthly Data'!F20</f>
        <v>120736313.55638622</v>
      </c>
      <c r="E20" s="21">
        <f>'Monthly Data'!BF20</f>
        <v>0.97083333333332433</v>
      </c>
      <c r="F20" s="21">
        <f>'Monthly Data'!BK20</f>
        <v>224.81458333333336</v>
      </c>
      <c r="G20" s="11">
        <f>'Monthly Data'!G20</f>
        <v>143994</v>
      </c>
      <c r="H20">
        <f>'Monthly Data'!CC20</f>
        <v>0</v>
      </c>
      <c r="I20" s="21">
        <f>'Monthly Data'!CS20</f>
        <v>31</v>
      </c>
      <c r="J20" s="21">
        <f>'Monthly Data'!CK20</f>
        <v>1</v>
      </c>
      <c r="K20" s="21">
        <f>'Monthly Data'!DB20</f>
        <v>0</v>
      </c>
      <c r="L20" s="21">
        <f>'Monthly Data'!DG20</f>
        <v>0</v>
      </c>
      <c r="N20" s="11">
        <f>'Res Predicted Monthly'!$AB$9</f>
        <v>-154534728.74811399</v>
      </c>
      <c r="O20" s="11">
        <f>E20*'Res Predicted Monthly'!$AB$10</f>
        <v>59600.043240919738</v>
      </c>
      <c r="P20" s="11">
        <f>F20*'Res Predicted Monthly'!$AB$11</f>
        <v>63859254.498408101</v>
      </c>
      <c r="Q20" s="11">
        <f>G20*'Res Predicted Monthly'!$AB$12</f>
        <v>142117485.94343525</v>
      </c>
      <c r="R20" s="11">
        <f>H20*'Res Predicted Monthly'!$AB$13</f>
        <v>0</v>
      </c>
      <c r="S20" s="11">
        <f>I20*'Res Predicted Monthly'!$AB$14</f>
        <v>70054115.695287749</v>
      </c>
      <c r="T20" s="11">
        <f t="shared" si="5"/>
        <v>-2784507.8509929599</v>
      </c>
      <c r="U20" s="11">
        <f t="shared" si="6"/>
        <v>0</v>
      </c>
      <c r="V20" s="11">
        <f t="shared" si="7"/>
        <v>0</v>
      </c>
      <c r="W20" s="11">
        <f t="shared" si="8"/>
        <v>118771219.58126509</v>
      </c>
      <c r="X20" s="11">
        <f t="shared" si="3"/>
        <v>-1965093.9751211256</v>
      </c>
      <c r="Y20" s="23">
        <f t="shared" si="4"/>
        <v>1.6275914985621854E-2</v>
      </c>
      <c r="AA20" t="s">
        <v>68</v>
      </c>
      <c r="AB20">
        <v>390246320016768</v>
      </c>
      <c r="AC20" t="s">
        <v>69</v>
      </c>
      <c r="AD20">
        <v>1985417.34161143</v>
      </c>
    </row>
    <row r="21" spans="1:31" x14ac:dyDescent="0.2">
      <c r="A21" s="8">
        <f>'Monthly Data'!A21</f>
        <v>43313</v>
      </c>
      <c r="B21">
        <f t="shared" si="1"/>
        <v>2018</v>
      </c>
      <c r="C21">
        <f t="shared" si="2"/>
        <v>8</v>
      </c>
      <c r="D21" s="19">
        <f>'Monthly Data'!F21</f>
        <v>119361439.31010985</v>
      </c>
      <c r="E21" s="21">
        <f>'Monthly Data'!BF21</f>
        <v>1.7291666666666643</v>
      </c>
      <c r="F21" s="21">
        <f>'Monthly Data'!BK21</f>
        <v>230.90833333333327</v>
      </c>
      <c r="G21" s="11">
        <f>'Monthly Data'!G21</f>
        <v>144112</v>
      </c>
      <c r="H21">
        <f>'Monthly Data'!CC21</f>
        <v>0</v>
      </c>
      <c r="I21" s="21">
        <f>'Monthly Data'!CS21</f>
        <v>31</v>
      </c>
      <c r="J21" s="21">
        <f>'Monthly Data'!CK21</f>
        <v>1</v>
      </c>
      <c r="K21" s="21">
        <f>'Monthly Data'!DB21</f>
        <v>0</v>
      </c>
      <c r="L21" s="21">
        <f>'Monthly Data'!DG21</f>
        <v>0</v>
      </c>
      <c r="N21" s="11">
        <f>'Res Predicted Monthly'!$AB$9</f>
        <v>-154534728.74811399</v>
      </c>
      <c r="O21" s="11">
        <f>E21*'Res Predicted Monthly'!$AB$10</f>
        <v>106154.58345485789</v>
      </c>
      <c r="P21" s="11">
        <f>F21*'Res Predicted Monthly'!$AB$11</f>
        <v>65590202.403698958</v>
      </c>
      <c r="Q21" s="11">
        <f>G21*'Res Predicted Monthly'!$AB$12</f>
        <v>142233948.18034324</v>
      </c>
      <c r="R21" s="11">
        <f>H21*'Res Predicted Monthly'!$AB$13</f>
        <v>0</v>
      </c>
      <c r="S21" s="11">
        <f>I21*'Res Predicted Monthly'!$AB$14</f>
        <v>70054115.695287749</v>
      </c>
      <c r="T21" s="11">
        <f t="shared" si="5"/>
        <v>-2784507.8509929599</v>
      </c>
      <c r="U21" s="11">
        <f t="shared" si="6"/>
        <v>0</v>
      </c>
      <c r="V21" s="11">
        <f t="shared" si="7"/>
        <v>0</v>
      </c>
      <c r="W21" s="11">
        <f t="shared" si="8"/>
        <v>120665184.26367784</v>
      </c>
      <c r="X21" s="11">
        <f t="shared" si="3"/>
        <v>1303744.9535679817</v>
      </c>
      <c r="Y21" s="23">
        <f t="shared" si="4"/>
        <v>1.0922664481120706E-2</v>
      </c>
      <c r="AA21" t="s">
        <v>70</v>
      </c>
      <c r="AB21">
        <v>0.98295100964555604</v>
      </c>
      <c r="AC21" t="s">
        <v>71</v>
      </c>
      <c r="AD21" s="528">
        <v>0.98157331345529797</v>
      </c>
    </row>
    <row r="22" spans="1:31" x14ac:dyDescent="0.2">
      <c r="A22" s="8">
        <f>'Monthly Data'!A22</f>
        <v>43344</v>
      </c>
      <c r="B22">
        <f t="shared" si="1"/>
        <v>2018</v>
      </c>
      <c r="C22">
        <f t="shared" si="2"/>
        <v>9</v>
      </c>
      <c r="D22" s="19">
        <f>'Monthly Data'!F22</f>
        <v>98395160.063833475</v>
      </c>
      <c r="E22" s="21">
        <f>'Monthly Data'!BF22</f>
        <v>67.079166666666666</v>
      </c>
      <c r="F22" s="21">
        <f>'Monthly Data'!BK22</f>
        <v>130.34583333333333</v>
      </c>
      <c r="G22" s="11">
        <f>'Monthly Data'!G22</f>
        <v>144236</v>
      </c>
      <c r="H22">
        <f>'Monthly Data'!CC22</f>
        <v>0</v>
      </c>
      <c r="I22" s="21">
        <f>'Monthly Data'!CS22</f>
        <v>30</v>
      </c>
      <c r="J22" s="21">
        <f>'Monthly Data'!CK22</f>
        <v>0</v>
      </c>
      <c r="K22" s="21">
        <f>'Monthly Data'!DB22</f>
        <v>0</v>
      </c>
      <c r="L22" s="21">
        <f>'Monthly Data'!DG22</f>
        <v>0</v>
      </c>
      <c r="N22" s="11">
        <f>'Res Predicted Monthly'!$AB$9</f>
        <v>-154534728.74811399</v>
      </c>
      <c r="O22" s="11">
        <f>E22*'Res Predicted Monthly'!$AB$10</f>
        <v>4118030.4555174927</v>
      </c>
      <c r="P22" s="11">
        <f>F22*'Res Predicted Monthly'!$AB$11</f>
        <v>37025123.638437241</v>
      </c>
      <c r="Q22" s="11">
        <f>G22*'Res Predicted Monthly'!$AB$12</f>
        <v>142356332.22590753</v>
      </c>
      <c r="R22" s="11">
        <f>H22*'Res Predicted Monthly'!$AB$13</f>
        <v>0</v>
      </c>
      <c r="S22" s="11">
        <f>I22*'Res Predicted Monthly'!$AB$14</f>
        <v>67794305.5115688</v>
      </c>
      <c r="T22" s="11">
        <f t="shared" si="5"/>
        <v>0</v>
      </c>
      <c r="U22" s="11">
        <f t="shared" si="6"/>
        <v>0</v>
      </c>
      <c r="V22" s="11">
        <f t="shared" si="7"/>
        <v>0</v>
      </c>
      <c r="W22" s="11">
        <f t="shared" si="8"/>
        <v>96759063.083317086</v>
      </c>
      <c r="X22" s="11">
        <f t="shared" ref="X22:X53" si="9">W22-D22</f>
        <v>-1636096.980516389</v>
      </c>
      <c r="Y22" s="23">
        <f t="shared" ref="Y22:Y53" si="10">ABS(X22/D22)</f>
        <v>1.6627819696161655E-2</v>
      </c>
      <c r="AA22" t="s">
        <v>536</v>
      </c>
      <c r="AB22">
        <v>629.85722684852794</v>
      </c>
      <c r="AC22" t="s">
        <v>72</v>
      </c>
      <c r="AD22" s="20">
        <v>2.7070284144986799E-81</v>
      </c>
    </row>
    <row r="23" spans="1:31" x14ac:dyDescent="0.2">
      <c r="A23" s="8">
        <f>'Monthly Data'!A23</f>
        <v>43374</v>
      </c>
      <c r="B23">
        <f t="shared" si="1"/>
        <v>2018</v>
      </c>
      <c r="C23">
        <f t="shared" si="2"/>
        <v>10</v>
      </c>
      <c r="D23" s="19">
        <f>'Monthly Data'!F23</f>
        <v>83137429.817557111</v>
      </c>
      <c r="E23" s="21">
        <f>'Monthly Data'!BF23</f>
        <v>290</v>
      </c>
      <c r="F23" s="21">
        <f>'Monthly Data'!BK23</f>
        <v>22.829166666666666</v>
      </c>
      <c r="G23" s="11">
        <f>'Monthly Data'!G23</f>
        <v>144490</v>
      </c>
      <c r="H23">
        <f>'Monthly Data'!CC23</f>
        <v>0</v>
      </c>
      <c r="I23" s="21">
        <f>'Monthly Data'!CS23</f>
        <v>31</v>
      </c>
      <c r="J23" s="21">
        <f>'Monthly Data'!CK23</f>
        <v>0</v>
      </c>
      <c r="K23" s="21">
        <f>'Monthly Data'!DB23</f>
        <v>0</v>
      </c>
      <c r="L23" s="21">
        <f>'Monthly Data'!DG23</f>
        <v>0</v>
      </c>
      <c r="N23" s="11">
        <f>'Res Predicted Monthly'!$AB$9</f>
        <v>-154534728.74811399</v>
      </c>
      <c r="O23" s="11">
        <f>E23*'Res Predicted Monthly'!$AB$10</f>
        <v>17803274.719176192</v>
      </c>
      <c r="P23" s="11">
        <f>F23*'Res Predicted Monthly'!$AB$11</f>
        <v>6484693.0414281758</v>
      </c>
      <c r="Q23" s="11">
        <f>G23*'Res Predicted Monthly'!$AB$12</f>
        <v>142607022.12569246</v>
      </c>
      <c r="R23" s="11">
        <f>H23*'Res Predicted Monthly'!$AB$13</f>
        <v>0</v>
      </c>
      <c r="S23" s="11">
        <f>I23*'Res Predicted Monthly'!$AB$14</f>
        <v>70054115.695287749</v>
      </c>
      <c r="T23" s="11">
        <f t="shared" si="5"/>
        <v>0</v>
      </c>
      <c r="U23" s="11">
        <f t="shared" si="6"/>
        <v>0</v>
      </c>
      <c r="V23" s="11">
        <f t="shared" si="7"/>
        <v>0</v>
      </c>
      <c r="W23" s="11">
        <f t="shared" si="8"/>
        <v>82414376.833470598</v>
      </c>
      <c r="X23" s="11">
        <f t="shared" si="9"/>
        <v>-723052.98408651352</v>
      </c>
      <c r="Y23" s="23">
        <f t="shared" si="10"/>
        <v>8.6970812746224434E-3</v>
      </c>
      <c r="AA23" t="s">
        <v>73</v>
      </c>
      <c r="AB23">
        <v>-8.2873021698525694E-3</v>
      </c>
      <c r="AC23" t="s">
        <v>74</v>
      </c>
      <c r="AD23">
        <v>1.9876178674704399</v>
      </c>
    </row>
    <row r="24" spans="1:31" x14ac:dyDescent="0.2">
      <c r="A24" s="8">
        <f>'Monthly Data'!A24</f>
        <v>43405</v>
      </c>
      <c r="B24">
        <f t="shared" si="1"/>
        <v>2018</v>
      </c>
      <c r="C24">
        <f t="shared" si="2"/>
        <v>11</v>
      </c>
      <c r="D24" s="19">
        <f>'Monthly Data'!F24</f>
        <v>90326715.571280748</v>
      </c>
      <c r="E24" s="21">
        <f>'Monthly Data'!BF24</f>
        <v>518.42500000000007</v>
      </c>
      <c r="F24" s="21">
        <f>'Monthly Data'!BK24</f>
        <v>0</v>
      </c>
      <c r="G24" s="11">
        <f>'Monthly Data'!G24</f>
        <v>144599</v>
      </c>
      <c r="H24">
        <f>'Monthly Data'!CC24</f>
        <v>0</v>
      </c>
      <c r="I24" s="21">
        <f>'Monthly Data'!CS24</f>
        <v>30</v>
      </c>
      <c r="J24" s="21">
        <f>'Monthly Data'!CK24</f>
        <v>0</v>
      </c>
      <c r="K24" s="21">
        <f>'Monthly Data'!DB24</f>
        <v>0</v>
      </c>
      <c r="L24" s="21">
        <f>'Monthly Data'!DG24</f>
        <v>0</v>
      </c>
      <c r="N24" s="11">
        <f>'Res Predicted Monthly'!$AB$9</f>
        <v>-154534728.74811399</v>
      </c>
      <c r="O24" s="11">
        <f>E24*'Res Predicted Monthly'!$AB$10</f>
        <v>31826423.090651441</v>
      </c>
      <c r="P24" s="11">
        <f>F24*'Res Predicted Monthly'!$AB$11</f>
        <v>0</v>
      </c>
      <c r="Q24" s="11">
        <f>G24*'Res Predicted Monthly'!$AB$12</f>
        <v>142714601.64961591</v>
      </c>
      <c r="R24" s="11">
        <f>H24*'Res Predicted Monthly'!$AB$13</f>
        <v>0</v>
      </c>
      <c r="S24" s="11">
        <f>I24*'Res Predicted Monthly'!$AB$14</f>
        <v>67794305.5115688</v>
      </c>
      <c r="T24" s="11">
        <f t="shared" si="5"/>
        <v>0</v>
      </c>
      <c r="U24" s="11">
        <f t="shared" si="6"/>
        <v>0</v>
      </c>
      <c r="V24" s="11">
        <f t="shared" si="7"/>
        <v>0</v>
      </c>
      <c r="W24" s="11">
        <f t="shared" si="8"/>
        <v>87800601.503722161</v>
      </c>
      <c r="X24" s="11">
        <f t="shared" si="9"/>
        <v>-2526114.0675585866</v>
      </c>
      <c r="Y24" s="23">
        <f t="shared" si="10"/>
        <v>2.7966411172839777E-2</v>
      </c>
    </row>
    <row r="25" spans="1:31" x14ac:dyDescent="0.2">
      <c r="A25" s="8">
        <f>'Monthly Data'!A25</f>
        <v>43435</v>
      </c>
      <c r="B25">
        <f t="shared" si="1"/>
        <v>2018</v>
      </c>
      <c r="C25">
        <f t="shared" si="2"/>
        <v>12</v>
      </c>
      <c r="D25" s="19">
        <f>'Monthly Data'!F25</f>
        <v>102342861.32500437</v>
      </c>
      <c r="E25" s="21">
        <f>'Monthly Data'!BF25</f>
        <v>573.47083333333342</v>
      </c>
      <c r="F25" s="21">
        <f>'Monthly Data'!BK25</f>
        <v>0</v>
      </c>
      <c r="G25" s="11">
        <f>'Monthly Data'!G25</f>
        <v>144731</v>
      </c>
      <c r="H25">
        <f>'Monthly Data'!CC25</f>
        <v>1</v>
      </c>
      <c r="I25" s="21">
        <f>'Monthly Data'!CS25</f>
        <v>31</v>
      </c>
      <c r="J25" s="21">
        <f>'Monthly Data'!CK25</f>
        <v>0</v>
      </c>
      <c r="K25" s="21">
        <f>'Monthly Data'!DB25</f>
        <v>0</v>
      </c>
      <c r="L25" s="21">
        <f>'Monthly Data'!DG25</f>
        <v>0</v>
      </c>
      <c r="N25" s="11">
        <f>'Res Predicted Monthly'!$AB$9</f>
        <v>-154534728.74811399</v>
      </c>
      <c r="O25" s="11">
        <f>E25*'Res Predicted Monthly'!$AB$10</f>
        <v>35205719.96299392</v>
      </c>
      <c r="P25" s="11">
        <f>F25*'Res Predicted Monthly'!$AB$11</f>
        <v>0</v>
      </c>
      <c r="Q25" s="11">
        <f>G25*'Res Predicted Monthly'!$AB$12</f>
        <v>142844881.44005534</v>
      </c>
      <c r="R25" s="11">
        <f>H25*'Res Predicted Monthly'!$AB$13</f>
        <v>3702152.17603915</v>
      </c>
      <c r="S25" s="11">
        <f>I25*'Res Predicted Monthly'!$AB$14</f>
        <v>70054115.695287749</v>
      </c>
      <c r="T25" s="11">
        <f t="shared" si="5"/>
        <v>0</v>
      </c>
      <c r="U25" s="11">
        <f t="shared" si="6"/>
        <v>0</v>
      </c>
      <c r="V25" s="11">
        <f t="shared" si="7"/>
        <v>0</v>
      </c>
      <c r="W25" s="11">
        <f t="shared" si="8"/>
        <v>97272140.526262164</v>
      </c>
      <c r="X25" s="11">
        <f t="shared" si="9"/>
        <v>-5070720.7987422049</v>
      </c>
      <c r="Y25" s="23">
        <f t="shared" si="10"/>
        <v>4.9546404439870087E-2</v>
      </c>
      <c r="AA25" t="s">
        <v>361</v>
      </c>
    </row>
    <row r="26" spans="1:31" x14ac:dyDescent="0.2">
      <c r="A26" s="8">
        <f>'Monthly Data'!A26</f>
        <v>43466</v>
      </c>
      <c r="B26">
        <f t="shared" si="1"/>
        <v>2019</v>
      </c>
      <c r="C26">
        <f t="shared" si="2"/>
        <v>1</v>
      </c>
      <c r="D26" s="19">
        <f>'Monthly Data'!F26</f>
        <v>105416679.01993552</v>
      </c>
      <c r="E26" s="21">
        <f>'Monthly Data'!BF26</f>
        <v>778.33750000000009</v>
      </c>
      <c r="F26" s="21">
        <f>'Monthly Data'!BK26</f>
        <v>0</v>
      </c>
      <c r="G26" s="11">
        <f>'Monthly Data'!G26</f>
        <v>144863</v>
      </c>
      <c r="H26">
        <f>'Monthly Data'!CC26</f>
        <v>0</v>
      </c>
      <c r="I26" s="21">
        <f>'Monthly Data'!CS26</f>
        <v>31</v>
      </c>
      <c r="J26" s="21">
        <f>'Monthly Data'!CK26</f>
        <v>0</v>
      </c>
      <c r="K26" s="21">
        <f>'Monthly Data'!DB26</f>
        <v>0</v>
      </c>
      <c r="L26" s="21">
        <f>'Monthly Data'!DG26</f>
        <v>0</v>
      </c>
      <c r="N26" s="11">
        <f>'Res Predicted Monthly'!$AB$9</f>
        <v>-154534728.74811399</v>
      </c>
      <c r="O26" s="11">
        <f>E26*'Res Predicted Monthly'!$AB$10</f>
        <v>47782608.057713106</v>
      </c>
      <c r="P26" s="11">
        <f>F26*'Res Predicted Monthly'!$AB$11</f>
        <v>0</v>
      </c>
      <c r="Q26" s="11">
        <f>G26*'Res Predicted Monthly'!$AB$12</f>
        <v>142975161.23049477</v>
      </c>
      <c r="R26" s="11">
        <f>H26*'Res Predicted Monthly'!$AB$13</f>
        <v>0</v>
      </c>
      <c r="S26" s="11">
        <f>I26*'Res Predicted Monthly'!$AB$14</f>
        <v>70054115.695287749</v>
      </c>
      <c r="T26" s="11">
        <f t="shared" si="5"/>
        <v>0</v>
      </c>
      <c r="U26" s="11">
        <f t="shared" si="6"/>
        <v>0</v>
      </c>
      <c r="V26" s="11">
        <f t="shared" si="7"/>
        <v>0</v>
      </c>
      <c r="W26" s="11">
        <f t="shared" si="8"/>
        <v>106277156.23538163</v>
      </c>
      <c r="X26" s="11">
        <f t="shared" si="9"/>
        <v>860477.21544611454</v>
      </c>
      <c r="Y26" s="23">
        <f t="shared" si="10"/>
        <v>8.1626287552028481E-3</v>
      </c>
      <c r="AA26" t="s">
        <v>66</v>
      </c>
      <c r="AB26">
        <v>97970182.176114604</v>
      </c>
      <c r="AC26" t="s">
        <v>67</v>
      </c>
      <c r="AD26">
        <v>14620145.4444298</v>
      </c>
    </row>
    <row r="27" spans="1:31" x14ac:dyDescent="0.2">
      <c r="A27" s="8">
        <f>'Monthly Data'!A27</f>
        <v>43497</v>
      </c>
      <c r="B27">
        <f t="shared" si="1"/>
        <v>2019</v>
      </c>
      <c r="C27">
        <f t="shared" si="2"/>
        <v>2</v>
      </c>
      <c r="D27" s="19">
        <f>'Monthly Data'!F27</f>
        <v>92620975.343300313</v>
      </c>
      <c r="E27" s="21">
        <f>'Monthly Data'!BF27</f>
        <v>629.91250000000002</v>
      </c>
      <c r="F27" s="21">
        <f>'Monthly Data'!BK27</f>
        <v>0</v>
      </c>
      <c r="G27" s="11">
        <f>'Monthly Data'!G27</f>
        <v>145010</v>
      </c>
      <c r="H27">
        <f>'Monthly Data'!CC27</f>
        <v>0</v>
      </c>
      <c r="I27" s="21">
        <f>'Monthly Data'!CS27</f>
        <v>28</v>
      </c>
      <c r="J27" s="21">
        <f>'Monthly Data'!CK27</f>
        <v>0</v>
      </c>
      <c r="K27" s="21">
        <f>'Monthly Data'!DB27</f>
        <v>0</v>
      </c>
      <c r="L27" s="21">
        <f>'Monthly Data'!DG27</f>
        <v>0</v>
      </c>
      <c r="N27" s="11">
        <f>'Res Predicted Monthly'!$AB$9</f>
        <v>-154534728.74811399</v>
      </c>
      <c r="O27" s="11">
        <f>E27*'Res Predicted Monthly'!$AB$10</f>
        <v>38670707.884631284</v>
      </c>
      <c r="P27" s="11">
        <f>F27*'Res Predicted Monthly'!$AB$11</f>
        <v>0</v>
      </c>
      <c r="Q27" s="11">
        <f>G27*'Res Predicted Monthly'!$AB$12</f>
        <v>143120245.54257503</v>
      </c>
      <c r="R27" s="11">
        <f>H27*'Res Predicted Monthly'!$AB$13</f>
        <v>0</v>
      </c>
      <c r="S27" s="11">
        <f>I27*'Res Predicted Monthly'!$AB$14</f>
        <v>63274685.144130871</v>
      </c>
      <c r="T27" s="11">
        <f t="shared" si="5"/>
        <v>0</v>
      </c>
      <c r="U27" s="11">
        <f t="shared" si="6"/>
        <v>0</v>
      </c>
      <c r="V27" s="11">
        <f t="shared" si="7"/>
        <v>0</v>
      </c>
      <c r="W27" s="11">
        <f t="shared" si="8"/>
        <v>90530909.823223189</v>
      </c>
      <c r="X27" s="11">
        <f t="shared" si="9"/>
        <v>-2090065.5200771242</v>
      </c>
      <c r="Y27" s="23">
        <f t="shared" si="10"/>
        <v>2.2565790441423029E-2</v>
      </c>
    </row>
    <row r="28" spans="1:31" x14ac:dyDescent="0.2">
      <c r="A28" s="8">
        <f>'Monthly Data'!A28</f>
        <v>43525</v>
      </c>
      <c r="B28">
        <f t="shared" si="1"/>
        <v>2019</v>
      </c>
      <c r="C28">
        <f t="shared" si="2"/>
        <v>3</v>
      </c>
      <c r="D28" s="19">
        <f>'Monthly Data'!F28</f>
        <v>94241177.603081301</v>
      </c>
      <c r="E28" s="21">
        <f>'Monthly Data'!BF28</f>
        <v>612.37083333333328</v>
      </c>
      <c r="F28" s="21">
        <f>'Monthly Data'!BK28</f>
        <v>0</v>
      </c>
      <c r="G28" s="11">
        <f>'Monthly Data'!G28</f>
        <v>145052</v>
      </c>
      <c r="H28">
        <f>'Monthly Data'!CC28</f>
        <v>0</v>
      </c>
      <c r="I28" s="21">
        <f>'Monthly Data'!CS28</f>
        <v>31</v>
      </c>
      <c r="J28" s="21">
        <f>'Monthly Data'!CK28</f>
        <v>0</v>
      </c>
      <c r="K28" s="21">
        <f>'Monthly Data'!DB28</f>
        <v>0</v>
      </c>
      <c r="L28" s="21">
        <f>'Monthly Data'!DG28</f>
        <v>0</v>
      </c>
      <c r="N28" s="11">
        <f>'Res Predicted Monthly'!$AB$9</f>
        <v>-154534728.74811399</v>
      </c>
      <c r="O28" s="11">
        <f>E28*'Res Predicted Monthly'!$AB$10</f>
        <v>37593814.399462722</v>
      </c>
      <c r="P28" s="11">
        <f>F28*'Res Predicted Monthly'!$AB$11</f>
        <v>0</v>
      </c>
      <c r="Q28" s="11">
        <f>G28*'Res Predicted Monthly'!$AB$12</f>
        <v>143161698.20316938</v>
      </c>
      <c r="R28" s="11">
        <f>H28*'Res Predicted Monthly'!$AB$13</f>
        <v>0</v>
      </c>
      <c r="S28" s="11">
        <f>I28*'Res Predicted Monthly'!$AB$14</f>
        <v>70054115.695287749</v>
      </c>
      <c r="T28" s="11">
        <f t="shared" si="5"/>
        <v>0</v>
      </c>
      <c r="U28" s="11">
        <f t="shared" si="6"/>
        <v>0</v>
      </c>
      <c r="V28" s="11">
        <f t="shared" si="7"/>
        <v>0</v>
      </c>
      <c r="W28" s="11">
        <f t="shared" si="8"/>
        <v>96274899.549805865</v>
      </c>
      <c r="X28" s="11">
        <f t="shared" si="9"/>
        <v>2033721.9467245638</v>
      </c>
      <c r="Y28" s="23">
        <f t="shared" si="10"/>
        <v>2.15799717114111E-2</v>
      </c>
    </row>
    <row r="29" spans="1:31" x14ac:dyDescent="0.2">
      <c r="A29" s="8">
        <f>'Monthly Data'!A29</f>
        <v>43556</v>
      </c>
      <c r="B29">
        <f t="shared" si="1"/>
        <v>2019</v>
      </c>
      <c r="C29">
        <f t="shared" si="2"/>
        <v>4</v>
      </c>
      <c r="D29" s="19">
        <f>'Monthly Data'!F29</f>
        <v>79477048.429578483</v>
      </c>
      <c r="E29" s="21">
        <f>'Monthly Data'!BF29</f>
        <v>355.04791666666671</v>
      </c>
      <c r="F29" s="21">
        <f>'Monthly Data'!BK29</f>
        <v>0</v>
      </c>
      <c r="G29" s="11">
        <f>'Monthly Data'!G29</f>
        <v>145220</v>
      </c>
      <c r="H29">
        <f>'Monthly Data'!CC29</f>
        <v>0</v>
      </c>
      <c r="I29" s="21">
        <f>'Monthly Data'!CS29</f>
        <v>30</v>
      </c>
      <c r="J29" s="21">
        <f>'Monthly Data'!CK29</f>
        <v>0</v>
      </c>
      <c r="K29" s="21">
        <f>'Monthly Data'!DB29</f>
        <v>0</v>
      </c>
      <c r="L29" s="21">
        <f>'Monthly Data'!DG29</f>
        <v>0</v>
      </c>
      <c r="N29" s="11">
        <f>'Res Predicted Monthly'!$AB$9</f>
        <v>-154534728.74811399</v>
      </c>
      <c r="O29" s="11">
        <f>E29*'Res Predicted Monthly'!$AB$10</f>
        <v>21796605.513406351</v>
      </c>
      <c r="P29" s="11">
        <f>F29*'Res Predicted Monthly'!$AB$11</f>
        <v>0</v>
      </c>
      <c r="Q29" s="11">
        <f>G29*'Res Predicted Monthly'!$AB$12</f>
        <v>143327508.84554681</v>
      </c>
      <c r="R29" s="11">
        <f>H29*'Res Predicted Monthly'!$AB$13</f>
        <v>0</v>
      </c>
      <c r="S29" s="11">
        <f>I29*'Res Predicted Monthly'!$AB$14</f>
        <v>67794305.5115688</v>
      </c>
      <c r="T29" s="11">
        <f t="shared" si="5"/>
        <v>0</v>
      </c>
      <c r="U29" s="11">
        <f t="shared" si="6"/>
        <v>0</v>
      </c>
      <c r="V29" s="11">
        <f t="shared" si="7"/>
        <v>0</v>
      </c>
      <c r="W29" s="11">
        <f t="shared" si="8"/>
        <v>78383691.122407973</v>
      </c>
      <c r="X29" s="11">
        <f t="shared" si="9"/>
        <v>-1093357.3071705103</v>
      </c>
      <c r="Y29" s="23">
        <f t="shared" si="10"/>
        <v>1.3756893704215647E-2</v>
      </c>
    </row>
    <row r="30" spans="1:31" x14ac:dyDescent="0.2">
      <c r="A30" s="8">
        <f>'Monthly Data'!A30</f>
        <v>43586</v>
      </c>
      <c r="B30">
        <f t="shared" si="1"/>
        <v>2019</v>
      </c>
      <c r="C30">
        <f t="shared" si="2"/>
        <v>5</v>
      </c>
      <c r="D30" s="19">
        <f>'Monthly Data'!F30</f>
        <v>75969863.614056066</v>
      </c>
      <c r="E30" s="21">
        <f>'Monthly Data'!BF30</f>
        <v>178.66250000000002</v>
      </c>
      <c r="F30" s="21">
        <f>'Monthly Data'!BK30</f>
        <v>20.48749999999999</v>
      </c>
      <c r="G30" s="11">
        <f>'Monthly Data'!G30</f>
        <v>145361</v>
      </c>
      <c r="H30">
        <f>'Monthly Data'!CC30</f>
        <v>0</v>
      </c>
      <c r="I30" s="21">
        <f>'Monthly Data'!CS30</f>
        <v>31</v>
      </c>
      <c r="J30" s="21">
        <f>'Monthly Data'!CK30</f>
        <v>1</v>
      </c>
      <c r="K30" s="21">
        <f>'Monthly Data'!DB30</f>
        <v>0</v>
      </c>
      <c r="L30" s="21">
        <f>'Monthly Data'!DG30</f>
        <v>0</v>
      </c>
      <c r="N30" s="11">
        <f>'Res Predicted Monthly'!$AB$9</f>
        <v>-154534728.74811399</v>
      </c>
      <c r="O30" s="11">
        <f>E30*'Res Predicted Monthly'!$AB$10</f>
        <v>10968198.515568333</v>
      </c>
      <c r="P30" s="11">
        <f>F30*'Res Predicted Monthly'!$AB$11</f>
        <v>5819535.6241471665</v>
      </c>
      <c r="Q30" s="11">
        <f>G30*'Res Predicted Monthly'!$AB$12</f>
        <v>143466671.34897074</v>
      </c>
      <c r="R30" s="11">
        <f>H30*'Res Predicted Monthly'!$AB$13</f>
        <v>0</v>
      </c>
      <c r="S30" s="11">
        <f>I30*'Res Predicted Monthly'!$AB$14</f>
        <v>70054115.695287749</v>
      </c>
      <c r="T30" s="11">
        <f t="shared" si="5"/>
        <v>-2784507.8509929599</v>
      </c>
      <c r="U30" s="11">
        <f t="shared" si="6"/>
        <v>0</v>
      </c>
      <c r="V30" s="11">
        <f t="shared" si="7"/>
        <v>0</v>
      </c>
      <c r="W30" s="11">
        <f t="shared" si="8"/>
        <v>72989284.58486706</v>
      </c>
      <c r="X30" s="11">
        <f t="shared" si="9"/>
        <v>-2980579.0291890055</v>
      </c>
      <c r="Y30" s="23">
        <f t="shared" si="10"/>
        <v>3.9233702515658248E-2</v>
      </c>
    </row>
    <row r="31" spans="1:31" x14ac:dyDescent="0.2">
      <c r="A31" s="8">
        <f>'Monthly Data'!A31</f>
        <v>43617</v>
      </c>
      <c r="B31">
        <f t="shared" si="1"/>
        <v>2019</v>
      </c>
      <c r="C31">
        <f t="shared" si="2"/>
        <v>6</v>
      </c>
      <c r="D31" s="19">
        <f>'Monthly Data'!F31</f>
        <v>87994636.970840842</v>
      </c>
      <c r="E31" s="21">
        <f>'Monthly Data'!BF31</f>
        <v>31.910416666666663</v>
      </c>
      <c r="F31" s="21">
        <f>'Monthly Data'!BK31</f>
        <v>127.21041666666667</v>
      </c>
      <c r="G31" s="11">
        <f>'Monthly Data'!G31</f>
        <v>145409</v>
      </c>
      <c r="H31">
        <f>'Monthly Data'!CC31</f>
        <v>0</v>
      </c>
      <c r="I31" s="21">
        <f>'Monthly Data'!CS31</f>
        <v>30</v>
      </c>
      <c r="J31" s="21">
        <f>'Monthly Data'!CK31</f>
        <v>1</v>
      </c>
      <c r="K31" s="21">
        <f>'Monthly Data'!DB31</f>
        <v>0</v>
      </c>
      <c r="L31" s="21">
        <f>'Monthly Data'!DG31</f>
        <v>0</v>
      </c>
      <c r="N31" s="11">
        <f>'Res Predicted Monthly'!$AB$9</f>
        <v>-154534728.74811399</v>
      </c>
      <c r="O31" s="11">
        <f>E31*'Res Predicted Monthly'!$AB$10</f>
        <v>1958999.70455188</v>
      </c>
      <c r="P31" s="11">
        <f>F31*'Res Predicted Monthly'!$AB$11</f>
        <v>36134499.160672195</v>
      </c>
      <c r="Q31" s="11">
        <f>G31*'Res Predicted Monthly'!$AB$12</f>
        <v>143514045.81822145</v>
      </c>
      <c r="R31" s="11">
        <f>H31*'Res Predicted Monthly'!$AB$13</f>
        <v>0</v>
      </c>
      <c r="S31" s="11">
        <f>I31*'Res Predicted Monthly'!$AB$14</f>
        <v>67794305.5115688</v>
      </c>
      <c r="T31" s="11">
        <f t="shared" si="5"/>
        <v>-2784507.8509929599</v>
      </c>
      <c r="U31" s="11">
        <f t="shared" si="6"/>
        <v>0</v>
      </c>
      <c r="V31" s="11">
        <f t="shared" si="7"/>
        <v>0</v>
      </c>
      <c r="W31" s="11">
        <f t="shared" si="8"/>
        <v>92082613.59590736</v>
      </c>
      <c r="X31" s="11">
        <f t="shared" si="9"/>
        <v>4087976.6250665188</v>
      </c>
      <c r="Y31" s="23">
        <f t="shared" si="10"/>
        <v>4.6457111089863001E-2</v>
      </c>
    </row>
    <row r="32" spans="1:31" x14ac:dyDescent="0.2">
      <c r="A32" s="8">
        <f>'Monthly Data'!A32</f>
        <v>43647</v>
      </c>
      <c r="B32">
        <f t="shared" si="1"/>
        <v>2019</v>
      </c>
      <c r="C32">
        <f t="shared" si="2"/>
        <v>7</v>
      </c>
      <c r="D32" s="19">
        <f>'Monthly Data'!F32</f>
        <v>127394508.16810884</v>
      </c>
      <c r="E32" s="21">
        <f>'Monthly Data'!BF32</f>
        <v>0</v>
      </c>
      <c r="F32" s="21">
        <f>'Monthly Data'!BK32</f>
        <v>252.07500000000005</v>
      </c>
      <c r="G32" s="11">
        <f>'Monthly Data'!G32</f>
        <v>145575</v>
      </c>
      <c r="H32">
        <f>'Monthly Data'!CC32</f>
        <v>0</v>
      </c>
      <c r="I32" s="21">
        <f>'Monthly Data'!CS32</f>
        <v>31</v>
      </c>
      <c r="J32" s="21">
        <f>'Monthly Data'!CK32</f>
        <v>1</v>
      </c>
      <c r="K32" s="21">
        <f>'Monthly Data'!DB32</f>
        <v>0</v>
      </c>
      <c r="L32" s="21">
        <f>'Monthly Data'!DG32</f>
        <v>0</v>
      </c>
      <c r="N32" s="11">
        <f>'Res Predicted Monthly'!$AB$9</f>
        <v>-154534728.74811399</v>
      </c>
      <c r="O32" s="11">
        <f>E32*'Res Predicted Monthly'!$AB$10</f>
        <v>0</v>
      </c>
      <c r="P32" s="11">
        <f>F32*'Res Predicted Monthly'!$AB$11</f>
        <v>71602657.349940106</v>
      </c>
      <c r="Q32" s="11">
        <f>G32*'Res Predicted Monthly'!$AB$12</f>
        <v>143677882.52438012</v>
      </c>
      <c r="R32" s="11">
        <f>H32*'Res Predicted Monthly'!$AB$13</f>
        <v>0</v>
      </c>
      <c r="S32" s="11">
        <f>I32*'Res Predicted Monthly'!$AB$14</f>
        <v>70054115.695287749</v>
      </c>
      <c r="T32" s="11">
        <f t="shared" si="5"/>
        <v>-2784507.8509929599</v>
      </c>
      <c r="U32" s="11">
        <f t="shared" si="6"/>
        <v>0</v>
      </c>
      <c r="V32" s="11">
        <f t="shared" si="7"/>
        <v>0</v>
      </c>
      <c r="W32" s="11">
        <f t="shared" si="8"/>
        <v>128015418.97050102</v>
      </c>
      <c r="X32" s="11">
        <f t="shared" si="9"/>
        <v>620910.80239218473</v>
      </c>
      <c r="Y32" s="23">
        <f t="shared" si="10"/>
        <v>4.8739212649012743E-3</v>
      </c>
    </row>
    <row r="33" spans="1:25" x14ac:dyDescent="0.2">
      <c r="A33" s="8">
        <f>'Monthly Data'!A33</f>
        <v>43678</v>
      </c>
      <c r="B33">
        <f t="shared" si="1"/>
        <v>2019</v>
      </c>
      <c r="C33">
        <f t="shared" si="2"/>
        <v>8</v>
      </c>
      <c r="D33" s="19">
        <f>'Monthly Data'!F33</f>
        <v>109911720.39383872</v>
      </c>
      <c r="E33" s="21">
        <f>'Monthly Data'!BF33</f>
        <v>8.2541666666666735</v>
      </c>
      <c r="F33" s="21">
        <f>'Monthly Data'!BK33</f>
        <v>182.71666666666661</v>
      </c>
      <c r="G33" s="11">
        <f>'Monthly Data'!G33</f>
        <v>145632</v>
      </c>
      <c r="H33">
        <f>'Monthly Data'!CC33</f>
        <v>0</v>
      </c>
      <c r="I33" s="21">
        <f>'Monthly Data'!CS33</f>
        <v>31</v>
      </c>
      <c r="J33" s="21">
        <f>'Monthly Data'!CK33</f>
        <v>1</v>
      </c>
      <c r="K33" s="21">
        <f>'Monthly Data'!DB33</f>
        <v>0</v>
      </c>
      <c r="L33" s="21">
        <f>'Monthly Data'!DG33</f>
        <v>0</v>
      </c>
      <c r="N33" s="11">
        <f>'Res Predicted Monthly'!$AB$9</f>
        <v>-154534728.74811399</v>
      </c>
      <c r="O33" s="11">
        <f>E33*'Res Predicted Monthly'!$AB$10</f>
        <v>506728.26463632274</v>
      </c>
      <c r="P33" s="11">
        <f>F33*'Res Predicted Monthly'!$AB$11</f>
        <v>51901215.413890913</v>
      </c>
      <c r="Q33" s="11">
        <f>G33*'Res Predicted Monthly'!$AB$12</f>
        <v>143734139.7066153</v>
      </c>
      <c r="R33" s="11">
        <f>H33*'Res Predicted Monthly'!$AB$13</f>
        <v>0</v>
      </c>
      <c r="S33" s="11">
        <f>I33*'Res Predicted Monthly'!$AB$14</f>
        <v>70054115.695287749</v>
      </c>
      <c r="T33" s="11">
        <f t="shared" si="5"/>
        <v>-2784507.8509929599</v>
      </c>
      <c r="U33" s="11">
        <f t="shared" si="6"/>
        <v>0</v>
      </c>
      <c r="V33" s="11">
        <f t="shared" si="7"/>
        <v>0</v>
      </c>
      <c r="W33" s="11">
        <f t="shared" si="8"/>
        <v>108876962.48132332</v>
      </c>
      <c r="X33" s="11">
        <f t="shared" si="9"/>
        <v>-1034757.9125154018</v>
      </c>
      <c r="Y33" s="23">
        <f t="shared" si="10"/>
        <v>9.4144456005931729E-3</v>
      </c>
    </row>
    <row r="34" spans="1:25" x14ac:dyDescent="0.2">
      <c r="A34" s="8">
        <f>'Monthly Data'!A34</f>
        <v>43709</v>
      </c>
      <c r="B34">
        <f t="shared" si="1"/>
        <v>2019</v>
      </c>
      <c r="C34">
        <f t="shared" si="2"/>
        <v>9</v>
      </c>
      <c r="D34" s="19">
        <f>'Monthly Data'!F34</f>
        <v>86984748.548102602</v>
      </c>
      <c r="E34" s="21">
        <f>'Monthly Data'!BF34</f>
        <v>40.506249999999994</v>
      </c>
      <c r="F34" s="21">
        <f>'Monthly Data'!BK34</f>
        <v>103.38124999999999</v>
      </c>
      <c r="G34" s="11">
        <f>'Monthly Data'!G34</f>
        <v>145827</v>
      </c>
      <c r="H34">
        <f>'Monthly Data'!CC34</f>
        <v>0</v>
      </c>
      <c r="I34" s="21">
        <f>'Monthly Data'!CS34</f>
        <v>30</v>
      </c>
      <c r="J34" s="21">
        <f>'Monthly Data'!CK34</f>
        <v>0</v>
      </c>
      <c r="K34" s="21">
        <f>'Monthly Data'!DB34</f>
        <v>0</v>
      </c>
      <c r="L34" s="21">
        <f>'Monthly Data'!DG34</f>
        <v>0</v>
      </c>
      <c r="N34" s="11">
        <f>'Res Predicted Monthly'!$AB$9</f>
        <v>-154534728.74811399</v>
      </c>
      <c r="O34" s="11">
        <f>E34*'Res Predicted Monthly'!$AB$10</f>
        <v>2486703.0917021739</v>
      </c>
      <c r="P34" s="11">
        <f>F34*'Res Predicted Monthly'!$AB$11</f>
        <v>29365753.129657816</v>
      </c>
      <c r="Q34" s="11">
        <f>G34*'Res Predicted Monthly'!$AB$12</f>
        <v>143926598.48794627</v>
      </c>
      <c r="R34" s="11">
        <f>H34*'Res Predicted Monthly'!$AB$13</f>
        <v>0</v>
      </c>
      <c r="S34" s="11">
        <f>I34*'Res Predicted Monthly'!$AB$14</f>
        <v>67794305.5115688</v>
      </c>
      <c r="T34" s="11">
        <f t="shared" si="5"/>
        <v>0</v>
      </c>
      <c r="U34" s="11">
        <f t="shared" si="6"/>
        <v>0</v>
      </c>
      <c r="V34" s="11">
        <f t="shared" si="7"/>
        <v>0</v>
      </c>
      <c r="W34" s="11">
        <f t="shared" si="8"/>
        <v>89038631.472761065</v>
      </c>
      <c r="X34" s="11">
        <f t="shared" si="9"/>
        <v>2053882.9246584624</v>
      </c>
      <c r="Y34" s="23">
        <f t="shared" si="10"/>
        <v>2.3611988985892902E-2</v>
      </c>
    </row>
    <row r="35" spans="1:25" x14ac:dyDescent="0.2">
      <c r="A35" s="8">
        <f>'Monthly Data'!A35</f>
        <v>43739</v>
      </c>
      <c r="B35">
        <f t="shared" si="1"/>
        <v>2019</v>
      </c>
      <c r="C35">
        <f t="shared" si="2"/>
        <v>10</v>
      </c>
      <c r="D35" s="19">
        <f>'Monthly Data'!F35</f>
        <v>79074026.821383372</v>
      </c>
      <c r="E35" s="21">
        <f>'Monthly Data'!BF35</f>
        <v>242.8041666666667</v>
      </c>
      <c r="F35" s="21">
        <f>'Monthly Data'!BK35</f>
        <v>10.866666666666669</v>
      </c>
      <c r="G35" s="11">
        <f>'Monthly Data'!G35</f>
        <v>145934</v>
      </c>
      <c r="H35">
        <f>'Monthly Data'!CC35</f>
        <v>0</v>
      </c>
      <c r="I35" s="21">
        <f>'Monthly Data'!CS35</f>
        <v>31</v>
      </c>
      <c r="J35" s="21">
        <f>'Monthly Data'!CK35</f>
        <v>0</v>
      </c>
      <c r="K35" s="21">
        <f>'Monthly Data'!DB35</f>
        <v>0</v>
      </c>
      <c r="L35" s="21">
        <f>'Monthly Data'!DG35</f>
        <v>0</v>
      </c>
      <c r="N35" s="11">
        <f>'Res Predicted Monthly'!$AB$9</f>
        <v>-154534728.74811399</v>
      </c>
      <c r="O35" s="11">
        <f>E35*'Res Predicted Monthly'!$AB$10</f>
        <v>14905894.076301068</v>
      </c>
      <c r="P35" s="11">
        <f>F35*'Res Predicted Monthly'!$AB$11</f>
        <v>3086709.1535033192</v>
      </c>
      <c r="Q35" s="11">
        <f>G35*'Res Predicted Monthly'!$AB$12</f>
        <v>144032204.07565093</v>
      </c>
      <c r="R35" s="11">
        <f>H35*'Res Predicted Monthly'!$AB$13</f>
        <v>0</v>
      </c>
      <c r="S35" s="11">
        <f>I35*'Res Predicted Monthly'!$AB$14</f>
        <v>70054115.695287749</v>
      </c>
      <c r="T35" s="11">
        <f t="shared" si="5"/>
        <v>0</v>
      </c>
      <c r="U35" s="11">
        <f t="shared" si="6"/>
        <v>0</v>
      </c>
      <c r="V35" s="11">
        <f t="shared" si="7"/>
        <v>0</v>
      </c>
      <c r="W35" s="11">
        <f t="shared" si="8"/>
        <v>77544194.252629086</v>
      </c>
      <c r="X35" s="11">
        <f t="shared" si="9"/>
        <v>-1529832.5687542856</v>
      </c>
      <c r="Y35" s="23">
        <f t="shared" si="10"/>
        <v>1.9346840299532903E-2</v>
      </c>
    </row>
    <row r="36" spans="1:25" x14ac:dyDescent="0.2">
      <c r="A36" s="8">
        <f>'Monthly Data'!A36</f>
        <v>43770</v>
      </c>
      <c r="B36">
        <f t="shared" si="1"/>
        <v>2019</v>
      </c>
      <c r="C36">
        <f t="shared" si="2"/>
        <v>11</v>
      </c>
      <c r="D36" s="19">
        <f>'Monthly Data'!F36</f>
        <v>88890436.20814155</v>
      </c>
      <c r="E36" s="21">
        <f>'Monthly Data'!BF36</f>
        <v>523.4666666666667</v>
      </c>
      <c r="F36" s="21">
        <f>'Monthly Data'!BK36</f>
        <v>0</v>
      </c>
      <c r="G36" s="11">
        <f>'Monthly Data'!G36</f>
        <v>146082</v>
      </c>
      <c r="H36">
        <f>'Monthly Data'!CC36</f>
        <v>0</v>
      </c>
      <c r="I36" s="21">
        <f>'Monthly Data'!CS36</f>
        <v>30</v>
      </c>
      <c r="J36" s="21">
        <f>'Monthly Data'!CK36</f>
        <v>0</v>
      </c>
      <c r="K36" s="21">
        <f>'Monthly Data'!DB36</f>
        <v>0</v>
      </c>
      <c r="L36" s="21">
        <f>'Monthly Data'!DG36</f>
        <v>0</v>
      </c>
      <c r="N36" s="11">
        <f>'Res Predicted Monthly'!$AB$9</f>
        <v>-154534728.74811399</v>
      </c>
      <c r="O36" s="11">
        <f>E36*'Res Predicted Monthly'!$AB$10</f>
        <v>32135934.044821024</v>
      </c>
      <c r="P36" s="11">
        <f>F36*'Res Predicted Monthly'!$AB$11</f>
        <v>0</v>
      </c>
      <c r="Q36" s="11">
        <f>G36*'Res Predicted Monthly'!$AB$12</f>
        <v>144178275.35584059</v>
      </c>
      <c r="R36" s="11">
        <f>H36*'Res Predicted Monthly'!$AB$13</f>
        <v>0</v>
      </c>
      <c r="S36" s="11">
        <f>I36*'Res Predicted Monthly'!$AB$14</f>
        <v>67794305.5115688</v>
      </c>
      <c r="T36" s="11">
        <f t="shared" si="5"/>
        <v>0</v>
      </c>
      <c r="U36" s="11">
        <f t="shared" si="6"/>
        <v>0</v>
      </c>
      <c r="V36" s="11">
        <f t="shared" si="7"/>
        <v>0</v>
      </c>
      <c r="W36" s="11">
        <f t="shared" si="8"/>
        <v>89573786.164116427</v>
      </c>
      <c r="X36" s="11">
        <f t="shared" si="9"/>
        <v>683349.95597487688</v>
      </c>
      <c r="Y36" s="23">
        <f t="shared" si="10"/>
        <v>7.6875531848530658E-3</v>
      </c>
    </row>
    <row r="37" spans="1:25" x14ac:dyDescent="0.2">
      <c r="A37" s="8">
        <f>'Monthly Data'!A37</f>
        <v>43800</v>
      </c>
      <c r="B37">
        <f t="shared" si="1"/>
        <v>2019</v>
      </c>
      <c r="C37">
        <f t="shared" si="2"/>
        <v>12</v>
      </c>
      <c r="D37" s="19">
        <f>'Monthly Data'!F37</f>
        <v>99357327.710085541</v>
      </c>
      <c r="E37" s="21">
        <f>'Monthly Data'!BF37</f>
        <v>580.13125000000002</v>
      </c>
      <c r="F37" s="21">
        <f>'Monthly Data'!BK37</f>
        <v>0</v>
      </c>
      <c r="G37" s="11">
        <f>'Monthly Data'!G37</f>
        <v>146208</v>
      </c>
      <c r="H37">
        <f>'Monthly Data'!CC37</f>
        <v>1</v>
      </c>
      <c r="I37" s="21">
        <f>'Monthly Data'!CS37</f>
        <v>31</v>
      </c>
      <c r="J37" s="21">
        <f>'Monthly Data'!CK37</f>
        <v>0</v>
      </c>
      <c r="K37" s="21">
        <f>'Monthly Data'!DB37</f>
        <v>0</v>
      </c>
      <c r="L37" s="21">
        <f>'Monthly Data'!DG37</f>
        <v>0</v>
      </c>
      <c r="N37" s="11">
        <f>'Res Predicted Monthly'!$AB$9</f>
        <v>-154534728.74811399</v>
      </c>
      <c r="O37" s="11">
        <f>E37*'Res Predicted Monthly'!$AB$10</f>
        <v>35614606.954927869</v>
      </c>
      <c r="P37" s="11">
        <f>F37*'Res Predicted Monthly'!$AB$11</f>
        <v>0</v>
      </c>
      <c r="Q37" s="11">
        <f>G37*'Res Predicted Monthly'!$AB$12</f>
        <v>144302633.33762369</v>
      </c>
      <c r="R37" s="11">
        <f>H37*'Res Predicted Monthly'!$AB$13</f>
        <v>3702152.17603915</v>
      </c>
      <c r="S37" s="11">
        <f>I37*'Res Predicted Monthly'!$AB$14</f>
        <v>70054115.695287749</v>
      </c>
      <c r="T37" s="11">
        <f t="shared" si="5"/>
        <v>0</v>
      </c>
      <c r="U37" s="11">
        <f t="shared" si="6"/>
        <v>0</v>
      </c>
      <c r="V37" s="11">
        <f t="shared" si="7"/>
        <v>0</v>
      </c>
      <c r="W37" s="11">
        <f t="shared" si="8"/>
        <v>99138779.415764451</v>
      </c>
      <c r="X37" s="11">
        <f t="shared" si="9"/>
        <v>-218548.29432108998</v>
      </c>
      <c r="Y37" s="23">
        <f t="shared" si="10"/>
        <v>2.1996192868511061E-3</v>
      </c>
    </row>
    <row r="38" spans="1:25" x14ac:dyDescent="0.2">
      <c r="A38" s="8">
        <f>'Monthly Data'!A38</f>
        <v>43831</v>
      </c>
      <c r="B38">
        <f t="shared" si="1"/>
        <v>2020</v>
      </c>
      <c r="C38">
        <f t="shared" si="2"/>
        <v>1</v>
      </c>
      <c r="D38" s="19">
        <f>'Monthly Data'!F38</f>
        <v>97545951.767339185</v>
      </c>
      <c r="E38" s="21">
        <f>'Monthly Data'!BF38</f>
        <v>602.31249999999977</v>
      </c>
      <c r="F38" s="21">
        <f>'Monthly Data'!BK38</f>
        <v>0</v>
      </c>
      <c r="G38" s="11">
        <f>'Monthly Data'!G38</f>
        <v>146344</v>
      </c>
      <c r="H38">
        <f>'Monthly Data'!CC38</f>
        <v>0</v>
      </c>
      <c r="I38" s="21">
        <f>'Monthly Data'!CS38</f>
        <v>31</v>
      </c>
      <c r="J38" s="21">
        <f>'Monthly Data'!CK38</f>
        <v>0</v>
      </c>
      <c r="K38" s="21">
        <f>'Monthly Data'!DB38</f>
        <v>0</v>
      </c>
      <c r="L38" s="21">
        <f>'Monthly Data'!DG38</f>
        <v>0</v>
      </c>
      <c r="N38" s="11">
        <f>'Res Predicted Monthly'!$AB$9</f>
        <v>-154534728.74811399</v>
      </c>
      <c r="O38" s="11">
        <f>E38*'Res Predicted Monthly'!$AB$10</f>
        <v>36976327.256185539</v>
      </c>
      <c r="P38" s="11">
        <f>F38*'Res Predicted Monthly'!$AB$11</f>
        <v>0</v>
      </c>
      <c r="Q38" s="11">
        <f>G38*'Res Predicted Monthly'!$AB$12</f>
        <v>144436861.00050065</v>
      </c>
      <c r="R38" s="11">
        <f>H38*'Res Predicted Monthly'!$AB$13</f>
        <v>0</v>
      </c>
      <c r="S38" s="11">
        <f>I38*'Res Predicted Monthly'!$AB$14</f>
        <v>70054115.695287749</v>
      </c>
      <c r="T38" s="11">
        <f t="shared" si="5"/>
        <v>0</v>
      </c>
      <c r="U38" s="11">
        <f t="shared" si="6"/>
        <v>0</v>
      </c>
      <c r="V38" s="11">
        <f t="shared" si="7"/>
        <v>0</v>
      </c>
      <c r="W38" s="11">
        <f t="shared" si="8"/>
        <v>96932575.20385994</v>
      </c>
      <c r="X38" s="11">
        <f t="shared" si="9"/>
        <v>-613376.56347924471</v>
      </c>
      <c r="Y38" s="23">
        <f t="shared" si="10"/>
        <v>6.2880781043813489E-3</v>
      </c>
    </row>
    <row r="39" spans="1:25" x14ac:dyDescent="0.2">
      <c r="A39" s="8">
        <f>'Monthly Data'!A39</f>
        <v>43862</v>
      </c>
      <c r="B39">
        <f t="shared" si="1"/>
        <v>2020</v>
      </c>
      <c r="C39">
        <f t="shared" si="2"/>
        <v>2</v>
      </c>
      <c r="D39" s="19">
        <f>'Monthly Data'!F39</f>
        <v>91493578.994513884</v>
      </c>
      <c r="E39" s="21">
        <f>'Monthly Data'!BF39</f>
        <v>612.01666666666665</v>
      </c>
      <c r="F39" s="21">
        <f>'Monthly Data'!BK39</f>
        <v>0</v>
      </c>
      <c r="G39" s="11">
        <f>'Monthly Data'!G39</f>
        <v>146387</v>
      </c>
      <c r="H39">
        <f>'Monthly Data'!CC39</f>
        <v>0</v>
      </c>
      <c r="I39" s="21">
        <f>'Monthly Data'!CS39</f>
        <v>29</v>
      </c>
      <c r="J39" s="21">
        <f>'Monthly Data'!CK39</f>
        <v>0</v>
      </c>
      <c r="K39" s="21">
        <f>'Monthly Data'!DB39</f>
        <v>0</v>
      </c>
      <c r="L39" s="21">
        <f>'Monthly Data'!DG39</f>
        <v>0</v>
      </c>
      <c r="N39" s="11">
        <f>'Res Predicted Monthly'!$AB$9</f>
        <v>-154534728.74811399</v>
      </c>
      <c r="O39" s="11">
        <f>E39*'Res Predicted Monthly'!$AB$10</f>
        <v>37572071.894417755</v>
      </c>
      <c r="P39" s="11">
        <f>F39*'Res Predicted Monthly'!$AB$11</f>
        <v>0</v>
      </c>
      <c r="Q39" s="11">
        <f>G39*'Res Predicted Monthly'!$AB$12</f>
        <v>144479300.62920439</v>
      </c>
      <c r="R39" s="11">
        <f>H39*'Res Predicted Monthly'!$AB$13</f>
        <v>0</v>
      </c>
      <c r="S39" s="11">
        <f>I39*'Res Predicted Monthly'!$AB$14</f>
        <v>65534495.327849835</v>
      </c>
      <c r="T39" s="11">
        <f t="shared" si="5"/>
        <v>0</v>
      </c>
      <c r="U39" s="11">
        <f t="shared" si="6"/>
        <v>0</v>
      </c>
      <c r="V39" s="11">
        <f t="shared" si="7"/>
        <v>0</v>
      </c>
      <c r="W39" s="11">
        <f t="shared" si="8"/>
        <v>93051139.103358001</v>
      </c>
      <c r="X39" s="11">
        <f t="shared" si="9"/>
        <v>1557560.1088441163</v>
      </c>
      <c r="Y39" s="23">
        <f t="shared" si="10"/>
        <v>1.7023709488263764E-2</v>
      </c>
    </row>
    <row r="40" spans="1:25" x14ac:dyDescent="0.2">
      <c r="A40" s="8">
        <f>'Monthly Data'!A40</f>
        <v>43891</v>
      </c>
      <c r="B40">
        <f t="shared" si="1"/>
        <v>2020</v>
      </c>
      <c r="C40">
        <f t="shared" si="2"/>
        <v>3</v>
      </c>
      <c r="D40" s="19">
        <f>'Monthly Data'!F40</f>
        <v>91571517.654991493</v>
      </c>
      <c r="E40" s="21">
        <f>'Monthly Data'!BF40</f>
        <v>470.72083333333336</v>
      </c>
      <c r="F40" s="21">
        <f>'Monthly Data'!BK40</f>
        <v>0</v>
      </c>
      <c r="G40" s="11">
        <f>'Monthly Data'!G40</f>
        <v>146528</v>
      </c>
      <c r="H40">
        <f>'Monthly Data'!CC40</f>
        <v>0</v>
      </c>
      <c r="I40" s="21">
        <f>'Monthly Data'!CS40</f>
        <v>31</v>
      </c>
      <c r="J40" s="21">
        <f>'Monthly Data'!CK40</f>
        <v>0</v>
      </c>
      <c r="K40" s="21">
        <f>'Monthly Data'!DB40</f>
        <v>235.36041666666668</v>
      </c>
      <c r="L40" s="21">
        <f>'Monthly Data'!DG40</f>
        <v>0</v>
      </c>
      <c r="N40" s="11">
        <f>'Res Predicted Monthly'!$AB$9</f>
        <v>-154534728.74811399</v>
      </c>
      <c r="O40" s="11">
        <f>E40*'Res Predicted Monthly'!$AB$10</f>
        <v>28897835.558182355</v>
      </c>
      <c r="P40" s="11">
        <f>F40*'Res Predicted Monthly'!$AB$11</f>
        <v>0</v>
      </c>
      <c r="Q40" s="11">
        <f>G40*'Res Predicted Monthly'!$AB$12</f>
        <v>144618463.13262832</v>
      </c>
      <c r="R40" s="11">
        <f>H40*'Res Predicted Monthly'!$AB$13</f>
        <v>0</v>
      </c>
      <c r="S40" s="11">
        <f>I40*'Res Predicted Monthly'!$AB$14</f>
        <v>70054115.695287749</v>
      </c>
      <c r="T40" s="11">
        <f t="shared" si="5"/>
        <v>0</v>
      </c>
      <c r="U40" s="11">
        <f t="shared" si="6"/>
        <v>2490183.1831781087</v>
      </c>
      <c r="V40" s="11">
        <f t="shared" si="7"/>
        <v>0</v>
      </c>
      <c r="W40" s="11">
        <f t="shared" si="8"/>
        <v>91525868.821162552</v>
      </c>
      <c r="X40" s="11">
        <f t="shared" si="9"/>
        <v>-45648.833828940988</v>
      </c>
      <c r="Y40" s="23">
        <f t="shared" si="10"/>
        <v>4.9850472065920493E-4</v>
      </c>
    </row>
    <row r="41" spans="1:25" x14ac:dyDescent="0.2">
      <c r="A41" s="8">
        <f>'Monthly Data'!A41</f>
        <v>43922</v>
      </c>
      <c r="B41">
        <f t="shared" si="1"/>
        <v>2020</v>
      </c>
      <c r="C41">
        <f t="shared" si="2"/>
        <v>4</v>
      </c>
      <c r="D41" s="19">
        <f>'Monthly Data'!F41</f>
        <v>85758313.193750188</v>
      </c>
      <c r="E41" s="21">
        <f>'Monthly Data'!BF41</f>
        <v>385.07083333333333</v>
      </c>
      <c r="F41" s="21">
        <f>'Monthly Data'!BK41</f>
        <v>0</v>
      </c>
      <c r="G41" s="11">
        <f>'Monthly Data'!G41</f>
        <v>146621</v>
      </c>
      <c r="H41">
        <f>'Monthly Data'!CC41</f>
        <v>0</v>
      </c>
      <c r="I41" s="21">
        <f>'Monthly Data'!CS41</f>
        <v>30</v>
      </c>
      <c r="J41" s="21">
        <f>'Monthly Data'!CK41</f>
        <v>0</v>
      </c>
      <c r="K41" s="21">
        <f>'Monthly Data'!DB41</f>
        <v>385.07083333333333</v>
      </c>
      <c r="L41" s="21">
        <f>'Monthly Data'!DG41</f>
        <v>0</v>
      </c>
      <c r="N41" s="11">
        <f>'Res Predicted Monthly'!$AB$9</f>
        <v>-154534728.74811399</v>
      </c>
      <c r="O41" s="11">
        <f>E41*'Res Predicted Monthly'!$AB$10</f>
        <v>23639730.455777384</v>
      </c>
      <c r="P41" s="11">
        <f>F41*'Res Predicted Monthly'!$AB$11</f>
        <v>0</v>
      </c>
      <c r="Q41" s="11">
        <f>G41*'Res Predicted Monthly'!$AB$12</f>
        <v>144710251.16680154</v>
      </c>
      <c r="R41" s="11">
        <f>H41*'Res Predicted Monthly'!$AB$13</f>
        <v>0</v>
      </c>
      <c r="S41" s="11">
        <f>I41*'Res Predicted Monthly'!$AB$14</f>
        <v>67794305.5115688</v>
      </c>
      <c r="T41" s="11">
        <f t="shared" si="5"/>
        <v>0</v>
      </c>
      <c r="U41" s="11">
        <f t="shared" si="6"/>
        <v>4074163.9018131988</v>
      </c>
      <c r="V41" s="11">
        <f t="shared" si="7"/>
        <v>0</v>
      </c>
      <c r="W41" s="11">
        <f t="shared" si="8"/>
        <v>85683722.287846923</v>
      </c>
      <c r="X41" s="11">
        <f t="shared" si="9"/>
        <v>-74590.90590326488</v>
      </c>
      <c r="Y41" s="23">
        <f t="shared" si="10"/>
        <v>8.6978046938428872E-4</v>
      </c>
    </row>
    <row r="42" spans="1:25" x14ac:dyDescent="0.2">
      <c r="A42" s="8">
        <f>'Monthly Data'!A42</f>
        <v>43952</v>
      </c>
      <c r="B42">
        <f t="shared" si="1"/>
        <v>2020</v>
      </c>
      <c r="C42">
        <f t="shared" si="2"/>
        <v>5</v>
      </c>
      <c r="D42" s="19">
        <f>'Monthly Data'!F42</f>
        <v>92128124.461526498</v>
      </c>
      <c r="E42" s="21">
        <f>'Monthly Data'!BF42</f>
        <v>207.87083333333328</v>
      </c>
      <c r="F42" s="21">
        <f>'Monthly Data'!BK42</f>
        <v>55.616666666666646</v>
      </c>
      <c r="G42" s="11">
        <f>'Monthly Data'!G42</f>
        <v>146786</v>
      </c>
      <c r="H42">
        <f>'Monthly Data'!CC42</f>
        <v>0</v>
      </c>
      <c r="I42" s="21">
        <f>'Monthly Data'!CS42</f>
        <v>31</v>
      </c>
      <c r="J42" s="21">
        <f>'Monthly Data'!CK42</f>
        <v>1</v>
      </c>
      <c r="K42" s="21">
        <f>'Monthly Data'!DB42</f>
        <v>207.87083333333328</v>
      </c>
      <c r="L42" s="21">
        <f>'Monthly Data'!DG42</f>
        <v>55.616666666666646</v>
      </c>
      <c r="N42" s="11">
        <f>'Res Predicted Monthly'!$AB$9</f>
        <v>-154534728.74811399</v>
      </c>
      <c r="O42" s="11">
        <f>E42*'Res Predicted Monthly'!$AB$10</f>
        <v>12761315.69633593</v>
      </c>
      <c r="P42" s="11">
        <f>F42*'Res Predicted Monthly'!$AB$11</f>
        <v>15798080.437485538</v>
      </c>
      <c r="Q42" s="11">
        <f>G42*'Res Predicted Monthly'!$AB$12</f>
        <v>144873100.90485081</v>
      </c>
      <c r="R42" s="11">
        <f>H42*'Res Predicted Monthly'!$AB$13</f>
        <v>0</v>
      </c>
      <c r="S42" s="11">
        <f>I42*'Res Predicted Monthly'!$AB$14</f>
        <v>70054115.695287749</v>
      </c>
      <c r="T42" s="11">
        <f t="shared" si="5"/>
        <v>-2784507.8509929599</v>
      </c>
      <c r="U42" s="11">
        <f t="shared" si="6"/>
        <v>2199335.2186021903</v>
      </c>
      <c r="V42" s="11">
        <f t="shared" si="7"/>
        <v>2665160.7717107837</v>
      </c>
      <c r="W42" s="11">
        <f t="shared" si="8"/>
        <v>91031872.125166073</v>
      </c>
      <c r="X42" s="11">
        <f t="shared" si="9"/>
        <v>-1096252.3363604248</v>
      </c>
      <c r="Y42" s="23">
        <f t="shared" si="10"/>
        <v>1.1899214737821231E-2</v>
      </c>
    </row>
    <row r="43" spans="1:25" x14ac:dyDescent="0.2">
      <c r="A43" s="8">
        <f>'Monthly Data'!A43</f>
        <v>43983</v>
      </c>
      <c r="B43">
        <f t="shared" si="1"/>
        <v>2020</v>
      </c>
      <c r="C43">
        <f t="shared" si="2"/>
        <v>6</v>
      </c>
      <c r="D43" s="19">
        <f>'Monthly Data'!F43</f>
        <v>112735350.78716789</v>
      </c>
      <c r="E43" s="21">
        <f>'Monthly Data'!BF43</f>
        <v>25.245833333333337</v>
      </c>
      <c r="F43" s="21">
        <f>'Monthly Data'!BK43</f>
        <v>167.22499999999997</v>
      </c>
      <c r="G43" s="11">
        <f>'Monthly Data'!G43</f>
        <v>146944</v>
      </c>
      <c r="H43">
        <f>'Monthly Data'!CC43</f>
        <v>0</v>
      </c>
      <c r="I43" s="21">
        <f>'Monthly Data'!CS43</f>
        <v>30</v>
      </c>
      <c r="J43" s="21">
        <f>'Monthly Data'!CK43</f>
        <v>1</v>
      </c>
      <c r="K43" s="21">
        <f>'Monthly Data'!DB43</f>
        <v>12.622916666666669</v>
      </c>
      <c r="L43" s="21">
        <f>'Monthly Data'!DG43</f>
        <v>83.612499999999983</v>
      </c>
      <c r="N43" s="11">
        <f>'Res Predicted Monthly'!$AB$9</f>
        <v>-154534728.74811399</v>
      </c>
      <c r="O43" s="11">
        <f>E43*'Res Predicted Monthly'!$AB$10</f>
        <v>1549856.9184409275</v>
      </c>
      <c r="P43" s="11">
        <f>F43*'Res Predicted Monthly'!$AB$11</f>
        <v>47500761.183551446</v>
      </c>
      <c r="Q43" s="11">
        <f>G43*'Res Predicted Monthly'!$AB$12</f>
        <v>145029041.86613438</v>
      </c>
      <c r="R43" s="11">
        <f>H43*'Res Predicted Monthly'!$AB$13</f>
        <v>0</v>
      </c>
      <c r="S43" s="11">
        <f>I43*'Res Predicted Monthly'!$AB$14</f>
        <v>67794305.5115688</v>
      </c>
      <c r="T43" s="11">
        <f t="shared" si="5"/>
        <v>-2784507.8509929599</v>
      </c>
      <c r="U43" s="11">
        <f t="shared" si="6"/>
        <v>133554.2112440686</v>
      </c>
      <c r="V43" s="11">
        <f t="shared" si="7"/>
        <v>4006726.1916332268</v>
      </c>
      <c r="W43" s="11">
        <f t="shared" si="8"/>
        <v>108695009.28346589</v>
      </c>
      <c r="X43" s="11">
        <f t="shared" si="9"/>
        <v>-4040341.5037019998</v>
      </c>
      <c r="Y43" s="23">
        <f t="shared" si="10"/>
        <v>3.5839170903275284E-2</v>
      </c>
    </row>
    <row r="44" spans="1:25" x14ac:dyDescent="0.2">
      <c r="A44" s="8">
        <f>'Monthly Data'!A44</f>
        <v>44013</v>
      </c>
      <c r="B44">
        <f t="shared" si="1"/>
        <v>2020</v>
      </c>
      <c r="C44">
        <f t="shared" si="2"/>
        <v>7</v>
      </c>
      <c r="D44" s="19">
        <f>'Monthly Data'!F44</f>
        <v>146625970.2936959</v>
      </c>
      <c r="E44" s="21">
        <f>'Monthly Data'!BF44</f>
        <v>0</v>
      </c>
      <c r="F44" s="21">
        <f>'Monthly Data'!BK44</f>
        <v>285.85000000000008</v>
      </c>
      <c r="G44" s="11">
        <f>'Monthly Data'!G44</f>
        <v>147020</v>
      </c>
      <c r="H44">
        <f>'Monthly Data'!CC44</f>
        <v>0</v>
      </c>
      <c r="I44" s="21">
        <f>'Monthly Data'!CS44</f>
        <v>31</v>
      </c>
      <c r="J44" s="21">
        <f>'Monthly Data'!CK44</f>
        <v>1</v>
      </c>
      <c r="K44" s="21">
        <f>'Monthly Data'!DB44</f>
        <v>0</v>
      </c>
      <c r="L44" s="21">
        <f>'Monthly Data'!DG44</f>
        <v>142.92500000000004</v>
      </c>
      <c r="N44" s="11">
        <f>'Res Predicted Monthly'!$AB$9</f>
        <v>-154534728.74811399</v>
      </c>
      <c r="O44" s="11">
        <f>E44*'Res Predicted Monthly'!$AB$10</f>
        <v>0</v>
      </c>
      <c r="P44" s="11">
        <f>F44*'Res Predicted Monthly'!$AB$11</f>
        <v>81196547.07321386</v>
      </c>
      <c r="Q44" s="11">
        <f>G44*'Res Predicted Monthly'!$AB$12</f>
        <v>145104051.44244796</v>
      </c>
      <c r="R44" s="11">
        <f>H44*'Res Predicted Monthly'!$AB$13</f>
        <v>0</v>
      </c>
      <c r="S44" s="11">
        <f>I44*'Res Predicted Monthly'!$AB$14</f>
        <v>70054115.695287749</v>
      </c>
      <c r="T44" s="11">
        <f t="shared" si="5"/>
        <v>-2784507.8509929599</v>
      </c>
      <c r="U44" s="11">
        <f t="shared" si="6"/>
        <v>0</v>
      </c>
      <c r="V44" s="11">
        <f t="shared" si="7"/>
        <v>6848991.9681767579</v>
      </c>
      <c r="W44" s="11">
        <f t="shared" si="8"/>
        <v>145884469.58001938</v>
      </c>
      <c r="X44" s="11">
        <f t="shared" si="9"/>
        <v>-741500.71367651224</v>
      </c>
      <c r="Y44" s="23">
        <f t="shared" si="10"/>
        <v>5.0570899015451743E-3</v>
      </c>
    </row>
    <row r="45" spans="1:25" x14ac:dyDescent="0.2">
      <c r="A45" s="8">
        <f>'Monthly Data'!A45</f>
        <v>44044</v>
      </c>
      <c r="B45">
        <f t="shared" si="1"/>
        <v>2020</v>
      </c>
      <c r="C45">
        <f t="shared" si="2"/>
        <v>8</v>
      </c>
      <c r="D45" s="19">
        <f>'Monthly Data'!F45</f>
        <v>120844372.34821889</v>
      </c>
      <c r="E45" s="21">
        <f>'Monthly Data'!BF45</f>
        <v>3.3250000000000028</v>
      </c>
      <c r="F45" s="21">
        <f>'Monthly Data'!BK45</f>
        <v>199.54583333333341</v>
      </c>
      <c r="G45" s="11">
        <f>'Monthly Data'!G45</f>
        <v>147180</v>
      </c>
      <c r="H45">
        <f>'Monthly Data'!CC45</f>
        <v>0</v>
      </c>
      <c r="I45" s="21">
        <f>'Monthly Data'!CS45</f>
        <v>31</v>
      </c>
      <c r="J45" s="21">
        <f>'Monthly Data'!CK45</f>
        <v>1</v>
      </c>
      <c r="K45" s="21">
        <f>'Monthly Data'!DB45</f>
        <v>1.6625000000000014</v>
      </c>
      <c r="L45" s="21">
        <f>'Monthly Data'!DG45</f>
        <v>99.772916666666703</v>
      </c>
      <c r="N45" s="11">
        <f>'Res Predicted Monthly'!$AB$9</f>
        <v>-154534728.74811399</v>
      </c>
      <c r="O45" s="11">
        <f>E45*'Res Predicted Monthly'!$AB$10</f>
        <v>204123.75324572719</v>
      </c>
      <c r="P45" s="11">
        <f>F45*'Res Predicted Monthly'!$AB$11</f>
        <v>56681590.517801955</v>
      </c>
      <c r="Q45" s="11">
        <f>G45*'Res Predicted Monthly'!$AB$12</f>
        <v>145261966.33995029</v>
      </c>
      <c r="R45" s="11">
        <f>H45*'Res Predicted Monthly'!$AB$13</f>
        <v>0</v>
      </c>
      <c r="S45" s="11">
        <f>I45*'Res Predicted Monthly'!$AB$14</f>
        <v>70054115.695287749</v>
      </c>
      <c r="T45" s="11">
        <f t="shared" si="5"/>
        <v>-2784507.8509929599</v>
      </c>
      <c r="U45" s="11">
        <f t="shared" si="6"/>
        <v>17589.744276739861</v>
      </c>
      <c r="V45" s="11">
        <f t="shared" si="7"/>
        <v>4781136.2945010951</v>
      </c>
      <c r="W45" s="11">
        <f t="shared" si="8"/>
        <v>119681285.74595663</v>
      </c>
      <c r="X45" s="11">
        <f t="shared" si="9"/>
        <v>-1163086.6022622585</v>
      </c>
      <c r="Y45" s="23">
        <f t="shared" si="10"/>
        <v>9.6246650105539736E-3</v>
      </c>
    </row>
    <row r="46" spans="1:25" x14ac:dyDescent="0.2">
      <c r="A46" s="8">
        <f>'Monthly Data'!A46</f>
        <v>44075</v>
      </c>
      <c r="B46">
        <f t="shared" si="1"/>
        <v>2020</v>
      </c>
      <c r="C46">
        <f t="shared" si="2"/>
        <v>9</v>
      </c>
      <c r="D46" s="19">
        <f>'Monthly Data'!F46</f>
        <v>87619165.062130496</v>
      </c>
      <c r="E46" s="21">
        <f>'Monthly Data'!BF46</f>
        <v>88.633333333333326</v>
      </c>
      <c r="F46" s="21">
        <f>'Monthly Data'!BK46</f>
        <v>71.695833333333354</v>
      </c>
      <c r="G46" s="11">
        <f>'Monthly Data'!G46</f>
        <v>147302</v>
      </c>
      <c r="H46">
        <f>'Monthly Data'!CC46</f>
        <v>0</v>
      </c>
      <c r="I46" s="21">
        <f>'Monthly Data'!CS46</f>
        <v>30</v>
      </c>
      <c r="J46" s="21">
        <f>'Monthly Data'!CK46</f>
        <v>0</v>
      </c>
      <c r="K46" s="21">
        <f>'Monthly Data'!DB46</f>
        <v>44.316666666666663</v>
      </c>
      <c r="L46" s="21">
        <f>'Monthly Data'!DG46</f>
        <v>35.847916666666677</v>
      </c>
      <c r="N46" s="11">
        <f>'Res Predicted Monthly'!$AB$9</f>
        <v>-154534728.74811399</v>
      </c>
      <c r="O46" s="11">
        <f>E46*'Res Predicted Monthly'!$AB$10</f>
        <v>5441253.7331367228</v>
      </c>
      <c r="P46" s="11">
        <f>F46*'Res Predicted Monthly'!$AB$11</f>
        <v>20365415.799206909</v>
      </c>
      <c r="Q46" s="11">
        <f>G46*'Res Predicted Monthly'!$AB$12</f>
        <v>145382376.44929582</v>
      </c>
      <c r="R46" s="11">
        <f>H46*'Res Predicted Monthly'!$AB$13</f>
        <v>0</v>
      </c>
      <c r="S46" s="11">
        <f>I46*'Res Predicted Monthly'!$AB$14</f>
        <v>67794305.5115688</v>
      </c>
      <c r="T46" s="11">
        <f t="shared" si="5"/>
        <v>0</v>
      </c>
      <c r="U46" s="11">
        <f t="shared" si="6"/>
        <v>468883.50909124059</v>
      </c>
      <c r="V46" s="11">
        <f t="shared" si="7"/>
        <v>1717838.6799081319</v>
      </c>
      <c r="W46" s="11">
        <f t="shared" si="8"/>
        <v>86635344.934093624</v>
      </c>
      <c r="X46" s="11">
        <f t="shared" si="9"/>
        <v>-983820.12803687155</v>
      </c>
      <c r="Y46" s="23">
        <f t="shared" si="10"/>
        <v>1.1228366845760828E-2</v>
      </c>
    </row>
    <row r="47" spans="1:25" x14ac:dyDescent="0.2">
      <c r="A47" s="8">
        <f>'Monthly Data'!A47</f>
        <v>44105</v>
      </c>
      <c r="B47">
        <f t="shared" si="1"/>
        <v>2020</v>
      </c>
      <c r="C47">
        <f t="shared" si="2"/>
        <v>10</v>
      </c>
      <c r="D47" s="19">
        <f>'Monthly Data'!F47</f>
        <v>83474979.349141687</v>
      </c>
      <c r="E47" s="21">
        <f>'Monthly Data'!BF47</f>
        <v>285.44791666666663</v>
      </c>
      <c r="F47" s="21">
        <f>'Monthly Data'!BK47</f>
        <v>4.0104166666666714</v>
      </c>
      <c r="G47" s="11">
        <f>'Monthly Data'!G47</f>
        <v>147372</v>
      </c>
      <c r="H47">
        <f>'Monthly Data'!CC47</f>
        <v>0</v>
      </c>
      <c r="I47" s="21">
        <f>'Monthly Data'!CS47</f>
        <v>31</v>
      </c>
      <c r="J47" s="21">
        <f>'Monthly Data'!CK47</f>
        <v>0</v>
      </c>
      <c r="K47" s="21">
        <f>'Monthly Data'!DB47</f>
        <v>142.72395833333331</v>
      </c>
      <c r="L47" s="21">
        <f>'Monthly Data'!DG47</f>
        <v>2.0052083333333357</v>
      </c>
      <c r="N47" s="11">
        <f>'Res Predicted Monthly'!$AB$9</f>
        <v>-154534728.74811399</v>
      </c>
      <c r="O47" s="11">
        <f>E47*'Res Predicted Monthly'!$AB$10</f>
        <v>17523819.580804061</v>
      </c>
      <c r="P47" s="11">
        <f>F47*'Res Predicted Monthly'!$AB$11</f>
        <v>1139170.8436529709</v>
      </c>
      <c r="Q47" s="11">
        <f>G47*'Res Predicted Monthly'!$AB$12</f>
        <v>145451464.21695307</v>
      </c>
      <c r="R47" s="11">
        <f>H47*'Res Predicted Monthly'!$AB$13</f>
        <v>0</v>
      </c>
      <c r="S47" s="11">
        <f>I47*'Res Predicted Monthly'!$AB$14</f>
        <v>70054115.695287749</v>
      </c>
      <c r="T47" s="11">
        <f t="shared" si="5"/>
        <v>0</v>
      </c>
      <c r="U47" s="11">
        <f t="shared" si="6"/>
        <v>1510061.9123292668</v>
      </c>
      <c r="V47" s="11">
        <f t="shared" si="7"/>
        <v>96089.947661508588</v>
      </c>
      <c r="W47" s="11">
        <f t="shared" si="8"/>
        <v>81239993.448574618</v>
      </c>
      <c r="X47" s="11">
        <f t="shared" si="9"/>
        <v>-2234985.9005670696</v>
      </c>
      <c r="Y47" s="23">
        <f t="shared" si="10"/>
        <v>2.6774321095894352E-2</v>
      </c>
    </row>
    <row r="48" spans="1:25" x14ac:dyDescent="0.2">
      <c r="A48" s="8">
        <f>'Monthly Data'!A48</f>
        <v>44136</v>
      </c>
      <c r="B48">
        <f t="shared" si="1"/>
        <v>2020</v>
      </c>
      <c r="C48">
        <f t="shared" si="2"/>
        <v>11</v>
      </c>
      <c r="D48" s="19">
        <f>'Monthly Data'!F48</f>
        <v>86270435.371089891</v>
      </c>
      <c r="E48" s="21">
        <f>'Monthly Data'!BF48</f>
        <v>355.85416666666663</v>
      </c>
      <c r="F48" s="21">
        <f>'Monthly Data'!BK48</f>
        <v>3.091666666666665</v>
      </c>
      <c r="G48" s="11">
        <f>'Monthly Data'!G48</f>
        <v>147580</v>
      </c>
      <c r="H48">
        <f>'Monthly Data'!CC48</f>
        <v>0</v>
      </c>
      <c r="I48" s="21">
        <f>'Monthly Data'!CS48</f>
        <v>30</v>
      </c>
      <c r="J48" s="21">
        <f>'Monthly Data'!CK48</f>
        <v>0</v>
      </c>
      <c r="K48" s="21">
        <f>'Monthly Data'!DB48</f>
        <v>177.92708333333331</v>
      </c>
      <c r="L48" s="21">
        <f>'Monthly Data'!DG48</f>
        <v>1.5458333333333325</v>
      </c>
      <c r="N48" s="11">
        <f>'Res Predicted Monthly'!$AB$9</f>
        <v>-154534728.74811399</v>
      </c>
      <c r="O48" s="11">
        <f>E48*'Res Predicted Monthly'!$AB$10</f>
        <v>21846101.686655782</v>
      </c>
      <c r="P48" s="11">
        <f>F48*'Res Predicted Monthly'!$AB$11</f>
        <v>878197.15947065235</v>
      </c>
      <c r="Q48" s="11">
        <f>G48*'Res Predicted Monthly'!$AB$12</f>
        <v>145656753.58370611</v>
      </c>
      <c r="R48" s="11">
        <f>H48*'Res Predicted Monthly'!$AB$13</f>
        <v>0</v>
      </c>
      <c r="S48" s="11">
        <f>I48*'Res Predicted Monthly'!$AB$14</f>
        <v>67794305.5115688</v>
      </c>
      <c r="T48" s="11">
        <f t="shared" si="5"/>
        <v>0</v>
      </c>
      <c r="U48" s="11">
        <f t="shared" si="6"/>
        <v>1882521.4410463239</v>
      </c>
      <c r="V48" s="11">
        <f t="shared" si="7"/>
        <v>74076.614197235584</v>
      </c>
      <c r="W48" s="11">
        <f t="shared" si="8"/>
        <v>83597227.248530924</v>
      </c>
      <c r="X48" s="11">
        <f t="shared" si="9"/>
        <v>-2673208.1225589663</v>
      </c>
      <c r="Y48" s="23">
        <f t="shared" si="10"/>
        <v>3.098637570403158E-2</v>
      </c>
    </row>
    <row r="49" spans="1:29" x14ac:dyDescent="0.2">
      <c r="A49" s="8">
        <f>'Monthly Data'!A49</f>
        <v>44166</v>
      </c>
      <c r="B49">
        <f t="shared" si="1"/>
        <v>2020</v>
      </c>
      <c r="C49">
        <f t="shared" si="2"/>
        <v>12</v>
      </c>
      <c r="D49" s="19">
        <f>'Monthly Data'!F49</f>
        <v>104207857.30909689</v>
      </c>
      <c r="E49" s="21">
        <f>'Monthly Data'!BF49</f>
        <v>579.59791666666661</v>
      </c>
      <c r="F49" s="21">
        <f>'Monthly Data'!BK49</f>
        <v>0</v>
      </c>
      <c r="G49" s="11">
        <f>'Monthly Data'!G49</f>
        <v>147666</v>
      </c>
      <c r="H49">
        <f>'Monthly Data'!CC49</f>
        <v>1</v>
      </c>
      <c r="I49" s="21">
        <f>'Monthly Data'!CS49</f>
        <v>31</v>
      </c>
      <c r="J49" s="21">
        <f>'Monthly Data'!CK49</f>
        <v>0</v>
      </c>
      <c r="K49" s="21">
        <f>'Monthly Data'!DB49</f>
        <v>289.7989583333333</v>
      </c>
      <c r="L49" s="21">
        <f>'Monthly Data'!DG49</f>
        <v>0</v>
      </c>
      <c r="N49" s="11">
        <f>'Res Predicted Monthly'!$AB$9</f>
        <v>-154534728.74811399</v>
      </c>
      <c r="O49" s="11">
        <f>E49*'Res Predicted Monthly'!$AB$10</f>
        <v>35581865.300271913</v>
      </c>
      <c r="P49" s="11">
        <f>F49*'Res Predicted Monthly'!$AB$11</f>
        <v>0</v>
      </c>
      <c r="Q49" s="11">
        <f>G49*'Res Predicted Monthly'!$AB$12</f>
        <v>145741632.8411136</v>
      </c>
      <c r="R49" s="11">
        <f>H49*'Res Predicted Monthly'!$AB$13</f>
        <v>3702152.17603915</v>
      </c>
      <c r="S49" s="11">
        <f>I49*'Res Predicted Monthly'!$AB$14</f>
        <v>70054115.695287749</v>
      </c>
      <c r="T49" s="11">
        <f t="shared" si="5"/>
        <v>0</v>
      </c>
      <c r="U49" s="11">
        <f t="shared" si="6"/>
        <v>3066159.1390970936</v>
      </c>
      <c r="V49" s="11">
        <f t="shared" si="7"/>
        <v>0</v>
      </c>
      <c r="W49" s="11">
        <f t="shared" si="8"/>
        <v>103611196.40369552</v>
      </c>
      <c r="X49" s="11">
        <f t="shared" si="9"/>
        <v>-596660.90540136397</v>
      </c>
      <c r="Y49" s="23">
        <f t="shared" si="10"/>
        <v>5.72568058502128E-3</v>
      </c>
    </row>
    <row r="50" spans="1:29" x14ac:dyDescent="0.2">
      <c r="A50" s="8">
        <f>'Monthly Data'!A50</f>
        <v>44197</v>
      </c>
      <c r="B50">
        <f t="shared" si="1"/>
        <v>2021</v>
      </c>
      <c r="C50">
        <f t="shared" si="2"/>
        <v>1</v>
      </c>
      <c r="D50" s="19">
        <f>'Monthly Data'!F50</f>
        <v>105751345.12864499</v>
      </c>
      <c r="E50" s="21">
        <f>'Monthly Data'!BF50</f>
        <v>647.92083333333335</v>
      </c>
      <c r="F50" s="21">
        <f>'Monthly Data'!BK50</f>
        <v>0</v>
      </c>
      <c r="G50" s="11">
        <f>'Monthly Data'!G50</f>
        <v>147698</v>
      </c>
      <c r="H50">
        <f>'Monthly Data'!CC50</f>
        <v>0</v>
      </c>
      <c r="I50" s="21">
        <f>'Monthly Data'!CS50</f>
        <v>31</v>
      </c>
      <c r="J50" s="21">
        <f>'Monthly Data'!CK50</f>
        <v>0</v>
      </c>
      <c r="K50" s="21">
        <f>'Monthly Data'!DB50</f>
        <v>323.96041666666667</v>
      </c>
      <c r="L50" s="21">
        <f>'Monthly Data'!DG50</f>
        <v>0</v>
      </c>
      <c r="N50" s="11">
        <f>'Res Predicted Monthly'!$AB$9</f>
        <v>-154534728.74811399</v>
      </c>
      <c r="O50" s="11">
        <f>E50*'Res Predicted Monthly'!$AB$10</f>
        <v>39776250.317623809</v>
      </c>
      <c r="P50" s="11">
        <f>F50*'Res Predicted Monthly'!$AB$11</f>
        <v>0</v>
      </c>
      <c r="Q50" s="11">
        <f>G50*'Res Predicted Monthly'!$AB$12</f>
        <v>145773215.82061407</v>
      </c>
      <c r="R50" s="11">
        <f>H50*'Res Predicted Monthly'!$AB$13</f>
        <v>0</v>
      </c>
      <c r="S50" s="11">
        <f>I50*'Res Predicted Monthly'!$AB$14</f>
        <v>70054115.695287749</v>
      </c>
      <c r="T50" s="11">
        <f t="shared" si="5"/>
        <v>0</v>
      </c>
      <c r="U50" s="11">
        <f t="shared" si="6"/>
        <v>3427597.5247836127</v>
      </c>
      <c r="V50" s="11">
        <f t="shared" si="7"/>
        <v>0</v>
      </c>
      <c r="W50" s="11">
        <f t="shared" si="8"/>
        <v>104496450.61019525</v>
      </c>
      <c r="X50" s="11">
        <f t="shared" si="9"/>
        <v>-1254894.5184497386</v>
      </c>
      <c r="Y50" s="23">
        <f t="shared" si="10"/>
        <v>1.1866463891529488E-2</v>
      </c>
    </row>
    <row r="51" spans="1:29" x14ac:dyDescent="0.2">
      <c r="A51" s="8">
        <f>'Monthly Data'!A51</f>
        <v>44228</v>
      </c>
      <c r="B51">
        <f t="shared" si="1"/>
        <v>2021</v>
      </c>
      <c r="C51">
        <f t="shared" si="2"/>
        <v>2</v>
      </c>
      <c r="D51" s="19">
        <f>'Monthly Data'!F51</f>
        <v>98306877.169293538</v>
      </c>
      <c r="E51" s="21">
        <f>'Monthly Data'!BF51</f>
        <v>682.5</v>
      </c>
      <c r="F51" s="21">
        <f>'Monthly Data'!BK51</f>
        <v>0</v>
      </c>
      <c r="G51" s="11">
        <f>'Monthly Data'!G51</f>
        <v>147947</v>
      </c>
      <c r="H51">
        <f>'Monthly Data'!CC51</f>
        <v>0</v>
      </c>
      <c r="I51" s="21">
        <f>'Monthly Data'!CS51</f>
        <v>28</v>
      </c>
      <c r="J51" s="21">
        <f>'Monthly Data'!CK51</f>
        <v>0</v>
      </c>
      <c r="K51" s="21">
        <f>'Monthly Data'!DB51</f>
        <v>341.25</v>
      </c>
      <c r="L51" s="21">
        <f>'Monthly Data'!DG51</f>
        <v>0</v>
      </c>
      <c r="N51" s="11">
        <f>'Res Predicted Monthly'!$AB$9</f>
        <v>-154534728.74811399</v>
      </c>
      <c r="O51" s="11">
        <f>E51*'Res Predicted Monthly'!$AB$10</f>
        <v>41899086.192543969</v>
      </c>
      <c r="P51" s="11">
        <f>F51*'Res Predicted Monthly'!$AB$11</f>
        <v>0</v>
      </c>
      <c r="Q51" s="11">
        <f>G51*'Res Predicted Monthly'!$AB$12</f>
        <v>146018970.87985206</v>
      </c>
      <c r="R51" s="11">
        <f>H51*'Res Predicted Monthly'!$AB$13</f>
        <v>0</v>
      </c>
      <c r="S51" s="11">
        <f>I51*'Res Predicted Monthly'!$AB$14</f>
        <v>63274685.144130871</v>
      </c>
      <c r="T51" s="11">
        <f t="shared" si="5"/>
        <v>0</v>
      </c>
      <c r="U51" s="11">
        <f t="shared" si="6"/>
        <v>3610526.4568044948</v>
      </c>
      <c r="V51" s="11">
        <f t="shared" si="7"/>
        <v>0</v>
      </c>
      <c r="W51" s="11">
        <f t="shared" si="8"/>
        <v>100268539.9252174</v>
      </c>
      <c r="X51" s="11">
        <f t="shared" si="9"/>
        <v>1961662.7559238672</v>
      </c>
      <c r="Y51" s="23">
        <f t="shared" si="10"/>
        <v>1.9954481440252674E-2</v>
      </c>
    </row>
    <row r="52" spans="1:29" x14ac:dyDescent="0.2">
      <c r="A52" s="8">
        <f>'Monthly Data'!A52</f>
        <v>44256</v>
      </c>
      <c r="B52">
        <f t="shared" si="1"/>
        <v>2021</v>
      </c>
      <c r="C52">
        <f t="shared" si="2"/>
        <v>3</v>
      </c>
      <c r="D52" s="19">
        <f>'Monthly Data'!F52</f>
        <v>91973029.250623286</v>
      </c>
      <c r="E52" s="21">
        <f>'Monthly Data'!BF52</f>
        <v>452.07083333333338</v>
      </c>
      <c r="F52" s="21">
        <f>'Monthly Data'!BK52</f>
        <v>0</v>
      </c>
      <c r="G52" s="11">
        <f>'Monthly Data'!G52</f>
        <v>148098</v>
      </c>
      <c r="H52">
        <f>'Monthly Data'!CC52</f>
        <v>0</v>
      </c>
      <c r="I52" s="21">
        <f>'Monthly Data'!CS52</f>
        <v>31</v>
      </c>
      <c r="J52" s="21">
        <f>'Monthly Data'!CK52</f>
        <v>0</v>
      </c>
      <c r="K52" s="21">
        <f>'Monthly Data'!DB52</f>
        <v>226.03541666666669</v>
      </c>
      <c r="L52" s="21">
        <f>'Monthly Data'!DG52</f>
        <v>0</v>
      </c>
      <c r="N52" s="11">
        <f>'Res Predicted Monthly'!$AB$9</f>
        <v>-154534728.74811399</v>
      </c>
      <c r="O52" s="11">
        <f>E52*'Res Predicted Monthly'!$AB$10</f>
        <v>27752900.821931887</v>
      </c>
      <c r="P52" s="11">
        <f>F52*'Res Predicted Monthly'!$AB$11</f>
        <v>0</v>
      </c>
      <c r="Q52" s="11">
        <f>G52*'Res Predicted Monthly'!$AB$12</f>
        <v>146168003.06436989</v>
      </c>
      <c r="R52" s="11">
        <f>H52*'Res Predicted Monthly'!$AB$13</f>
        <v>0</v>
      </c>
      <c r="S52" s="11">
        <f>I52*'Res Predicted Monthly'!$AB$14</f>
        <v>70054115.695287749</v>
      </c>
      <c r="T52" s="11">
        <f t="shared" si="5"/>
        <v>0</v>
      </c>
      <c r="U52" s="11">
        <f t="shared" si="6"/>
        <v>2391521.9107687259</v>
      </c>
      <c r="V52" s="11">
        <f t="shared" si="7"/>
        <v>0</v>
      </c>
      <c r="W52" s="11">
        <f t="shared" si="8"/>
        <v>91831812.744244263</v>
      </c>
      <c r="X52" s="11">
        <f t="shared" si="9"/>
        <v>-141216.50637902319</v>
      </c>
      <c r="Y52" s="23">
        <f t="shared" si="10"/>
        <v>1.5354121477744651E-3</v>
      </c>
    </row>
    <row r="53" spans="1:29" x14ac:dyDescent="0.2">
      <c r="A53" s="8">
        <f>'Monthly Data'!A53</f>
        <v>44287</v>
      </c>
      <c r="B53">
        <f t="shared" si="1"/>
        <v>2021</v>
      </c>
      <c r="C53">
        <f t="shared" si="2"/>
        <v>4</v>
      </c>
      <c r="D53" s="19">
        <f>'Monthly Data'!F53</f>
        <v>82981156.929550335</v>
      </c>
      <c r="E53" s="21">
        <f>'Monthly Data'!BF53</f>
        <v>307.14166666666665</v>
      </c>
      <c r="F53" s="21">
        <f>'Monthly Data'!BK53</f>
        <v>8.0499999999999954</v>
      </c>
      <c r="G53" s="11">
        <f>'Monthly Data'!G53</f>
        <v>148249</v>
      </c>
      <c r="H53">
        <f>'Monthly Data'!CC53</f>
        <v>0</v>
      </c>
      <c r="I53" s="21">
        <f>'Monthly Data'!CS53</f>
        <v>30</v>
      </c>
      <c r="J53" s="21">
        <f>'Monthly Data'!CK53</f>
        <v>0</v>
      </c>
      <c r="K53" s="21">
        <f>'Monthly Data'!DB53</f>
        <v>153.57083333333333</v>
      </c>
      <c r="L53" s="21">
        <f>'Monthly Data'!DG53</f>
        <v>4.0249999999999977</v>
      </c>
      <c r="N53" s="11">
        <f>'Res Predicted Monthly'!$AB$9</f>
        <v>-154534728.74811399</v>
      </c>
      <c r="O53" s="11">
        <f>E53*'Res Predicted Monthly'!$AB$10</f>
        <v>18855611.963352781</v>
      </c>
      <c r="P53" s="11">
        <f>F53*'Res Predicted Monthly'!$AB$11</f>
        <v>2286626.5661688684</v>
      </c>
      <c r="Q53" s="11">
        <f>G53*'Res Predicted Monthly'!$AB$12</f>
        <v>146317035.24888769</v>
      </c>
      <c r="R53" s="11">
        <f>H53*'Res Predicted Monthly'!$AB$13</f>
        <v>0</v>
      </c>
      <c r="S53" s="11">
        <f>I53*'Res Predicted Monthly'!$AB$14</f>
        <v>67794305.5115688</v>
      </c>
      <c r="T53" s="11">
        <f t="shared" si="5"/>
        <v>0</v>
      </c>
      <c r="U53" s="11">
        <f t="shared" si="6"/>
        <v>1624825.0747062669</v>
      </c>
      <c r="V53" s="11">
        <f t="shared" si="7"/>
        <v>192878.73130600963</v>
      </c>
      <c r="W53" s="11">
        <f t="shared" si="8"/>
        <v>82536554.34787643</v>
      </c>
      <c r="X53" s="11">
        <f t="shared" si="9"/>
        <v>-444602.58167390525</v>
      </c>
      <c r="Y53" s="23">
        <f t="shared" si="10"/>
        <v>5.3578739815759099E-3</v>
      </c>
    </row>
    <row r="54" spans="1:29" x14ac:dyDescent="0.2">
      <c r="A54" s="8">
        <f>'Monthly Data'!A54</f>
        <v>44317</v>
      </c>
      <c r="B54">
        <f t="shared" si="1"/>
        <v>2021</v>
      </c>
      <c r="C54">
        <f t="shared" si="2"/>
        <v>5</v>
      </c>
      <c r="D54" s="19">
        <f>'Monthly Data'!F54</f>
        <v>91340076.58452858</v>
      </c>
      <c r="E54" s="21">
        <f>'Monthly Data'!BF54</f>
        <v>176.10416666666669</v>
      </c>
      <c r="F54" s="21">
        <f>'Monthly Data'!BK54</f>
        <v>66.793749999999989</v>
      </c>
      <c r="G54" s="11">
        <f>'Monthly Data'!G54</f>
        <v>148347</v>
      </c>
      <c r="H54">
        <f>'Monthly Data'!CC54</f>
        <v>0</v>
      </c>
      <c r="I54" s="21">
        <f>'Monthly Data'!CS54</f>
        <v>31</v>
      </c>
      <c r="J54" s="21">
        <f>'Monthly Data'!CK54</f>
        <v>1</v>
      </c>
      <c r="K54" s="21">
        <f>'Monthly Data'!DB54</f>
        <v>88.052083333333343</v>
      </c>
      <c r="L54" s="21">
        <f>'Monthly Data'!DG54</f>
        <v>33.396874999999994</v>
      </c>
      <c r="N54" s="11">
        <f>'Res Predicted Monthly'!$AB$9</f>
        <v>-154534728.74811399</v>
      </c>
      <c r="O54" s="11">
        <f>E54*'Res Predicted Monthly'!$AB$10</f>
        <v>10811140.890890542</v>
      </c>
      <c r="P54" s="11">
        <f>F54*'Res Predicted Monthly'!$AB$11</f>
        <v>18972964.373172909</v>
      </c>
      <c r="Q54" s="11">
        <f>G54*'Res Predicted Monthly'!$AB$12</f>
        <v>146413758.12360787</v>
      </c>
      <c r="R54" s="11">
        <f>H54*'Res Predicted Monthly'!$AB$13</f>
        <v>0</v>
      </c>
      <c r="S54" s="11">
        <f>I54*'Res Predicted Monthly'!$AB$14</f>
        <v>70054115.695287749</v>
      </c>
      <c r="T54" s="11">
        <f t="shared" si="5"/>
        <v>-2784507.8509929599</v>
      </c>
      <c r="U54" s="11">
        <f t="shared" si="6"/>
        <v>931617.22037144064</v>
      </c>
      <c r="V54" s="11">
        <f t="shared" si="7"/>
        <v>1600384.3179094144</v>
      </c>
      <c r="W54" s="11">
        <f t="shared" si="8"/>
        <v>91464744.022132978</v>
      </c>
      <c r="X54" s="11">
        <f t="shared" ref="X54:X85" si="11">W54-D54</f>
        <v>124667.43760439754</v>
      </c>
      <c r="Y54" s="23">
        <f t="shared" ref="Y54:Y85" si="12">ABS(X54/D54)</f>
        <v>1.3648711744731997E-3</v>
      </c>
    </row>
    <row r="55" spans="1:29" x14ac:dyDescent="0.2">
      <c r="A55" s="8">
        <f>'Monthly Data'!A55</f>
        <v>44348</v>
      </c>
      <c r="B55">
        <f t="shared" si="1"/>
        <v>2021</v>
      </c>
      <c r="C55">
        <f t="shared" si="2"/>
        <v>6</v>
      </c>
      <c r="D55" s="19">
        <f>'Monthly Data'!F55</f>
        <v>115361515.82174373</v>
      </c>
      <c r="E55" s="21">
        <f>'Monthly Data'!BF55</f>
        <v>15.86666666666666</v>
      </c>
      <c r="F55" s="21">
        <f>'Monthly Data'!BK55</f>
        <v>198.83750000000006</v>
      </c>
      <c r="G55" s="11">
        <f>'Monthly Data'!G55</f>
        <v>148573</v>
      </c>
      <c r="H55">
        <f>'Monthly Data'!CC55</f>
        <v>0</v>
      </c>
      <c r="I55" s="21">
        <f>'Monthly Data'!CS55</f>
        <v>30</v>
      </c>
      <c r="J55" s="21">
        <f>'Monthly Data'!CK55</f>
        <v>1</v>
      </c>
      <c r="K55" s="21">
        <f>'Monthly Data'!DB55</f>
        <v>7.93333333333333</v>
      </c>
      <c r="L55" s="21">
        <f>'Monthly Data'!DG55</f>
        <v>99.418750000000031</v>
      </c>
      <c r="N55" s="11">
        <f>'Res Predicted Monthly'!$AB$9</f>
        <v>-154534728.74811399</v>
      </c>
      <c r="O55" s="11">
        <f>E55*'Res Predicted Monthly'!$AB$10</f>
        <v>974064.22601469688</v>
      </c>
      <c r="P55" s="11">
        <f>F55*'Res Predicted Monthly'!$AB$11</f>
        <v>56480386.316845059</v>
      </c>
      <c r="Q55" s="11">
        <f>G55*'Res Predicted Monthly'!$AB$12</f>
        <v>146636812.91632989</v>
      </c>
      <c r="R55" s="11">
        <f>H55*'Res Predicted Monthly'!$AB$13</f>
        <v>0</v>
      </c>
      <c r="S55" s="11">
        <f>I55*'Res Predicted Monthly'!$AB$14</f>
        <v>67794305.5115688</v>
      </c>
      <c r="T55" s="11">
        <f t="shared" si="5"/>
        <v>-2784507.8509929599</v>
      </c>
      <c r="U55" s="11">
        <f t="shared" si="6"/>
        <v>83937.025320583081</v>
      </c>
      <c r="V55" s="11">
        <f t="shared" si="7"/>
        <v>4764164.5634855563</v>
      </c>
      <c r="W55" s="11">
        <f t="shared" si="8"/>
        <v>119414433.96045765</v>
      </c>
      <c r="X55" s="11">
        <f t="shared" si="11"/>
        <v>4052918.1387139261</v>
      </c>
      <c r="Y55" s="23">
        <f t="shared" si="12"/>
        <v>3.5132323893667307E-2</v>
      </c>
    </row>
    <row r="56" spans="1:29" x14ac:dyDescent="0.2">
      <c r="A56" s="8">
        <f>'Monthly Data'!A56</f>
        <v>44378</v>
      </c>
      <c r="B56">
        <f t="shared" si="1"/>
        <v>2021</v>
      </c>
      <c r="C56">
        <f t="shared" si="2"/>
        <v>7</v>
      </c>
      <c r="D56" s="19">
        <f>'Monthly Data'!F56</f>
        <v>119528701.30399828</v>
      </c>
      <c r="E56" s="21">
        <f>'Monthly Data'!BF56</f>
        <v>6.0229166666666707</v>
      </c>
      <c r="F56" s="21">
        <f>'Monthly Data'!BK56</f>
        <v>193.42708333333331</v>
      </c>
      <c r="G56" s="11">
        <f>'Monthly Data'!G56</f>
        <v>148627</v>
      </c>
      <c r="H56">
        <f>'Monthly Data'!CC56</f>
        <v>0</v>
      </c>
      <c r="I56" s="21">
        <f>'Monthly Data'!CS56</f>
        <v>31</v>
      </c>
      <c r="J56" s="21">
        <f>'Monthly Data'!CK56</f>
        <v>1</v>
      </c>
      <c r="K56" s="21">
        <f>'Monthly Data'!DB56</f>
        <v>3.0114583333333353</v>
      </c>
      <c r="L56" s="21">
        <f>'Monthly Data'!DG56</f>
        <v>96.713541666666657</v>
      </c>
      <c r="N56" s="11">
        <f>'Res Predicted Monthly'!$AB$9</f>
        <v>-154534728.74811399</v>
      </c>
      <c r="O56" s="11">
        <f>E56*'Res Predicted Monthly'!$AB$10</f>
        <v>369750.48285300576</v>
      </c>
      <c r="P56" s="11">
        <f>F56*'Res Predicted Monthly'!$AB$11</f>
        <v>54943541.287771396</v>
      </c>
      <c r="Q56" s="11">
        <f>G56*'Res Predicted Monthly'!$AB$12</f>
        <v>146690109.19423693</v>
      </c>
      <c r="R56" s="11">
        <f>H56*'Res Predicted Monthly'!$AB$13</f>
        <v>0</v>
      </c>
      <c r="S56" s="11">
        <f>I56*'Res Predicted Monthly'!$AB$14</f>
        <v>70054115.695287749</v>
      </c>
      <c r="T56" s="11">
        <f t="shared" si="5"/>
        <v>-2784507.8509929599</v>
      </c>
      <c r="U56" s="11">
        <f t="shared" si="6"/>
        <v>31862.124501287548</v>
      </c>
      <c r="V56" s="11">
        <f t="shared" si="7"/>
        <v>4634530.4886403913</v>
      </c>
      <c r="W56" s="11">
        <f t="shared" si="8"/>
        <v>119404672.67418382</v>
      </c>
      <c r="X56" s="11">
        <f t="shared" si="11"/>
        <v>-124028.62981446087</v>
      </c>
      <c r="Y56" s="23">
        <f t="shared" si="12"/>
        <v>1.0376472634720418E-3</v>
      </c>
    </row>
    <row r="57" spans="1:29" x14ac:dyDescent="0.2">
      <c r="A57" s="8">
        <f>'Monthly Data'!A57</f>
        <v>44409</v>
      </c>
      <c r="B57">
        <f t="shared" ref="B57:B97" si="13">YEAR(A57)</f>
        <v>2021</v>
      </c>
      <c r="C57">
        <f t="shared" ref="C57:C97" si="14">MONTH(A57)</f>
        <v>8</v>
      </c>
      <c r="D57" s="19">
        <f>'Monthly Data'!F57</f>
        <v>132199542.12188883</v>
      </c>
      <c r="E57" s="21">
        <f>'Monthly Data'!BF57</f>
        <v>2.7687500000000078</v>
      </c>
      <c r="F57" s="21">
        <f>'Monthly Data'!BK57</f>
        <v>234.19791666666669</v>
      </c>
      <c r="G57" s="11">
        <f>'Monthly Data'!G57</f>
        <v>148813</v>
      </c>
      <c r="H57">
        <f>'Monthly Data'!CC57</f>
        <v>0</v>
      </c>
      <c r="I57" s="21">
        <f>'Monthly Data'!CS57</f>
        <v>31</v>
      </c>
      <c r="J57" s="21">
        <f>'Monthly Data'!CK57</f>
        <v>1</v>
      </c>
      <c r="K57" s="21">
        <f>'Monthly Data'!DB57</f>
        <v>1.3843750000000039</v>
      </c>
      <c r="L57" s="21">
        <f>'Monthly Data'!DG57</f>
        <v>117.09895833333334</v>
      </c>
      <c r="N57" s="11">
        <f>'Res Predicted Monthly'!$AB$9</f>
        <v>-154534728.74811399</v>
      </c>
      <c r="O57" s="11">
        <f>E57*'Res Predicted Monthly'!$AB$10</f>
        <v>169975.23061627315</v>
      </c>
      <c r="P57" s="11">
        <f>F57*'Res Predicted Monthly'!$AB$11</f>
        <v>66524618.384025231</v>
      </c>
      <c r="Q57" s="11">
        <f>G57*'Res Predicted Monthly'!$AB$12</f>
        <v>146873685.26258337</v>
      </c>
      <c r="R57" s="11">
        <f>H57*'Res Predicted Monthly'!$AB$13</f>
        <v>0</v>
      </c>
      <c r="S57" s="11">
        <f>I57*'Res Predicted Monthly'!$AB$14</f>
        <v>70054115.695287749</v>
      </c>
      <c r="T57" s="11">
        <f t="shared" si="5"/>
        <v>-2784507.8509929599</v>
      </c>
      <c r="U57" s="11">
        <f t="shared" si="6"/>
        <v>14647.099087586041</v>
      </c>
      <c r="V57" s="11">
        <f t="shared" si="7"/>
        <v>5611403.3591524558</v>
      </c>
      <c r="W57" s="11">
        <f t="shared" si="8"/>
        <v>131929208.43164571</v>
      </c>
      <c r="X57" s="11">
        <f t="shared" si="11"/>
        <v>-270333.69024312496</v>
      </c>
      <c r="Y57" s="23">
        <f t="shared" si="12"/>
        <v>2.0448912749930371E-3</v>
      </c>
    </row>
    <row r="58" spans="1:29" x14ac:dyDescent="0.2">
      <c r="A58" s="8">
        <f>'Monthly Data'!A58</f>
        <v>44440</v>
      </c>
      <c r="B58">
        <f t="shared" si="13"/>
        <v>2021</v>
      </c>
      <c r="C58">
        <f t="shared" si="14"/>
        <v>9</v>
      </c>
      <c r="D58" s="19">
        <f>'Monthly Data'!F58</f>
        <v>92658508.505937979</v>
      </c>
      <c r="E58" s="21">
        <f>'Monthly Data'!BF58</f>
        <v>56.387499999999989</v>
      </c>
      <c r="F58" s="21">
        <f>'Monthly Data'!BK58</f>
        <v>86.675000000000011</v>
      </c>
      <c r="G58" s="11">
        <f>'Monthly Data'!G58</f>
        <v>148932</v>
      </c>
      <c r="H58">
        <f>'Monthly Data'!CC58</f>
        <v>0</v>
      </c>
      <c r="I58" s="21">
        <f>'Monthly Data'!CS58</f>
        <v>30</v>
      </c>
      <c r="J58" s="21">
        <f>'Monthly Data'!CK58</f>
        <v>0</v>
      </c>
      <c r="K58" s="21">
        <f>'Monthly Data'!DB58</f>
        <v>28.193749999999994</v>
      </c>
      <c r="L58" s="21">
        <f>'Monthly Data'!DG58</f>
        <v>43.337500000000006</v>
      </c>
      <c r="N58" s="11">
        <f>'Res Predicted Monthly'!$AB$9</f>
        <v>-154534728.74811399</v>
      </c>
      <c r="O58" s="11">
        <f>E58*'Res Predicted Monthly'!$AB$10</f>
        <v>3461662.59733637</v>
      </c>
      <c r="P58" s="11">
        <f>F58*'Res Predicted Monthly'!$AB$11</f>
        <v>24620292.872383453</v>
      </c>
      <c r="Q58" s="11">
        <f>G58*'Res Predicted Monthly'!$AB$12</f>
        <v>146991134.46760073</v>
      </c>
      <c r="R58" s="11">
        <f>H58*'Res Predicted Monthly'!$AB$13</f>
        <v>0</v>
      </c>
      <c r="S58" s="11">
        <f>I58*'Res Predicted Monthly'!$AB$14</f>
        <v>67794305.5115688</v>
      </c>
      <c r="T58" s="11">
        <f t="shared" si="5"/>
        <v>0</v>
      </c>
      <c r="U58" s="11">
        <f t="shared" si="6"/>
        <v>298298.25726456178</v>
      </c>
      <c r="V58" s="11">
        <f t="shared" si="7"/>
        <v>2076740.8740308569</v>
      </c>
      <c r="W58" s="11">
        <f t="shared" si="8"/>
        <v>90707705.832070783</v>
      </c>
      <c r="X58" s="11">
        <f t="shared" si="11"/>
        <v>-1950802.6738671958</v>
      </c>
      <c r="Y58" s="23">
        <f t="shared" si="12"/>
        <v>2.1053680933599092E-2</v>
      </c>
    </row>
    <row r="59" spans="1:29" x14ac:dyDescent="0.2">
      <c r="A59" s="8">
        <f>'Monthly Data'!A59</f>
        <v>44470</v>
      </c>
      <c r="B59">
        <f t="shared" si="13"/>
        <v>2021</v>
      </c>
      <c r="C59">
        <f t="shared" si="14"/>
        <v>10</v>
      </c>
      <c r="D59" s="19">
        <f>'Monthly Data'!F59</f>
        <v>87440775.674946621</v>
      </c>
      <c r="E59" s="21">
        <f>'Monthly Data'!BF59</f>
        <v>158.2208333333333</v>
      </c>
      <c r="F59" s="21">
        <f>'Monthly Data'!BK59</f>
        <v>50.395833333333336</v>
      </c>
      <c r="G59" s="11">
        <f>'Monthly Data'!G59</f>
        <v>149070</v>
      </c>
      <c r="H59">
        <f>'Monthly Data'!CC59</f>
        <v>0</v>
      </c>
      <c r="I59" s="21">
        <f>'Monthly Data'!CS59</f>
        <v>31</v>
      </c>
      <c r="J59" s="21">
        <f>'Monthly Data'!CK59</f>
        <v>0</v>
      </c>
      <c r="K59" s="21">
        <f>'Monthly Data'!DB59</f>
        <v>79.110416666666652</v>
      </c>
      <c r="L59" s="21">
        <f>'Monthly Data'!DG59</f>
        <v>25.197916666666668</v>
      </c>
      <c r="N59" s="11">
        <f>'Res Predicted Monthly'!$AB$9</f>
        <v>-154534728.74811399</v>
      </c>
      <c r="O59" s="11">
        <f>E59*'Res Predicted Monthly'!$AB$10</f>
        <v>9713272.2832080089</v>
      </c>
      <c r="P59" s="11">
        <f>F59*'Res Predicted Monthly'!$AB$11</f>
        <v>14315087.121020952</v>
      </c>
      <c r="Q59" s="11">
        <f>G59*'Res Predicted Monthly'!$AB$12</f>
        <v>147127336.06669649</v>
      </c>
      <c r="R59" s="11">
        <f>H59*'Res Predicted Monthly'!$AB$13</f>
        <v>0</v>
      </c>
      <c r="S59" s="11">
        <f>I59*'Res Predicted Monthly'!$AB$14</f>
        <v>70054115.695287749</v>
      </c>
      <c r="T59" s="11">
        <f t="shared" si="5"/>
        <v>0</v>
      </c>
      <c r="U59" s="11">
        <f t="shared" si="6"/>
        <v>837011.72859729582</v>
      </c>
      <c r="V59" s="11">
        <f t="shared" si="7"/>
        <v>1207488.7448996832</v>
      </c>
      <c r="W59" s="11">
        <f t="shared" si="8"/>
        <v>88719582.891596213</v>
      </c>
      <c r="X59" s="11">
        <f t="shared" si="11"/>
        <v>1278807.2166495919</v>
      </c>
      <c r="Y59" s="23">
        <f t="shared" si="12"/>
        <v>1.4624838432397319E-2</v>
      </c>
    </row>
    <row r="60" spans="1:29" x14ac:dyDescent="0.2">
      <c r="A60" s="8">
        <f>'Monthly Data'!A60</f>
        <v>44501</v>
      </c>
      <c r="B60">
        <f t="shared" si="13"/>
        <v>2021</v>
      </c>
      <c r="C60">
        <f t="shared" si="14"/>
        <v>11</v>
      </c>
      <c r="D60" s="19">
        <f>'Monthly Data'!F60</f>
        <v>89753400.674855173</v>
      </c>
      <c r="E60" s="21">
        <f>'Monthly Data'!BF60</f>
        <v>448.07916666666659</v>
      </c>
      <c r="F60" s="21">
        <f>'Monthly Data'!BK60</f>
        <v>0</v>
      </c>
      <c r="G60" s="11">
        <f>'Monthly Data'!G60</f>
        <v>149218</v>
      </c>
      <c r="H60">
        <f>'Monthly Data'!CC60</f>
        <v>0</v>
      </c>
      <c r="I60" s="21">
        <f>'Monthly Data'!CS60</f>
        <v>30</v>
      </c>
      <c r="J60" s="21">
        <f>'Monthly Data'!CK60</f>
        <v>0</v>
      </c>
      <c r="K60" s="21">
        <f>'Monthly Data'!DB60</f>
        <v>224.0395833333333</v>
      </c>
      <c r="L60" s="21">
        <f>'Monthly Data'!DG60</f>
        <v>0</v>
      </c>
      <c r="N60" s="11">
        <f>'Res Predicted Monthly'!$AB$9</f>
        <v>-154534728.74811399</v>
      </c>
      <c r="O60" s="11">
        <f>E60*'Res Predicted Monthly'!$AB$10</f>
        <v>27507850.000366207</v>
      </c>
      <c r="P60" s="11">
        <f>F60*'Res Predicted Monthly'!$AB$11</f>
        <v>0</v>
      </c>
      <c r="Q60" s="11">
        <f>G60*'Res Predicted Monthly'!$AB$12</f>
        <v>147273407.34688616</v>
      </c>
      <c r="R60" s="11">
        <f>H60*'Res Predicted Monthly'!$AB$13</f>
        <v>0</v>
      </c>
      <c r="S60" s="11">
        <f>I60*'Res Predicted Monthly'!$AB$14</f>
        <v>67794305.5115688</v>
      </c>
      <c r="T60" s="11">
        <f t="shared" si="5"/>
        <v>0</v>
      </c>
      <c r="U60" s="11">
        <f t="shared" si="6"/>
        <v>2370405.4007222131</v>
      </c>
      <c r="V60" s="11">
        <f t="shared" si="7"/>
        <v>0</v>
      </c>
      <c r="W60" s="11">
        <f t="shared" si="8"/>
        <v>90411239.511429399</v>
      </c>
      <c r="X60" s="11">
        <f t="shared" si="11"/>
        <v>657838.83657422662</v>
      </c>
      <c r="Y60" s="23">
        <f t="shared" si="12"/>
        <v>7.329402915409791E-3</v>
      </c>
      <c r="AB60" s="11"/>
    </row>
    <row r="61" spans="1:29" x14ac:dyDescent="0.2">
      <c r="A61" s="8">
        <f>'Monthly Data'!A61</f>
        <v>44531</v>
      </c>
      <c r="B61">
        <f t="shared" si="13"/>
        <v>2021</v>
      </c>
      <c r="C61">
        <f t="shared" si="14"/>
        <v>12</v>
      </c>
      <c r="D61" s="19">
        <f>'Monthly Data'!F61</f>
        <v>101925936.95283271</v>
      </c>
      <c r="E61" s="21">
        <f>'Monthly Data'!BF61</f>
        <v>527.17083333333335</v>
      </c>
      <c r="F61" s="21">
        <f>'Monthly Data'!BK61</f>
        <v>0</v>
      </c>
      <c r="G61" s="11">
        <f>'Monthly Data'!G61</f>
        <v>149578</v>
      </c>
      <c r="H61">
        <f>'Monthly Data'!CC61</f>
        <v>1</v>
      </c>
      <c r="I61" s="21">
        <f>'Monthly Data'!CS61</f>
        <v>31</v>
      </c>
      <c r="J61" s="21">
        <f>'Monthly Data'!CK61</f>
        <v>0</v>
      </c>
      <c r="K61" s="21">
        <f>'Monthly Data'!DB61</f>
        <v>263.58541666666667</v>
      </c>
      <c r="L61" s="21">
        <f>'Monthly Data'!DG61</f>
        <v>0</v>
      </c>
      <c r="N61" s="11">
        <f>'Res Predicted Monthly'!$AB$9</f>
        <v>-154534728.74811399</v>
      </c>
      <c r="O61" s="11">
        <f>E61*'Res Predicted Monthly'!$AB$10</f>
        <v>32363335.068173721</v>
      </c>
      <c r="P61" s="11">
        <f>F61*'Res Predicted Monthly'!$AB$11</f>
        <v>0</v>
      </c>
      <c r="Q61" s="11">
        <f>G61*'Res Predicted Monthly'!$AB$12</f>
        <v>147628715.86626637</v>
      </c>
      <c r="R61" s="11">
        <f>H61*'Res Predicted Monthly'!$AB$13</f>
        <v>3702152.17603915</v>
      </c>
      <c r="S61" s="11">
        <f>I61*'Res Predicted Monthly'!$AB$14</f>
        <v>70054115.695287749</v>
      </c>
      <c r="T61" s="11">
        <f t="shared" si="5"/>
        <v>0</v>
      </c>
      <c r="U61" s="11">
        <f t="shared" si="6"/>
        <v>2788812.0747335865</v>
      </c>
      <c r="V61" s="11">
        <f t="shared" si="7"/>
        <v>0</v>
      </c>
      <c r="W61" s="11">
        <f t="shared" si="8"/>
        <v>102002402.1323866</v>
      </c>
      <c r="X61" s="11">
        <f t="shared" si="11"/>
        <v>76465.179553881288</v>
      </c>
      <c r="Y61" s="23">
        <f t="shared" si="12"/>
        <v>7.5020335196198729E-4</v>
      </c>
      <c r="AB61" s="11"/>
    </row>
    <row r="62" spans="1:29" x14ac:dyDescent="0.2">
      <c r="A62" s="8">
        <f>'Monthly Data'!A62</f>
        <v>44562</v>
      </c>
      <c r="B62">
        <f t="shared" si="13"/>
        <v>2022</v>
      </c>
      <c r="C62">
        <f t="shared" si="14"/>
        <v>1</v>
      </c>
      <c r="D62" s="19">
        <f>'Monthly Data'!F62</f>
        <v>113400436.11189753</v>
      </c>
      <c r="E62" s="21">
        <f>'Monthly Data'!BF62</f>
        <v>804.12083333333339</v>
      </c>
      <c r="F62" s="21">
        <f>'Monthly Data'!BK62</f>
        <v>0</v>
      </c>
      <c r="G62" s="11">
        <f>'Monthly Data'!G62</f>
        <v>149791</v>
      </c>
      <c r="H62">
        <f>'Monthly Data'!CC62</f>
        <v>0</v>
      </c>
      <c r="I62" s="21">
        <f>'Monthly Data'!CS62</f>
        <v>31</v>
      </c>
      <c r="J62" s="21">
        <f>'Monthly Data'!CK62</f>
        <v>0</v>
      </c>
      <c r="K62" s="21">
        <f>'Monthly Data'!DB62</f>
        <v>201.03020833333335</v>
      </c>
      <c r="L62" s="21">
        <f>'Monthly Data'!DG62</f>
        <v>0</v>
      </c>
      <c r="N62" s="11">
        <f>'Res Predicted Monthly'!$AB$9</f>
        <v>-154534728.74811399</v>
      </c>
      <c r="O62" s="11">
        <f>E62*'Res Predicted Monthly'!$AB$10</f>
        <v>49365462.424986988</v>
      </c>
      <c r="P62" s="11">
        <f>F62*'Res Predicted Monthly'!$AB$11</f>
        <v>0</v>
      </c>
      <c r="Q62" s="11">
        <f>G62*'Res Predicted Monthly'!$AB$12</f>
        <v>147838940.07356635</v>
      </c>
      <c r="R62" s="11">
        <f>H62*'Res Predicted Monthly'!$AB$13</f>
        <v>0</v>
      </c>
      <c r="S62" s="11">
        <f>I62*'Res Predicted Monthly'!$AB$14</f>
        <v>70054115.695287749</v>
      </c>
      <c r="T62" s="11">
        <f t="shared" si="5"/>
        <v>0</v>
      </c>
      <c r="U62" s="11">
        <f t="shared" si="6"/>
        <v>2126959.3723206432</v>
      </c>
      <c r="V62" s="11">
        <f t="shared" si="7"/>
        <v>0</v>
      </c>
      <c r="W62" s="11">
        <f t="shared" si="8"/>
        <v>114850748.81804773</v>
      </c>
      <c r="X62" s="11">
        <f t="shared" si="11"/>
        <v>1450312.7061502039</v>
      </c>
      <c r="Y62" s="23">
        <f t="shared" si="12"/>
        <v>1.2789304484853237E-2</v>
      </c>
      <c r="AB62" s="11"/>
    </row>
    <row r="63" spans="1:29" x14ac:dyDescent="0.2">
      <c r="A63" s="8">
        <f>'Monthly Data'!A63</f>
        <v>44593</v>
      </c>
      <c r="B63">
        <f t="shared" si="13"/>
        <v>2022</v>
      </c>
      <c r="C63">
        <f t="shared" si="14"/>
        <v>2</v>
      </c>
      <c r="D63" s="19">
        <f>'Monthly Data'!F63</f>
        <v>98271140.502125725</v>
      </c>
      <c r="E63" s="21">
        <f>'Monthly Data'!BF63</f>
        <v>640.55208333333348</v>
      </c>
      <c r="F63" s="21">
        <f>'Monthly Data'!BK63</f>
        <v>0</v>
      </c>
      <c r="G63" s="11">
        <f>'Monthly Data'!G63</f>
        <v>149936</v>
      </c>
      <c r="H63">
        <f>'Monthly Data'!CC63</f>
        <v>0</v>
      </c>
      <c r="I63" s="21">
        <f>'Monthly Data'!CS63</f>
        <v>28</v>
      </c>
      <c r="J63" s="21">
        <f>'Monthly Data'!CK63</f>
        <v>0</v>
      </c>
      <c r="K63" s="21">
        <f>'Monthly Data'!DB63</f>
        <v>160.13802083333337</v>
      </c>
      <c r="L63" s="21">
        <f>'Monthly Data'!DG63</f>
        <v>0</v>
      </c>
      <c r="N63" s="11">
        <f>'Res Predicted Monthly'!$AB$9</f>
        <v>-154534728.74811399</v>
      </c>
      <c r="O63" s="11">
        <f>E63*'Res Predicted Monthly'!$AB$10</f>
        <v>39323878.315599918</v>
      </c>
      <c r="P63" s="11">
        <f>F63*'Res Predicted Monthly'!$AB$11</f>
        <v>0</v>
      </c>
      <c r="Q63" s="11">
        <f>G63*'Res Predicted Monthly'!$AB$12</f>
        <v>147982050.44942781</v>
      </c>
      <c r="R63" s="11">
        <f>H63*'Res Predicted Monthly'!$AB$13</f>
        <v>0</v>
      </c>
      <c r="S63" s="11">
        <f>I63*'Res Predicted Monthly'!$AB$14</f>
        <v>63274685.144130871</v>
      </c>
      <c r="T63" s="11">
        <f t="shared" si="5"/>
        <v>0</v>
      </c>
      <c r="U63" s="11">
        <f t="shared" si="6"/>
        <v>1694307.8709422988</v>
      </c>
      <c r="V63" s="11">
        <f t="shared" si="7"/>
        <v>0</v>
      </c>
      <c r="W63" s="11">
        <f t="shared" si="8"/>
        <v>97740193.031986907</v>
      </c>
      <c r="X63" s="11">
        <f t="shared" si="11"/>
        <v>-530947.47013881803</v>
      </c>
      <c r="Y63" s="23">
        <f t="shared" si="12"/>
        <v>5.402882956541376E-3</v>
      </c>
      <c r="AB63" s="11"/>
    </row>
    <row r="64" spans="1:29" x14ac:dyDescent="0.2">
      <c r="A64" s="8">
        <f>'Monthly Data'!A64</f>
        <v>44621</v>
      </c>
      <c r="B64">
        <f t="shared" si="13"/>
        <v>2022</v>
      </c>
      <c r="C64">
        <f t="shared" si="14"/>
        <v>3</v>
      </c>
      <c r="D64" s="19">
        <f>'Monthly Data'!F64</f>
        <v>97810437.164043024</v>
      </c>
      <c r="E64" s="21">
        <f>'Monthly Data'!BF64</f>
        <v>536.21041666666656</v>
      </c>
      <c r="F64" s="21">
        <f>'Monthly Data'!BK64</f>
        <v>0</v>
      </c>
      <c r="G64" s="11">
        <f>'Monthly Data'!G64</f>
        <v>150067</v>
      </c>
      <c r="H64">
        <f>'Monthly Data'!CC64</f>
        <v>0</v>
      </c>
      <c r="I64" s="21">
        <f>'Monthly Data'!CS64</f>
        <v>31</v>
      </c>
      <c r="J64" s="21">
        <f>'Monthly Data'!CK64</f>
        <v>0</v>
      </c>
      <c r="K64" s="21">
        <f>'Monthly Data'!DB64</f>
        <v>134.05260416666664</v>
      </c>
      <c r="L64" s="21">
        <f>'Monthly Data'!DG64</f>
        <v>0</v>
      </c>
      <c r="N64" s="11">
        <f>'Res Predicted Monthly'!$AB$9</f>
        <v>-154534728.74811399</v>
      </c>
      <c r="O64" s="11">
        <f>E64*'Res Predicted Monthly'!$AB$10</f>
        <v>32918280.53517447</v>
      </c>
      <c r="P64" s="11">
        <f>F64*'Res Predicted Monthly'!$AB$11</f>
        <v>0</v>
      </c>
      <c r="Q64" s="11">
        <f>G64*'Res Predicted Monthly'!$AB$12</f>
        <v>148111343.27175784</v>
      </c>
      <c r="R64" s="11">
        <f>H64*'Res Predicted Monthly'!$AB$13</f>
        <v>0</v>
      </c>
      <c r="S64" s="11">
        <f>I64*'Res Predicted Monthly'!$AB$14</f>
        <v>70054115.695287749</v>
      </c>
      <c r="T64" s="11">
        <f t="shared" si="5"/>
        <v>0</v>
      </c>
      <c r="U64" s="11">
        <f t="shared" si="6"/>
        <v>1418316.4071715467</v>
      </c>
      <c r="V64" s="11">
        <f t="shared" si="7"/>
        <v>0</v>
      </c>
      <c r="W64" s="11">
        <f t="shared" si="8"/>
        <v>97967327.161277622</v>
      </c>
      <c r="X64" s="11">
        <f t="shared" si="11"/>
        <v>156889.9972345978</v>
      </c>
      <c r="Y64" s="23">
        <f t="shared" si="12"/>
        <v>1.6040210204915999E-3</v>
      </c>
      <c r="AB64" s="11"/>
      <c r="AC64" s="23"/>
    </row>
    <row r="65" spans="1:33" x14ac:dyDescent="0.2">
      <c r="A65" s="8">
        <f>'Monthly Data'!A65</f>
        <v>44652</v>
      </c>
      <c r="B65">
        <f t="shared" si="13"/>
        <v>2022</v>
      </c>
      <c r="C65">
        <f t="shared" si="14"/>
        <v>4</v>
      </c>
      <c r="D65" s="19">
        <f>'Monthly Data'!F65</f>
        <v>85783051.575556532</v>
      </c>
      <c r="E65" s="21">
        <f>'Monthly Data'!BF65</f>
        <v>367.91249999999997</v>
      </c>
      <c r="F65" s="21">
        <f>'Monthly Data'!BK65</f>
        <v>2.5416666666666696</v>
      </c>
      <c r="G65" s="11">
        <f>'Monthly Data'!G65</f>
        <v>150303</v>
      </c>
      <c r="H65">
        <f>'Monthly Data'!CC65</f>
        <v>0</v>
      </c>
      <c r="I65" s="21">
        <f>'Monthly Data'!CS65</f>
        <v>30</v>
      </c>
      <c r="J65" s="21">
        <f>'Monthly Data'!CK65</f>
        <v>0</v>
      </c>
      <c r="K65" s="21">
        <f>'Monthly Data'!DB65</f>
        <v>91.978124999999991</v>
      </c>
      <c r="L65" s="21">
        <f>'Monthly Data'!DG65</f>
        <v>0.63541666666666741</v>
      </c>
      <c r="N65" s="11">
        <f>'Res Predicted Monthly'!$AB$9</f>
        <v>-154534728.74811399</v>
      </c>
      <c r="O65" s="11">
        <f>E65*'Res Predicted Monthly'!$AB$10</f>
        <v>22586370.034892794</v>
      </c>
      <c r="P65" s="11">
        <f>F65*'Res Predicted Monthly'!$AB$11</f>
        <v>721968.01519824646</v>
      </c>
      <c r="Q65" s="11">
        <f>G65*'Res Predicted Monthly'!$AB$12</f>
        <v>148344267.74557379</v>
      </c>
      <c r="R65" s="11">
        <f>H65*'Res Predicted Monthly'!$AB$13</f>
        <v>0</v>
      </c>
      <c r="S65" s="11">
        <f>I65*'Res Predicted Monthly'!$AB$14</f>
        <v>67794305.5115688</v>
      </c>
      <c r="T65" s="11">
        <f t="shared" si="5"/>
        <v>0</v>
      </c>
      <c r="U65" s="11">
        <f t="shared" si="6"/>
        <v>973155.90845354099</v>
      </c>
      <c r="V65" s="11">
        <f t="shared" si="7"/>
        <v>30449.282116114413</v>
      </c>
      <c r="W65" s="11">
        <f t="shared" si="8"/>
        <v>85915787.749689296</v>
      </c>
      <c r="X65" s="11">
        <f t="shared" si="11"/>
        <v>132736.17413276434</v>
      </c>
      <c r="Y65" s="23">
        <f t="shared" si="12"/>
        <v>1.5473473103932674E-3</v>
      </c>
      <c r="AB65" s="11"/>
      <c r="AC65" s="23"/>
    </row>
    <row r="66" spans="1:33" x14ac:dyDescent="0.2">
      <c r="A66" s="8">
        <f>'Monthly Data'!A66</f>
        <v>44682</v>
      </c>
      <c r="B66">
        <f t="shared" si="13"/>
        <v>2022</v>
      </c>
      <c r="C66">
        <f t="shared" si="14"/>
        <v>5</v>
      </c>
      <c r="D66" s="19">
        <f>'Monthly Data'!F66</f>
        <v>89296731.492021337</v>
      </c>
      <c r="E66" s="21">
        <f>'Monthly Data'!BF66</f>
        <v>115.30833333333334</v>
      </c>
      <c r="F66" s="21">
        <f>'Monthly Data'!BK66</f>
        <v>80.722916666666649</v>
      </c>
      <c r="G66" s="11">
        <f>'Monthly Data'!G66</f>
        <v>150135</v>
      </c>
      <c r="H66">
        <f>'Monthly Data'!CC66</f>
        <v>0</v>
      </c>
      <c r="I66" s="21">
        <f>'Monthly Data'!CS66</f>
        <v>31</v>
      </c>
      <c r="J66" s="21">
        <f>'Monthly Data'!CK66</f>
        <v>1</v>
      </c>
      <c r="K66" s="21">
        <f>'Monthly Data'!DB66</f>
        <v>28.827083333333334</v>
      </c>
      <c r="L66" s="21">
        <f>'Monthly Data'!DG66</f>
        <v>20.180729166666662</v>
      </c>
      <c r="N66" s="11">
        <f>'Res Predicted Monthly'!$AB$9</f>
        <v>-154534728.74811399</v>
      </c>
      <c r="O66" s="11">
        <f>E66*'Res Predicted Monthly'!$AB$10</f>
        <v>7078848.0542885335</v>
      </c>
      <c r="P66" s="11">
        <f>F66*'Res Predicted Monthly'!$AB$11</f>
        <v>22929585.807283945</v>
      </c>
      <c r="Q66" s="11">
        <f>G66*'Res Predicted Monthly'!$AB$12</f>
        <v>148178457.10319632</v>
      </c>
      <c r="R66" s="11">
        <f>H66*'Res Predicted Monthly'!$AB$13</f>
        <v>0</v>
      </c>
      <c r="S66" s="11">
        <f>I66*'Res Predicted Monthly'!$AB$14</f>
        <v>70054115.695287749</v>
      </c>
      <c r="T66" s="11">
        <f t="shared" si="5"/>
        <v>-2784507.8509929599</v>
      </c>
      <c r="U66" s="11">
        <f t="shared" si="6"/>
        <v>304999.1122271294</v>
      </c>
      <c r="V66" s="11">
        <f t="shared" si="7"/>
        <v>967064.20832219953</v>
      </c>
      <c r="W66" s="11">
        <f t="shared" si="8"/>
        <v>92193833.381498918</v>
      </c>
      <c r="X66" s="11">
        <f t="shared" si="11"/>
        <v>2897101.8894775808</v>
      </c>
      <c r="Y66" s="23">
        <f t="shared" si="12"/>
        <v>3.2443537866068892E-2</v>
      </c>
      <c r="AB66" s="11"/>
      <c r="AC66" s="23"/>
    </row>
    <row r="67" spans="1:33" x14ac:dyDescent="0.2">
      <c r="A67" s="8">
        <f>'Monthly Data'!A67</f>
        <v>44713</v>
      </c>
      <c r="B67">
        <f t="shared" si="13"/>
        <v>2022</v>
      </c>
      <c r="C67">
        <f t="shared" si="14"/>
        <v>6</v>
      </c>
      <c r="D67" s="19">
        <f>'Monthly Data'!F67</f>
        <v>104358390.42752253</v>
      </c>
      <c r="E67" s="21">
        <f>'Monthly Data'!BF67</f>
        <v>37.135416666666671</v>
      </c>
      <c r="F67" s="21">
        <f>'Monthly Data'!BK67</f>
        <v>142.82500000000002</v>
      </c>
      <c r="G67" s="11">
        <f>'Monthly Data'!G67</f>
        <v>150281</v>
      </c>
      <c r="H67">
        <f>'Monthly Data'!CC67</f>
        <v>0</v>
      </c>
      <c r="I67" s="21">
        <f>'Monthly Data'!CS67</f>
        <v>30</v>
      </c>
      <c r="J67" s="21">
        <f>'Monthly Data'!CK67</f>
        <v>1</v>
      </c>
      <c r="K67" s="21">
        <f>'Monthly Data'!DB67</f>
        <v>9.2838541666666679</v>
      </c>
      <c r="L67" s="21">
        <f>'Monthly Data'!DG67</f>
        <v>35.706250000000004</v>
      </c>
      <c r="N67" s="11">
        <f>'Res Predicted Monthly'!$AB$9</f>
        <v>-154534728.74811399</v>
      </c>
      <c r="O67" s="11">
        <f>E67*'Res Predicted Monthly'!$AB$10</f>
        <v>2279765.6025094516</v>
      </c>
      <c r="P67" s="11">
        <f>F67*'Res Predicted Monthly'!$AB$11</f>
        <v>40569868.237648301</v>
      </c>
      <c r="Q67" s="11">
        <f>G67*'Res Predicted Monthly'!$AB$12</f>
        <v>148322554.44716722</v>
      </c>
      <c r="R67" s="11">
        <f>H67*'Res Predicted Monthly'!$AB$13</f>
        <v>0</v>
      </c>
      <c r="S67" s="11">
        <f>I67*'Res Predicted Monthly'!$AB$14</f>
        <v>67794305.5115688</v>
      </c>
      <c r="T67" s="11">
        <f t="shared" ref="T67:T97" si="15">J67*$AB$15</f>
        <v>-2784507.8509929599</v>
      </c>
      <c r="U67" s="11">
        <f t="shared" ref="U67:U97" si="16">K67*$AB$16</f>
        <v>98225.937259676619</v>
      </c>
      <c r="V67" s="11">
        <f t="shared" ref="V67:V97" si="17">L67*$AB$17</f>
        <v>1711049.987501916</v>
      </c>
      <c r="W67" s="11">
        <f t="shared" ref="W67:W97" si="18">SUM(N67:V67)</f>
        <v>103456533.12454841</v>
      </c>
      <c r="X67" s="11">
        <f t="shared" si="11"/>
        <v>-901857.30297411978</v>
      </c>
      <c r="Y67" s="23">
        <f t="shared" si="12"/>
        <v>8.6419242312908671E-3</v>
      </c>
      <c r="AB67" s="11"/>
      <c r="AC67" s="23"/>
    </row>
    <row r="68" spans="1:33" x14ac:dyDescent="0.2">
      <c r="A68" s="8">
        <f>'Monthly Data'!A68</f>
        <v>44743</v>
      </c>
      <c r="B68">
        <f t="shared" si="13"/>
        <v>2022</v>
      </c>
      <c r="C68">
        <f t="shared" si="14"/>
        <v>7</v>
      </c>
      <c r="D68" s="19">
        <f>'Monthly Data'!F68</f>
        <v>125884000.32741234</v>
      </c>
      <c r="E68" s="21">
        <f>'Monthly Data'!BF68</f>
        <v>0.14166666666666217</v>
      </c>
      <c r="F68" s="21">
        <f>'Monthly Data'!BK68</f>
        <v>224.93333333333328</v>
      </c>
      <c r="G68" s="11">
        <f>'Monthly Data'!G68</f>
        <v>150338</v>
      </c>
      <c r="H68">
        <f>'Monthly Data'!CC68</f>
        <v>0</v>
      </c>
      <c r="I68" s="21">
        <f>'Monthly Data'!CS68</f>
        <v>31</v>
      </c>
      <c r="J68" s="21">
        <f>'Monthly Data'!CK68</f>
        <v>1</v>
      </c>
      <c r="K68" s="21">
        <f>'Monthly Data'!DB68</f>
        <v>3.5416666666665542E-2</v>
      </c>
      <c r="L68" s="21">
        <f>'Monthly Data'!DG68</f>
        <v>56.23333333333332</v>
      </c>
      <c r="N68" s="11">
        <f>'Res Predicted Monthly'!$AB$9</f>
        <v>-154534728.74811399</v>
      </c>
      <c r="O68" s="11">
        <f>E68*'Res Predicted Monthly'!$AB$10</f>
        <v>8697.0020179880921</v>
      </c>
      <c r="P68" s="11">
        <f>F68*'Res Predicted Monthly'!$AB$11</f>
        <v>63892985.790921442</v>
      </c>
      <c r="Q68" s="11">
        <f>G68*'Res Predicted Monthly'!$AB$12</f>
        <v>148378811.6294024</v>
      </c>
      <c r="R68" s="11">
        <f>H68*'Res Predicted Monthly'!$AB$13</f>
        <v>0</v>
      </c>
      <c r="S68" s="11">
        <f>I68*'Res Predicted Monthly'!$AB$14</f>
        <v>70054115.695287749</v>
      </c>
      <c r="T68" s="11">
        <f t="shared" si="15"/>
        <v>-2784507.8509929599</v>
      </c>
      <c r="U68" s="11">
        <f t="shared" si="16"/>
        <v>374.71886303830559</v>
      </c>
      <c r="V68" s="11">
        <f t="shared" si="17"/>
        <v>2694711.5504201935</v>
      </c>
      <c r="W68" s="11">
        <f t="shared" si="18"/>
        <v>127710459.78780586</v>
      </c>
      <c r="X68" s="11">
        <f t="shared" si="11"/>
        <v>1826459.4603935182</v>
      </c>
      <c r="Y68" s="23">
        <f t="shared" si="12"/>
        <v>1.4509067519645631E-2</v>
      </c>
      <c r="AB68" s="11"/>
      <c r="AC68" s="23"/>
    </row>
    <row r="69" spans="1:33" x14ac:dyDescent="0.2">
      <c r="A69" s="8">
        <f>'Monthly Data'!A69</f>
        <v>44774</v>
      </c>
      <c r="B69">
        <f t="shared" si="13"/>
        <v>2022</v>
      </c>
      <c r="C69">
        <f t="shared" si="14"/>
        <v>8</v>
      </c>
      <c r="D69" s="19">
        <f>'Monthly Data'!F69</f>
        <v>121150244.47990614</v>
      </c>
      <c r="E69" s="21">
        <f>'Monthly Data'!BF69</f>
        <v>1.0333333333333314</v>
      </c>
      <c r="F69" s="21">
        <f>'Monthly Data'!BK69</f>
        <v>208.27916666666667</v>
      </c>
      <c r="G69" s="11">
        <f>'Monthly Data'!G69</f>
        <v>150523</v>
      </c>
      <c r="H69">
        <f>'Monthly Data'!CC69</f>
        <v>0</v>
      </c>
      <c r="I69" s="21">
        <f>'Monthly Data'!CS69</f>
        <v>31</v>
      </c>
      <c r="J69" s="21">
        <f>'Monthly Data'!CK69</f>
        <v>1</v>
      </c>
      <c r="K69" s="21">
        <f>'Monthly Data'!DB69</f>
        <v>0.25833333333333286</v>
      </c>
      <c r="L69" s="21">
        <f>'Monthly Data'!DG69</f>
        <v>52.069791666666667</v>
      </c>
      <c r="N69" s="11">
        <f>'Res Predicted Monthly'!$AB$9</f>
        <v>-154534728.74811399</v>
      </c>
      <c r="O69" s="11">
        <f>E69*'Res Predicted Monthly'!$AB$10</f>
        <v>63436.955895915045</v>
      </c>
      <c r="P69" s="11">
        <f>F69*'Res Predicted Monthly'!$AB$11</f>
        <v>59162319.960188039</v>
      </c>
      <c r="Q69" s="11">
        <f>G69*'Res Predicted Monthly'!$AB$12</f>
        <v>148561400.72963947</v>
      </c>
      <c r="R69" s="11">
        <f>H69*'Res Predicted Monthly'!$AB$13</f>
        <v>0</v>
      </c>
      <c r="S69" s="11">
        <f>I69*'Res Predicted Monthly'!$AB$14</f>
        <v>70054115.695287749</v>
      </c>
      <c r="T69" s="11">
        <f t="shared" si="15"/>
        <v>-2784507.8509929599</v>
      </c>
      <c r="U69" s="11">
        <f t="shared" si="16"/>
        <v>2733.2434715736049</v>
      </c>
      <c r="V69" s="11">
        <f t="shared" si="17"/>
        <v>2495193.8772757528</v>
      </c>
      <c r="W69" s="11">
        <f t="shared" si="18"/>
        <v>123019963.86265153</v>
      </c>
      <c r="X69" s="11">
        <f t="shared" si="11"/>
        <v>1869719.3827453852</v>
      </c>
      <c r="Y69" s="23">
        <f t="shared" si="12"/>
        <v>1.5433063224692831E-2</v>
      </c>
      <c r="AB69" s="11"/>
      <c r="AC69" s="23"/>
    </row>
    <row r="70" spans="1:33" x14ac:dyDescent="0.2">
      <c r="A70" s="8">
        <f>'Monthly Data'!A70</f>
        <v>44805</v>
      </c>
      <c r="B70">
        <f t="shared" si="13"/>
        <v>2022</v>
      </c>
      <c r="C70">
        <f t="shared" si="14"/>
        <v>9</v>
      </c>
      <c r="D70" s="19">
        <f>'Monthly Data'!F70</f>
        <v>95896085.279471442</v>
      </c>
      <c r="E70" s="21">
        <f>'Monthly Data'!BF70</f>
        <v>68.80416666666666</v>
      </c>
      <c r="F70" s="21">
        <f>'Monthly Data'!BK70</f>
        <v>101.75833333333333</v>
      </c>
      <c r="G70" s="11">
        <f>'Monthly Data'!G70</f>
        <v>150661</v>
      </c>
      <c r="H70">
        <f>'Monthly Data'!CC70</f>
        <v>0</v>
      </c>
      <c r="I70" s="21">
        <f>'Monthly Data'!CS70</f>
        <v>30</v>
      </c>
      <c r="J70" s="21">
        <f>'Monthly Data'!CK70</f>
        <v>0</v>
      </c>
      <c r="K70" s="21">
        <f>'Monthly Data'!DB70</f>
        <v>17.201041666666665</v>
      </c>
      <c r="L70" s="21">
        <f>'Monthly Data'!DG70</f>
        <v>25.439583333333331</v>
      </c>
      <c r="N70" s="11">
        <f>'Res Predicted Monthly'!$AB$9</f>
        <v>-154534728.74811399</v>
      </c>
      <c r="O70" s="11">
        <f>E70*'Res Predicted Monthly'!$AB$10</f>
        <v>4223929.2447953504</v>
      </c>
      <c r="P70" s="11">
        <f>F70*'Res Predicted Monthly'!$AB$11</f>
        <v>28904758.798641887</v>
      </c>
      <c r="Q70" s="11">
        <f>G70*'Res Predicted Monthly'!$AB$12</f>
        <v>148697602.32873523</v>
      </c>
      <c r="R70" s="11">
        <f>H70*'Res Predicted Monthly'!$AB$13</f>
        <v>0</v>
      </c>
      <c r="S70" s="11">
        <f>I70*'Res Predicted Monthly'!$AB$14</f>
        <v>67794305.5115688</v>
      </c>
      <c r="T70" s="11">
        <f t="shared" si="15"/>
        <v>0</v>
      </c>
      <c r="U70" s="11">
        <f t="shared" si="16"/>
        <v>181992.13486328637</v>
      </c>
      <c r="V70" s="11">
        <f t="shared" si="17"/>
        <v>1219069.4554749923</v>
      </c>
      <c r="W70" s="11">
        <f t="shared" si="18"/>
        <v>96486928.725965559</v>
      </c>
      <c r="X70" s="11">
        <f t="shared" si="11"/>
        <v>590843.44649411738</v>
      </c>
      <c r="Y70" s="23">
        <f t="shared" si="12"/>
        <v>6.1612884902674933E-3</v>
      </c>
      <c r="AB70" s="11"/>
      <c r="AC70" s="23"/>
    </row>
    <row r="71" spans="1:33" x14ac:dyDescent="0.2">
      <c r="A71" s="8">
        <f>'Monthly Data'!A71</f>
        <v>44835</v>
      </c>
      <c r="B71">
        <f t="shared" si="13"/>
        <v>2022</v>
      </c>
      <c r="C71">
        <f t="shared" si="14"/>
        <v>10</v>
      </c>
      <c r="D71" s="19">
        <f>'Monthly Data'!F71</f>
        <v>82407651.875134245</v>
      </c>
      <c r="E71" s="21">
        <f>'Monthly Data'!BF71</f>
        <v>258.52083333333331</v>
      </c>
      <c r="F71" s="21">
        <f>'Monthly Data'!BK71</f>
        <v>4.3500000000000014</v>
      </c>
      <c r="G71" s="11">
        <f>'Monthly Data'!G71</f>
        <v>150911</v>
      </c>
      <c r="H71">
        <f>'Monthly Data'!CC71</f>
        <v>0</v>
      </c>
      <c r="I71" s="21">
        <f>'Monthly Data'!CS71</f>
        <v>31</v>
      </c>
      <c r="J71" s="21">
        <f>'Monthly Data'!CK71</f>
        <v>0</v>
      </c>
      <c r="K71" s="21">
        <f>'Monthly Data'!DB71</f>
        <v>64.630208333333329</v>
      </c>
      <c r="L71" s="21">
        <f>'Monthly Data'!DG71</f>
        <v>1.0875000000000004</v>
      </c>
      <c r="N71" s="11">
        <f>'Res Predicted Monthly'!$AB$9</f>
        <v>-154534728.74811399</v>
      </c>
      <c r="O71" s="11">
        <f>E71*'Res Predicted Monthly'!$AB$10</f>
        <v>15870749.711943774</v>
      </c>
      <c r="P71" s="11">
        <f>F71*'Res Predicted Monthly'!$AB$11</f>
        <v>1235630.5046999485</v>
      </c>
      <c r="Q71" s="11">
        <f>G71*'Res Predicted Monthly'!$AB$12</f>
        <v>148944344.35608262</v>
      </c>
      <c r="R71" s="11">
        <f>H71*'Res Predicted Monthly'!$AB$13</f>
        <v>0</v>
      </c>
      <c r="S71" s="11">
        <f>I71*'Res Predicted Monthly'!$AB$14</f>
        <v>70054115.695287749</v>
      </c>
      <c r="T71" s="11">
        <f t="shared" si="15"/>
        <v>0</v>
      </c>
      <c r="U71" s="11">
        <f t="shared" si="16"/>
        <v>683806.81932977668</v>
      </c>
      <c r="V71" s="11">
        <f t="shared" si="17"/>
        <v>52113.197588890849</v>
      </c>
      <c r="W71" s="11">
        <f t="shared" si="18"/>
        <v>82306031.536818773</v>
      </c>
      <c r="X71" s="11">
        <f t="shared" si="11"/>
        <v>-101620.33831547201</v>
      </c>
      <c r="Y71" s="23">
        <f t="shared" si="12"/>
        <v>1.2331420202270685E-3</v>
      </c>
      <c r="AB71" s="11"/>
      <c r="AC71" s="23"/>
    </row>
    <row r="72" spans="1:33" x14ac:dyDescent="0.2">
      <c r="A72" s="8">
        <f>'Monthly Data'!A72</f>
        <v>44866</v>
      </c>
      <c r="B72">
        <f t="shared" si="13"/>
        <v>2022</v>
      </c>
      <c r="C72">
        <f t="shared" si="14"/>
        <v>11</v>
      </c>
      <c r="D72" s="19">
        <f>'Monthly Data'!F72</f>
        <v>87684954.067774549</v>
      </c>
      <c r="E72" s="21">
        <f>'Monthly Data'!BF72</f>
        <v>401.49583333333328</v>
      </c>
      <c r="F72" s="21">
        <f>'Monthly Data'!BK72</f>
        <v>4.2666666666666639</v>
      </c>
      <c r="G72" s="11">
        <f>'Monthly Data'!G72</f>
        <v>151261</v>
      </c>
      <c r="H72">
        <f>'Monthly Data'!CC72</f>
        <v>0</v>
      </c>
      <c r="I72" s="21">
        <f>'Monthly Data'!CS72</f>
        <v>30</v>
      </c>
      <c r="J72" s="21">
        <f>'Monthly Data'!CK72</f>
        <v>0</v>
      </c>
      <c r="K72" s="21">
        <f>'Monthly Data'!DB72</f>
        <v>100.37395833333332</v>
      </c>
      <c r="L72" s="21">
        <f>'Monthly Data'!DG72</f>
        <v>1.066666666666666</v>
      </c>
      <c r="N72" s="11">
        <f>'Res Predicted Monthly'!$AB$9</f>
        <v>-154534728.74811399</v>
      </c>
      <c r="O72" s="11">
        <f>E72*'Res Predicted Monthly'!$AB$10</f>
        <v>24648071.101510033</v>
      </c>
      <c r="P72" s="11">
        <f>F72*'Res Predicted Monthly'!$AB$11</f>
        <v>1211959.4222344311</v>
      </c>
      <c r="Q72" s="11">
        <f>G72*'Res Predicted Monthly'!$AB$12</f>
        <v>149289783.19436893</v>
      </c>
      <c r="R72" s="11">
        <f>H72*'Res Predicted Monthly'!$AB$13</f>
        <v>0</v>
      </c>
      <c r="S72" s="11">
        <f>I72*'Res Predicted Monthly'!$AB$14</f>
        <v>67794305.5115688</v>
      </c>
      <c r="T72" s="11">
        <f t="shared" si="15"/>
        <v>0</v>
      </c>
      <c r="U72" s="11">
        <f t="shared" si="16"/>
        <v>1061986.3212796834</v>
      </c>
      <c r="V72" s="11">
        <f t="shared" si="17"/>
        <v>51114.860470329673</v>
      </c>
      <c r="W72" s="11">
        <f t="shared" si="18"/>
        <v>89522491.663318217</v>
      </c>
      <c r="X72" s="11">
        <f t="shared" si="11"/>
        <v>1837537.5955436677</v>
      </c>
      <c r="Y72" s="23">
        <f t="shared" si="12"/>
        <v>2.0956133410566367E-2</v>
      </c>
      <c r="AB72" s="11"/>
      <c r="AC72" s="23"/>
    </row>
    <row r="73" spans="1:33" x14ac:dyDescent="0.2">
      <c r="A73" s="8">
        <f>'Monthly Data'!A73</f>
        <v>44896</v>
      </c>
      <c r="B73">
        <f t="shared" si="13"/>
        <v>2022</v>
      </c>
      <c r="C73">
        <f t="shared" si="14"/>
        <v>12</v>
      </c>
      <c r="D73" s="19">
        <f>'Monthly Data'!F73</f>
        <v>104600325.92757934</v>
      </c>
      <c r="E73" s="21">
        <f>'Monthly Data'!BF73</f>
        <v>593.42499999999984</v>
      </c>
      <c r="F73" s="21">
        <f>'Monthly Data'!BK73</f>
        <v>0</v>
      </c>
      <c r="G73" s="11">
        <f>'Monthly Data'!G73</f>
        <v>151365</v>
      </c>
      <c r="H73">
        <f>'Monthly Data'!CC73</f>
        <v>1</v>
      </c>
      <c r="I73" s="21">
        <f>'Monthly Data'!CS73</f>
        <v>31</v>
      </c>
      <c r="J73" s="21">
        <f>'Monthly Data'!CK73</f>
        <v>0</v>
      </c>
      <c r="K73" s="21">
        <f>'Monthly Data'!DB73</f>
        <v>148.35624999999996</v>
      </c>
      <c r="L73" s="21">
        <f>'Monthly Data'!DG73</f>
        <v>0</v>
      </c>
      <c r="N73" s="11">
        <f>'Res Predicted Monthly'!$AB$9</f>
        <v>-154534728.74811399</v>
      </c>
      <c r="O73" s="11">
        <f>E73*'Res Predicted Monthly'!$AB$10</f>
        <v>36430718.276645273</v>
      </c>
      <c r="P73" s="11">
        <f>F73*'Res Predicted Monthly'!$AB$11</f>
        <v>0</v>
      </c>
      <c r="Q73" s="11">
        <f>G73*'Res Predicted Monthly'!$AB$12</f>
        <v>149392427.87774545</v>
      </c>
      <c r="R73" s="11">
        <f>H73*'Res Predicted Monthly'!$AB$13</f>
        <v>3702152.17603915</v>
      </c>
      <c r="S73" s="11">
        <f>I73*'Res Predicted Monthly'!$AB$14</f>
        <v>70054115.695287749</v>
      </c>
      <c r="T73" s="11">
        <f t="shared" si="15"/>
        <v>0</v>
      </c>
      <c r="U73" s="11">
        <f t="shared" si="16"/>
        <v>1569653.2326953895</v>
      </c>
      <c r="V73" s="11">
        <f t="shared" si="17"/>
        <v>0</v>
      </c>
      <c r="W73" s="11">
        <f t="shared" si="18"/>
        <v>106614338.51029901</v>
      </c>
      <c r="X73" s="11">
        <f t="shared" si="11"/>
        <v>2014012.5827196687</v>
      </c>
      <c r="Y73" s="23">
        <f t="shared" si="12"/>
        <v>1.9254362401452577E-2</v>
      </c>
      <c r="AB73" s="11"/>
      <c r="AC73" s="23"/>
    </row>
    <row r="74" spans="1:33" x14ac:dyDescent="0.2">
      <c r="A74" s="8">
        <f>'Monthly Data'!A74</f>
        <v>44927</v>
      </c>
      <c r="B74">
        <f t="shared" si="13"/>
        <v>2023</v>
      </c>
      <c r="C74">
        <f t="shared" si="14"/>
        <v>1</v>
      </c>
      <c r="D74" s="19">
        <f>'Monthly Data'!F74</f>
        <v>101095920.38269933</v>
      </c>
      <c r="E74" s="21">
        <f>'Monthly Data'!BF74</f>
        <v>589.55416666666667</v>
      </c>
      <c r="F74" s="21">
        <f>'Monthly Data'!BK74</f>
        <v>0</v>
      </c>
      <c r="G74" s="11">
        <f>'Monthly Data'!G74</f>
        <v>151499</v>
      </c>
      <c r="H74">
        <f>'Monthly Data'!CC74</f>
        <v>0</v>
      </c>
      <c r="I74" s="21">
        <f>'Monthly Data'!CS74</f>
        <v>31</v>
      </c>
      <c r="J74" s="21">
        <f>'Monthly Data'!CK74</f>
        <v>0</v>
      </c>
      <c r="K74" s="21">
        <f>'Monthly Data'!DB74</f>
        <v>0</v>
      </c>
      <c r="L74" s="21">
        <f>'Monthly Data'!DG74</f>
        <v>0</v>
      </c>
      <c r="N74" s="11">
        <f>'Res Predicted Monthly'!$AB$9</f>
        <v>-154534728.74811399</v>
      </c>
      <c r="O74" s="11">
        <f>E74*'Res Predicted Monthly'!$AB$10</f>
        <v>36193085.486212596</v>
      </c>
      <c r="P74" s="11">
        <f>F74*'Res Predicted Monthly'!$AB$11</f>
        <v>0</v>
      </c>
      <c r="Q74" s="11">
        <f>G74*'Res Predicted Monthly'!$AB$12</f>
        <v>149524681.60440364</v>
      </c>
      <c r="R74" s="11">
        <f>H74*'Res Predicted Monthly'!$AB$13</f>
        <v>0</v>
      </c>
      <c r="S74" s="11">
        <f>I74*'Res Predicted Monthly'!$AB$14</f>
        <v>70054115.695287749</v>
      </c>
      <c r="T74" s="11">
        <f t="shared" si="15"/>
        <v>0</v>
      </c>
      <c r="U74" s="11">
        <f t="shared" si="16"/>
        <v>0</v>
      </c>
      <c r="V74" s="11">
        <f t="shared" si="17"/>
        <v>0</v>
      </c>
      <c r="W74" s="11">
        <f t="shared" si="18"/>
        <v>101237154.03779</v>
      </c>
      <c r="X74" s="11">
        <f t="shared" si="11"/>
        <v>141233.65509067476</v>
      </c>
      <c r="Y74" s="23">
        <f t="shared" si="12"/>
        <v>1.3970262554219176E-3</v>
      </c>
      <c r="AB74" s="11"/>
      <c r="AC74" s="23"/>
    </row>
    <row r="75" spans="1:33" x14ac:dyDescent="0.2">
      <c r="A75" s="8">
        <f>'Monthly Data'!A75</f>
        <v>44958</v>
      </c>
      <c r="B75">
        <f t="shared" si="13"/>
        <v>2023</v>
      </c>
      <c r="C75">
        <f t="shared" si="14"/>
        <v>2</v>
      </c>
      <c r="D75" s="19">
        <f>'Monthly Data'!F75</f>
        <v>91047446.956413373</v>
      </c>
      <c r="E75" s="21">
        <f>'Monthly Data'!BF75</f>
        <v>545.2166666666667</v>
      </c>
      <c r="F75" s="21">
        <f>'Monthly Data'!BK75</f>
        <v>0</v>
      </c>
      <c r="G75" s="11">
        <f>'Monthly Data'!G75</f>
        <v>151628</v>
      </c>
      <c r="H75">
        <f>'Monthly Data'!CC75</f>
        <v>0</v>
      </c>
      <c r="I75" s="21">
        <f>'Monthly Data'!CS75</f>
        <v>28</v>
      </c>
      <c r="J75" s="21">
        <f>'Monthly Data'!CK75</f>
        <v>0</v>
      </c>
      <c r="K75" s="21">
        <f>'Monthly Data'!DB75</f>
        <v>0</v>
      </c>
      <c r="L75" s="21">
        <f>'Monthly Data'!DG75</f>
        <v>0</v>
      </c>
      <c r="N75" s="11">
        <f>'Res Predicted Monthly'!$AB$9</f>
        <v>-154534728.74811399</v>
      </c>
      <c r="O75" s="11">
        <f>E75*'Res Predicted Monthly'!$AB$10</f>
        <v>33471179.648759238</v>
      </c>
      <c r="P75" s="11">
        <f>F75*'Res Predicted Monthly'!$AB$11</f>
        <v>0</v>
      </c>
      <c r="Q75" s="11">
        <f>G75*'Res Predicted Monthly'!$AB$12</f>
        <v>149652000.4905149</v>
      </c>
      <c r="R75" s="11">
        <f>H75*'Res Predicted Monthly'!$AB$13</f>
        <v>0</v>
      </c>
      <c r="S75" s="11">
        <f>I75*'Res Predicted Monthly'!$AB$14</f>
        <v>63274685.144130871</v>
      </c>
      <c r="T75" s="11">
        <f t="shared" si="15"/>
        <v>0</v>
      </c>
      <c r="U75" s="11">
        <f t="shared" si="16"/>
        <v>0</v>
      </c>
      <c r="V75" s="11">
        <f t="shared" si="17"/>
        <v>0</v>
      </c>
      <c r="W75" s="11">
        <f t="shared" si="18"/>
        <v>91863136.535291031</v>
      </c>
      <c r="X75" s="11">
        <f t="shared" si="11"/>
        <v>815689.57887765765</v>
      </c>
      <c r="Y75" s="23">
        <f t="shared" si="12"/>
        <v>8.9589505927403779E-3</v>
      </c>
      <c r="AB75" s="11"/>
      <c r="AC75" s="23"/>
    </row>
    <row r="76" spans="1:33" x14ac:dyDescent="0.2">
      <c r="A76" s="8">
        <f>'Monthly Data'!A76</f>
        <v>44986</v>
      </c>
      <c r="B76">
        <f t="shared" si="13"/>
        <v>2023</v>
      </c>
      <c r="C76">
        <f t="shared" si="14"/>
        <v>3</v>
      </c>
      <c r="D76" s="19">
        <f>'Monthly Data'!F76</f>
        <v>95849298.594118595</v>
      </c>
      <c r="E76" s="21">
        <f>'Monthly Data'!BF76</f>
        <v>552.04583333333323</v>
      </c>
      <c r="F76" s="21">
        <f>'Monthly Data'!BK76</f>
        <v>0</v>
      </c>
      <c r="G76" s="11">
        <f>'Monthly Data'!G76</f>
        <v>151662</v>
      </c>
      <c r="H76">
        <f>'Monthly Data'!CC76</f>
        <v>0</v>
      </c>
      <c r="I76" s="21">
        <f>'Monthly Data'!CS76</f>
        <v>31</v>
      </c>
      <c r="J76" s="21">
        <f>'Monthly Data'!CK76</f>
        <v>0</v>
      </c>
      <c r="K76" s="21">
        <f>'Monthly Data'!DB76</f>
        <v>0</v>
      </c>
      <c r="L76" s="21">
        <f>'Monthly Data'!DG76</f>
        <v>0</v>
      </c>
      <c r="N76" s="11">
        <f>'Res Predicted Monthly'!$AB$9</f>
        <v>-154534728.74811399</v>
      </c>
      <c r="O76" s="11">
        <f>E76*'Res Predicted Monthly'!$AB$10</f>
        <v>33890426.304861672</v>
      </c>
      <c r="P76" s="11">
        <f>F76*'Res Predicted Monthly'!$AB$11</f>
        <v>0</v>
      </c>
      <c r="Q76" s="11">
        <f>G76*'Res Predicted Monthly'!$AB$12</f>
        <v>149685557.40623415</v>
      </c>
      <c r="R76" s="11">
        <f>H76*'Res Predicted Monthly'!$AB$13</f>
        <v>0</v>
      </c>
      <c r="S76" s="11">
        <f>I76*'Res Predicted Monthly'!$AB$14</f>
        <v>70054115.695287749</v>
      </c>
      <c r="T76" s="11">
        <f t="shared" si="15"/>
        <v>0</v>
      </c>
      <c r="U76" s="11">
        <f t="shared" si="16"/>
        <v>0</v>
      </c>
      <c r="V76" s="11">
        <f t="shared" si="17"/>
        <v>0</v>
      </c>
      <c r="W76" s="11">
        <f t="shared" si="18"/>
        <v>99095370.658269569</v>
      </c>
      <c r="X76" s="11">
        <f t="shared" si="11"/>
        <v>3246072.0641509742</v>
      </c>
      <c r="Y76" s="23">
        <f t="shared" si="12"/>
        <v>3.3866414379271799E-2</v>
      </c>
    </row>
    <row r="77" spans="1:33" x14ac:dyDescent="0.2">
      <c r="A77" s="8">
        <f>'Monthly Data'!A77</f>
        <v>45017</v>
      </c>
      <c r="B77">
        <f t="shared" si="13"/>
        <v>2023</v>
      </c>
      <c r="C77">
        <f t="shared" si="14"/>
        <v>4</v>
      </c>
      <c r="D77" s="19">
        <f>'Monthly Data'!F77</f>
        <v>84098508.162623033</v>
      </c>
      <c r="E77" s="21">
        <f>'Monthly Data'!BF77</f>
        <v>294.47500000000002</v>
      </c>
      <c r="F77" s="21">
        <f>'Monthly Data'!BK77</f>
        <v>22.516666666666687</v>
      </c>
      <c r="G77" s="11">
        <f>'Monthly Data'!G77</f>
        <v>151651</v>
      </c>
      <c r="H77">
        <f>'Monthly Data'!CC77</f>
        <v>0</v>
      </c>
      <c r="I77" s="21">
        <f>'Monthly Data'!CS77</f>
        <v>30</v>
      </c>
      <c r="J77" s="21">
        <f>'Monthly Data'!CK77</f>
        <v>0</v>
      </c>
      <c r="K77" s="21">
        <f>'Monthly Data'!DB77</f>
        <v>0</v>
      </c>
      <c r="L77" s="21">
        <f>'Monthly Data'!DG77</f>
        <v>0</v>
      </c>
      <c r="N77" s="11">
        <f>'Res Predicted Monthly'!$AB$9</f>
        <v>-154534728.74811399</v>
      </c>
      <c r="O77" s="11">
        <f>E77*'Res Predicted Monthly'!$AB$10</f>
        <v>18077997.665273827</v>
      </c>
      <c r="P77" s="11">
        <f>F77*'Res Predicted Monthly'!$AB$11</f>
        <v>6395926.4821824962</v>
      </c>
      <c r="Q77" s="11">
        <f>G77*'Res Predicted Monthly'!$AB$12</f>
        <v>149674700.75703084</v>
      </c>
      <c r="R77" s="11">
        <f>H77*'Res Predicted Monthly'!$AB$13</f>
        <v>0</v>
      </c>
      <c r="S77" s="11">
        <f>I77*'Res Predicted Monthly'!$AB$14</f>
        <v>67794305.5115688</v>
      </c>
      <c r="T77" s="11">
        <f t="shared" si="15"/>
        <v>0</v>
      </c>
      <c r="U77" s="11">
        <f t="shared" si="16"/>
        <v>0</v>
      </c>
      <c r="V77" s="11">
        <f t="shared" si="17"/>
        <v>0</v>
      </c>
      <c r="W77" s="11">
        <f t="shared" si="18"/>
        <v>87408201.667941973</v>
      </c>
      <c r="X77" s="11">
        <f t="shared" si="11"/>
        <v>3309693.5053189397</v>
      </c>
      <c r="Y77" s="23">
        <f t="shared" si="12"/>
        <v>3.9354960957439539E-2</v>
      </c>
      <c r="AB77" s="11"/>
    </row>
    <row r="78" spans="1:33" x14ac:dyDescent="0.2">
      <c r="A78" s="8">
        <f>'Monthly Data'!A78</f>
        <v>45047</v>
      </c>
      <c r="B78">
        <f t="shared" si="13"/>
        <v>2023</v>
      </c>
      <c r="C78">
        <f t="shared" si="14"/>
        <v>5</v>
      </c>
      <c r="D78" s="19">
        <f>'Monthly Data'!F78</f>
        <v>84438333.862071276</v>
      </c>
      <c r="E78" s="21">
        <f>'Monthly Data'!BF78</f>
        <v>150.63750000000002</v>
      </c>
      <c r="F78" s="21">
        <f>'Monthly Data'!BK78</f>
        <v>49.670833333333306</v>
      </c>
      <c r="G78" s="11">
        <f>'Monthly Data'!G78</f>
        <v>151748</v>
      </c>
      <c r="H78">
        <f>'Monthly Data'!CC78</f>
        <v>0</v>
      </c>
      <c r="I78" s="21">
        <f>'Monthly Data'!CS78</f>
        <v>31</v>
      </c>
      <c r="J78" s="21">
        <f>'Monthly Data'!CK78</f>
        <v>1</v>
      </c>
      <c r="K78" s="21">
        <f>'Monthly Data'!DB78</f>
        <v>0</v>
      </c>
      <c r="L78" s="21">
        <f>'Monthly Data'!DG78</f>
        <v>0</v>
      </c>
      <c r="N78" s="11">
        <f>'Res Predicted Monthly'!$AB$9</f>
        <v>-154534728.74811399</v>
      </c>
      <c r="O78" s="11">
        <f>E78*'Res Predicted Monthly'!$AB$10</f>
        <v>9247726.8810686339</v>
      </c>
      <c r="P78" s="11">
        <f>F78*'Res Predicted Monthly'!$AB$11</f>
        <v>14109148.703570953</v>
      </c>
      <c r="Q78" s="11">
        <f>G78*'Res Predicted Monthly'!$AB$12</f>
        <v>149770436.66364163</v>
      </c>
      <c r="R78" s="11">
        <f>H78*'Res Predicted Monthly'!$AB$13</f>
        <v>0</v>
      </c>
      <c r="S78" s="11">
        <f>I78*'Res Predicted Monthly'!$AB$14</f>
        <v>70054115.695287749</v>
      </c>
      <c r="T78" s="11">
        <f t="shared" si="15"/>
        <v>-2784507.8509929599</v>
      </c>
      <c r="U78" s="11">
        <f t="shared" si="16"/>
        <v>0</v>
      </c>
      <c r="V78" s="11">
        <f t="shared" si="17"/>
        <v>0</v>
      </c>
      <c r="W78" s="11">
        <f t="shared" si="18"/>
        <v>85862191.344462022</v>
      </c>
      <c r="X78" s="11">
        <f t="shared" si="11"/>
        <v>1423857.4823907465</v>
      </c>
      <c r="Y78" s="23">
        <f t="shared" si="12"/>
        <v>1.6862690406902105E-2</v>
      </c>
      <c r="AB78" s="11"/>
      <c r="AC78" s="22"/>
      <c r="AE78" s="11"/>
      <c r="AF78" s="11"/>
      <c r="AG78" s="57"/>
    </row>
    <row r="79" spans="1:33" x14ac:dyDescent="0.2">
      <c r="A79" s="8">
        <f>'Monthly Data'!A79</f>
        <v>45078</v>
      </c>
      <c r="B79">
        <f t="shared" si="13"/>
        <v>2023</v>
      </c>
      <c r="C79">
        <f t="shared" si="14"/>
        <v>6</v>
      </c>
      <c r="D79" s="19">
        <f>'Monthly Data'!F79</f>
        <v>97286503.750689998</v>
      </c>
      <c r="E79" s="21">
        <f>'Monthly Data'!BF79</f>
        <v>30.762499999999971</v>
      </c>
      <c r="F79" s="21">
        <f>'Monthly Data'!BK79</f>
        <v>130.14166666666665</v>
      </c>
      <c r="G79" s="11">
        <f>'Monthly Data'!G79</f>
        <v>151811</v>
      </c>
      <c r="H79">
        <f>'Monthly Data'!CC79</f>
        <v>0</v>
      </c>
      <c r="I79" s="21">
        <f>'Monthly Data'!CS79</f>
        <v>30</v>
      </c>
      <c r="J79" s="21">
        <f>'Monthly Data'!CK79</f>
        <v>1</v>
      </c>
      <c r="K79" s="21">
        <f>'Monthly Data'!DB79</f>
        <v>0</v>
      </c>
      <c r="L79" s="21">
        <f>'Monthly Data'!DG79</f>
        <v>0</v>
      </c>
      <c r="N79" s="11">
        <f>'Res Predicted Monthly'!$AB$9</f>
        <v>-154534728.74811399</v>
      </c>
      <c r="O79" s="11">
        <f>E79*'Res Predicted Monthly'!$AB$10</f>
        <v>1888528.4087884726</v>
      </c>
      <c r="P79" s="11">
        <f>F79*'Res Predicted Monthly'!$AB$11</f>
        <v>36967129.486396722</v>
      </c>
      <c r="Q79" s="11">
        <f>G79*'Res Predicted Monthly'!$AB$12</f>
        <v>149832615.65453318</v>
      </c>
      <c r="R79" s="11">
        <f>H79*'Res Predicted Monthly'!$AB$13</f>
        <v>0</v>
      </c>
      <c r="S79" s="11">
        <f>I79*'Res Predicted Monthly'!$AB$14</f>
        <v>67794305.5115688</v>
      </c>
      <c r="T79" s="11">
        <f t="shared" si="15"/>
        <v>-2784507.8509929599</v>
      </c>
      <c r="U79" s="11">
        <f t="shared" si="16"/>
        <v>0</v>
      </c>
      <c r="V79" s="11">
        <f t="shared" si="17"/>
        <v>0</v>
      </c>
      <c r="W79" s="11">
        <f t="shared" si="18"/>
        <v>99163342.462180227</v>
      </c>
      <c r="X79" s="11">
        <f t="shared" si="11"/>
        <v>1876838.7114902288</v>
      </c>
      <c r="Y79" s="23">
        <f t="shared" si="12"/>
        <v>1.9291871319580826E-2</v>
      </c>
      <c r="AB79" s="11"/>
      <c r="AC79" s="22"/>
      <c r="AE79" s="11"/>
      <c r="AF79" s="11"/>
      <c r="AG79" s="57"/>
    </row>
    <row r="80" spans="1:33" x14ac:dyDescent="0.2">
      <c r="A80" s="8">
        <f>'Monthly Data'!A80</f>
        <v>45108</v>
      </c>
      <c r="B80">
        <f t="shared" si="13"/>
        <v>2023</v>
      </c>
      <c r="C80">
        <f t="shared" si="14"/>
        <v>7</v>
      </c>
      <c r="D80" s="19">
        <f>'Monthly Data'!F80</f>
        <v>121481480.73199384</v>
      </c>
      <c r="E80" s="21">
        <f>'Monthly Data'!BF80</f>
        <v>1.87083333333333</v>
      </c>
      <c r="F80" s="21">
        <f>'Monthly Data'!BK80</f>
        <v>203.20000000000002</v>
      </c>
      <c r="G80" s="11">
        <f>'Monthly Data'!G80</f>
        <v>151829</v>
      </c>
      <c r="H80">
        <f>'Monthly Data'!CC80</f>
        <v>0</v>
      </c>
      <c r="I80" s="21">
        <f>'Monthly Data'!CS80</f>
        <v>31</v>
      </c>
      <c r="J80" s="21">
        <f>'Monthly Data'!CK80</f>
        <v>1</v>
      </c>
      <c r="K80" s="21">
        <f>'Monthly Data'!DB80</f>
        <v>0</v>
      </c>
      <c r="L80" s="21">
        <f>'Monthly Data'!DG80</f>
        <v>0</v>
      </c>
      <c r="N80" s="11">
        <f>'Res Predicted Monthly'!$AB$9</f>
        <v>-154534728.74811399</v>
      </c>
      <c r="O80" s="11">
        <f>E80*'Res Predicted Monthly'!$AB$10</f>
        <v>114851.5854728462</v>
      </c>
      <c r="P80" s="11">
        <f>F80*'Res Predicted Monthly'!$AB$11</f>
        <v>57719567.483914822</v>
      </c>
      <c r="Q80" s="11">
        <f>G80*'Res Predicted Monthly'!$AB$12</f>
        <v>149850381.08050218</v>
      </c>
      <c r="R80" s="11">
        <f>H80*'Res Predicted Monthly'!$AB$13</f>
        <v>0</v>
      </c>
      <c r="S80" s="11">
        <f>I80*'Res Predicted Monthly'!$AB$14</f>
        <v>70054115.695287749</v>
      </c>
      <c r="T80" s="11">
        <f t="shared" si="15"/>
        <v>-2784507.8509929599</v>
      </c>
      <c r="U80" s="11">
        <f t="shared" si="16"/>
        <v>0</v>
      </c>
      <c r="V80" s="11">
        <f t="shared" si="17"/>
        <v>0</v>
      </c>
      <c r="W80" s="11">
        <f t="shared" si="18"/>
        <v>120419679.24607065</v>
      </c>
      <c r="X80" s="11">
        <f t="shared" si="11"/>
        <v>-1061801.4859231859</v>
      </c>
      <c r="Y80" s="23">
        <f t="shared" si="12"/>
        <v>8.7404391148777436E-3</v>
      </c>
      <c r="AB80" s="11"/>
      <c r="AC80" s="22"/>
      <c r="AE80" s="11"/>
      <c r="AF80" s="11"/>
      <c r="AG80" s="57"/>
    </row>
    <row r="81" spans="1:33" x14ac:dyDescent="0.2">
      <c r="A81" s="8">
        <f>'Monthly Data'!A81</f>
        <v>45139</v>
      </c>
      <c r="B81">
        <f t="shared" si="13"/>
        <v>2023</v>
      </c>
      <c r="C81">
        <f t="shared" si="14"/>
        <v>8</v>
      </c>
      <c r="D81" s="19">
        <f>'Monthly Data'!F81</f>
        <v>106591355.68128458</v>
      </c>
      <c r="E81" s="21">
        <f>'Monthly Data'!BF81</f>
        <v>19.533333333333324</v>
      </c>
      <c r="F81" s="21">
        <f>'Monthly Data'!BK81</f>
        <v>144.09583333333336</v>
      </c>
      <c r="G81" s="11">
        <f>'Monthly Data'!G81</f>
        <v>151891</v>
      </c>
      <c r="H81">
        <f>'Monthly Data'!CC81</f>
        <v>0</v>
      </c>
      <c r="I81" s="21">
        <f>'Monthly Data'!CS81</f>
        <v>31</v>
      </c>
      <c r="J81" s="21">
        <f>'Monthly Data'!CK81</f>
        <v>1</v>
      </c>
      <c r="K81" s="21">
        <f>'Monthly Data'!DB81</f>
        <v>0</v>
      </c>
      <c r="L81" s="21">
        <f>'Monthly Data'!DG81</f>
        <v>0</v>
      </c>
      <c r="N81" s="11">
        <f>'Res Predicted Monthly'!$AB$9</f>
        <v>-154534728.74811399</v>
      </c>
      <c r="O81" s="11">
        <f>E81*'Res Predicted Monthly'!$AB$10</f>
        <v>1199163.1017743957</v>
      </c>
      <c r="P81" s="11">
        <f>F81*'Res Predicted Monthly'!$AB$11</f>
        <v>40930852.245247431</v>
      </c>
      <c r="Q81" s="11">
        <f>G81*'Res Predicted Monthly'!$AB$12</f>
        <v>149911573.10328433</v>
      </c>
      <c r="R81" s="11">
        <f>H81*'Res Predicted Monthly'!$AB$13</f>
        <v>0</v>
      </c>
      <c r="S81" s="11">
        <f>I81*'Res Predicted Monthly'!$AB$14</f>
        <v>70054115.695287749</v>
      </c>
      <c r="T81" s="11">
        <f t="shared" si="15"/>
        <v>-2784507.8509929599</v>
      </c>
      <c r="U81" s="11">
        <f t="shared" si="16"/>
        <v>0</v>
      </c>
      <c r="V81" s="11">
        <f t="shared" si="17"/>
        <v>0</v>
      </c>
      <c r="W81" s="11">
        <f t="shared" si="18"/>
        <v>104776467.54648694</v>
      </c>
      <c r="X81" s="11">
        <f t="shared" si="11"/>
        <v>-1814888.1347976327</v>
      </c>
      <c r="Y81" s="23">
        <f t="shared" si="12"/>
        <v>1.702659773109812E-2</v>
      </c>
      <c r="AB81" s="11"/>
      <c r="AC81" s="22"/>
      <c r="AE81" s="11"/>
      <c r="AF81" s="11"/>
      <c r="AG81" s="57"/>
    </row>
    <row r="82" spans="1:33" x14ac:dyDescent="0.2">
      <c r="A82" s="8">
        <f>'Monthly Data'!A82</f>
        <v>45170</v>
      </c>
      <c r="B82">
        <f t="shared" si="13"/>
        <v>2023</v>
      </c>
      <c r="C82">
        <f t="shared" si="14"/>
        <v>9</v>
      </c>
      <c r="D82" s="19">
        <f>'Monthly Data'!F82</f>
        <v>94551964.486079708</v>
      </c>
      <c r="E82" s="21">
        <f>'Monthly Data'!BF82</f>
        <v>59.375</v>
      </c>
      <c r="F82" s="21">
        <f>'Monthly Data'!BK82</f>
        <v>90.90416666666664</v>
      </c>
      <c r="G82" s="11">
        <f>'Monthly Data'!G82</f>
        <v>151956</v>
      </c>
      <c r="H82">
        <f>'Monthly Data'!CC82</f>
        <v>0</v>
      </c>
      <c r="I82" s="21">
        <f>'Monthly Data'!CS82</f>
        <v>30</v>
      </c>
      <c r="J82" s="21">
        <f>'Monthly Data'!CK82</f>
        <v>0</v>
      </c>
      <c r="K82" s="21">
        <f>'Monthly Data'!DB82</f>
        <v>0</v>
      </c>
      <c r="L82" s="21">
        <f>'Monthly Data'!DG82</f>
        <v>0</v>
      </c>
      <c r="N82" s="11">
        <f>'Res Predicted Monthly'!$AB$9</f>
        <v>-154534728.74811399</v>
      </c>
      <c r="O82" s="11">
        <f>E82*'Res Predicted Monthly'!$AB$10</f>
        <v>3645067.0222451254</v>
      </c>
      <c r="P82" s="11">
        <f>F82*'Res Predicted Monthly'!$AB$11</f>
        <v>25821600.30750839</v>
      </c>
      <c r="Q82" s="11">
        <f>G82*'Res Predicted Monthly'!$AB$12</f>
        <v>149975726.03039467</v>
      </c>
      <c r="R82" s="11">
        <f>H82*'Res Predicted Monthly'!$AB$13</f>
        <v>0</v>
      </c>
      <c r="S82" s="11">
        <f>I82*'Res Predicted Monthly'!$AB$14</f>
        <v>67794305.5115688</v>
      </c>
      <c r="T82" s="11">
        <f t="shared" si="15"/>
        <v>0</v>
      </c>
      <c r="U82" s="11">
        <f t="shared" si="16"/>
        <v>0</v>
      </c>
      <c r="V82" s="11">
        <f t="shared" si="17"/>
        <v>0</v>
      </c>
      <c r="W82" s="11">
        <f t="shared" si="18"/>
        <v>92701970.123603016</v>
      </c>
      <c r="X82" s="11">
        <f t="shared" si="11"/>
        <v>-1849994.3624766916</v>
      </c>
      <c r="Y82" s="23">
        <f t="shared" si="12"/>
        <v>1.956590085179092E-2</v>
      </c>
      <c r="AC82" s="22"/>
      <c r="AE82" s="11"/>
      <c r="AF82" s="11"/>
      <c r="AG82" s="57"/>
    </row>
    <row r="83" spans="1:33" x14ac:dyDescent="0.2">
      <c r="A83" s="8">
        <f>'Monthly Data'!A83</f>
        <v>45200</v>
      </c>
      <c r="B83">
        <f t="shared" si="13"/>
        <v>2023</v>
      </c>
      <c r="C83">
        <f t="shared" si="14"/>
        <v>10</v>
      </c>
      <c r="D83" s="19">
        <f>'Monthly Data'!F83</f>
        <v>87394678.400082737</v>
      </c>
      <c r="E83" s="21">
        <f>'Monthly Data'!BF83</f>
        <v>219.74166666666665</v>
      </c>
      <c r="F83" s="21">
        <f>'Monthly Data'!BK83</f>
        <v>37.479166666666657</v>
      </c>
      <c r="G83" s="11">
        <f>'Monthly Data'!G83</f>
        <v>152084</v>
      </c>
      <c r="H83">
        <f>'Monthly Data'!CC83</f>
        <v>0</v>
      </c>
      <c r="I83" s="21">
        <f>'Monthly Data'!CS83</f>
        <v>31</v>
      </c>
      <c r="J83" s="21">
        <f>'Monthly Data'!CK83</f>
        <v>0</v>
      </c>
      <c r="K83" s="21">
        <f>'Monthly Data'!DB83</f>
        <v>0</v>
      </c>
      <c r="L83" s="21">
        <f>'Monthly Data'!DG83</f>
        <v>0</v>
      </c>
      <c r="N83" s="11">
        <f>'Res Predicted Monthly'!$AB$9</f>
        <v>-154534728.74811399</v>
      </c>
      <c r="O83" s="11">
        <f>E83*'Res Predicted Monthly'!$AB$10</f>
        <v>13490073.306607958</v>
      </c>
      <c r="P83" s="11">
        <f>F83*'Res Predicted Monthly'!$AB$11</f>
        <v>10646069.33886593</v>
      </c>
      <c r="Q83" s="11">
        <f>G83*'Res Predicted Monthly'!$AB$12</f>
        <v>150102057.94839653</v>
      </c>
      <c r="R83" s="11">
        <f>H83*'Res Predicted Monthly'!$AB$13</f>
        <v>0</v>
      </c>
      <c r="S83" s="11">
        <f>I83*'Res Predicted Monthly'!$AB$14</f>
        <v>70054115.695287749</v>
      </c>
      <c r="T83" s="11">
        <f t="shared" si="15"/>
        <v>0</v>
      </c>
      <c r="U83" s="11">
        <f t="shared" si="16"/>
        <v>0</v>
      </c>
      <c r="V83" s="11">
        <f t="shared" si="17"/>
        <v>0</v>
      </c>
      <c r="W83" s="11">
        <f t="shared" si="18"/>
        <v>89757587.541044191</v>
      </c>
      <c r="X83" s="11">
        <f t="shared" si="11"/>
        <v>2362909.1409614533</v>
      </c>
      <c r="Y83" s="23">
        <f t="shared" si="12"/>
        <v>2.7037219933968158E-2</v>
      </c>
      <c r="AC83" s="22"/>
      <c r="AE83" s="11"/>
      <c r="AF83" s="11"/>
      <c r="AG83" s="57"/>
    </row>
    <row r="84" spans="1:33" x14ac:dyDescent="0.2">
      <c r="A84" s="8">
        <f>'Monthly Data'!A84</f>
        <v>45231</v>
      </c>
      <c r="B84">
        <f t="shared" si="13"/>
        <v>2023</v>
      </c>
      <c r="C84">
        <f t="shared" si="14"/>
        <v>11</v>
      </c>
      <c r="D84" s="19">
        <f>'Monthly Data'!F84</f>
        <v>90724734.418044969</v>
      </c>
      <c r="E84" s="21">
        <f>'Monthly Data'!BF84</f>
        <v>443.11666666666662</v>
      </c>
      <c r="F84" s="21">
        <f>'Monthly Data'!BK84</f>
        <v>0</v>
      </c>
      <c r="G84" s="11">
        <f>'Monthly Data'!G84</f>
        <v>152199</v>
      </c>
      <c r="H84">
        <f>'Monthly Data'!CC84</f>
        <v>0</v>
      </c>
      <c r="I84" s="21">
        <f>'Monthly Data'!CS84</f>
        <v>30</v>
      </c>
      <c r="J84" s="21">
        <f>'Monthly Data'!CK84</f>
        <v>0</v>
      </c>
      <c r="K84" s="21">
        <f>'Monthly Data'!DB84</f>
        <v>0</v>
      </c>
      <c r="L84" s="21">
        <f>'Monthly Data'!DG84</f>
        <v>0</v>
      </c>
      <c r="N84" s="11">
        <f>'Res Predicted Monthly'!$AB$9</f>
        <v>-154534728.74811399</v>
      </c>
      <c r="O84" s="11">
        <f>E84*'Res Predicted Monthly'!$AB$10</f>
        <v>27203199.135559618</v>
      </c>
      <c r="P84" s="11">
        <f>F84*'Res Predicted Monthly'!$AB$11</f>
        <v>0</v>
      </c>
      <c r="Q84" s="11">
        <f>G84*'Res Predicted Monthly'!$AB$12</f>
        <v>150215559.28097633</v>
      </c>
      <c r="R84" s="11">
        <f>H84*'Res Predicted Monthly'!$AB$13</f>
        <v>0</v>
      </c>
      <c r="S84" s="11">
        <f>I84*'Res Predicted Monthly'!$AB$14</f>
        <v>67794305.5115688</v>
      </c>
      <c r="T84" s="11">
        <f t="shared" si="15"/>
        <v>0</v>
      </c>
      <c r="U84" s="11">
        <f t="shared" si="16"/>
        <v>0</v>
      </c>
      <c r="V84" s="11">
        <f t="shared" si="17"/>
        <v>0</v>
      </c>
      <c r="W84" s="11">
        <f t="shared" si="18"/>
        <v>90678335.179990754</v>
      </c>
      <c r="X84" s="11">
        <f t="shared" si="11"/>
        <v>-46399.238054215908</v>
      </c>
      <c r="Y84" s="23">
        <f t="shared" si="12"/>
        <v>5.1142875591584193E-4</v>
      </c>
      <c r="AC84" s="22"/>
      <c r="AE84" s="11"/>
      <c r="AF84" s="11"/>
      <c r="AG84" s="57"/>
    </row>
    <row r="85" spans="1:33" x14ac:dyDescent="0.2">
      <c r="A85" s="8">
        <f>'Monthly Data'!A85</f>
        <v>45261</v>
      </c>
      <c r="B85">
        <f t="shared" si="13"/>
        <v>2023</v>
      </c>
      <c r="C85">
        <f t="shared" si="14"/>
        <v>12</v>
      </c>
      <c r="D85" s="19">
        <f>'Monthly Data'!F85</f>
        <v>100027267.37958151</v>
      </c>
      <c r="E85" s="21">
        <f>'Monthly Data'!BF85</f>
        <v>480.10416666666674</v>
      </c>
      <c r="F85" s="21">
        <f>'Monthly Data'!BK85</f>
        <v>0</v>
      </c>
      <c r="G85" s="11">
        <f>'Monthly Data'!G85</f>
        <v>152344</v>
      </c>
      <c r="H85">
        <f>'Monthly Data'!CC85</f>
        <v>1</v>
      </c>
      <c r="I85" s="21">
        <f>'Monthly Data'!CS85</f>
        <v>31</v>
      </c>
      <c r="J85" s="21">
        <f>'Monthly Data'!CK85</f>
        <v>0</v>
      </c>
      <c r="K85" s="21">
        <f>'Monthly Data'!DB85</f>
        <v>0</v>
      </c>
      <c r="L85" s="21">
        <f>'Monthly Data'!DG85</f>
        <v>0</v>
      </c>
      <c r="N85" s="11">
        <f>'Res Predicted Monthly'!$AB$9</f>
        <v>-154534728.74811399</v>
      </c>
      <c r="O85" s="11">
        <f>E85*'Res Predicted Monthly'!$AB$10</f>
        <v>29473884.044785589</v>
      </c>
      <c r="P85" s="11">
        <f>F85*'Res Predicted Monthly'!$AB$11</f>
        <v>0</v>
      </c>
      <c r="Q85" s="11">
        <f>G85*'Res Predicted Monthly'!$AB$12</f>
        <v>150358669.65683779</v>
      </c>
      <c r="R85" s="11">
        <f>H85*'Res Predicted Monthly'!$AB$13</f>
        <v>3702152.17603915</v>
      </c>
      <c r="S85" s="11">
        <f>I85*'Res Predicted Monthly'!$AB$14</f>
        <v>70054115.695287749</v>
      </c>
      <c r="T85" s="11">
        <f t="shared" si="15"/>
        <v>0</v>
      </c>
      <c r="U85" s="11">
        <f t="shared" si="16"/>
        <v>0</v>
      </c>
      <c r="V85" s="11">
        <f t="shared" si="17"/>
        <v>0</v>
      </c>
      <c r="W85" s="11">
        <f t="shared" si="18"/>
        <v>99054092.824836284</v>
      </c>
      <c r="X85" s="11">
        <f t="shared" si="11"/>
        <v>-973174.5547452271</v>
      </c>
      <c r="Y85" s="23">
        <f t="shared" si="12"/>
        <v>9.7290926788217002E-3</v>
      </c>
      <c r="AC85" s="22"/>
      <c r="AE85" s="11"/>
      <c r="AF85" s="11"/>
      <c r="AG85" s="57"/>
    </row>
    <row r="86" spans="1:33" x14ac:dyDescent="0.2">
      <c r="A86" s="8">
        <f>'Monthly Data'!A86</f>
        <v>45292</v>
      </c>
      <c r="B86">
        <f t="shared" si="13"/>
        <v>2024</v>
      </c>
      <c r="C86">
        <f t="shared" si="14"/>
        <v>1</v>
      </c>
      <c r="D86" s="19">
        <f>'Monthly Data'!F86</f>
        <v>107987271.15008742</v>
      </c>
      <c r="E86" s="21">
        <f>'Monthly Data'!BF86</f>
        <v>654.65208333333351</v>
      </c>
      <c r="F86" s="21">
        <f>'Monthly Data'!BK86</f>
        <v>0</v>
      </c>
      <c r="G86" s="11">
        <f>'Monthly Data'!G86</f>
        <v>152450</v>
      </c>
      <c r="H86">
        <f>'Monthly Data'!CC86</f>
        <v>0</v>
      </c>
      <c r="I86" s="21">
        <f>'Monthly Data'!CS86</f>
        <v>31</v>
      </c>
      <c r="J86" s="21">
        <f>'Monthly Data'!CK86</f>
        <v>0</v>
      </c>
      <c r="K86" s="21">
        <f>'Monthly Data'!DB86</f>
        <v>0</v>
      </c>
      <c r="L86" s="21">
        <f>'Monthly Data'!DG86</f>
        <v>0</v>
      </c>
      <c r="N86" s="11">
        <f>'Res Predicted Monthly'!$AB$9</f>
        <v>-154534728.74811399</v>
      </c>
      <c r="O86" s="11">
        <f>E86*'Res Predicted Monthly'!$AB$10</f>
        <v>40189485.810566761</v>
      </c>
      <c r="P86" s="11">
        <f>F86*'Res Predicted Monthly'!$AB$11</f>
        <v>0</v>
      </c>
      <c r="Q86" s="11">
        <f>G86*'Res Predicted Monthly'!$AB$12</f>
        <v>150463288.27643308</v>
      </c>
      <c r="R86" s="11">
        <f>H86*'Res Predicted Monthly'!$AB$13</f>
        <v>0</v>
      </c>
      <c r="S86" s="11">
        <f>I86*'Res Predicted Monthly'!$AB$14</f>
        <v>70054115.695287749</v>
      </c>
      <c r="T86" s="11">
        <f t="shared" si="15"/>
        <v>0</v>
      </c>
      <c r="U86" s="11">
        <f t="shared" si="16"/>
        <v>0</v>
      </c>
      <c r="V86" s="11">
        <f t="shared" si="17"/>
        <v>0</v>
      </c>
      <c r="W86" s="11">
        <f t="shared" si="18"/>
        <v>106172161.03417359</v>
      </c>
      <c r="X86" s="11">
        <f t="shared" ref="X86:X97" si="19">W86-D86</f>
        <v>-1815110.1159138232</v>
      </c>
      <c r="Y86" s="23">
        <f t="shared" ref="Y86:Y97" si="20">ABS(X86/D86)</f>
        <v>1.6808556199101193E-2</v>
      </c>
      <c r="AC86" s="22"/>
      <c r="AE86" s="11"/>
      <c r="AF86" s="11"/>
      <c r="AG86" s="57"/>
    </row>
    <row r="87" spans="1:33" x14ac:dyDescent="0.2">
      <c r="A87" s="8">
        <f>'Monthly Data'!A87</f>
        <v>45323</v>
      </c>
      <c r="B87">
        <f t="shared" si="13"/>
        <v>2024</v>
      </c>
      <c r="C87">
        <f t="shared" si="14"/>
        <v>2</v>
      </c>
      <c r="D87" s="19">
        <f>'Monthly Data'!F87</f>
        <v>93237063.884746984</v>
      </c>
      <c r="E87" s="21">
        <f>'Monthly Data'!BF87</f>
        <v>523.16041666666661</v>
      </c>
      <c r="F87" s="21">
        <f>'Monthly Data'!BK87</f>
        <v>0</v>
      </c>
      <c r="G87" s="11">
        <f>'Monthly Data'!G87</f>
        <v>152507</v>
      </c>
      <c r="H87">
        <f>'Monthly Data'!CC87</f>
        <v>0</v>
      </c>
      <c r="I87" s="21">
        <f>'Monthly Data'!CS87</f>
        <v>29</v>
      </c>
      <c r="J87" s="21">
        <f>'Monthly Data'!CK87</f>
        <v>0</v>
      </c>
      <c r="K87" s="21">
        <f>'Monthly Data'!DB87</f>
        <v>0</v>
      </c>
      <c r="L87" s="21">
        <f>'Monthly Data'!DG87</f>
        <v>0</v>
      </c>
      <c r="N87" s="11">
        <f>'Res Predicted Monthly'!$AB$9</f>
        <v>-154534728.74811399</v>
      </c>
      <c r="O87" s="11">
        <f>E87*'Res Predicted Monthly'!$AB$10</f>
        <v>32117133.172811545</v>
      </c>
      <c r="P87" s="11">
        <f>F87*'Res Predicted Monthly'!$AB$11</f>
        <v>0</v>
      </c>
      <c r="Q87" s="11">
        <f>G87*'Res Predicted Monthly'!$AB$12</f>
        <v>150519545.45866829</v>
      </c>
      <c r="R87" s="11">
        <f>H87*'Res Predicted Monthly'!$AB$13</f>
        <v>0</v>
      </c>
      <c r="S87" s="11">
        <f>I87*'Res Predicted Monthly'!$AB$14</f>
        <v>65534495.327849835</v>
      </c>
      <c r="T87" s="11">
        <f t="shared" si="15"/>
        <v>0</v>
      </c>
      <c r="U87" s="11">
        <f t="shared" si="16"/>
        <v>0</v>
      </c>
      <c r="V87" s="11">
        <f t="shared" si="17"/>
        <v>0</v>
      </c>
      <c r="W87" s="11">
        <f t="shared" si="18"/>
        <v>93636445.211215675</v>
      </c>
      <c r="X87" s="11">
        <f t="shared" si="19"/>
        <v>399381.32646869123</v>
      </c>
      <c r="Y87" s="23">
        <f t="shared" si="20"/>
        <v>4.2835038967162023E-3</v>
      </c>
      <c r="AC87" s="22"/>
      <c r="AE87" s="11"/>
      <c r="AF87" s="11"/>
      <c r="AG87" s="57"/>
    </row>
    <row r="88" spans="1:33" x14ac:dyDescent="0.2">
      <c r="A88" s="8">
        <f>'Monthly Data'!A88</f>
        <v>45352</v>
      </c>
      <c r="B88">
        <f t="shared" si="13"/>
        <v>2024</v>
      </c>
      <c r="C88">
        <f t="shared" si="14"/>
        <v>3</v>
      </c>
      <c r="D88" s="19">
        <f>'Monthly Data'!F88</f>
        <v>94045575.889152646</v>
      </c>
      <c r="E88" s="21">
        <f>'Monthly Data'!BF88</f>
        <v>456.44375000000002</v>
      </c>
      <c r="F88" s="21">
        <f>'Monthly Data'!BK88</f>
        <v>0</v>
      </c>
      <c r="G88" s="11">
        <f>'Monthly Data'!G88</f>
        <v>152573</v>
      </c>
      <c r="H88">
        <f>'Monthly Data'!CC88</f>
        <v>0</v>
      </c>
      <c r="I88" s="21">
        <f>'Monthly Data'!CS88</f>
        <v>31</v>
      </c>
      <c r="J88" s="21">
        <f>'Monthly Data'!CK88</f>
        <v>0</v>
      </c>
      <c r="K88" s="21">
        <f>'Monthly Data'!DB88</f>
        <v>0</v>
      </c>
      <c r="L88" s="21">
        <f>'Monthly Data'!DG88</f>
        <v>0</v>
      </c>
      <c r="N88" s="11">
        <f>'Res Predicted Monthly'!$AB$9</f>
        <v>-154534728.74811399</v>
      </c>
      <c r="O88" s="11">
        <f>E88*'Res Predicted Monthly'!$AB$10</f>
        <v>28021356.810693026</v>
      </c>
      <c r="P88" s="11">
        <f>F88*'Res Predicted Monthly'!$AB$11</f>
        <v>0</v>
      </c>
      <c r="Q88" s="11">
        <f>G88*'Res Predicted Monthly'!$AB$12</f>
        <v>150584685.35388801</v>
      </c>
      <c r="R88" s="11">
        <f>H88*'Res Predicted Monthly'!$AB$13</f>
        <v>0</v>
      </c>
      <c r="S88" s="11">
        <f>I88*'Res Predicted Monthly'!$AB$14</f>
        <v>70054115.695287749</v>
      </c>
      <c r="T88" s="11">
        <f t="shared" si="15"/>
        <v>0</v>
      </c>
      <c r="U88" s="11">
        <f t="shared" si="16"/>
        <v>0</v>
      </c>
      <c r="V88" s="11">
        <f t="shared" si="17"/>
        <v>0</v>
      </c>
      <c r="W88" s="11">
        <f t="shared" si="18"/>
        <v>94125429.11175479</v>
      </c>
      <c r="X88" s="11">
        <f t="shared" si="19"/>
        <v>79853.222602143884</v>
      </c>
      <c r="Y88" s="23">
        <f t="shared" si="20"/>
        <v>8.4909068658650503E-4</v>
      </c>
    </row>
    <row r="89" spans="1:33" x14ac:dyDescent="0.2">
      <c r="A89" s="8">
        <f>'Monthly Data'!A89</f>
        <v>45383</v>
      </c>
      <c r="B89">
        <f t="shared" si="13"/>
        <v>2024</v>
      </c>
      <c r="C89">
        <f t="shared" si="14"/>
        <v>4</v>
      </c>
      <c r="D89" s="19">
        <f>'Monthly Data'!F89</f>
        <v>82535428.2478275</v>
      </c>
      <c r="E89" s="21">
        <f>'Monthly Data'!BF89</f>
        <v>269.75833333333333</v>
      </c>
      <c r="F89" s="21">
        <f>'Monthly Data'!BK89</f>
        <v>8.4166666666666679</v>
      </c>
      <c r="G89" s="11">
        <f>'Monthly Data'!G89</f>
        <v>152751</v>
      </c>
      <c r="H89">
        <f>'Monthly Data'!CC89</f>
        <v>0</v>
      </c>
      <c r="I89" s="21">
        <f>'Monthly Data'!CS89</f>
        <v>30</v>
      </c>
      <c r="J89" s="21">
        <f>'Monthly Data'!CK89</f>
        <v>0</v>
      </c>
      <c r="K89" s="21">
        <f>'Monthly Data'!DB89</f>
        <v>0</v>
      </c>
      <c r="L89" s="21">
        <f>'Monthly Data'!DG89</f>
        <v>0</v>
      </c>
      <c r="N89" s="11">
        <f>'Res Predicted Monthly'!$AB$9</f>
        <v>-154534728.74811399</v>
      </c>
      <c r="O89" s="11">
        <f>E89*'Res Predicted Monthly'!$AB$10</f>
        <v>16560626.607311852</v>
      </c>
      <c r="P89" s="11">
        <f>F89*'Res Predicted Monthly'!$AB$11</f>
        <v>2390779.3290171414</v>
      </c>
      <c r="Q89" s="11">
        <f>G89*'Res Predicted Monthly'!$AB$12</f>
        <v>150760365.67735934</v>
      </c>
      <c r="R89" s="11">
        <f>H89*'Res Predicted Monthly'!$AB$13</f>
        <v>0</v>
      </c>
      <c r="S89" s="11">
        <f>I89*'Res Predicted Monthly'!$AB$14</f>
        <v>67794305.5115688</v>
      </c>
      <c r="T89" s="11">
        <f t="shared" si="15"/>
        <v>0</v>
      </c>
      <c r="U89" s="11">
        <f t="shared" si="16"/>
        <v>0</v>
      </c>
      <c r="V89" s="11">
        <f t="shared" si="17"/>
        <v>0</v>
      </c>
      <c r="W89" s="11">
        <f t="shared" si="18"/>
        <v>82971348.37714313</v>
      </c>
      <c r="X89" s="11">
        <f t="shared" si="19"/>
        <v>435920.1293156296</v>
      </c>
      <c r="Y89" s="23">
        <f t="shared" si="20"/>
        <v>5.2816122551239556E-3</v>
      </c>
      <c r="AG89" s="49"/>
    </row>
    <row r="90" spans="1:33" x14ac:dyDescent="0.2">
      <c r="A90" s="8">
        <f>'Monthly Data'!A90</f>
        <v>45413</v>
      </c>
      <c r="B90">
        <f t="shared" si="13"/>
        <v>2024</v>
      </c>
      <c r="C90">
        <f t="shared" si="14"/>
        <v>5</v>
      </c>
      <c r="D90" s="19">
        <f>'Monthly Data'!F90</f>
        <v>90145540.473728657</v>
      </c>
      <c r="E90" s="21">
        <f>'Monthly Data'!BF90</f>
        <v>79.26666666666668</v>
      </c>
      <c r="F90" s="21">
        <f>'Monthly Data'!BK90</f>
        <v>73.216666666666654</v>
      </c>
      <c r="G90" s="11">
        <f>'Monthly Data'!G90</f>
        <v>152743</v>
      </c>
      <c r="H90">
        <f>'Monthly Data'!CC90</f>
        <v>0</v>
      </c>
      <c r="I90" s="21">
        <f>'Monthly Data'!CS90</f>
        <v>31</v>
      </c>
      <c r="J90" s="21">
        <f>'Monthly Data'!CK90</f>
        <v>1</v>
      </c>
      <c r="K90" s="21">
        <f>'Monthly Data'!DB90</f>
        <v>0</v>
      </c>
      <c r="L90" s="21">
        <f>'Monthly Data'!DG90</f>
        <v>0</v>
      </c>
      <c r="N90" s="11">
        <f>'Res Predicted Monthly'!$AB$9</f>
        <v>-154534728.74811399</v>
      </c>
      <c r="O90" s="11">
        <f>E90*'Res Predicted Monthly'!$AB$10</f>
        <v>4866228.4232414933</v>
      </c>
      <c r="P90" s="11">
        <f>F90*'Res Predicted Monthly'!$AB$11</f>
        <v>20797413.054202572</v>
      </c>
      <c r="Q90" s="11">
        <f>G90*'Res Predicted Monthly'!$AB$12</f>
        <v>150752469.93248421</v>
      </c>
      <c r="R90" s="11">
        <f>H90*'Res Predicted Monthly'!$AB$13</f>
        <v>0</v>
      </c>
      <c r="S90" s="11">
        <f>I90*'Res Predicted Monthly'!$AB$14</f>
        <v>70054115.695287749</v>
      </c>
      <c r="T90" s="11">
        <f t="shared" si="15"/>
        <v>-2784507.8509929599</v>
      </c>
      <c r="U90" s="11">
        <f t="shared" si="16"/>
        <v>0</v>
      </c>
      <c r="V90" s="11">
        <f t="shared" si="17"/>
        <v>0</v>
      </c>
      <c r="W90" s="11">
        <f t="shared" si="18"/>
        <v>89150990.506109074</v>
      </c>
      <c r="X90" s="11">
        <f t="shared" si="19"/>
        <v>-994549.96761958301</v>
      </c>
      <c r="Y90" s="23">
        <f t="shared" si="20"/>
        <v>1.1032714013284187E-2</v>
      </c>
    </row>
    <row r="91" spans="1:33" x14ac:dyDescent="0.2">
      <c r="A91" s="8">
        <f>'Monthly Data'!A91</f>
        <v>45444</v>
      </c>
      <c r="B91">
        <f t="shared" si="13"/>
        <v>2024</v>
      </c>
      <c r="C91">
        <f t="shared" si="14"/>
        <v>6</v>
      </c>
      <c r="D91" s="19">
        <f>'Monthly Data'!F91</f>
        <v>111435063.72212371</v>
      </c>
      <c r="E91" s="21">
        <f>'Monthly Data'!BF91</f>
        <v>27.666666666666664</v>
      </c>
      <c r="F91" s="21">
        <f>'Monthly Data'!BK91</f>
        <v>169.16458333333333</v>
      </c>
      <c r="G91" s="11">
        <f>'Monthly Data'!G91</f>
        <v>152735</v>
      </c>
      <c r="H91">
        <f>'Monthly Data'!CC91</f>
        <v>0</v>
      </c>
      <c r="I91" s="21">
        <f>'Monthly Data'!CS91</f>
        <v>30</v>
      </c>
      <c r="J91" s="21">
        <f>'Monthly Data'!CK91</f>
        <v>1</v>
      </c>
      <c r="K91" s="21">
        <f>'Monthly Data'!DB91</f>
        <v>0</v>
      </c>
      <c r="L91" s="21">
        <f>'Monthly Data'!DG91</f>
        <v>0</v>
      </c>
      <c r="N91" s="11">
        <f>'Res Predicted Monthly'!$AB$9</f>
        <v>-154534728.74811399</v>
      </c>
      <c r="O91" s="11">
        <f>E91*'Res Predicted Monthly'!$AB$10</f>
        <v>1698473.3352777285</v>
      </c>
      <c r="P91" s="11">
        <f>F91*'Res Predicted Monthly'!$AB$11</f>
        <v>48051705.627936341</v>
      </c>
      <c r="Q91" s="11">
        <f>G91*'Res Predicted Monthly'!$AB$12</f>
        <v>150744574.18760911</v>
      </c>
      <c r="R91" s="11">
        <f>H91*'Res Predicted Monthly'!$AB$13</f>
        <v>0</v>
      </c>
      <c r="S91" s="11">
        <f>I91*'Res Predicted Monthly'!$AB$14</f>
        <v>67794305.5115688</v>
      </c>
      <c r="T91" s="11">
        <f t="shared" si="15"/>
        <v>-2784507.8509929599</v>
      </c>
      <c r="U91" s="11">
        <f t="shared" si="16"/>
        <v>0</v>
      </c>
      <c r="V91" s="11">
        <f t="shared" si="17"/>
        <v>0</v>
      </c>
      <c r="W91" s="11">
        <f t="shared" si="18"/>
        <v>110969822.06328502</v>
      </c>
      <c r="X91" s="11">
        <f t="shared" si="19"/>
        <v>-465241.65883868933</v>
      </c>
      <c r="Y91" s="23">
        <f t="shared" si="20"/>
        <v>4.1750024031827499E-3</v>
      </c>
    </row>
    <row r="92" spans="1:33" x14ac:dyDescent="0.2">
      <c r="A92" s="8">
        <f>'Monthly Data'!A92</f>
        <v>45474</v>
      </c>
      <c r="B92">
        <f t="shared" si="13"/>
        <v>2024</v>
      </c>
      <c r="C92">
        <f t="shared" si="14"/>
        <v>7</v>
      </c>
      <c r="D92" s="19">
        <f>'Monthly Data'!F92</f>
        <v>130191861.16614237</v>
      </c>
      <c r="E92" s="21">
        <f>'Monthly Data'!BF92</f>
        <v>2.591666666666665</v>
      </c>
      <c r="F92" s="21">
        <f>'Monthly Data'!BK92</f>
        <v>221.45416666666657</v>
      </c>
      <c r="G92" s="11">
        <f>'Monthly Data'!G92</f>
        <v>152859</v>
      </c>
      <c r="H92">
        <f>'Monthly Data'!CC92</f>
        <v>0</v>
      </c>
      <c r="I92" s="21">
        <f>'Monthly Data'!CS92</f>
        <v>31</v>
      </c>
      <c r="J92" s="21">
        <f>'Monthly Data'!CK92</f>
        <v>1</v>
      </c>
      <c r="K92" s="21">
        <f>'Monthly Data'!DB92</f>
        <v>0</v>
      </c>
      <c r="L92" s="21">
        <f>'Monthly Data'!DG92</f>
        <v>0</v>
      </c>
      <c r="N92" s="11">
        <f>'Res Predicted Monthly'!$AB$9</f>
        <v>-154534728.74811399</v>
      </c>
      <c r="O92" s="11">
        <f>E92*'Res Predicted Monthly'!$AB$10</f>
        <v>159103.97809378713</v>
      </c>
      <c r="P92" s="11">
        <f>F92*'Res Predicted Monthly'!$AB$11</f>
        <v>62904718.097986124</v>
      </c>
      <c r="Q92" s="11">
        <f>G92*'Res Predicted Monthly'!$AB$12</f>
        <v>150866958.2331734</v>
      </c>
      <c r="R92" s="11">
        <f>H92*'Res Predicted Monthly'!$AB$13</f>
        <v>0</v>
      </c>
      <c r="S92" s="11">
        <f>I92*'Res Predicted Monthly'!$AB$14</f>
        <v>70054115.695287749</v>
      </c>
      <c r="T92" s="11">
        <f t="shared" si="15"/>
        <v>-2784507.8509929599</v>
      </c>
      <c r="U92" s="11">
        <f t="shared" si="16"/>
        <v>0</v>
      </c>
      <c r="V92" s="11">
        <f t="shared" si="17"/>
        <v>0</v>
      </c>
      <c r="W92" s="11">
        <f t="shared" si="18"/>
        <v>126665659.4054341</v>
      </c>
      <c r="X92" s="11">
        <f t="shared" si="19"/>
        <v>-3526201.7607082725</v>
      </c>
      <c r="Y92" s="23">
        <f t="shared" si="20"/>
        <v>2.7084655900328235E-2</v>
      </c>
    </row>
    <row r="93" spans="1:33" x14ac:dyDescent="0.2">
      <c r="A93" s="8">
        <f>'Monthly Data'!A93</f>
        <v>45505</v>
      </c>
      <c r="B93">
        <f t="shared" si="13"/>
        <v>2024</v>
      </c>
      <c r="C93">
        <f t="shared" si="14"/>
        <v>8</v>
      </c>
      <c r="D93" s="19">
        <f>'Monthly Data'!F93</f>
        <v>120170576.65742104</v>
      </c>
      <c r="E93" s="21">
        <f>'Monthly Data'!BF93</f>
        <v>14.333333333333332</v>
      </c>
      <c r="F93" s="21">
        <f>'Monthly Data'!BK93</f>
        <v>183.15208333333334</v>
      </c>
      <c r="G93" s="11">
        <f>'Monthly Data'!G93</f>
        <v>152895</v>
      </c>
      <c r="H93">
        <f>'Monthly Data'!CC93</f>
        <v>0</v>
      </c>
      <c r="I93" s="21">
        <f>'Monthly Data'!CS93</f>
        <v>31</v>
      </c>
      <c r="J93" s="21">
        <f>'Monthly Data'!CK93</f>
        <v>1</v>
      </c>
      <c r="K93" s="21">
        <f>'Monthly Data'!DB93</f>
        <v>0</v>
      </c>
      <c r="L93" s="21">
        <f>'Monthly Data'!DG93</f>
        <v>0</v>
      </c>
      <c r="N93" s="11">
        <f>'Res Predicted Monthly'!$AB$9</f>
        <v>-154534728.74811399</v>
      </c>
      <c r="O93" s="11">
        <f>E93*'Res Predicted Monthly'!$AB$10</f>
        <v>879931.9688788231</v>
      </c>
      <c r="P93" s="11">
        <f>F93*'Res Predicted Monthly'!$AB$11</f>
        <v>52024896.819773249</v>
      </c>
      <c r="Q93" s="11">
        <f>G93*'Res Predicted Monthly'!$AB$12</f>
        <v>150902489.08511144</v>
      </c>
      <c r="R93" s="11">
        <f>H93*'Res Predicted Monthly'!$AB$13</f>
        <v>0</v>
      </c>
      <c r="S93" s="11">
        <f>I93*'Res Predicted Monthly'!$AB$14</f>
        <v>70054115.695287749</v>
      </c>
      <c r="T93" s="11">
        <f t="shared" si="15"/>
        <v>-2784507.8509929599</v>
      </c>
      <c r="U93" s="11">
        <f t="shared" si="16"/>
        <v>0</v>
      </c>
      <c r="V93" s="11">
        <f t="shared" si="17"/>
        <v>0</v>
      </c>
      <c r="W93" s="11">
        <f t="shared" si="18"/>
        <v>116542196.96994433</v>
      </c>
      <c r="X93" s="11">
        <f t="shared" si="19"/>
        <v>-3628379.6874767095</v>
      </c>
      <c r="Y93" s="23">
        <f t="shared" si="20"/>
        <v>3.0193578065456025E-2</v>
      </c>
    </row>
    <row r="94" spans="1:33" x14ac:dyDescent="0.2">
      <c r="A94" s="8">
        <f>'Monthly Data'!A94</f>
        <v>45536</v>
      </c>
      <c r="B94">
        <f t="shared" si="13"/>
        <v>2024</v>
      </c>
      <c r="C94">
        <f t="shared" si="14"/>
        <v>9</v>
      </c>
      <c r="D94" s="19">
        <f>'Monthly Data'!F94</f>
        <v>100285392.95244572</v>
      </c>
      <c r="E94" s="21">
        <f>'Monthly Data'!BF94</f>
        <v>27.772916666666664</v>
      </c>
      <c r="F94" s="21">
        <f>'Monthly Data'!BK94</f>
        <v>120.08541666666667</v>
      </c>
      <c r="G94" s="11">
        <f>'Monthly Data'!G94</f>
        <v>153070</v>
      </c>
      <c r="H94">
        <f>'Monthly Data'!CC94</f>
        <v>0</v>
      </c>
      <c r="I94" s="21">
        <f>'Monthly Data'!CS94</f>
        <v>30</v>
      </c>
      <c r="J94" s="21">
        <f>'Monthly Data'!CK94</f>
        <v>0</v>
      </c>
      <c r="K94" s="21">
        <f>'Monthly Data'!DB94</f>
        <v>0</v>
      </c>
      <c r="L94" s="21">
        <f>'Monthly Data'!DG94</f>
        <v>0</v>
      </c>
      <c r="N94" s="11">
        <f>'Res Predicted Monthly'!$AB$9</f>
        <v>-154534728.74811399</v>
      </c>
      <c r="O94" s="11">
        <f>E94*'Res Predicted Monthly'!$AB$10</f>
        <v>1704996.0867912197</v>
      </c>
      <c r="P94" s="11">
        <f>F94*'Res Predicted Monthly'!$AB$11</f>
        <v>34110621.609870553</v>
      </c>
      <c r="Q94" s="11">
        <f>G94*'Res Predicted Monthly'!$AB$12</f>
        <v>151075208.50425458</v>
      </c>
      <c r="R94" s="11">
        <f>H94*'Res Predicted Monthly'!$AB$13</f>
        <v>0</v>
      </c>
      <c r="S94" s="11">
        <f>I94*'Res Predicted Monthly'!$AB$14</f>
        <v>67794305.5115688</v>
      </c>
      <c r="T94" s="11">
        <f t="shared" si="15"/>
        <v>0</v>
      </c>
      <c r="U94" s="11">
        <f t="shared" si="16"/>
        <v>0</v>
      </c>
      <c r="V94" s="11">
        <f t="shared" si="17"/>
        <v>0</v>
      </c>
      <c r="W94" s="11">
        <f t="shared" si="18"/>
        <v>100150402.96437116</v>
      </c>
      <c r="X94" s="11">
        <f t="shared" si="19"/>
        <v>-134989.98807455599</v>
      </c>
      <c r="Y94" s="23">
        <f t="shared" si="20"/>
        <v>1.3460583251497737E-3</v>
      </c>
    </row>
    <row r="95" spans="1:33" x14ac:dyDescent="0.2">
      <c r="A95" s="8">
        <f>'Monthly Data'!A95</f>
        <v>45566</v>
      </c>
      <c r="B95">
        <f t="shared" si="13"/>
        <v>2024</v>
      </c>
      <c r="C95">
        <f t="shared" si="14"/>
        <v>10</v>
      </c>
      <c r="D95" s="19">
        <f>'Monthly Data'!F95</f>
        <v>83692326.02029407</v>
      </c>
      <c r="E95" s="21">
        <f>'Monthly Data'!BF95</f>
        <v>215.50416666666672</v>
      </c>
      <c r="F95" s="21">
        <f>'Monthly Data'!BK95</f>
        <v>19.300000000000008</v>
      </c>
      <c r="G95" s="11">
        <f>'Monthly Data'!G95</f>
        <v>153181</v>
      </c>
      <c r="H95">
        <f>'Monthly Data'!CC95</f>
        <v>0</v>
      </c>
      <c r="I95" s="21">
        <f>'Monthly Data'!CS95</f>
        <v>31</v>
      </c>
      <c r="J95" s="21">
        <f>'Monthly Data'!CK95</f>
        <v>0</v>
      </c>
      <c r="K95" s="21">
        <f>'Monthly Data'!DB95</f>
        <v>0</v>
      </c>
      <c r="L95" s="21">
        <f>'Monthly Data'!DG95</f>
        <v>0</v>
      </c>
      <c r="N95" s="11">
        <f>'Res Predicted Monthly'!$AB$9</f>
        <v>-154534728.74811399</v>
      </c>
      <c r="O95" s="11">
        <f>E95*'Res Predicted Monthly'!$AB$10</f>
        <v>13229930.62859931</v>
      </c>
      <c r="P95" s="11">
        <f>F95*'Res Predicted Monthly'!$AB$11</f>
        <v>5482222.6990135657</v>
      </c>
      <c r="Q95" s="11">
        <f>G95*'Res Predicted Monthly'!$AB$12</f>
        <v>151184761.96439683</v>
      </c>
      <c r="R95" s="11">
        <f>H95*'Res Predicted Monthly'!$AB$13</f>
        <v>0</v>
      </c>
      <c r="S95" s="11">
        <f>I95*'Res Predicted Monthly'!$AB$14</f>
        <v>70054115.695287749</v>
      </c>
      <c r="T95" s="11">
        <f t="shared" si="15"/>
        <v>0</v>
      </c>
      <c r="U95" s="11">
        <f t="shared" si="16"/>
        <v>0</v>
      </c>
      <c r="V95" s="11">
        <f t="shared" si="17"/>
        <v>0</v>
      </c>
      <c r="W95" s="11">
        <f t="shared" si="18"/>
        <v>85416302.239183471</v>
      </c>
      <c r="X95" s="11">
        <f t="shared" si="19"/>
        <v>1723976.2188894004</v>
      </c>
      <c r="Y95" s="23">
        <f t="shared" si="20"/>
        <v>2.0598976045561969E-2</v>
      </c>
    </row>
    <row r="96" spans="1:33" x14ac:dyDescent="0.2">
      <c r="A96" s="8">
        <f>'Monthly Data'!A96</f>
        <v>45597</v>
      </c>
      <c r="B96">
        <f t="shared" si="13"/>
        <v>2024</v>
      </c>
      <c r="C96">
        <f t="shared" si="14"/>
        <v>11</v>
      </c>
      <c r="D96" s="19">
        <f>'Monthly Data'!F96</f>
        <v>88124968.455559433</v>
      </c>
      <c r="E96" s="21">
        <f>'Monthly Data'!BF96</f>
        <v>361.28958333333338</v>
      </c>
      <c r="F96" s="21">
        <f>'Monthly Data'!BK96</f>
        <v>7.3583333333333343</v>
      </c>
      <c r="G96" s="11">
        <f>'Monthly Data'!G96</f>
        <v>153239</v>
      </c>
      <c r="H96">
        <f>'Monthly Data'!CC96</f>
        <v>0</v>
      </c>
      <c r="I96" s="21">
        <f>'Monthly Data'!CS96</f>
        <v>30</v>
      </c>
      <c r="J96" s="21">
        <f>'Monthly Data'!CK96</f>
        <v>0</v>
      </c>
      <c r="K96" s="21">
        <f>'Monthly Data'!DB96</f>
        <v>0</v>
      </c>
      <c r="L96" s="21">
        <f>'Monthly Data'!DG96</f>
        <v>0</v>
      </c>
      <c r="N96" s="11">
        <f>'Res Predicted Monthly'!$AB$9</f>
        <v>-154534728.74811399</v>
      </c>
      <c r="O96" s="11">
        <f>E96*'Res Predicted Monthly'!$AB$10</f>
        <v>22179785.19055184</v>
      </c>
      <c r="P96" s="11">
        <f>F96*'Res Predicted Monthly'!$AB$11</f>
        <v>2090156.581705085</v>
      </c>
      <c r="Q96" s="11">
        <f>G96*'Res Predicted Monthly'!$AB$12</f>
        <v>151242006.11474141</v>
      </c>
      <c r="R96" s="11">
        <f>H96*'Res Predicted Monthly'!$AB$13</f>
        <v>0</v>
      </c>
      <c r="S96" s="11">
        <f>I96*'Res Predicted Monthly'!$AB$14</f>
        <v>67794305.5115688</v>
      </c>
      <c r="T96" s="11">
        <f t="shared" si="15"/>
        <v>0</v>
      </c>
      <c r="U96" s="11">
        <f t="shared" si="16"/>
        <v>0</v>
      </c>
      <c r="V96" s="11">
        <f t="shared" si="17"/>
        <v>0</v>
      </c>
      <c r="W96" s="11">
        <f t="shared" si="18"/>
        <v>88771524.65045315</v>
      </c>
      <c r="X96" s="11">
        <f t="shared" si="19"/>
        <v>646556.19489371777</v>
      </c>
      <c r="Y96" s="23">
        <f t="shared" si="20"/>
        <v>7.336810511538166E-3</v>
      </c>
    </row>
    <row r="97" spans="1:25" x14ac:dyDescent="0.2">
      <c r="A97" s="8">
        <f>'Monthly Data'!A97</f>
        <v>45627</v>
      </c>
      <c r="B97">
        <f t="shared" si="13"/>
        <v>2024</v>
      </c>
      <c r="C97">
        <f t="shared" si="14"/>
        <v>12</v>
      </c>
      <c r="D97" s="19">
        <f>'Monthly Data'!F97</f>
        <v>107392341.21479669</v>
      </c>
      <c r="E97" s="21">
        <f>'Monthly Data'!BF97</f>
        <v>601.23750000000007</v>
      </c>
      <c r="F97" s="21">
        <f>'Monthly Data'!BK97</f>
        <v>0</v>
      </c>
      <c r="G97" s="11">
        <f>'Monthly Data'!G97</f>
        <v>153271</v>
      </c>
      <c r="H97">
        <f>'Monthly Data'!CC97</f>
        <v>1</v>
      </c>
      <c r="I97" s="21">
        <f>'Monthly Data'!CS97</f>
        <v>31</v>
      </c>
      <c r="J97" s="21">
        <f>'Monthly Data'!CK97</f>
        <v>0</v>
      </c>
      <c r="K97" s="21">
        <f>'Monthly Data'!DB97</f>
        <v>0</v>
      </c>
      <c r="L97" s="21">
        <f>'Monthly Data'!DG97</f>
        <v>0</v>
      </c>
      <c r="N97" s="11">
        <f>'Res Predicted Monthly'!$AB$9</f>
        <v>-154534728.74811399</v>
      </c>
      <c r="O97" s="11">
        <f>E97*'Res Predicted Monthly'!$AB$10</f>
        <v>36910332.358519644</v>
      </c>
      <c r="P97" s="11">
        <f>F97*'Res Predicted Monthly'!$AB$11</f>
        <v>0</v>
      </c>
      <c r="Q97" s="11">
        <f>G97*'Res Predicted Monthly'!$AB$12</f>
        <v>151273589.09424189</v>
      </c>
      <c r="R97" s="11">
        <f>H97*'Res Predicted Monthly'!$AB$13</f>
        <v>3702152.17603915</v>
      </c>
      <c r="S97" s="11">
        <f>I97*'Res Predicted Monthly'!$AB$14</f>
        <v>70054115.695287749</v>
      </c>
      <c r="T97" s="11">
        <f t="shared" si="15"/>
        <v>0</v>
      </c>
      <c r="U97" s="11">
        <f t="shared" si="16"/>
        <v>0</v>
      </c>
      <c r="V97" s="11">
        <f t="shared" si="17"/>
        <v>0</v>
      </c>
      <c r="W97" s="11">
        <f t="shared" si="18"/>
        <v>107405460.57597443</v>
      </c>
      <c r="X97" s="11">
        <f t="shared" si="19"/>
        <v>13119.361177742481</v>
      </c>
      <c r="Y97" s="23">
        <f t="shared" si="20"/>
        <v>1.2216291245110573E-4</v>
      </c>
    </row>
    <row r="98" spans="1:25" x14ac:dyDescent="0.2">
      <c r="A98" s="8">
        <f>'Monthly Data'!A98</f>
        <v>45658</v>
      </c>
      <c r="B98">
        <f t="shared" ref="B98:B109" si="21">YEAR(A98)</f>
        <v>2025</v>
      </c>
      <c r="C98">
        <f t="shared" ref="C98:C109" si="22">MONTH(A98)</f>
        <v>1</v>
      </c>
      <c r="D98" s="19">
        <f>'Monthly Data'!F98</f>
        <v>113660418.88730848</v>
      </c>
      <c r="E98" s="21">
        <f>'Monthly Data'!BF98</f>
        <v>755.72708333333321</v>
      </c>
      <c r="F98" s="21">
        <f>'Monthly Data'!BK98</f>
        <v>0</v>
      </c>
      <c r="G98" s="11">
        <f>'Monthly Data'!G98</f>
        <v>153385</v>
      </c>
      <c r="H98">
        <f>'Monthly Data'!CC98</f>
        <v>0</v>
      </c>
      <c r="I98" s="21">
        <f>'Monthly Data'!CS98</f>
        <v>31</v>
      </c>
      <c r="J98" s="21">
        <f>'Monthly Data'!CK98</f>
        <v>0</v>
      </c>
      <c r="K98" s="21">
        <f>'Monthly Data'!DB98</f>
        <v>0</v>
      </c>
      <c r="L98" s="21">
        <f>'Monthly Data'!DG98</f>
        <v>0</v>
      </c>
      <c r="N98" s="11">
        <f>'Res Predicted Monthly'!$AB$9</f>
        <v>-154534728.74811399</v>
      </c>
      <c r="O98" s="11">
        <f>E98*'Res Predicted Monthly'!$AB$10</f>
        <v>46394540.956224449</v>
      </c>
      <c r="P98" s="11">
        <f>F98*'Res Predicted Monthly'!$AB$11</f>
        <v>0</v>
      </c>
      <c r="Q98" s="11">
        <f>G98*'Res Predicted Monthly'!$AB$12</f>
        <v>151386103.45871228</v>
      </c>
      <c r="R98" s="11">
        <f>H98*'Res Predicted Monthly'!$AB$13</f>
        <v>0</v>
      </c>
      <c r="S98" s="11">
        <f>I98*'Res Predicted Monthly'!$AB$14</f>
        <v>70054115.695287749</v>
      </c>
      <c r="T98" s="11">
        <f t="shared" ref="T98:T109" si="23">J98*$AB$15</f>
        <v>0</v>
      </c>
      <c r="U98" s="11">
        <f t="shared" ref="U98:U109" si="24">K98*$AB$16</f>
        <v>0</v>
      </c>
      <c r="V98" s="11">
        <f t="shared" ref="V98:V109" si="25">L98*$AB$17</f>
        <v>0</v>
      </c>
      <c r="W98" s="11">
        <f t="shared" ref="W98:W109" si="26">SUM(N98:V98)</f>
        <v>113300031.36211048</v>
      </c>
      <c r="X98" s="11">
        <f t="shared" ref="X98:X109" si="27">W98-D98</f>
        <v>-360387.52519799769</v>
      </c>
      <c r="Y98" s="23">
        <f t="shared" ref="Y98:Y109" si="28">ABS(X98/D98)</f>
        <v>3.1707390200216763E-3</v>
      </c>
    </row>
    <row r="99" spans="1:25" x14ac:dyDescent="0.2">
      <c r="A99" s="8">
        <f>'Monthly Data'!A99</f>
        <v>45689</v>
      </c>
      <c r="B99">
        <f t="shared" si="21"/>
        <v>2025</v>
      </c>
      <c r="C99">
        <f t="shared" si="22"/>
        <v>2</v>
      </c>
      <c r="D99" s="19">
        <f>'Monthly Data'!F99</f>
        <v>99387988.37269628</v>
      </c>
      <c r="E99" s="21">
        <f>'Monthly Data'!BF99</f>
        <v>659.18750000000011</v>
      </c>
      <c r="F99" s="21">
        <f>'Monthly Data'!BK99</f>
        <v>0</v>
      </c>
      <c r="G99" s="11">
        <f>'Monthly Data'!G99</f>
        <v>153441</v>
      </c>
      <c r="H99">
        <f>'Monthly Data'!CC99</f>
        <v>0</v>
      </c>
      <c r="I99" s="21">
        <f>'Monthly Data'!CS99</f>
        <v>28</v>
      </c>
      <c r="J99" s="21">
        <f>'Monthly Data'!CK99</f>
        <v>0</v>
      </c>
      <c r="K99" s="21">
        <f>'Monthly Data'!DB99</f>
        <v>0</v>
      </c>
      <c r="L99" s="21">
        <f>'Monthly Data'!DG99</f>
        <v>0</v>
      </c>
      <c r="N99" s="11">
        <f>'Res Predicted Monthly'!$AB$9</f>
        <v>-154534728.74811399</v>
      </c>
      <c r="O99" s="11">
        <f>E99*'Res Predicted Monthly'!$AB$10</f>
        <v>40467917.772230886</v>
      </c>
      <c r="P99" s="11">
        <f>F99*'Res Predicted Monthly'!$AB$11</f>
        <v>0</v>
      </c>
      <c r="Q99" s="11">
        <f>G99*'Res Predicted Monthly'!$AB$12</f>
        <v>151441373.67283812</v>
      </c>
      <c r="R99" s="11">
        <f>H99*'Res Predicted Monthly'!$AB$13</f>
        <v>0</v>
      </c>
      <c r="S99" s="11">
        <f>I99*'Res Predicted Monthly'!$AB$14</f>
        <v>63274685.144130871</v>
      </c>
      <c r="T99" s="11">
        <f t="shared" si="23"/>
        <v>0</v>
      </c>
      <c r="U99" s="11">
        <f t="shared" si="24"/>
        <v>0</v>
      </c>
      <c r="V99" s="11">
        <f t="shared" si="25"/>
        <v>0</v>
      </c>
      <c r="W99" s="11">
        <f t="shared" si="26"/>
        <v>100649247.8410859</v>
      </c>
      <c r="X99" s="11">
        <f t="shared" si="27"/>
        <v>1261259.4683896154</v>
      </c>
      <c r="Y99" s="23">
        <f t="shared" si="28"/>
        <v>1.2690260554021905E-2</v>
      </c>
    </row>
    <row r="100" spans="1:25" x14ac:dyDescent="0.2">
      <c r="A100" s="8">
        <f>'Monthly Data'!A100</f>
        <v>45717</v>
      </c>
      <c r="B100">
        <f t="shared" si="21"/>
        <v>2025</v>
      </c>
      <c r="C100">
        <f t="shared" si="22"/>
        <v>3</v>
      </c>
      <c r="D100" s="19">
        <f>'Monthly Data'!F100</f>
        <v>96704636.918613061</v>
      </c>
      <c r="E100" s="21">
        <f>'Monthly Data'!BF100</f>
        <v>474.71041666666667</v>
      </c>
      <c r="F100" s="21">
        <f>'Monthly Data'!BK100</f>
        <v>0</v>
      </c>
      <c r="G100" s="11">
        <f>'Monthly Data'!G100</f>
        <v>153484</v>
      </c>
      <c r="H100">
        <f>'Monthly Data'!CC100</f>
        <v>0</v>
      </c>
      <c r="I100" s="21">
        <f>'Monthly Data'!CS100</f>
        <v>31</v>
      </c>
      <c r="J100" s="21">
        <f>'Monthly Data'!CK100</f>
        <v>0</v>
      </c>
      <c r="K100" s="21">
        <f>'Monthly Data'!DB100</f>
        <v>0</v>
      </c>
      <c r="L100" s="21">
        <f>'Monthly Data'!DG100</f>
        <v>0</v>
      </c>
      <c r="N100" s="11">
        <f>'Res Predicted Monthly'!$AB$9</f>
        <v>-154534728.74811399</v>
      </c>
      <c r="O100" s="11">
        <f>E100*'Res Predicted Monthly'!$AB$10</f>
        <v>29142758.482659526</v>
      </c>
      <c r="P100" s="11">
        <f>F100*'Res Predicted Monthly'!$AB$11</f>
        <v>0</v>
      </c>
      <c r="Q100" s="11">
        <f>G100*'Res Predicted Monthly'!$AB$12</f>
        <v>151483813.30154186</v>
      </c>
      <c r="R100" s="11">
        <f>H100*'Res Predicted Monthly'!$AB$13</f>
        <v>0</v>
      </c>
      <c r="S100" s="11">
        <f>I100*'Res Predicted Monthly'!$AB$14</f>
        <v>70054115.695287749</v>
      </c>
      <c r="T100" s="11">
        <f t="shared" si="23"/>
        <v>0</v>
      </c>
      <c r="U100" s="11">
        <f t="shared" si="24"/>
        <v>0</v>
      </c>
      <c r="V100" s="11">
        <f t="shared" si="25"/>
        <v>0</v>
      </c>
      <c r="W100" s="11">
        <f t="shared" si="26"/>
        <v>96145958.731375143</v>
      </c>
      <c r="X100" s="11">
        <f t="shared" si="27"/>
        <v>-558678.18723791838</v>
      </c>
      <c r="Y100" s="23">
        <f t="shared" si="28"/>
        <v>5.7771602793783693E-3</v>
      </c>
    </row>
    <row r="101" spans="1:25" x14ac:dyDescent="0.2">
      <c r="A101" s="8">
        <f>'Monthly Data'!A101</f>
        <v>45748</v>
      </c>
      <c r="B101">
        <f t="shared" si="21"/>
        <v>2025</v>
      </c>
      <c r="C101">
        <f t="shared" si="22"/>
        <v>4</v>
      </c>
      <c r="D101" s="19">
        <f>'Monthly Data'!F101</f>
        <v>85992221.873758852</v>
      </c>
      <c r="E101" s="21">
        <f>'Monthly Data'!BF101</f>
        <v>320.42500000000018</v>
      </c>
      <c r="F101" s="21">
        <f>'Monthly Data'!BK101</f>
        <v>9.0583333333333371</v>
      </c>
      <c r="G101" s="11">
        <f>'Monthly Data'!G101</f>
        <v>153534</v>
      </c>
      <c r="H101">
        <f>'Monthly Data'!CC101</f>
        <v>0</v>
      </c>
      <c r="I101" s="21">
        <f>'Monthly Data'!CS101</f>
        <v>30</v>
      </c>
      <c r="J101" s="21">
        <f>'Monthly Data'!CK101</f>
        <v>0</v>
      </c>
      <c r="K101" s="21">
        <f>'Monthly Data'!DB101</f>
        <v>0</v>
      </c>
      <c r="L101" s="21">
        <f>'Monthly Data'!DG101</f>
        <v>0</v>
      </c>
      <c r="N101" s="11">
        <f>'Res Predicted Monthly'!$AB$9</f>
        <v>-154534728.74811399</v>
      </c>
      <c r="O101" s="11">
        <f>E101*'Res Predicted Monthly'!$AB$10</f>
        <v>19671083.799627703</v>
      </c>
      <c r="P101" s="11">
        <f>F101*'Res Predicted Monthly'!$AB$11</f>
        <v>2573046.6640016171</v>
      </c>
      <c r="Q101" s="11">
        <f>G101*'Res Predicted Monthly'!$AB$12</f>
        <v>151533161.70701134</v>
      </c>
      <c r="R101" s="11">
        <f>H101*'Res Predicted Monthly'!$AB$13</f>
        <v>0</v>
      </c>
      <c r="S101" s="11">
        <f>I101*'Res Predicted Monthly'!$AB$14</f>
        <v>67794305.5115688</v>
      </c>
      <c r="T101" s="11">
        <f t="shared" si="23"/>
        <v>0</v>
      </c>
      <c r="U101" s="11">
        <f t="shared" si="24"/>
        <v>0</v>
      </c>
      <c r="V101" s="11">
        <f t="shared" si="25"/>
        <v>0</v>
      </c>
      <c r="W101" s="11">
        <f t="shared" si="26"/>
        <v>87036868.934095457</v>
      </c>
      <c r="X101" s="11">
        <f t="shared" si="27"/>
        <v>1044647.0603366047</v>
      </c>
      <c r="Y101" s="23">
        <f t="shared" si="28"/>
        <v>1.2148157560926872E-2</v>
      </c>
    </row>
    <row r="102" spans="1:25" x14ac:dyDescent="0.2">
      <c r="A102" s="8">
        <f>'Monthly Data'!A102</f>
        <v>45778</v>
      </c>
      <c r="B102">
        <f t="shared" si="21"/>
        <v>2025</v>
      </c>
      <c r="C102">
        <f t="shared" si="22"/>
        <v>5</v>
      </c>
      <c r="D102" s="19">
        <f>'Monthly Data'!F102</f>
        <v>84993551.117046133</v>
      </c>
      <c r="E102" s="21">
        <f>'Monthly Data'!BF102</f>
        <v>172.54166666666669</v>
      </c>
      <c r="F102" s="21">
        <f>'Monthly Data'!BK102</f>
        <v>30.504166666666652</v>
      </c>
      <c r="G102" s="11">
        <f>'Monthly Data'!G102</f>
        <v>153566</v>
      </c>
      <c r="H102">
        <f>'Monthly Data'!CC102</f>
        <v>0</v>
      </c>
      <c r="I102" s="21">
        <f>'Monthly Data'!CS102</f>
        <v>31</v>
      </c>
      <c r="J102" s="21">
        <f>'Monthly Data'!CK102</f>
        <v>1</v>
      </c>
      <c r="K102" s="21">
        <f>'Monthly Data'!DB102</f>
        <v>0</v>
      </c>
      <c r="L102" s="21">
        <f>'Monthly Data'!DG102</f>
        <v>0</v>
      </c>
      <c r="N102" s="11">
        <f>'Res Predicted Monthly'!$AB$9</f>
        <v>-154534728.74811399</v>
      </c>
      <c r="O102" s="11">
        <f>E102*'Res Predicted Monthly'!$AB$10</f>
        <v>10592436.869555835</v>
      </c>
      <c r="P102" s="11">
        <f>F102*'Res Predicted Monthly'!$AB$11</f>
        <v>8664799.736502219</v>
      </c>
      <c r="Q102" s="11">
        <f>G102*'Res Predicted Monthly'!$AB$12</f>
        <v>151564744.68651178</v>
      </c>
      <c r="R102" s="11">
        <f>H102*'Res Predicted Monthly'!$AB$13</f>
        <v>0</v>
      </c>
      <c r="S102" s="11">
        <f>I102*'Res Predicted Monthly'!$AB$14</f>
        <v>70054115.695287749</v>
      </c>
      <c r="T102" s="11">
        <f t="shared" si="23"/>
        <v>-2784507.8509929599</v>
      </c>
      <c r="U102" s="11">
        <f t="shared" si="24"/>
        <v>0</v>
      </c>
      <c r="V102" s="11">
        <f t="shared" si="25"/>
        <v>0</v>
      </c>
      <c r="W102" s="11">
        <f t="shared" si="26"/>
        <v>83556860.388750643</v>
      </c>
      <c r="X102" s="11">
        <f t="shared" si="27"/>
        <v>-1436690.7282954901</v>
      </c>
      <c r="Y102" s="23">
        <f t="shared" si="28"/>
        <v>1.6903526319508616E-2</v>
      </c>
    </row>
    <row r="103" spans="1:25" x14ac:dyDescent="0.2">
      <c r="A103" s="8">
        <f>'Monthly Data'!A103</f>
        <v>45809</v>
      </c>
      <c r="B103">
        <f t="shared" si="21"/>
        <v>2025</v>
      </c>
      <c r="C103">
        <f t="shared" si="22"/>
        <v>6</v>
      </c>
      <c r="D103" s="19">
        <f>'Monthly Data'!F103</f>
        <v>115056173.48231643</v>
      </c>
      <c r="E103" s="21">
        <f>'Monthly Data'!BF103</f>
        <v>17.145833333333339</v>
      </c>
      <c r="F103" s="21">
        <f>'Monthly Data'!BK103</f>
        <v>188.56249999999997</v>
      </c>
      <c r="G103" s="11">
        <f>'Monthly Data'!G103</f>
        <v>153633</v>
      </c>
      <c r="H103">
        <f>'Monthly Data'!CC103</f>
        <v>0</v>
      </c>
      <c r="I103" s="21">
        <f>'Monthly Data'!CS103</f>
        <v>30</v>
      </c>
      <c r="J103" s="21">
        <f>'Monthly Data'!CK103</f>
        <v>1</v>
      </c>
      <c r="K103" s="21">
        <f>'Monthly Data'!DB103</f>
        <v>0</v>
      </c>
      <c r="L103" s="21">
        <f>'Monthly Data'!DG103</f>
        <v>0</v>
      </c>
      <c r="N103" s="11">
        <f>'Res Predicted Monthly'!$AB$9</f>
        <v>-154534728.74811399</v>
      </c>
      <c r="O103" s="11">
        <f>E103*'Res Predicted Monthly'!$AB$10</f>
        <v>1052593.0383535926</v>
      </c>
      <c r="P103" s="11">
        <f>F103*'Res Predicted Monthly'!$AB$11</f>
        <v>53561741.848846883</v>
      </c>
      <c r="Q103" s="11">
        <f>G103*'Res Predicted Monthly'!$AB$12</f>
        <v>151630871.5498409</v>
      </c>
      <c r="R103" s="11">
        <f>H103*'Res Predicted Monthly'!$AB$13</f>
        <v>0</v>
      </c>
      <c r="S103" s="11">
        <f>I103*'Res Predicted Monthly'!$AB$14</f>
        <v>67794305.5115688</v>
      </c>
      <c r="T103" s="11">
        <f t="shared" si="23"/>
        <v>-2784507.8509929599</v>
      </c>
      <c r="U103" s="11">
        <f t="shared" si="24"/>
        <v>0</v>
      </c>
      <c r="V103" s="11">
        <f t="shared" si="25"/>
        <v>0</v>
      </c>
      <c r="W103" s="11">
        <f t="shared" si="26"/>
        <v>116720275.34950322</v>
      </c>
      <c r="X103" s="11">
        <f t="shared" si="27"/>
        <v>1664101.8671867847</v>
      </c>
      <c r="Y103" s="23">
        <f t="shared" si="28"/>
        <v>1.4463386160174613E-2</v>
      </c>
    </row>
    <row r="104" spans="1:25" x14ac:dyDescent="0.2">
      <c r="A104" s="8">
        <f>'Monthly Data'!A104</f>
        <v>45839</v>
      </c>
      <c r="B104">
        <f t="shared" si="21"/>
        <v>2025</v>
      </c>
      <c r="C104">
        <f t="shared" si="22"/>
        <v>7</v>
      </c>
      <c r="D104" s="19">
        <f>'Monthly Data'!F104</f>
        <v>140976675.19585302</v>
      </c>
      <c r="E104" s="21">
        <f>'Monthly Data'!BF104</f>
        <v>0.94999999999999574</v>
      </c>
      <c r="F104" s="21">
        <f>'Monthly Data'!BK104</f>
        <v>255.57916666666662</v>
      </c>
      <c r="G104" s="11">
        <f>'Monthly Data'!G104</f>
        <v>153644</v>
      </c>
      <c r="H104">
        <f>'Monthly Data'!CC104</f>
        <v>0</v>
      </c>
      <c r="I104" s="21">
        <f>'Monthly Data'!CS104</f>
        <v>31</v>
      </c>
      <c r="J104" s="21">
        <f>'Monthly Data'!CK104</f>
        <v>1</v>
      </c>
      <c r="K104" s="21">
        <f>'Monthly Data'!DB104</f>
        <v>0</v>
      </c>
      <c r="L104" s="21">
        <f>'Monthly Data'!DG104</f>
        <v>0</v>
      </c>
      <c r="N104" s="11">
        <f>'Res Predicted Monthly'!$AB$9</f>
        <v>-154534728.74811399</v>
      </c>
      <c r="O104" s="11">
        <f>E104*'Res Predicted Monthly'!$AB$10</f>
        <v>58321.072355921744</v>
      </c>
      <c r="P104" s="11">
        <f>F104*'Res Predicted Monthly'!$AB$11</f>
        <v>72598026.367615044</v>
      </c>
      <c r="Q104" s="11">
        <f>G104*'Res Predicted Monthly'!$AB$12</f>
        <v>151641728.19904417</v>
      </c>
      <c r="R104" s="11">
        <f>H104*'Res Predicted Monthly'!$AB$13</f>
        <v>0</v>
      </c>
      <c r="S104" s="11">
        <f>I104*'Res Predicted Monthly'!$AB$14</f>
        <v>70054115.695287749</v>
      </c>
      <c r="T104" s="11">
        <f t="shared" si="23"/>
        <v>-2784507.8509929599</v>
      </c>
      <c r="U104" s="11">
        <f t="shared" si="24"/>
        <v>0</v>
      </c>
      <c r="V104" s="11">
        <f t="shared" si="25"/>
        <v>0</v>
      </c>
      <c r="W104" s="11">
        <f t="shared" si="26"/>
        <v>137032954.73519596</v>
      </c>
      <c r="X104" s="11">
        <f t="shared" si="27"/>
        <v>-3943720.4606570601</v>
      </c>
      <c r="Y104" s="23">
        <f t="shared" si="28"/>
        <v>2.7974276277818396E-2</v>
      </c>
    </row>
    <row r="105" spans="1:25" x14ac:dyDescent="0.2">
      <c r="A105" s="8">
        <f>'Monthly Data'!A105</f>
        <v>45870</v>
      </c>
      <c r="B105">
        <f t="shared" si="21"/>
        <v>2025</v>
      </c>
      <c r="C105">
        <f t="shared" si="22"/>
        <v>8</v>
      </c>
      <c r="D105" s="19">
        <f>'Monthly Data'!F105</f>
        <v>121948218.3047366</v>
      </c>
      <c r="E105" s="21">
        <f>'Monthly Data'!BF105</f>
        <v>26.37083333333333</v>
      </c>
      <c r="F105" s="21">
        <f>'Monthly Data'!BK105</f>
        <v>178.91250000000005</v>
      </c>
      <c r="G105" s="11">
        <f>'Monthly Data'!G105</f>
        <v>153658</v>
      </c>
      <c r="H105">
        <f>'Monthly Data'!CC105</f>
        <v>0</v>
      </c>
      <c r="I105" s="21">
        <f>'Monthly Data'!CS105</f>
        <v>31</v>
      </c>
      <c r="J105" s="21">
        <f>'Monthly Data'!CK105</f>
        <v>1</v>
      </c>
      <c r="K105" s="21">
        <f>'Monthly Data'!DB105</f>
        <v>0</v>
      </c>
      <c r="L105" s="21">
        <f>'Monthly Data'!DG105</f>
        <v>0</v>
      </c>
      <c r="N105" s="11">
        <f>'Res Predicted Monthly'!$AB$9</f>
        <v>-154534728.74811399</v>
      </c>
      <c r="O105" s="11">
        <f>E105*'Res Predicted Monthly'!$AB$10</f>
        <v>1618921.3462308347</v>
      </c>
      <c r="P105" s="11">
        <f>F105*'Res Predicted Monthly'!$AB$11</f>
        <v>50820630.499340124</v>
      </c>
      <c r="Q105" s="11">
        <f>G105*'Res Predicted Monthly'!$AB$12</f>
        <v>151655545.75257564</v>
      </c>
      <c r="R105" s="11">
        <f>H105*'Res Predicted Monthly'!$AB$13</f>
        <v>0</v>
      </c>
      <c r="S105" s="11">
        <f>I105*'Res Predicted Monthly'!$AB$14</f>
        <v>70054115.695287749</v>
      </c>
      <c r="T105" s="11">
        <f t="shared" si="23"/>
        <v>-2784507.8509929599</v>
      </c>
      <c r="U105" s="11">
        <f t="shared" si="24"/>
        <v>0</v>
      </c>
      <c r="V105" s="11">
        <f t="shared" si="25"/>
        <v>0</v>
      </c>
      <c r="W105" s="11">
        <f t="shared" si="26"/>
        <v>116829976.69432738</v>
      </c>
      <c r="X105" s="11">
        <f t="shared" si="27"/>
        <v>-5118241.6104092151</v>
      </c>
      <c r="Y105" s="23">
        <f t="shared" si="28"/>
        <v>4.1970614098020137E-2</v>
      </c>
    </row>
    <row r="106" spans="1:25" x14ac:dyDescent="0.2">
      <c r="A106" s="8">
        <f>'Monthly Data'!A106</f>
        <v>45901</v>
      </c>
      <c r="B106">
        <f t="shared" si="21"/>
        <v>2025</v>
      </c>
      <c r="C106">
        <f t="shared" si="22"/>
        <v>9</v>
      </c>
      <c r="D106" s="19">
        <f>'Monthly Data'!F106</f>
        <v>95222363.852296785</v>
      </c>
      <c r="E106" s="21">
        <f>'Monthly Data'!BF106</f>
        <v>32.616666666666667</v>
      </c>
      <c r="F106" s="21">
        <f>'Monthly Data'!BK106</f>
        <v>102.07916666666665</v>
      </c>
      <c r="G106" s="11">
        <f>'Monthly Data'!G106</f>
        <v>153829</v>
      </c>
      <c r="H106">
        <f>'Monthly Data'!CC106</f>
        <v>0</v>
      </c>
      <c r="I106" s="21">
        <f>'Monthly Data'!CS106</f>
        <v>30</v>
      </c>
      <c r="J106" s="21">
        <f>'Monthly Data'!CK106</f>
        <v>0</v>
      </c>
      <c r="K106" s="21">
        <f>'Monthly Data'!DB106</f>
        <v>0</v>
      </c>
      <c r="L106" s="21">
        <f>'Monthly Data'!DG106</f>
        <v>0</v>
      </c>
      <c r="N106" s="11">
        <f>'Res Predicted Monthly'!$AB$9</f>
        <v>-154534728.74811399</v>
      </c>
      <c r="O106" s="11">
        <f>E106*'Res Predicted Monthly'!$AB$10</f>
        <v>2002356.8175533223</v>
      </c>
      <c r="P106" s="11">
        <f>F106*'Res Predicted Monthly'!$AB$11</f>
        <v>28995892.466134124</v>
      </c>
      <c r="Q106" s="11">
        <f>G106*'Res Predicted Monthly'!$AB$12</f>
        <v>151824317.29928124</v>
      </c>
      <c r="R106" s="11">
        <f>H106*'Res Predicted Monthly'!$AB$13</f>
        <v>0</v>
      </c>
      <c r="S106" s="11">
        <f>I106*'Res Predicted Monthly'!$AB$14</f>
        <v>67794305.5115688</v>
      </c>
      <c r="T106" s="11">
        <f t="shared" si="23"/>
        <v>0</v>
      </c>
      <c r="U106" s="11">
        <f t="shared" si="24"/>
        <v>0</v>
      </c>
      <c r="V106" s="11">
        <f t="shared" si="25"/>
        <v>0</v>
      </c>
      <c r="W106" s="11">
        <f t="shared" si="26"/>
        <v>96082143.346423492</v>
      </c>
      <c r="X106" s="11">
        <f t="shared" si="27"/>
        <v>859779.49412670732</v>
      </c>
      <c r="Y106" s="23">
        <f t="shared" si="28"/>
        <v>9.0291761235873711E-3</v>
      </c>
    </row>
    <row r="107" spans="1:25" x14ac:dyDescent="0.2">
      <c r="A107" s="8">
        <f>'Monthly Data'!A107</f>
        <v>45931</v>
      </c>
      <c r="B107">
        <f t="shared" si="21"/>
        <v>2025</v>
      </c>
      <c r="C107">
        <f t="shared" si="22"/>
        <v>10</v>
      </c>
      <c r="D107" s="19">
        <f>'Monthly Data'!F107</f>
        <v>87631115.335631788</v>
      </c>
      <c r="E107" s="21">
        <f>'Monthly Data'!BF107</f>
        <v>218.85416666666663</v>
      </c>
      <c r="F107" s="21">
        <f>'Monthly Data'!BK107</f>
        <v>29.312500000000004</v>
      </c>
      <c r="G107" s="11">
        <f>'Monthly Data'!G107</f>
        <v>153848</v>
      </c>
      <c r="H107">
        <f>'Monthly Data'!CC107</f>
        <v>0</v>
      </c>
      <c r="I107" s="21">
        <f>'Monthly Data'!CS107</f>
        <v>31</v>
      </c>
      <c r="J107" s="21">
        <f>'Monthly Data'!CK107</f>
        <v>0</v>
      </c>
      <c r="K107" s="21">
        <f>'Monthly Data'!DB107</f>
        <v>0</v>
      </c>
      <c r="L107" s="21">
        <f>'Monthly Data'!DG107</f>
        <v>0</v>
      </c>
      <c r="N107" s="11">
        <f>'Res Predicted Monthly'!$AB$9</f>
        <v>-154534728.74811399</v>
      </c>
      <c r="O107" s="11">
        <f>E107*'Res Predicted Monthly'!$AB$10</f>
        <v>13435589.14690703</v>
      </c>
      <c r="P107" s="11">
        <f>F107*'Res Predicted Monthly'!$AB$11</f>
        <v>8326303.2572453413</v>
      </c>
      <c r="Q107" s="11">
        <f>G107*'Res Predicted Monthly'!$AB$12</f>
        <v>151843069.69335964</v>
      </c>
      <c r="R107" s="11">
        <f>H107*'Res Predicted Monthly'!$AB$13</f>
        <v>0</v>
      </c>
      <c r="S107" s="11">
        <f>I107*'Res Predicted Monthly'!$AB$14</f>
        <v>70054115.695287749</v>
      </c>
      <c r="T107" s="11">
        <f t="shared" si="23"/>
        <v>0</v>
      </c>
      <c r="U107" s="11">
        <f t="shared" si="24"/>
        <v>0</v>
      </c>
      <c r="V107" s="11">
        <f t="shared" si="25"/>
        <v>0</v>
      </c>
      <c r="W107" s="11">
        <f t="shared" si="26"/>
        <v>89124349.044685781</v>
      </c>
      <c r="X107" s="11">
        <f t="shared" si="27"/>
        <v>1493233.7090539932</v>
      </c>
      <c r="Y107" s="23">
        <f t="shared" si="28"/>
        <v>1.7039994336883989E-2</v>
      </c>
    </row>
    <row r="108" spans="1:25" x14ac:dyDescent="0.2">
      <c r="A108" s="8">
        <f>'Monthly Data'!A108</f>
        <v>45962</v>
      </c>
      <c r="B108">
        <f t="shared" si="21"/>
        <v>2025</v>
      </c>
      <c r="C108">
        <f t="shared" si="22"/>
        <v>11</v>
      </c>
      <c r="D108" s="19">
        <f>'Monthly Data'!F108</f>
        <v>93364815.512638971</v>
      </c>
      <c r="E108" s="21">
        <f>'Monthly Data'!BF108</f>
        <v>446.62291666666675</v>
      </c>
      <c r="F108" s="21">
        <f>'Monthly Data'!BK108</f>
        <v>0</v>
      </c>
      <c r="G108" s="11">
        <f>'Monthly Data'!G108</f>
        <v>153992</v>
      </c>
      <c r="H108">
        <f>'Monthly Data'!CC108</f>
        <v>0</v>
      </c>
      <c r="I108" s="21">
        <f>'Monthly Data'!CS108</f>
        <v>30</v>
      </c>
      <c r="J108" s="21">
        <f>'Monthly Data'!CK108</f>
        <v>0</v>
      </c>
      <c r="K108" s="21">
        <f>'Monthly Data'!DB108</f>
        <v>0</v>
      </c>
      <c r="L108" s="21">
        <f>'Monthly Data'!DG108</f>
        <v>0</v>
      </c>
      <c r="N108" s="11">
        <f>'Res Predicted Monthly'!$AB$9</f>
        <v>-154534728.74811399</v>
      </c>
      <c r="O108" s="11">
        <f>E108*'Res Predicted Monthly'!$AB$10</f>
        <v>27418449.935504839</v>
      </c>
      <c r="P108" s="11">
        <f>F108*'Res Predicted Monthly'!$AB$11</f>
        <v>0</v>
      </c>
      <c r="Q108" s="11">
        <f>G108*'Res Predicted Monthly'!$AB$12</f>
        <v>151985193.10111174</v>
      </c>
      <c r="R108" s="11">
        <f>H108*'Res Predicted Monthly'!$AB$13</f>
        <v>0</v>
      </c>
      <c r="S108" s="11">
        <f>I108*'Res Predicted Monthly'!$AB$14</f>
        <v>67794305.5115688</v>
      </c>
      <c r="T108" s="11">
        <f t="shared" si="23"/>
        <v>0</v>
      </c>
      <c r="U108" s="11">
        <f t="shared" si="24"/>
        <v>0</v>
      </c>
      <c r="V108" s="11">
        <f t="shared" si="25"/>
        <v>0</v>
      </c>
      <c r="W108" s="11">
        <f t="shared" si="26"/>
        <v>92663219.800071388</v>
      </c>
      <c r="X108" s="11">
        <f t="shared" si="27"/>
        <v>-701595.71256758273</v>
      </c>
      <c r="Y108" s="23">
        <f t="shared" si="28"/>
        <v>7.5145621904282173E-3</v>
      </c>
    </row>
    <row r="109" spans="1:25" x14ac:dyDescent="0.2">
      <c r="A109" s="8">
        <f>'Monthly Data'!A109</f>
        <v>45992</v>
      </c>
      <c r="B109">
        <f t="shared" si="21"/>
        <v>2025</v>
      </c>
      <c r="C109">
        <f t="shared" si="22"/>
        <v>12</v>
      </c>
      <c r="D109" s="19">
        <f>'Monthly Data'!F109</f>
        <v>111581704.96910296</v>
      </c>
      <c r="E109" s="21">
        <f>'Monthly Data'!BF109</f>
        <v>689.42916666666679</v>
      </c>
      <c r="F109" s="21">
        <f>'Monthly Data'!BK109</f>
        <v>0</v>
      </c>
      <c r="G109" s="11">
        <f>'Monthly Data'!G109</f>
        <v>154071</v>
      </c>
      <c r="H109">
        <f>'Monthly Data'!CC109</f>
        <v>1</v>
      </c>
      <c r="I109" s="21">
        <f>'Monthly Data'!CS109</f>
        <v>31</v>
      </c>
      <c r="J109" s="21">
        <f>'Monthly Data'!CK109</f>
        <v>0</v>
      </c>
      <c r="K109" s="21">
        <f>'Monthly Data'!DB109</f>
        <v>0</v>
      </c>
      <c r="L109" s="21">
        <f>'Monthly Data'!DG109</f>
        <v>0</v>
      </c>
      <c r="N109" s="11">
        <f>'Res Predicted Monthly'!$AB$9</f>
        <v>-154534728.74811399</v>
      </c>
      <c r="O109" s="11">
        <f>E109*'Res Predicted Monthly'!$AB$10</f>
        <v>42324471.908894405</v>
      </c>
      <c r="P109" s="11">
        <f>F109*'Res Predicted Monthly'!$AB$11</f>
        <v>0</v>
      </c>
      <c r="Q109" s="11">
        <f>G109*'Res Predicted Monthly'!$AB$12</f>
        <v>152063163.58175352</v>
      </c>
      <c r="R109" s="11">
        <f>H109*'Res Predicted Monthly'!$AB$13</f>
        <v>3702152.17603915</v>
      </c>
      <c r="S109" s="11">
        <f>I109*'Res Predicted Monthly'!$AB$14</f>
        <v>70054115.695287749</v>
      </c>
      <c r="T109" s="11">
        <f t="shared" si="23"/>
        <v>0</v>
      </c>
      <c r="U109" s="11">
        <f t="shared" si="24"/>
        <v>0</v>
      </c>
      <c r="V109" s="11">
        <f t="shared" si="25"/>
        <v>0</v>
      </c>
      <c r="W109" s="11">
        <f t="shared" si="26"/>
        <v>113609174.61386085</v>
      </c>
      <c r="X109" s="11">
        <f t="shared" si="27"/>
        <v>2027469.6447578818</v>
      </c>
      <c r="Y109" s="23">
        <f t="shared" si="28"/>
        <v>1.8170269448018285E-2</v>
      </c>
    </row>
    <row r="110" spans="1:25" x14ac:dyDescent="0.2">
      <c r="A110" s="8"/>
      <c r="G110" s="11"/>
      <c r="Q110" s="11"/>
      <c r="Y110" s="23">
        <f>AVERAGE(Y2:Y109)</f>
        <v>1.5545229008298515E-2</v>
      </c>
    </row>
    <row r="111" spans="1:25" x14ac:dyDescent="0.2">
      <c r="A111" s="8"/>
      <c r="G111" s="11"/>
      <c r="Q111" s="11"/>
    </row>
    <row r="112" spans="1:25" x14ac:dyDescent="0.2">
      <c r="A112" s="8"/>
      <c r="G112" s="11"/>
      <c r="Q112" s="11"/>
    </row>
    <row r="113" spans="1:17" x14ac:dyDescent="0.2">
      <c r="A113" s="8"/>
      <c r="G113" s="11"/>
      <c r="Q113" s="11"/>
    </row>
    <row r="114" spans="1:17" x14ac:dyDescent="0.2">
      <c r="A114" s="8"/>
    </row>
    <row r="115" spans="1:17" x14ac:dyDescent="0.2">
      <c r="A115" s="8"/>
    </row>
    <row r="116" spans="1:17" x14ac:dyDescent="0.2">
      <c r="A116" s="8"/>
    </row>
    <row r="117" spans="1:17" x14ac:dyDescent="0.2">
      <c r="A117" s="8"/>
    </row>
    <row r="118" spans="1:17" x14ac:dyDescent="0.2">
      <c r="A118" s="8"/>
    </row>
    <row r="119" spans="1:17" x14ac:dyDescent="0.2">
      <c r="A119" s="8"/>
    </row>
    <row r="120" spans="1:17" x14ac:dyDescent="0.2">
      <c r="A120" s="8"/>
    </row>
    <row r="121" spans="1:17" x14ac:dyDescent="0.2">
      <c r="A121" s="8"/>
    </row>
    <row r="122" spans="1:17" x14ac:dyDescent="0.2">
      <c r="A122" s="8"/>
    </row>
    <row r="123" spans="1:17" x14ac:dyDescent="0.2">
      <c r="A123" s="8"/>
    </row>
    <row r="124" spans="1:17" x14ac:dyDescent="0.2">
      <c r="A124" s="8"/>
    </row>
    <row r="125" spans="1:17" x14ac:dyDescent="0.2">
      <c r="A125" s="8"/>
    </row>
    <row r="126" spans="1:17" x14ac:dyDescent="0.2">
      <c r="A126" s="8"/>
    </row>
    <row r="127" spans="1:17" x14ac:dyDescent="0.2">
      <c r="A127" s="8"/>
    </row>
    <row r="128" spans="1:17" x14ac:dyDescent="0.2">
      <c r="A128" s="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/>
  <dimension ref="A1:AB117"/>
  <sheetViews>
    <sheetView topLeftCell="T37" workbookViewId="0">
      <selection activeCell="Z56" sqref="Z56:AC69"/>
    </sheetView>
  </sheetViews>
  <sheetFormatPr defaultColWidth="9.33203125" defaultRowHeight="12.75" x14ac:dyDescent="0.2"/>
  <cols>
    <col min="4" max="4" width="14.6640625" bestFit="1" customWidth="1"/>
    <col min="7" max="7" width="12.83203125" style="11" customWidth="1"/>
    <col min="9" max="10" width="11.5" customWidth="1"/>
    <col min="12" max="12" width="14.6640625" bestFit="1" customWidth="1"/>
    <col min="13" max="14" width="12.83203125" bestFit="1" customWidth="1"/>
    <col min="15" max="15" width="14.33203125" bestFit="1" customWidth="1"/>
    <col min="16" max="18" width="12.5" customWidth="1"/>
    <col min="19" max="19" width="14.83203125" bestFit="1" customWidth="1"/>
    <col min="20" max="20" width="13.83203125" bestFit="1" customWidth="1"/>
    <col min="23" max="23" width="13.83203125" bestFit="1" customWidth="1"/>
    <col min="24" max="24" width="14.6640625" customWidth="1"/>
    <col min="25" max="25" width="11" bestFit="1" customWidth="1"/>
    <col min="26" max="28" width="12.83203125" customWidth="1"/>
  </cols>
  <sheetData>
    <row r="1" spans="1:27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Data'!J1</f>
        <v>GS_lt_50_NoCDM</v>
      </c>
      <c r="E1" s="181" t="str">
        <f>'Monthly Data'!BJ1</f>
        <v>HDD14</v>
      </c>
      <c r="F1" s="181" t="str">
        <f>'Monthly Data'!BK1</f>
        <v>CDD14</v>
      </c>
      <c r="G1" s="182" t="str">
        <f>'Monthly Data'!CV1</f>
        <v>COVID_AM</v>
      </c>
      <c r="H1" s="181" t="str">
        <f>'Monthly Data'!CS1</f>
        <v>Month Days</v>
      </c>
      <c r="I1" s="180" t="str">
        <f>'Monthly Data'!AO1</f>
        <v>OEA_GDP</v>
      </c>
      <c r="J1" s="181" t="str">
        <f>'Monthly Data'!BT1</f>
        <v>Mar</v>
      </c>
      <c r="L1" s="181" t="s">
        <v>65</v>
      </c>
      <c r="M1" s="181" t="str">
        <f t="shared" ref="M1:R1" si="0">E1</f>
        <v>HDD14</v>
      </c>
      <c r="N1" s="181" t="str">
        <f t="shared" si="0"/>
        <v>CDD14</v>
      </c>
      <c r="O1" s="181" t="str">
        <f t="shared" si="0"/>
        <v>COVID_AM</v>
      </c>
      <c r="P1" s="181" t="str">
        <f t="shared" si="0"/>
        <v>Month Days</v>
      </c>
      <c r="Q1" s="181" t="str">
        <f t="shared" si="0"/>
        <v>OEA_GDP</v>
      </c>
      <c r="R1" s="181" t="str">
        <f t="shared" si="0"/>
        <v>Mar</v>
      </c>
      <c r="S1" s="171" t="s">
        <v>75</v>
      </c>
      <c r="T1" s="171" t="s">
        <v>76</v>
      </c>
    </row>
    <row r="2" spans="1:27" x14ac:dyDescent="0.2">
      <c r="A2" s="8">
        <f>'Monthly Data'!A2</f>
        <v>42736</v>
      </c>
      <c r="B2">
        <f t="shared" ref="B2:B59" si="1">YEAR(A2)</f>
        <v>2017</v>
      </c>
      <c r="C2">
        <f t="shared" ref="C2:C59" si="2">MONTH(A2)</f>
        <v>1</v>
      </c>
      <c r="D2" s="19">
        <f>'Monthly Data'!J2</f>
        <v>34683049.001843154</v>
      </c>
      <c r="E2" s="21">
        <f>'Monthly Data'!BJ2</f>
        <v>507.0916666666667</v>
      </c>
      <c r="F2" s="21">
        <f>'Monthly Data'!BK2</f>
        <v>0</v>
      </c>
      <c r="G2" s="7">
        <f>'Monthly Data'!CV2</f>
        <v>0</v>
      </c>
      <c r="H2" s="7">
        <f>'Monthly Data'!CS2</f>
        <v>31</v>
      </c>
      <c r="I2" s="7">
        <f>'Monthly Data'!AO2</f>
        <v>756670</v>
      </c>
      <c r="J2" s="7">
        <f>'Monthly Data'!BT2</f>
        <v>0</v>
      </c>
      <c r="L2" s="11">
        <f>'GS&lt;50 Predicted Monthly'!$X$8</f>
        <v>-13592432.544671699</v>
      </c>
      <c r="M2" s="11">
        <f>E2*'GS&lt;50 Predicted Monthly'!$X$9</f>
        <v>7005856.5020028185</v>
      </c>
      <c r="N2" s="11">
        <f>F2*'GS&lt;50 Predicted Monthly'!$X$10</f>
        <v>0</v>
      </c>
      <c r="O2" s="11">
        <f>G2*'GS&lt;50 Predicted Monthly'!$X$11</f>
        <v>0</v>
      </c>
      <c r="P2" s="11">
        <f>H2*'GS&lt;50 Predicted Monthly'!$X$12</f>
        <v>20753533.272940867</v>
      </c>
      <c r="Q2" s="11">
        <f>I2*'GS&lt;50 Predicted Monthly'!$X$13</f>
        <v>19746829.39868528</v>
      </c>
      <c r="R2" s="11">
        <f>J2*$X$14</f>
        <v>0</v>
      </c>
      <c r="S2" s="11">
        <f>SUM(L2:R2)</f>
        <v>33913786.628957264</v>
      </c>
      <c r="T2" s="11">
        <f t="shared" ref="T2:T33" si="3">S2-D2</f>
        <v>-769262.37288589031</v>
      </c>
      <c r="U2" s="23">
        <f t="shared" ref="U2:U33" si="4">ABS(T2/D2)</f>
        <v>2.2179779316547677E-2</v>
      </c>
    </row>
    <row r="3" spans="1:27" x14ac:dyDescent="0.2">
      <c r="A3" s="8">
        <f>'Monthly Data'!A3</f>
        <v>42767</v>
      </c>
      <c r="B3">
        <f t="shared" si="1"/>
        <v>2017</v>
      </c>
      <c r="C3">
        <f t="shared" si="2"/>
        <v>2</v>
      </c>
      <c r="D3" s="19">
        <f>'Monthly Data'!J3</f>
        <v>31630788.735422239</v>
      </c>
      <c r="E3" s="21">
        <f>'Monthly Data'!BJ3</f>
        <v>393.97916666666669</v>
      </c>
      <c r="F3" s="21">
        <f>'Monthly Data'!BK3</f>
        <v>0</v>
      </c>
      <c r="G3" s="7">
        <f>'Monthly Data'!CV3</f>
        <v>0</v>
      </c>
      <c r="H3" s="7">
        <f>'Monthly Data'!CS3</f>
        <v>28</v>
      </c>
      <c r="I3" s="7">
        <f>'Monthly Data'!AO3</f>
        <v>756670</v>
      </c>
      <c r="J3" s="7">
        <f>'Monthly Data'!BT3</f>
        <v>0</v>
      </c>
      <c r="L3" s="11">
        <f>'GS&lt;50 Predicted Monthly'!$X$8</f>
        <v>-13592432.544671699</v>
      </c>
      <c r="M3" s="11">
        <f>E3*'GS&lt;50 Predicted Monthly'!$X$9</f>
        <v>5443121.4075929448</v>
      </c>
      <c r="N3" s="11">
        <f>F3*'GS&lt;50 Predicted Monthly'!$X$10</f>
        <v>0</v>
      </c>
      <c r="O3" s="11">
        <f>G3*'GS&lt;50 Predicted Monthly'!$X$11</f>
        <v>0</v>
      </c>
      <c r="P3" s="11">
        <f>H3*'GS&lt;50 Predicted Monthly'!$X$12</f>
        <v>18745126.827172395</v>
      </c>
      <c r="Q3" s="11">
        <f>I3*'GS&lt;50 Predicted Monthly'!$X$13</f>
        <v>19746829.39868528</v>
      </c>
      <c r="R3" s="11">
        <f t="shared" ref="R3:R66" si="5">J3*$X$14</f>
        <v>0</v>
      </c>
      <c r="S3" s="11">
        <f t="shared" ref="S3:S66" si="6">SUM(L3:R3)</f>
        <v>30342645.08877892</v>
      </c>
      <c r="T3" s="11">
        <f t="shared" si="3"/>
        <v>-1288143.6466433182</v>
      </c>
      <c r="U3" s="23">
        <f t="shared" si="4"/>
        <v>4.072436060378002E-2</v>
      </c>
      <c r="W3" t="s">
        <v>547</v>
      </c>
    </row>
    <row r="4" spans="1:27" x14ac:dyDescent="0.2">
      <c r="A4" s="8">
        <f>'Monthly Data'!A4</f>
        <v>42795</v>
      </c>
      <c r="B4">
        <f t="shared" si="1"/>
        <v>2017</v>
      </c>
      <c r="C4">
        <f t="shared" si="2"/>
        <v>3</v>
      </c>
      <c r="D4" s="19">
        <f>'Monthly Data'!J4</f>
        <v>33721872.46900133</v>
      </c>
      <c r="E4" s="21">
        <f>'Monthly Data'!BJ4</f>
        <v>439.39166666666665</v>
      </c>
      <c r="F4" s="21">
        <f>'Monthly Data'!BK4</f>
        <v>0</v>
      </c>
      <c r="G4" s="283">
        <f>'Monthly Data'!CV4</f>
        <v>0</v>
      </c>
      <c r="H4" s="7">
        <f>'Monthly Data'!CS4</f>
        <v>31</v>
      </c>
      <c r="I4" s="7">
        <f>'Monthly Data'!AO4</f>
        <v>756670</v>
      </c>
      <c r="J4" s="7">
        <f>'Monthly Data'!BT4</f>
        <v>1</v>
      </c>
      <c r="L4" s="11">
        <f>'GS&lt;50 Predicted Monthly'!$X$8</f>
        <v>-13592432.544671699</v>
      </c>
      <c r="M4" s="11">
        <f>E4*'GS&lt;50 Predicted Monthly'!$X$9</f>
        <v>6070529.5850701323</v>
      </c>
      <c r="N4" s="11">
        <f>F4*'GS&lt;50 Predicted Monthly'!$X$10</f>
        <v>0</v>
      </c>
      <c r="O4" s="11">
        <f>G4*'GS&lt;50 Predicted Monthly'!$X$11</f>
        <v>0</v>
      </c>
      <c r="P4" s="11">
        <f>H4*'GS&lt;50 Predicted Monthly'!$X$12</f>
        <v>20753533.272940867</v>
      </c>
      <c r="Q4" s="11">
        <f>I4*'GS&lt;50 Predicted Monthly'!$X$13</f>
        <v>19746829.39868528</v>
      </c>
      <c r="R4" s="11">
        <f t="shared" si="5"/>
        <v>522033.18159628101</v>
      </c>
      <c r="S4" s="11">
        <f t="shared" si="6"/>
        <v>33500492.893620864</v>
      </c>
      <c r="T4" s="11">
        <f t="shared" si="3"/>
        <v>-221379.57538046688</v>
      </c>
      <c r="U4" s="23">
        <f t="shared" si="4"/>
        <v>6.5648660401040598E-3</v>
      </c>
      <c r="W4" t="s">
        <v>179</v>
      </c>
    </row>
    <row r="5" spans="1:27" x14ac:dyDescent="0.2">
      <c r="A5" s="8">
        <f>'Monthly Data'!A5</f>
        <v>42826</v>
      </c>
      <c r="B5">
        <f t="shared" si="1"/>
        <v>2017</v>
      </c>
      <c r="C5">
        <f t="shared" si="2"/>
        <v>4</v>
      </c>
      <c r="D5" s="19">
        <f>'Monthly Data'!J5</f>
        <v>29000476.202580415</v>
      </c>
      <c r="E5" s="21">
        <f>'Monthly Data'!BJ5</f>
        <v>150.22500000000002</v>
      </c>
      <c r="F5" s="21">
        <f>'Monthly Data'!BK5</f>
        <v>11.354166666666671</v>
      </c>
      <c r="G5" s="283">
        <f>'Monthly Data'!CV5</f>
        <v>0</v>
      </c>
      <c r="H5" s="7">
        <f>'Monthly Data'!CS5</f>
        <v>30</v>
      </c>
      <c r="I5" s="7">
        <f>'Monthly Data'!AO5</f>
        <v>764676</v>
      </c>
      <c r="J5" s="7">
        <f>'Monthly Data'!BT5</f>
        <v>0</v>
      </c>
      <c r="L5" s="11">
        <f>'GS&lt;50 Predicted Monthly'!$X$8</f>
        <v>-13592432.544671699</v>
      </c>
      <c r="M5" s="11">
        <f>E5*'GS&lt;50 Predicted Monthly'!$X$9</f>
        <v>2075472.4681863047</v>
      </c>
      <c r="N5" s="11">
        <f>F5*'GS&lt;50 Predicted Monthly'!$X$10</f>
        <v>488755.35735615046</v>
      </c>
      <c r="O5" s="11">
        <f>G5*'GS&lt;50 Predicted Monthly'!$X$11</f>
        <v>0</v>
      </c>
      <c r="P5" s="11">
        <f>H5*'GS&lt;50 Predicted Monthly'!$X$12</f>
        <v>20084064.457684711</v>
      </c>
      <c r="Q5" s="11">
        <f>I5*'GS&lt;50 Predicted Monthly'!$X$13</f>
        <v>19955762.111976247</v>
      </c>
      <c r="R5" s="11">
        <f t="shared" si="5"/>
        <v>0</v>
      </c>
      <c r="S5" s="11">
        <f t="shared" si="6"/>
        <v>29011621.850531712</v>
      </c>
      <c r="T5" s="11">
        <f t="shared" si="3"/>
        <v>11145.647951297462</v>
      </c>
      <c r="U5" s="23">
        <f t="shared" si="4"/>
        <v>3.8432637703741365E-4</v>
      </c>
      <c r="W5" t="s">
        <v>548</v>
      </c>
    </row>
    <row r="6" spans="1:27" x14ac:dyDescent="0.2">
      <c r="A6" s="8">
        <f>'Monthly Data'!A6</f>
        <v>42856</v>
      </c>
      <c r="B6">
        <f t="shared" si="1"/>
        <v>2017</v>
      </c>
      <c r="C6">
        <f t="shared" si="2"/>
        <v>5</v>
      </c>
      <c r="D6" s="19">
        <f>'Monthly Data'!J6</f>
        <v>30141065.936159503</v>
      </c>
      <c r="E6" s="21">
        <f>'Monthly Data'!BJ6</f>
        <v>92.170833333333348</v>
      </c>
      <c r="F6" s="21">
        <f>'Monthly Data'!BK6</f>
        <v>37.183333333333337</v>
      </c>
      <c r="G6" s="283">
        <f>'Monthly Data'!CV6</f>
        <v>0</v>
      </c>
      <c r="H6" s="7">
        <f>'Monthly Data'!CS6</f>
        <v>31</v>
      </c>
      <c r="I6" s="7">
        <f>'Monthly Data'!AO6</f>
        <v>764676</v>
      </c>
      <c r="J6" s="7">
        <f>'Monthly Data'!BT6</f>
        <v>0</v>
      </c>
      <c r="L6" s="11">
        <f>'GS&lt;50 Predicted Monthly'!$X$8</f>
        <v>-13592432.544671699</v>
      </c>
      <c r="M6" s="11">
        <f>E6*'GS&lt;50 Predicted Monthly'!$X$9</f>
        <v>1273410.0645905931</v>
      </c>
      <c r="N6" s="11">
        <f>F6*'GS&lt;50 Predicted Monthly'!$X$10</f>
        <v>1600606.5354298295</v>
      </c>
      <c r="O6" s="11">
        <f>G6*'GS&lt;50 Predicted Monthly'!$X$11</f>
        <v>0</v>
      </c>
      <c r="P6" s="11">
        <f>H6*'GS&lt;50 Predicted Monthly'!$X$12</f>
        <v>20753533.272940867</v>
      </c>
      <c r="Q6" s="11">
        <f>I6*'GS&lt;50 Predicted Monthly'!$X$13</f>
        <v>19955762.111976247</v>
      </c>
      <c r="R6" s="11">
        <f t="shared" si="5"/>
        <v>0</v>
      </c>
      <c r="S6" s="11">
        <f t="shared" si="6"/>
        <v>29990879.440265838</v>
      </c>
      <c r="T6" s="11">
        <f t="shared" si="3"/>
        <v>-150186.49589366466</v>
      </c>
      <c r="U6" s="23">
        <f t="shared" si="4"/>
        <v>4.9827864817975657E-3</v>
      </c>
    </row>
    <row r="7" spans="1:27" x14ac:dyDescent="0.2">
      <c r="A7" s="8">
        <f>'Monthly Data'!A7</f>
        <v>42887</v>
      </c>
      <c r="B7">
        <f t="shared" si="1"/>
        <v>2017</v>
      </c>
      <c r="C7">
        <f t="shared" si="2"/>
        <v>6</v>
      </c>
      <c r="D7" s="19">
        <f>'Monthly Data'!J7</f>
        <v>32275893.669738587</v>
      </c>
      <c r="E7" s="21">
        <f>'Monthly Data'!BJ7</f>
        <v>0.98333333333333428</v>
      </c>
      <c r="F7" s="21">
        <f>'Monthly Data'!BK7</f>
        <v>147.1333333333333</v>
      </c>
      <c r="G7" s="283">
        <f>'Monthly Data'!CV7</f>
        <v>0</v>
      </c>
      <c r="H7" s="7">
        <f>'Monthly Data'!CS7</f>
        <v>30</v>
      </c>
      <c r="I7" s="7">
        <f>'Monthly Data'!AO7</f>
        <v>764676</v>
      </c>
      <c r="J7" s="7">
        <f>'Monthly Data'!BT7</f>
        <v>0</v>
      </c>
      <c r="L7" s="11">
        <f>'GS&lt;50 Predicted Monthly'!$X$8</f>
        <v>-13592432.544671699</v>
      </c>
      <c r="M7" s="11">
        <f>E7*'GS&lt;50 Predicted Monthly'!$X$9</f>
        <v>13585.496823985364</v>
      </c>
      <c r="N7" s="11">
        <f>F7*'GS&lt;50 Predicted Monthly'!$X$10</f>
        <v>6333551.992279036</v>
      </c>
      <c r="O7" s="11">
        <f>G7*'GS&lt;50 Predicted Monthly'!$X$11</f>
        <v>0</v>
      </c>
      <c r="P7" s="11">
        <f>H7*'GS&lt;50 Predicted Monthly'!$X$12</f>
        <v>20084064.457684711</v>
      </c>
      <c r="Q7" s="11">
        <f>I7*'GS&lt;50 Predicted Monthly'!$X$13</f>
        <v>19955762.111976247</v>
      </c>
      <c r="R7" s="11">
        <f t="shared" si="5"/>
        <v>0</v>
      </c>
      <c r="S7" s="11">
        <f t="shared" si="6"/>
        <v>32794531.514092281</v>
      </c>
      <c r="T7" s="11">
        <f t="shared" si="3"/>
        <v>518637.84435369447</v>
      </c>
      <c r="U7" s="23">
        <f t="shared" si="4"/>
        <v>1.6068891837996164E-2</v>
      </c>
      <c r="X7" t="s">
        <v>61</v>
      </c>
      <c r="Y7" t="s">
        <v>62</v>
      </c>
      <c r="Z7" t="s">
        <v>63</v>
      </c>
      <c r="AA7" t="s">
        <v>64</v>
      </c>
    </row>
    <row r="8" spans="1:27" x14ac:dyDescent="0.2">
      <c r="A8" s="8">
        <f>'Monthly Data'!A8</f>
        <v>42917</v>
      </c>
      <c r="B8">
        <f t="shared" si="1"/>
        <v>2017</v>
      </c>
      <c r="C8">
        <f t="shared" si="2"/>
        <v>7</v>
      </c>
      <c r="D8" s="19">
        <f>'Monthly Data'!J8</f>
        <v>35056085.403317675</v>
      </c>
      <c r="E8" s="21">
        <f>'Monthly Data'!BJ8</f>
        <v>0</v>
      </c>
      <c r="F8" s="21">
        <f>'Monthly Data'!BK8</f>
        <v>206.83541666666665</v>
      </c>
      <c r="G8" s="283">
        <f>'Monthly Data'!CV8</f>
        <v>0</v>
      </c>
      <c r="H8" s="7">
        <f>'Monthly Data'!CS8</f>
        <v>31</v>
      </c>
      <c r="I8" s="7">
        <f>'Monthly Data'!AO8</f>
        <v>765009</v>
      </c>
      <c r="J8" s="7">
        <f>'Monthly Data'!BT8</f>
        <v>0</v>
      </c>
      <c r="L8" s="11">
        <f>'GS&lt;50 Predicted Monthly'!$X$8</f>
        <v>-13592432.544671699</v>
      </c>
      <c r="M8" s="11">
        <f>E8*'GS&lt;50 Predicted Monthly'!$X$9</f>
        <v>0</v>
      </c>
      <c r="N8" s="11">
        <f>F8*'GS&lt;50 Predicted Monthly'!$X$10</f>
        <v>8903508.3731515501</v>
      </c>
      <c r="O8" s="11">
        <f>G8*'GS&lt;50 Predicted Monthly'!$X$11</f>
        <v>0</v>
      </c>
      <c r="P8" s="11">
        <f>H8*'GS&lt;50 Predicted Monthly'!$X$12</f>
        <v>20753533.272940867</v>
      </c>
      <c r="Q8" s="11">
        <f>I8*'GS&lt;50 Predicted Monthly'!$X$13</f>
        <v>19964452.418437138</v>
      </c>
      <c r="R8" s="11">
        <f t="shared" si="5"/>
        <v>0</v>
      </c>
      <c r="S8" s="11">
        <f t="shared" si="6"/>
        <v>36029061.519857854</v>
      </c>
      <c r="T8" s="11">
        <f t="shared" si="3"/>
        <v>972976.11654017866</v>
      </c>
      <c r="U8" s="23">
        <f t="shared" si="4"/>
        <v>2.775484214355825E-2</v>
      </c>
      <c r="W8" t="s">
        <v>65</v>
      </c>
      <c r="X8" s="11">
        <v>-13592432.544671699</v>
      </c>
      <c r="Y8">
        <v>2361004.7005448998</v>
      </c>
      <c r="Z8">
        <v>-5.7570544190508102</v>
      </c>
      <c r="AA8" s="212">
        <v>9.2511116176609504E-8</v>
      </c>
    </row>
    <row r="9" spans="1:27" x14ac:dyDescent="0.2">
      <c r="A9" s="8">
        <f>'Monthly Data'!A9</f>
        <v>42948</v>
      </c>
      <c r="B9">
        <f t="shared" si="1"/>
        <v>2017</v>
      </c>
      <c r="C9">
        <f t="shared" si="2"/>
        <v>8</v>
      </c>
      <c r="D9" s="19">
        <f>'Monthly Data'!J9</f>
        <v>33724240.136896759</v>
      </c>
      <c r="E9" s="21">
        <f>'Monthly Data'!BJ9</f>
        <v>0</v>
      </c>
      <c r="F9" s="21">
        <f>'Monthly Data'!BK9</f>
        <v>149.20833333333331</v>
      </c>
      <c r="G9" s="283">
        <f>'Monthly Data'!CV9</f>
        <v>0</v>
      </c>
      <c r="H9" s="7">
        <f>'Monthly Data'!CS9</f>
        <v>31</v>
      </c>
      <c r="I9" s="7">
        <f>'Monthly Data'!AO9</f>
        <v>765009</v>
      </c>
      <c r="J9" s="7">
        <f>'Monthly Data'!BT9</f>
        <v>0</v>
      </c>
      <c r="L9" s="11">
        <f>'GS&lt;50 Predicted Monthly'!$X$8</f>
        <v>-13592432.544671699</v>
      </c>
      <c r="M9" s="11">
        <f>E9*'GS&lt;50 Predicted Monthly'!$X$9</f>
        <v>0</v>
      </c>
      <c r="N9" s="11">
        <f>F9*'GS&lt;50 Predicted Monthly'!$X$10</f>
        <v>6422873.154834399</v>
      </c>
      <c r="O9" s="11">
        <f>G9*'GS&lt;50 Predicted Monthly'!$X$11</f>
        <v>0</v>
      </c>
      <c r="P9" s="11">
        <f>H9*'GS&lt;50 Predicted Monthly'!$X$12</f>
        <v>20753533.272940867</v>
      </c>
      <c r="Q9" s="11">
        <f>I9*'GS&lt;50 Predicted Monthly'!$X$13</f>
        <v>19964452.418437138</v>
      </c>
      <c r="R9" s="11">
        <f t="shared" si="5"/>
        <v>0</v>
      </c>
      <c r="S9" s="11">
        <f t="shared" si="6"/>
        <v>33548426.301540703</v>
      </c>
      <c r="T9" s="11">
        <f t="shared" si="3"/>
        <v>-175813.83535605669</v>
      </c>
      <c r="U9" s="23">
        <f t="shared" si="4"/>
        <v>5.2132778868367634E-3</v>
      </c>
      <c r="W9" t="s">
        <v>30</v>
      </c>
      <c r="X9" s="11">
        <v>13815.759482019001</v>
      </c>
      <c r="Y9">
        <v>462.19533094151501</v>
      </c>
      <c r="Z9">
        <v>29.891603305199101</v>
      </c>
      <c r="AA9" s="212">
        <v>5.7609791915942401E-52</v>
      </c>
    </row>
    <row r="10" spans="1:27" x14ac:dyDescent="0.2">
      <c r="A10" s="8">
        <f>'Monthly Data'!A10</f>
        <v>42979</v>
      </c>
      <c r="B10">
        <f t="shared" si="1"/>
        <v>2017</v>
      </c>
      <c r="C10">
        <f t="shared" si="2"/>
        <v>9</v>
      </c>
      <c r="D10" s="19">
        <f>'Monthly Data'!J10</f>
        <v>31894077.870475851</v>
      </c>
      <c r="E10" s="21">
        <f>'Monthly Data'!BJ10</f>
        <v>20.80416666666666</v>
      </c>
      <c r="F10" s="21">
        <f>'Monthly Data'!BK10</f>
        <v>112.60833333333332</v>
      </c>
      <c r="G10" s="283">
        <f>'Monthly Data'!CV10</f>
        <v>0</v>
      </c>
      <c r="H10" s="7">
        <f>'Monthly Data'!CS10</f>
        <v>30</v>
      </c>
      <c r="I10" s="7">
        <f>'Monthly Data'!AO10</f>
        <v>765009</v>
      </c>
      <c r="J10" s="7">
        <f>'Monthly Data'!BT10</f>
        <v>0</v>
      </c>
      <c r="L10" s="11">
        <f>'GS&lt;50 Predicted Monthly'!$X$8</f>
        <v>-13592432.544671699</v>
      </c>
      <c r="M10" s="11">
        <f>E10*'GS&lt;50 Predicted Monthly'!$X$9</f>
        <v>287425.36289050354</v>
      </c>
      <c r="N10" s="11">
        <f>F10*'GS&lt;50 Predicted Monthly'!$X$10</f>
        <v>4847376.9863880053</v>
      </c>
      <c r="O10" s="11">
        <f>G10*'GS&lt;50 Predicted Monthly'!$X$11</f>
        <v>0</v>
      </c>
      <c r="P10" s="11">
        <f>H10*'GS&lt;50 Predicted Monthly'!$X$12</f>
        <v>20084064.457684711</v>
      </c>
      <c r="Q10" s="11">
        <f>I10*'GS&lt;50 Predicted Monthly'!$X$13</f>
        <v>19964452.418437138</v>
      </c>
      <c r="R10" s="11">
        <f t="shared" si="5"/>
        <v>0</v>
      </c>
      <c r="S10" s="11">
        <f t="shared" si="6"/>
        <v>31590886.680728659</v>
      </c>
      <c r="T10" s="11">
        <f t="shared" si="3"/>
        <v>-303191.18974719197</v>
      </c>
      <c r="U10" s="23">
        <f t="shared" si="4"/>
        <v>9.5061908037747077E-3</v>
      </c>
      <c r="W10" t="s">
        <v>31</v>
      </c>
      <c r="X10" s="11">
        <v>43046.343400174701</v>
      </c>
      <c r="Y10">
        <v>1157.2407170670001</v>
      </c>
      <c r="Z10">
        <v>37.197397883886097</v>
      </c>
      <c r="AA10" s="212">
        <v>9.22491466372287E-61</v>
      </c>
    </row>
    <row r="11" spans="1:27" x14ac:dyDescent="0.2">
      <c r="A11" s="8">
        <f>'Monthly Data'!A11</f>
        <v>43009</v>
      </c>
      <c r="B11">
        <f t="shared" si="1"/>
        <v>2017</v>
      </c>
      <c r="C11">
        <f t="shared" si="2"/>
        <v>10</v>
      </c>
      <c r="D11" s="19">
        <f>'Monthly Data'!J11</f>
        <v>30146026.604054935</v>
      </c>
      <c r="E11" s="21">
        <f>'Monthly Data'!BJ11</f>
        <v>90.324999999999989</v>
      </c>
      <c r="F11" s="21">
        <f>'Monthly Data'!BK11</f>
        <v>36.987500000000026</v>
      </c>
      <c r="G11" s="283">
        <f>'Monthly Data'!CV11</f>
        <v>0</v>
      </c>
      <c r="H11" s="7">
        <f>'Monthly Data'!CS11</f>
        <v>31</v>
      </c>
      <c r="I11" s="7">
        <f>'Monthly Data'!AO11</f>
        <v>771506</v>
      </c>
      <c r="J11" s="7">
        <f>'Monthly Data'!BT11</f>
        <v>0</v>
      </c>
      <c r="L11" s="11">
        <f>'GS&lt;50 Predicted Monthly'!$X$8</f>
        <v>-13592432.544671699</v>
      </c>
      <c r="M11" s="11">
        <f>E11*'GS&lt;50 Predicted Monthly'!$X$9</f>
        <v>1247908.4752133661</v>
      </c>
      <c r="N11" s="11">
        <f>F11*'GS&lt;50 Predicted Monthly'!$X$10</f>
        <v>1592176.6265139629</v>
      </c>
      <c r="O11" s="11">
        <f>G11*'GS&lt;50 Predicted Monthly'!$X$11</f>
        <v>0</v>
      </c>
      <c r="P11" s="11">
        <f>H11*'GS&lt;50 Predicted Monthly'!$X$12</f>
        <v>20753533.272940867</v>
      </c>
      <c r="Q11" s="11">
        <f>I11*'GS&lt;50 Predicted Monthly'!$X$13</f>
        <v>20134004.733981904</v>
      </c>
      <c r="R11" s="11">
        <f t="shared" si="5"/>
        <v>0</v>
      </c>
      <c r="S11" s="11">
        <f t="shared" si="6"/>
        <v>30135190.5639784</v>
      </c>
      <c r="T11" s="11">
        <f t="shared" si="3"/>
        <v>-10836.040076535195</v>
      </c>
      <c r="U11" s="23">
        <f t="shared" si="4"/>
        <v>3.5945168558557702E-4</v>
      </c>
      <c r="W11" t="s">
        <v>187</v>
      </c>
      <c r="X11" s="11">
        <v>-2090363.2666515401</v>
      </c>
      <c r="Y11">
        <v>333969.996031138</v>
      </c>
      <c r="Z11">
        <v>-6.2591349267694198</v>
      </c>
      <c r="AA11" s="212">
        <v>9.4698638653259894E-9</v>
      </c>
    </row>
    <row r="12" spans="1:27" x14ac:dyDescent="0.2">
      <c r="A12" s="8">
        <f>'Monthly Data'!A12</f>
        <v>43040</v>
      </c>
      <c r="B12">
        <f t="shared" si="1"/>
        <v>2017</v>
      </c>
      <c r="C12">
        <f t="shared" si="2"/>
        <v>11</v>
      </c>
      <c r="D12" s="19">
        <f>'Monthly Data'!J12</f>
        <v>31440394.337634023</v>
      </c>
      <c r="E12" s="21">
        <f>'Monthly Data'!BJ12</f>
        <v>331.08124999999995</v>
      </c>
      <c r="F12" s="21">
        <f>'Monthly Data'!BK12</f>
        <v>0</v>
      </c>
      <c r="G12" s="283">
        <f>'Monthly Data'!CV12</f>
        <v>0</v>
      </c>
      <c r="H12" s="7">
        <f>'Monthly Data'!CS12</f>
        <v>30</v>
      </c>
      <c r="I12" s="7">
        <f>'Monthly Data'!AO12</f>
        <v>771506</v>
      </c>
      <c r="J12" s="7">
        <f>'Monthly Data'!BT12</f>
        <v>0</v>
      </c>
      <c r="L12" s="11">
        <f>'GS&lt;50 Predicted Monthly'!$X$8</f>
        <v>-13592432.544671699</v>
      </c>
      <c r="M12" s="11">
        <f>E12*'GS&lt;50 Predicted Monthly'!$X$9</f>
        <v>4574138.9190062024</v>
      </c>
      <c r="N12" s="11">
        <f>F12*'GS&lt;50 Predicted Monthly'!$X$10</f>
        <v>0</v>
      </c>
      <c r="O12" s="11">
        <f>G12*'GS&lt;50 Predicted Monthly'!$X$11</f>
        <v>0</v>
      </c>
      <c r="P12" s="11">
        <f>H12*'GS&lt;50 Predicted Monthly'!$X$12</f>
        <v>20084064.457684711</v>
      </c>
      <c r="Q12" s="11">
        <f>I12*'GS&lt;50 Predicted Monthly'!$X$13</f>
        <v>20134004.733981904</v>
      </c>
      <c r="R12" s="11">
        <f t="shared" si="5"/>
        <v>0</v>
      </c>
      <c r="S12" s="11">
        <f t="shared" si="6"/>
        <v>31199775.566001117</v>
      </c>
      <c r="T12" s="11">
        <f t="shared" si="3"/>
        <v>-240618.77163290605</v>
      </c>
      <c r="U12" s="23">
        <f t="shared" si="4"/>
        <v>7.6531728275712613E-3</v>
      </c>
      <c r="W12" t="s">
        <v>178</v>
      </c>
      <c r="X12" s="11">
        <v>669468.81525615696</v>
      </c>
      <c r="Y12">
        <v>67156.325607446895</v>
      </c>
      <c r="Z12">
        <v>9.9688124566172007</v>
      </c>
      <c r="AA12" s="212">
        <v>1.0512022414508999E-16</v>
      </c>
    </row>
    <row r="13" spans="1:27" x14ac:dyDescent="0.2">
      <c r="A13" s="8">
        <f>'Monthly Data'!A13</f>
        <v>43070</v>
      </c>
      <c r="B13">
        <f t="shared" si="1"/>
        <v>2017</v>
      </c>
      <c r="C13">
        <f t="shared" si="2"/>
        <v>12</v>
      </c>
      <c r="D13" s="19">
        <f>'Monthly Data'!J13</f>
        <v>34201747.071213111</v>
      </c>
      <c r="E13" s="21">
        <f>'Monthly Data'!BJ13</f>
        <v>592.54583333333346</v>
      </c>
      <c r="F13" s="21">
        <f>'Monthly Data'!BK13</f>
        <v>0</v>
      </c>
      <c r="G13" s="283">
        <f>'Monthly Data'!CV13</f>
        <v>0</v>
      </c>
      <c r="H13" s="7">
        <f>'Monthly Data'!CS13</f>
        <v>31</v>
      </c>
      <c r="I13" s="7">
        <f>'Monthly Data'!AO13</f>
        <v>771506</v>
      </c>
      <c r="J13" s="7">
        <f>'Monthly Data'!BT13</f>
        <v>0</v>
      </c>
      <c r="L13" s="11">
        <f>'GS&lt;50 Predicted Monthly'!$X$8</f>
        <v>-13592432.544671699</v>
      </c>
      <c r="M13" s="11">
        <f>E13*'GS&lt;50 Predicted Monthly'!$X$9</f>
        <v>8186470.7154058525</v>
      </c>
      <c r="N13" s="11">
        <f>F13*'GS&lt;50 Predicted Monthly'!$X$10</f>
        <v>0</v>
      </c>
      <c r="O13" s="11">
        <f>G13*'GS&lt;50 Predicted Monthly'!$X$11</f>
        <v>0</v>
      </c>
      <c r="P13" s="11">
        <f>H13*'GS&lt;50 Predicted Monthly'!$X$12</f>
        <v>20753533.272940867</v>
      </c>
      <c r="Q13" s="11">
        <f>I13*'GS&lt;50 Predicted Monthly'!$X$13</f>
        <v>20134004.733981904</v>
      </c>
      <c r="R13" s="11">
        <f t="shared" si="5"/>
        <v>0</v>
      </c>
      <c r="S13" s="11">
        <f t="shared" si="6"/>
        <v>35481576.177656919</v>
      </c>
      <c r="T13" s="11">
        <f t="shared" si="3"/>
        <v>1279829.1064438075</v>
      </c>
      <c r="U13" s="23">
        <f t="shared" si="4"/>
        <v>3.7419992136045375E-2</v>
      </c>
      <c r="W13" t="s">
        <v>185</v>
      </c>
      <c r="X13" s="11">
        <v>26.0970163990713</v>
      </c>
      <c r="Y13">
        <v>1.5375013467677701</v>
      </c>
      <c r="Z13">
        <v>16.973654334634599</v>
      </c>
      <c r="AA13" s="212">
        <v>2.4118765073831602E-31</v>
      </c>
    </row>
    <row r="14" spans="1:27" x14ac:dyDescent="0.2">
      <c r="A14" s="8">
        <f>'Monthly Data'!A14</f>
        <v>43101</v>
      </c>
      <c r="B14">
        <f t="shared" si="1"/>
        <v>2018</v>
      </c>
      <c r="C14">
        <f t="shared" si="2"/>
        <v>1</v>
      </c>
      <c r="D14" s="19">
        <f>'Monthly Data'!J14</f>
        <v>37147855.281969562</v>
      </c>
      <c r="E14" s="21">
        <f>'Monthly Data'!BJ14</f>
        <v>626.29583333333323</v>
      </c>
      <c r="F14" s="21">
        <f>'Monthly Data'!BK14</f>
        <v>0</v>
      </c>
      <c r="G14" s="283">
        <f>'Monthly Data'!CV14</f>
        <v>0</v>
      </c>
      <c r="H14" s="7">
        <f>'Monthly Data'!CS14</f>
        <v>31</v>
      </c>
      <c r="I14" s="7">
        <f>'Monthly Data'!AO14</f>
        <v>779694</v>
      </c>
      <c r="J14" s="7">
        <f>'Monthly Data'!BT14</f>
        <v>0</v>
      </c>
      <c r="L14" s="11">
        <f>'GS&lt;50 Predicted Monthly'!$X$8</f>
        <v>-13592432.544671699</v>
      </c>
      <c r="M14" s="11">
        <f>E14*'GS&lt;50 Predicted Monthly'!$X$9</f>
        <v>8652752.5979239903</v>
      </c>
      <c r="N14" s="11">
        <f>F14*'GS&lt;50 Predicted Monthly'!$X$10</f>
        <v>0</v>
      </c>
      <c r="O14" s="11">
        <f>G14*'GS&lt;50 Predicted Monthly'!$X$11</f>
        <v>0</v>
      </c>
      <c r="P14" s="11">
        <f>H14*'GS&lt;50 Predicted Monthly'!$X$12</f>
        <v>20753533.272940867</v>
      </c>
      <c r="Q14" s="11">
        <f>I14*'GS&lt;50 Predicted Monthly'!$X$13</f>
        <v>20347687.104257498</v>
      </c>
      <c r="R14" s="11">
        <f t="shared" si="5"/>
        <v>0</v>
      </c>
      <c r="S14" s="11">
        <f t="shared" si="6"/>
        <v>36161540.430450656</v>
      </c>
      <c r="T14" s="11">
        <f t="shared" si="3"/>
        <v>-986314.85151890665</v>
      </c>
      <c r="U14" s="23">
        <f t="shared" si="4"/>
        <v>2.6551057767193194E-2</v>
      </c>
      <c r="W14" t="s">
        <v>45</v>
      </c>
      <c r="X14" s="11">
        <v>522033.18159628101</v>
      </c>
      <c r="Y14">
        <v>217218.47560711199</v>
      </c>
      <c r="Z14">
        <v>2.4032632589711</v>
      </c>
      <c r="AA14" s="212">
        <v>1.8073979749114E-2</v>
      </c>
    </row>
    <row r="15" spans="1:27" x14ac:dyDescent="0.2">
      <c r="A15" s="8">
        <f>'Monthly Data'!A15</f>
        <v>43132</v>
      </c>
      <c r="B15">
        <f t="shared" si="1"/>
        <v>2018</v>
      </c>
      <c r="C15">
        <f t="shared" si="2"/>
        <v>2</v>
      </c>
      <c r="D15" s="19">
        <f>'Monthly Data'!J15</f>
        <v>32130532.581361752</v>
      </c>
      <c r="E15" s="21">
        <f>'Monthly Data'!BJ15</f>
        <v>462.37083333333339</v>
      </c>
      <c r="F15" s="21">
        <f>'Monthly Data'!BK15</f>
        <v>0</v>
      </c>
      <c r="G15" s="283">
        <f>'Monthly Data'!CV15</f>
        <v>0</v>
      </c>
      <c r="H15" s="7">
        <f>'Monthly Data'!CS15</f>
        <v>28</v>
      </c>
      <c r="I15" s="7">
        <f>'Monthly Data'!AO15</f>
        <v>779694</v>
      </c>
      <c r="J15" s="7">
        <f>'Monthly Data'!BT15</f>
        <v>0</v>
      </c>
      <c r="L15" s="11">
        <f>'GS&lt;50 Predicted Monthly'!$X$8</f>
        <v>-13592432.544671699</v>
      </c>
      <c r="M15" s="11">
        <f>E15*'GS&lt;50 Predicted Monthly'!$X$9</f>
        <v>6388004.2248340277</v>
      </c>
      <c r="N15" s="11">
        <f>F15*'GS&lt;50 Predicted Monthly'!$X$10</f>
        <v>0</v>
      </c>
      <c r="O15" s="11">
        <f>G15*'GS&lt;50 Predicted Monthly'!$X$11</f>
        <v>0</v>
      </c>
      <c r="P15" s="11">
        <f>H15*'GS&lt;50 Predicted Monthly'!$X$12</f>
        <v>18745126.827172395</v>
      </c>
      <c r="Q15" s="11">
        <f>I15*'GS&lt;50 Predicted Monthly'!$X$13</f>
        <v>20347687.104257498</v>
      </c>
      <c r="R15" s="11">
        <f t="shared" si="5"/>
        <v>0</v>
      </c>
      <c r="S15" s="11">
        <f t="shared" si="6"/>
        <v>31888385.611592222</v>
      </c>
      <c r="T15" s="11">
        <f t="shared" si="3"/>
        <v>-242146.96976953</v>
      </c>
      <c r="U15" s="23">
        <f t="shared" si="4"/>
        <v>7.5363509508085272E-3</v>
      </c>
    </row>
    <row r="16" spans="1:27" x14ac:dyDescent="0.2">
      <c r="A16" s="8">
        <f>'Monthly Data'!A16</f>
        <v>43160</v>
      </c>
      <c r="B16">
        <f t="shared" si="1"/>
        <v>2018</v>
      </c>
      <c r="C16">
        <f t="shared" si="2"/>
        <v>3</v>
      </c>
      <c r="D16" s="19">
        <f>'Monthly Data'!J16</f>
        <v>34082211.880753942</v>
      </c>
      <c r="E16" s="21">
        <f>'Monthly Data'!BJ16</f>
        <v>471.81666666666666</v>
      </c>
      <c r="F16" s="21">
        <f>'Monthly Data'!BK16</f>
        <v>0</v>
      </c>
      <c r="G16" s="283">
        <f>'Monthly Data'!CV16</f>
        <v>0</v>
      </c>
      <c r="H16" s="7">
        <f>'Monthly Data'!CS16</f>
        <v>31</v>
      </c>
      <c r="I16" s="7">
        <f>'Monthly Data'!AO16</f>
        <v>779694</v>
      </c>
      <c r="J16" s="7">
        <f>'Monthly Data'!BT16</f>
        <v>1</v>
      </c>
      <c r="L16" s="11">
        <f>'GS&lt;50 Predicted Monthly'!$X$8</f>
        <v>-13592432.544671699</v>
      </c>
      <c r="M16" s="11">
        <f>E16*'GS&lt;50 Predicted Monthly'!$X$9</f>
        <v>6518505.5862745978</v>
      </c>
      <c r="N16" s="11">
        <f>F16*'GS&lt;50 Predicted Monthly'!$X$10</f>
        <v>0</v>
      </c>
      <c r="O16" s="11">
        <f>G16*'GS&lt;50 Predicted Monthly'!$X$11</f>
        <v>0</v>
      </c>
      <c r="P16" s="11">
        <f>H16*'GS&lt;50 Predicted Monthly'!$X$12</f>
        <v>20753533.272940867</v>
      </c>
      <c r="Q16" s="11">
        <f>I16*'GS&lt;50 Predicted Monthly'!$X$13</f>
        <v>20347687.104257498</v>
      </c>
      <c r="R16" s="11">
        <f t="shared" si="5"/>
        <v>522033.18159628101</v>
      </c>
      <c r="S16" s="11">
        <f t="shared" si="6"/>
        <v>34549326.600397542</v>
      </c>
      <c r="T16" s="11">
        <f t="shared" si="3"/>
        <v>467114.71964360029</v>
      </c>
      <c r="U16" s="23">
        <f t="shared" si="4"/>
        <v>1.370552830543776E-2</v>
      </c>
      <c r="W16" t="s">
        <v>152</v>
      </c>
    </row>
    <row r="17" spans="1:26" x14ac:dyDescent="0.2">
      <c r="A17" s="8">
        <f>'Monthly Data'!A17</f>
        <v>43191</v>
      </c>
      <c r="B17">
        <f t="shared" si="1"/>
        <v>2018</v>
      </c>
      <c r="C17">
        <f t="shared" si="2"/>
        <v>4</v>
      </c>
      <c r="D17" s="19">
        <f>'Monthly Data'!J17</f>
        <v>31578780.180146135</v>
      </c>
      <c r="E17" s="21">
        <f>'Monthly Data'!BJ17</f>
        <v>340.9</v>
      </c>
      <c r="F17" s="21">
        <f>'Monthly Data'!BK17</f>
        <v>0</v>
      </c>
      <c r="G17" s="283">
        <f>'Monthly Data'!CV17</f>
        <v>0</v>
      </c>
      <c r="H17" s="7">
        <f>'Monthly Data'!CS17</f>
        <v>30</v>
      </c>
      <c r="I17" s="7">
        <f>'Monthly Data'!AO17</f>
        <v>785185</v>
      </c>
      <c r="J17" s="7">
        <f>'Monthly Data'!BT17</f>
        <v>0</v>
      </c>
      <c r="L17" s="11">
        <f>'GS&lt;50 Predicted Monthly'!$X$8</f>
        <v>-13592432.544671699</v>
      </c>
      <c r="M17" s="11">
        <f>E17*'GS&lt;50 Predicted Monthly'!$X$9</f>
        <v>4709792.4074202767</v>
      </c>
      <c r="N17" s="11">
        <f>F17*'GS&lt;50 Predicted Monthly'!$X$10</f>
        <v>0</v>
      </c>
      <c r="O17" s="11">
        <f>G17*'GS&lt;50 Predicted Monthly'!$X$11</f>
        <v>0</v>
      </c>
      <c r="P17" s="11">
        <f>H17*'GS&lt;50 Predicted Monthly'!$X$12</f>
        <v>20084064.457684711</v>
      </c>
      <c r="Q17" s="11">
        <f>I17*'GS&lt;50 Predicted Monthly'!$X$13</f>
        <v>20490985.821304798</v>
      </c>
      <c r="R17" s="11">
        <f t="shared" si="5"/>
        <v>0</v>
      </c>
      <c r="S17" s="11">
        <f t="shared" si="6"/>
        <v>31692410.141738087</v>
      </c>
      <c r="T17" s="11">
        <f t="shared" si="3"/>
        <v>113629.96159195155</v>
      </c>
      <c r="U17" s="23">
        <f t="shared" si="4"/>
        <v>3.5983011675476853E-3</v>
      </c>
      <c r="W17" t="s">
        <v>68</v>
      </c>
      <c r="X17">
        <v>34293004169664</v>
      </c>
      <c r="Y17" t="s">
        <v>69</v>
      </c>
      <c r="Z17">
        <v>582696.05691916996</v>
      </c>
    </row>
    <row r="18" spans="1:26" x14ac:dyDescent="0.2">
      <c r="A18" s="8">
        <f>'Monthly Data'!A18</f>
        <v>43221</v>
      </c>
      <c r="B18">
        <f t="shared" si="1"/>
        <v>2018</v>
      </c>
      <c r="C18">
        <f t="shared" si="2"/>
        <v>5</v>
      </c>
      <c r="D18" s="19">
        <f>'Monthly Data'!J18</f>
        <v>32437913.479538325</v>
      </c>
      <c r="E18" s="21">
        <f>'Monthly Data'!BJ18</f>
        <v>15.375000000000002</v>
      </c>
      <c r="F18" s="21">
        <f>'Monthly Data'!BK18</f>
        <v>107.17916666666667</v>
      </c>
      <c r="G18" s="283">
        <f>'Monthly Data'!CV18</f>
        <v>0</v>
      </c>
      <c r="H18" s="7">
        <f>'Monthly Data'!CS18</f>
        <v>31</v>
      </c>
      <c r="I18" s="7">
        <f>'Monthly Data'!AO18</f>
        <v>785185</v>
      </c>
      <c r="J18" s="7">
        <f>'Monthly Data'!BT18</f>
        <v>0</v>
      </c>
      <c r="L18" s="11">
        <f>'GS&lt;50 Predicted Monthly'!$X$8</f>
        <v>-13592432.544671699</v>
      </c>
      <c r="M18" s="11">
        <f>E18*'GS&lt;50 Predicted Monthly'!$X$9</f>
        <v>212417.30203604215</v>
      </c>
      <c r="N18" s="11">
        <f>F18*'GS&lt;50 Predicted Monthly'!$X$10</f>
        <v>4613671.2136778915</v>
      </c>
      <c r="O18" s="11">
        <f>G18*'GS&lt;50 Predicted Monthly'!$X$11</f>
        <v>0</v>
      </c>
      <c r="P18" s="11">
        <f>H18*'GS&lt;50 Predicted Monthly'!$X$12</f>
        <v>20753533.272940867</v>
      </c>
      <c r="Q18" s="11">
        <f>I18*'GS&lt;50 Predicted Monthly'!$X$13</f>
        <v>20490985.821304798</v>
      </c>
      <c r="R18" s="11">
        <f t="shared" si="5"/>
        <v>0</v>
      </c>
      <c r="S18" s="11">
        <f t="shared" si="6"/>
        <v>32478175.065287899</v>
      </c>
      <c r="T18" s="11">
        <f t="shared" si="3"/>
        <v>40261.585749574006</v>
      </c>
      <c r="U18" s="23">
        <f t="shared" si="4"/>
        <v>1.2411891342817352E-3</v>
      </c>
      <c r="W18" t="s">
        <v>70</v>
      </c>
      <c r="X18">
        <v>0.96250067861344302</v>
      </c>
      <c r="Y18" t="s">
        <v>71</v>
      </c>
      <c r="Z18" s="20">
        <v>0.96027299615483597</v>
      </c>
    </row>
    <row r="19" spans="1:26" x14ac:dyDescent="0.2">
      <c r="A19" s="8">
        <f>'Monthly Data'!A19</f>
        <v>43252</v>
      </c>
      <c r="B19">
        <f t="shared" si="1"/>
        <v>2018</v>
      </c>
      <c r="C19">
        <f t="shared" si="2"/>
        <v>6</v>
      </c>
      <c r="D19" s="19">
        <f>'Monthly Data'!J19</f>
        <v>33981626.778930515</v>
      </c>
      <c r="E19" s="21">
        <f>'Monthly Data'!BJ19</f>
        <v>4.6208333333333336</v>
      </c>
      <c r="F19" s="21">
        <f>'Monthly Data'!BK19</f>
        <v>155.0625</v>
      </c>
      <c r="G19" s="283">
        <f>'Monthly Data'!CV19</f>
        <v>0</v>
      </c>
      <c r="H19" s="7">
        <f>'Monthly Data'!CS19</f>
        <v>30</v>
      </c>
      <c r="I19" s="7">
        <f>'Monthly Data'!AO19</f>
        <v>785185</v>
      </c>
      <c r="J19" s="7">
        <f>'Monthly Data'!BT19</f>
        <v>0</v>
      </c>
      <c r="L19" s="11">
        <f>'GS&lt;50 Predicted Monthly'!$X$8</f>
        <v>-13592432.544671699</v>
      </c>
      <c r="M19" s="11">
        <f>E19*'GS&lt;50 Predicted Monthly'!$X$9</f>
        <v>63840.321939829468</v>
      </c>
      <c r="N19" s="11">
        <f>F19*'GS&lt;50 Predicted Monthly'!$X$10</f>
        <v>6674873.6234895894</v>
      </c>
      <c r="O19" s="11">
        <f>G19*'GS&lt;50 Predicted Monthly'!$X$11</f>
        <v>0</v>
      </c>
      <c r="P19" s="11">
        <f>H19*'GS&lt;50 Predicted Monthly'!$X$12</f>
        <v>20084064.457684711</v>
      </c>
      <c r="Q19" s="11">
        <f>I19*'GS&lt;50 Predicted Monthly'!$X$13</f>
        <v>20490985.821304798</v>
      </c>
      <c r="R19" s="11">
        <f t="shared" si="5"/>
        <v>0</v>
      </c>
      <c r="S19" s="11">
        <f t="shared" si="6"/>
        <v>33721331.679747224</v>
      </c>
      <c r="T19" s="11">
        <f t="shared" si="3"/>
        <v>-260295.0991832912</v>
      </c>
      <c r="U19" s="23">
        <f t="shared" si="4"/>
        <v>7.6598775237176368E-3</v>
      </c>
      <c r="W19" t="s">
        <v>537</v>
      </c>
      <c r="X19">
        <v>384.088122749234</v>
      </c>
      <c r="Y19" t="s">
        <v>72</v>
      </c>
      <c r="Z19">
        <v>3.6434724367153397E-67</v>
      </c>
    </row>
    <row r="20" spans="1:26" x14ac:dyDescent="0.2">
      <c r="A20" s="8">
        <f>'Monthly Data'!A20</f>
        <v>43282</v>
      </c>
      <c r="B20">
        <f t="shared" si="1"/>
        <v>2018</v>
      </c>
      <c r="C20">
        <f t="shared" si="2"/>
        <v>7</v>
      </c>
      <c r="D20" s="19">
        <f>'Monthly Data'!J20</f>
        <v>37340418.078322709</v>
      </c>
      <c r="E20" s="21">
        <f>'Monthly Data'!BJ20</f>
        <v>0</v>
      </c>
      <c r="F20" s="21">
        <f>'Monthly Data'!BK20</f>
        <v>224.81458333333336</v>
      </c>
      <c r="G20" s="283">
        <f>'Monthly Data'!CV20</f>
        <v>0</v>
      </c>
      <c r="H20" s="7">
        <f>'Monthly Data'!CS20</f>
        <v>31</v>
      </c>
      <c r="I20" s="7">
        <f>'Monthly Data'!AO20</f>
        <v>794512</v>
      </c>
      <c r="J20" s="7">
        <f>'Monthly Data'!BT20</f>
        <v>0</v>
      </c>
      <c r="L20" s="11">
        <f>'GS&lt;50 Predicted Monthly'!$X$8</f>
        <v>-13592432.544671699</v>
      </c>
      <c r="M20" s="11">
        <f>E20*'GS&lt;50 Predicted Monthly'!$X$9</f>
        <v>0</v>
      </c>
      <c r="N20" s="11">
        <f>F20*'GS&lt;50 Predicted Monthly'!$X$10</f>
        <v>9677445.7555338591</v>
      </c>
      <c r="O20" s="11">
        <f>G20*'GS&lt;50 Predicted Monthly'!$X$11</f>
        <v>0</v>
      </c>
      <c r="P20" s="11">
        <f>H20*'GS&lt;50 Predicted Monthly'!$X$12</f>
        <v>20753533.272940867</v>
      </c>
      <c r="Q20" s="11">
        <f>I20*'GS&lt;50 Predicted Monthly'!$X$13</f>
        <v>20734392.693258937</v>
      </c>
      <c r="R20" s="11">
        <f t="shared" si="5"/>
        <v>0</v>
      </c>
      <c r="S20" s="11">
        <f t="shared" si="6"/>
        <v>37572939.17706196</v>
      </c>
      <c r="T20" s="11">
        <f t="shared" si="3"/>
        <v>232521.09873925149</v>
      </c>
      <c r="U20" s="23">
        <f t="shared" si="4"/>
        <v>6.2270620069526574E-3</v>
      </c>
      <c r="W20" t="s">
        <v>73</v>
      </c>
      <c r="X20">
        <v>1.8540361597059199E-2</v>
      </c>
      <c r="Y20" t="s">
        <v>74</v>
      </c>
      <c r="Z20">
        <v>1.94208892055753</v>
      </c>
    </row>
    <row r="21" spans="1:26" x14ac:dyDescent="0.2">
      <c r="A21" s="8">
        <f>'Monthly Data'!A21</f>
        <v>43313</v>
      </c>
      <c r="B21">
        <f t="shared" si="1"/>
        <v>2018</v>
      </c>
      <c r="C21">
        <f t="shared" si="2"/>
        <v>8</v>
      </c>
      <c r="D21" s="19">
        <f>'Monthly Data'!J21</f>
        <v>37258199.377714895</v>
      </c>
      <c r="E21" s="21">
        <f>'Monthly Data'!BJ21</f>
        <v>0</v>
      </c>
      <c r="F21" s="21">
        <f>'Monthly Data'!BK21</f>
        <v>230.90833333333327</v>
      </c>
      <c r="G21" s="283">
        <f>'Monthly Data'!CV21</f>
        <v>0</v>
      </c>
      <c r="H21" s="7">
        <f>'Monthly Data'!CS21</f>
        <v>31</v>
      </c>
      <c r="I21" s="7">
        <f>'Monthly Data'!AO21</f>
        <v>794512</v>
      </c>
      <c r="J21" s="7">
        <f>'Monthly Data'!BT21</f>
        <v>0</v>
      </c>
      <c r="L21" s="11">
        <f>'GS&lt;50 Predicted Monthly'!$X$8</f>
        <v>-13592432.544671699</v>
      </c>
      <c r="M21" s="11">
        <f>E21*'GS&lt;50 Predicted Monthly'!$X$9</f>
        <v>0</v>
      </c>
      <c r="N21" s="11">
        <f>F21*'GS&lt;50 Predicted Monthly'!$X$10</f>
        <v>9939759.4106286708</v>
      </c>
      <c r="O21" s="11">
        <f>G21*'GS&lt;50 Predicted Monthly'!$X$11</f>
        <v>0</v>
      </c>
      <c r="P21" s="11">
        <f>H21*'GS&lt;50 Predicted Monthly'!$X$12</f>
        <v>20753533.272940867</v>
      </c>
      <c r="Q21" s="11">
        <f>I21*'GS&lt;50 Predicted Monthly'!$X$13</f>
        <v>20734392.693258937</v>
      </c>
      <c r="R21" s="11">
        <f t="shared" si="5"/>
        <v>0</v>
      </c>
      <c r="S21" s="11">
        <f t="shared" si="6"/>
        <v>37835252.832156777</v>
      </c>
      <c r="T21" s="11">
        <f t="shared" si="3"/>
        <v>577053.45444188267</v>
      </c>
      <c r="U21" s="23">
        <f t="shared" si="4"/>
        <v>1.5487958733374363E-2</v>
      </c>
    </row>
    <row r="22" spans="1:26" x14ac:dyDescent="0.2">
      <c r="A22" s="8">
        <f>'Monthly Data'!A22</f>
        <v>43344</v>
      </c>
      <c r="B22">
        <f t="shared" si="1"/>
        <v>2018</v>
      </c>
      <c r="C22">
        <f t="shared" si="2"/>
        <v>9</v>
      </c>
      <c r="D22" s="19">
        <f>'Monthly Data'!J22</f>
        <v>32457955.677107088</v>
      </c>
      <c r="E22" s="21">
        <f>'Monthly Data'!BJ22</f>
        <v>20.0625</v>
      </c>
      <c r="F22" s="21">
        <f>'Monthly Data'!BK22</f>
        <v>130.34583333333333</v>
      </c>
      <c r="G22" s="283">
        <f>'Monthly Data'!CV22</f>
        <v>0</v>
      </c>
      <c r="H22" s="7">
        <f>'Monthly Data'!CS22</f>
        <v>30</v>
      </c>
      <c r="I22" s="7">
        <f>'Monthly Data'!AO22</f>
        <v>794512</v>
      </c>
      <c r="J22" s="7">
        <f>'Monthly Data'!BT22</f>
        <v>0</v>
      </c>
      <c r="L22" s="11">
        <f>'GS&lt;50 Predicted Monthly'!$X$8</f>
        <v>-13592432.544671699</v>
      </c>
      <c r="M22" s="11">
        <f>E22*'GS&lt;50 Predicted Monthly'!$X$9</f>
        <v>277178.6746080062</v>
      </c>
      <c r="N22" s="11">
        <f>F22*'GS&lt;50 Predicted Monthly'!$X$10</f>
        <v>5610911.5024486044</v>
      </c>
      <c r="O22" s="11">
        <f>G22*'GS&lt;50 Predicted Monthly'!$X$11</f>
        <v>0</v>
      </c>
      <c r="P22" s="11">
        <f>H22*'GS&lt;50 Predicted Monthly'!$X$12</f>
        <v>20084064.457684711</v>
      </c>
      <c r="Q22" s="11">
        <f>I22*'GS&lt;50 Predicted Monthly'!$X$13</f>
        <v>20734392.693258937</v>
      </c>
      <c r="R22" s="11">
        <f t="shared" si="5"/>
        <v>0</v>
      </c>
      <c r="S22" s="11">
        <f t="shared" si="6"/>
        <v>33114114.783328559</v>
      </c>
      <c r="T22" s="11">
        <f t="shared" si="3"/>
        <v>656159.10622147098</v>
      </c>
      <c r="U22" s="23">
        <f t="shared" si="4"/>
        <v>2.0215663387705786E-2</v>
      </c>
      <c r="W22" t="s">
        <v>361</v>
      </c>
    </row>
    <row r="23" spans="1:26" x14ac:dyDescent="0.2">
      <c r="A23" s="8">
        <f>'Monthly Data'!A23</f>
        <v>43374</v>
      </c>
      <c r="B23">
        <f t="shared" si="1"/>
        <v>2018</v>
      </c>
      <c r="C23">
        <f t="shared" si="2"/>
        <v>10</v>
      </c>
      <c r="D23" s="19">
        <f>'Monthly Data'!J23</f>
        <v>30886290.976499278</v>
      </c>
      <c r="E23" s="21">
        <f>'Monthly Data'!BJ23</f>
        <v>181.64999999999998</v>
      </c>
      <c r="F23" s="21">
        <f>'Monthly Data'!BK23</f>
        <v>22.829166666666666</v>
      </c>
      <c r="G23" s="283">
        <f>'Monthly Data'!CV23</f>
        <v>0</v>
      </c>
      <c r="H23" s="7">
        <f>'Monthly Data'!CS23</f>
        <v>31</v>
      </c>
      <c r="I23" s="7">
        <f>'Monthly Data'!AO23</f>
        <v>799922</v>
      </c>
      <c r="J23" s="7">
        <f>'Monthly Data'!BT23</f>
        <v>0</v>
      </c>
      <c r="L23" s="11">
        <f>'GS&lt;50 Predicted Monthly'!$X$8</f>
        <v>-13592432.544671699</v>
      </c>
      <c r="M23" s="11">
        <f>E23*'GS&lt;50 Predicted Monthly'!$X$9</f>
        <v>2509632.7099087513</v>
      </c>
      <c r="N23" s="11">
        <f>F23*'GS&lt;50 Predicted Monthly'!$X$10</f>
        <v>982712.14787315496</v>
      </c>
      <c r="O23" s="11">
        <f>G23*'GS&lt;50 Predicted Monthly'!$X$11</f>
        <v>0</v>
      </c>
      <c r="P23" s="11">
        <f>H23*'GS&lt;50 Predicted Monthly'!$X$12</f>
        <v>20753533.272940867</v>
      </c>
      <c r="Q23" s="11">
        <f>I23*'GS&lt;50 Predicted Monthly'!$X$13</f>
        <v>20875577.551977914</v>
      </c>
      <c r="R23" s="11">
        <f t="shared" si="5"/>
        <v>0</v>
      </c>
      <c r="S23" s="11">
        <f t="shared" si="6"/>
        <v>31529023.138028987</v>
      </c>
      <c r="T23" s="11">
        <f t="shared" si="3"/>
        <v>642732.16152970865</v>
      </c>
      <c r="U23" s="23">
        <f t="shared" si="4"/>
        <v>2.0809625928174733E-2</v>
      </c>
      <c r="W23" t="s">
        <v>66</v>
      </c>
      <c r="X23" s="11">
        <v>34026458.941719398</v>
      </c>
      <c r="Y23" t="s">
        <v>67</v>
      </c>
      <c r="Z23" s="11">
        <v>2919440.1431907201</v>
      </c>
    </row>
    <row r="24" spans="1:26" x14ac:dyDescent="0.2">
      <c r="A24" s="8">
        <f>'Monthly Data'!A24</f>
        <v>43405</v>
      </c>
      <c r="B24">
        <f t="shared" si="1"/>
        <v>2018</v>
      </c>
      <c r="C24">
        <f t="shared" si="2"/>
        <v>11</v>
      </c>
      <c r="D24" s="19">
        <f>'Monthly Data'!J24</f>
        <v>33064714.275891468</v>
      </c>
      <c r="E24" s="21">
        <f>'Monthly Data'!BJ24</f>
        <v>398.42499999999995</v>
      </c>
      <c r="F24" s="21">
        <f>'Monthly Data'!BK24</f>
        <v>0</v>
      </c>
      <c r="G24" s="283">
        <f>'Monthly Data'!CV24</f>
        <v>0</v>
      </c>
      <c r="H24" s="7">
        <f>'Monthly Data'!CS24</f>
        <v>30</v>
      </c>
      <c r="I24" s="7">
        <f>'Monthly Data'!AO24</f>
        <v>799922</v>
      </c>
      <c r="J24" s="7">
        <f>'Monthly Data'!BT24</f>
        <v>0</v>
      </c>
      <c r="L24" s="11">
        <f>'GS&lt;50 Predicted Monthly'!$X$8</f>
        <v>-13592432.544671699</v>
      </c>
      <c r="M24" s="11">
        <f>E24*'GS&lt;50 Predicted Monthly'!$X$9</f>
        <v>5504543.9716234198</v>
      </c>
      <c r="N24" s="11">
        <f>F24*'GS&lt;50 Predicted Monthly'!$X$10</f>
        <v>0</v>
      </c>
      <c r="O24" s="11">
        <f>G24*'GS&lt;50 Predicted Monthly'!$X$11</f>
        <v>0</v>
      </c>
      <c r="P24" s="11">
        <f>H24*'GS&lt;50 Predicted Monthly'!$X$12</f>
        <v>20084064.457684711</v>
      </c>
      <c r="Q24" s="11">
        <f>I24*'GS&lt;50 Predicted Monthly'!$X$13</f>
        <v>20875577.551977914</v>
      </c>
      <c r="R24" s="11">
        <f t="shared" si="5"/>
        <v>0</v>
      </c>
      <c r="S24" s="11">
        <f t="shared" si="6"/>
        <v>32871753.436614346</v>
      </c>
      <c r="T24" s="11">
        <f t="shared" si="3"/>
        <v>-192960.83927712217</v>
      </c>
      <c r="U24" s="23">
        <f t="shared" si="4"/>
        <v>5.8358538249282874E-3</v>
      </c>
    </row>
    <row r="25" spans="1:26" x14ac:dyDescent="0.2">
      <c r="A25" s="8">
        <f>'Monthly Data'!A25</f>
        <v>43435</v>
      </c>
      <c r="B25">
        <f t="shared" si="1"/>
        <v>2018</v>
      </c>
      <c r="C25">
        <f t="shared" si="2"/>
        <v>12</v>
      </c>
      <c r="D25" s="19">
        <f>'Monthly Data'!J25</f>
        <v>33697422.575283661</v>
      </c>
      <c r="E25" s="21">
        <f>'Monthly Data'!BJ25</f>
        <v>449.47083333333325</v>
      </c>
      <c r="F25" s="21">
        <f>'Monthly Data'!BK25</f>
        <v>0</v>
      </c>
      <c r="G25" s="283">
        <f>'Monthly Data'!CV25</f>
        <v>0</v>
      </c>
      <c r="H25" s="7">
        <f>'Monthly Data'!CS25</f>
        <v>31</v>
      </c>
      <c r="I25" s="7">
        <f>'Monthly Data'!AO25</f>
        <v>799922</v>
      </c>
      <c r="J25" s="7">
        <f>'Monthly Data'!BT25</f>
        <v>0</v>
      </c>
      <c r="L25" s="11">
        <f>'GS&lt;50 Predicted Monthly'!$X$8</f>
        <v>-13592432.544671699</v>
      </c>
      <c r="M25" s="11">
        <f>E25*'GS&lt;50 Predicted Monthly'!$X$9</f>
        <v>6209780.9275159808</v>
      </c>
      <c r="N25" s="11">
        <f>F25*'GS&lt;50 Predicted Monthly'!$X$10</f>
        <v>0</v>
      </c>
      <c r="O25" s="11">
        <f>G25*'GS&lt;50 Predicted Monthly'!$X$11</f>
        <v>0</v>
      </c>
      <c r="P25" s="11">
        <f>H25*'GS&lt;50 Predicted Monthly'!$X$12</f>
        <v>20753533.272940867</v>
      </c>
      <c r="Q25" s="11">
        <f>I25*'GS&lt;50 Predicted Monthly'!$X$13</f>
        <v>20875577.551977914</v>
      </c>
      <c r="R25" s="11">
        <f t="shared" si="5"/>
        <v>0</v>
      </c>
      <c r="S25" s="11">
        <f t="shared" si="6"/>
        <v>34246459.207763061</v>
      </c>
      <c r="T25" s="11">
        <f t="shared" si="3"/>
        <v>549036.63247939944</v>
      </c>
      <c r="U25" s="23">
        <f t="shared" si="4"/>
        <v>1.629313432660295E-2</v>
      </c>
    </row>
    <row r="26" spans="1:26" x14ac:dyDescent="0.2">
      <c r="A26" s="8">
        <f>'Monthly Data'!A26</f>
        <v>43466</v>
      </c>
      <c r="B26">
        <f t="shared" si="1"/>
        <v>2019</v>
      </c>
      <c r="C26">
        <f t="shared" si="2"/>
        <v>1</v>
      </c>
      <c r="D26" s="19">
        <f>'Monthly Data'!J26</f>
        <v>36829480.752867945</v>
      </c>
      <c r="E26" s="21">
        <f>'Monthly Data'!BJ26</f>
        <v>654.33749999999986</v>
      </c>
      <c r="F26" s="21">
        <f>'Monthly Data'!BK26</f>
        <v>0</v>
      </c>
      <c r="G26" s="283">
        <f>'Monthly Data'!CV26</f>
        <v>0</v>
      </c>
      <c r="H26" s="7">
        <f>'Monthly Data'!CS26</f>
        <v>31</v>
      </c>
      <c r="I26" s="7">
        <f>'Monthly Data'!AO26</f>
        <v>800743</v>
      </c>
      <c r="J26" s="7">
        <f>'Monthly Data'!BT26</f>
        <v>0</v>
      </c>
      <c r="L26" s="11">
        <f>'GS&lt;50 Predicted Monthly'!$X$8</f>
        <v>-13592432.544671699</v>
      </c>
      <c r="M26" s="11">
        <f>E26*'GS&lt;50 Predicted Monthly'!$X$9</f>
        <v>9040169.5200656056</v>
      </c>
      <c r="N26" s="11">
        <f>F26*'GS&lt;50 Predicted Monthly'!$X$10</f>
        <v>0</v>
      </c>
      <c r="O26" s="11">
        <f>G26*'GS&lt;50 Predicted Monthly'!$X$11</f>
        <v>0</v>
      </c>
      <c r="P26" s="11">
        <f>H26*'GS&lt;50 Predicted Monthly'!$X$12</f>
        <v>20753533.272940867</v>
      </c>
      <c r="Q26" s="11">
        <f>I26*'GS&lt;50 Predicted Monthly'!$X$13</f>
        <v>20897003.202441551</v>
      </c>
      <c r="R26" s="11">
        <f t="shared" si="5"/>
        <v>0</v>
      </c>
      <c r="S26" s="11">
        <f t="shared" si="6"/>
        <v>37098273.450776324</v>
      </c>
      <c r="T26" s="11">
        <f t="shared" si="3"/>
        <v>268792.69790837914</v>
      </c>
      <c r="U26" s="23">
        <f t="shared" si="4"/>
        <v>7.2983026752949272E-3</v>
      </c>
    </row>
    <row r="27" spans="1:26" x14ac:dyDescent="0.2">
      <c r="A27" s="8">
        <f>'Monthly Data'!A27</f>
        <v>43497</v>
      </c>
      <c r="B27">
        <f t="shared" si="1"/>
        <v>2019</v>
      </c>
      <c r="C27">
        <f t="shared" si="2"/>
        <v>2</v>
      </c>
      <c r="D27" s="19">
        <f>'Monthly Data'!J27</f>
        <v>33366900.493147276</v>
      </c>
      <c r="E27" s="21">
        <f>'Monthly Data'!BJ27</f>
        <v>517.91250000000002</v>
      </c>
      <c r="F27" s="21">
        <f>'Monthly Data'!BK27</f>
        <v>0</v>
      </c>
      <c r="G27" s="283">
        <f>'Monthly Data'!CV27</f>
        <v>0</v>
      </c>
      <c r="H27" s="7">
        <f>'Monthly Data'!CS27</f>
        <v>28</v>
      </c>
      <c r="I27" s="7">
        <f>'Monthly Data'!AO27</f>
        <v>800743</v>
      </c>
      <c r="J27" s="7">
        <f>'Monthly Data'!BT27</f>
        <v>0</v>
      </c>
      <c r="L27" s="11">
        <f>'GS&lt;50 Predicted Monthly'!$X$8</f>
        <v>-13592432.544671699</v>
      </c>
      <c r="M27" s="11">
        <f>E27*'GS&lt;50 Predicted Monthly'!$X$9</f>
        <v>7155354.5327311661</v>
      </c>
      <c r="N27" s="11">
        <f>F27*'GS&lt;50 Predicted Monthly'!$X$10</f>
        <v>0</v>
      </c>
      <c r="O27" s="11">
        <f>G27*'GS&lt;50 Predicted Monthly'!$X$11</f>
        <v>0</v>
      </c>
      <c r="P27" s="11">
        <f>H27*'GS&lt;50 Predicted Monthly'!$X$12</f>
        <v>18745126.827172395</v>
      </c>
      <c r="Q27" s="11">
        <f>I27*'GS&lt;50 Predicted Monthly'!$X$13</f>
        <v>20897003.202441551</v>
      </c>
      <c r="R27" s="11">
        <f t="shared" si="5"/>
        <v>0</v>
      </c>
      <c r="S27" s="11">
        <f t="shared" si="6"/>
        <v>33205052.01767341</v>
      </c>
      <c r="T27" s="11">
        <f t="shared" si="3"/>
        <v>-161848.47547386587</v>
      </c>
      <c r="U27" s="23">
        <f t="shared" si="4"/>
        <v>4.85056966879814E-3</v>
      </c>
    </row>
    <row r="28" spans="1:26" x14ac:dyDescent="0.2">
      <c r="A28" s="8">
        <f>'Monthly Data'!A28</f>
        <v>43525</v>
      </c>
      <c r="B28">
        <f t="shared" si="1"/>
        <v>2019</v>
      </c>
      <c r="C28">
        <f t="shared" si="2"/>
        <v>3</v>
      </c>
      <c r="D28" s="19">
        <f>'Monthly Data'!J28</f>
        <v>34872336.488189504</v>
      </c>
      <c r="E28" s="21">
        <f>'Monthly Data'!BJ28</f>
        <v>488.37083333333339</v>
      </c>
      <c r="F28" s="21">
        <f>'Monthly Data'!BK28</f>
        <v>0</v>
      </c>
      <c r="G28" s="283">
        <f>'Monthly Data'!CV28</f>
        <v>0</v>
      </c>
      <c r="H28" s="7">
        <f>'Monthly Data'!CS28</f>
        <v>31</v>
      </c>
      <c r="I28" s="7">
        <f>'Monthly Data'!AO28</f>
        <v>800743</v>
      </c>
      <c r="J28" s="7">
        <f>'Monthly Data'!BT28</f>
        <v>1</v>
      </c>
      <c r="L28" s="11">
        <f>'GS&lt;50 Predicted Monthly'!$X$8</f>
        <v>-13592432.544671699</v>
      </c>
      <c r="M28" s="11">
        <f>E28*'GS&lt;50 Predicted Monthly'!$X$9</f>
        <v>6747213.9713665219</v>
      </c>
      <c r="N28" s="11">
        <f>F28*'GS&lt;50 Predicted Monthly'!$X$10</f>
        <v>0</v>
      </c>
      <c r="O28" s="11">
        <f>G28*'GS&lt;50 Predicted Monthly'!$X$11</f>
        <v>0</v>
      </c>
      <c r="P28" s="11">
        <f>H28*'GS&lt;50 Predicted Monthly'!$X$12</f>
        <v>20753533.272940867</v>
      </c>
      <c r="Q28" s="11">
        <f>I28*'GS&lt;50 Predicted Monthly'!$X$13</f>
        <v>20897003.202441551</v>
      </c>
      <c r="R28" s="11">
        <f t="shared" si="5"/>
        <v>522033.18159628101</v>
      </c>
      <c r="S28" s="11">
        <f t="shared" si="6"/>
        <v>35327351.083673522</v>
      </c>
      <c r="T28" s="11">
        <f t="shared" si="3"/>
        <v>455014.59548401833</v>
      </c>
      <c r="U28" s="23">
        <f t="shared" si="4"/>
        <v>1.3048010007534821E-2</v>
      </c>
    </row>
    <row r="29" spans="1:26" x14ac:dyDescent="0.2">
      <c r="A29" s="8">
        <f>'Monthly Data'!A29</f>
        <v>43556</v>
      </c>
      <c r="B29">
        <f t="shared" si="1"/>
        <v>2019</v>
      </c>
      <c r="C29">
        <f t="shared" si="2"/>
        <v>4</v>
      </c>
      <c r="D29" s="19">
        <f>'Monthly Data'!J29</f>
        <v>30563948.842154223</v>
      </c>
      <c r="E29" s="21">
        <f>'Monthly Data'!BJ29</f>
        <v>235.04791666666668</v>
      </c>
      <c r="F29" s="21">
        <f>'Monthly Data'!BK29</f>
        <v>0</v>
      </c>
      <c r="G29" s="283">
        <f>'Monthly Data'!CV29</f>
        <v>0</v>
      </c>
      <c r="H29" s="7">
        <f>'Monthly Data'!CS29</f>
        <v>30</v>
      </c>
      <c r="I29" s="7">
        <f>'Monthly Data'!AO29</f>
        <v>806729</v>
      </c>
      <c r="J29" s="7">
        <f>'Monthly Data'!BT29</f>
        <v>0</v>
      </c>
      <c r="L29" s="11">
        <f>'GS&lt;50 Predicted Monthly'!$X$8</f>
        <v>-13592432.544671699</v>
      </c>
      <c r="M29" s="11">
        <f>E29*'GS&lt;50 Predicted Monthly'!$X$9</f>
        <v>3247365.4834163119</v>
      </c>
      <c r="N29" s="11">
        <f>F29*'GS&lt;50 Predicted Monthly'!$X$10</f>
        <v>0</v>
      </c>
      <c r="O29" s="11">
        <f>G29*'GS&lt;50 Predicted Monthly'!$X$11</f>
        <v>0</v>
      </c>
      <c r="P29" s="11">
        <f>H29*'GS&lt;50 Predicted Monthly'!$X$12</f>
        <v>20084064.457684711</v>
      </c>
      <c r="Q29" s="11">
        <f>I29*'GS&lt;50 Predicted Monthly'!$X$13</f>
        <v>21053219.94260639</v>
      </c>
      <c r="R29" s="11">
        <f t="shared" si="5"/>
        <v>0</v>
      </c>
      <c r="S29" s="11">
        <f t="shared" si="6"/>
        <v>30792217.339035712</v>
      </c>
      <c r="T29" s="11">
        <f t="shared" si="3"/>
        <v>228268.49688148871</v>
      </c>
      <c r="U29" s="23">
        <f t="shared" si="4"/>
        <v>7.4685538200697952E-3</v>
      </c>
    </row>
    <row r="30" spans="1:26" x14ac:dyDescent="0.2">
      <c r="A30" s="8">
        <f>'Monthly Data'!A30</f>
        <v>43586</v>
      </c>
      <c r="B30">
        <f t="shared" si="1"/>
        <v>2019</v>
      </c>
      <c r="C30">
        <f t="shared" si="2"/>
        <v>5</v>
      </c>
      <c r="D30" s="19">
        <f>'Monthly Data'!J30</f>
        <v>30439981.506023146</v>
      </c>
      <c r="E30" s="21">
        <f>'Monthly Data'!BJ30</f>
        <v>74.912499999999994</v>
      </c>
      <c r="F30" s="21">
        <f>'Monthly Data'!BK30</f>
        <v>20.48749999999999</v>
      </c>
      <c r="G30" s="283">
        <f>'Monthly Data'!CV30</f>
        <v>0</v>
      </c>
      <c r="H30" s="7">
        <f>'Monthly Data'!CS30</f>
        <v>31</v>
      </c>
      <c r="I30" s="7">
        <f>'Monthly Data'!AO30</f>
        <v>806729</v>
      </c>
      <c r="J30" s="7">
        <f>'Monthly Data'!BT30</f>
        <v>0</v>
      </c>
      <c r="L30" s="11">
        <f>'GS&lt;50 Predicted Monthly'!$X$8</f>
        <v>-13592432.544671699</v>
      </c>
      <c r="M30" s="11">
        <f>E30*'GS&lt;50 Predicted Monthly'!$X$9</f>
        <v>1034973.0821967483</v>
      </c>
      <c r="N30" s="11">
        <f>F30*'GS&lt;50 Predicted Monthly'!$X$10</f>
        <v>881911.96041107876</v>
      </c>
      <c r="O30" s="11">
        <f>G30*'GS&lt;50 Predicted Monthly'!$X$11</f>
        <v>0</v>
      </c>
      <c r="P30" s="11">
        <f>H30*'GS&lt;50 Predicted Monthly'!$X$12</f>
        <v>20753533.272940867</v>
      </c>
      <c r="Q30" s="11">
        <f>I30*'GS&lt;50 Predicted Monthly'!$X$13</f>
        <v>21053219.94260639</v>
      </c>
      <c r="R30" s="11">
        <f t="shared" si="5"/>
        <v>0</v>
      </c>
      <c r="S30" s="11">
        <f t="shared" si="6"/>
        <v>30131205.713483386</v>
      </c>
      <c r="T30" s="11">
        <f t="shared" si="3"/>
        <v>-308775.79253976047</v>
      </c>
      <c r="U30" s="23">
        <f t="shared" si="4"/>
        <v>1.0143757560386926E-2</v>
      </c>
    </row>
    <row r="31" spans="1:26" x14ac:dyDescent="0.2">
      <c r="A31" s="8">
        <f>'Monthly Data'!A31</f>
        <v>43617</v>
      </c>
      <c r="B31">
        <f t="shared" si="1"/>
        <v>2019</v>
      </c>
      <c r="C31">
        <f t="shared" si="2"/>
        <v>6</v>
      </c>
      <c r="D31" s="19">
        <f>'Monthly Data'!J31</f>
        <v>31958460.559302475</v>
      </c>
      <c r="E31" s="21">
        <f>'Monthly Data'!BJ31</f>
        <v>4.4958333333333336</v>
      </c>
      <c r="F31" s="21">
        <f>'Monthly Data'!BK31</f>
        <v>127.21041666666667</v>
      </c>
      <c r="G31" s="283">
        <f>'Monthly Data'!CV31</f>
        <v>0</v>
      </c>
      <c r="H31" s="7">
        <f>'Monthly Data'!CS31</f>
        <v>30</v>
      </c>
      <c r="I31" s="7">
        <f>'Monthly Data'!AO31</f>
        <v>806729</v>
      </c>
      <c r="J31" s="7">
        <f>'Monthly Data'!BT31</f>
        <v>0</v>
      </c>
      <c r="L31" s="11">
        <f>'GS&lt;50 Predicted Monthly'!$X$8</f>
        <v>-13592432.544671699</v>
      </c>
      <c r="M31" s="11">
        <f>E31*'GS&lt;50 Predicted Monthly'!$X$9</f>
        <v>62113.352004577093</v>
      </c>
      <c r="N31" s="11">
        <f>F31*'GS&lt;50 Predicted Monthly'!$X$10</f>
        <v>5475943.2799126403</v>
      </c>
      <c r="O31" s="11">
        <f>G31*'GS&lt;50 Predicted Monthly'!$X$11</f>
        <v>0</v>
      </c>
      <c r="P31" s="11">
        <f>H31*'GS&lt;50 Predicted Monthly'!$X$12</f>
        <v>20084064.457684711</v>
      </c>
      <c r="Q31" s="11">
        <f>I31*'GS&lt;50 Predicted Monthly'!$X$13</f>
        <v>21053219.94260639</v>
      </c>
      <c r="R31" s="11">
        <f t="shared" si="5"/>
        <v>0</v>
      </c>
      <c r="S31" s="11">
        <f t="shared" si="6"/>
        <v>33082908.487536617</v>
      </c>
      <c r="T31" s="11">
        <f t="shared" si="3"/>
        <v>1124447.9282341413</v>
      </c>
      <c r="U31" s="23">
        <f t="shared" si="4"/>
        <v>3.5184671243710351E-2</v>
      </c>
    </row>
    <row r="32" spans="1:26" x14ac:dyDescent="0.2">
      <c r="A32" s="8">
        <f>'Monthly Data'!A32</f>
        <v>43647</v>
      </c>
      <c r="B32">
        <f t="shared" si="1"/>
        <v>2019</v>
      </c>
      <c r="C32">
        <f t="shared" si="2"/>
        <v>7</v>
      </c>
      <c r="D32" s="19">
        <f>'Monthly Data'!J32</f>
        <v>39000790.891762398</v>
      </c>
      <c r="E32" s="21">
        <f>'Monthly Data'!BJ32</f>
        <v>0</v>
      </c>
      <c r="F32" s="21">
        <f>'Monthly Data'!BK32</f>
        <v>252.07500000000005</v>
      </c>
      <c r="G32" s="283">
        <f>'Monthly Data'!CV32</f>
        <v>0</v>
      </c>
      <c r="H32" s="7">
        <f>'Monthly Data'!CS32</f>
        <v>31</v>
      </c>
      <c r="I32" s="7">
        <f>'Monthly Data'!AO32</f>
        <v>810697</v>
      </c>
      <c r="J32" s="7">
        <f>'Monthly Data'!BT32</f>
        <v>0</v>
      </c>
      <c r="L32" s="11">
        <f>'GS&lt;50 Predicted Monthly'!$X$8</f>
        <v>-13592432.544671699</v>
      </c>
      <c r="M32" s="11">
        <f>E32*'GS&lt;50 Predicted Monthly'!$X$9</f>
        <v>0</v>
      </c>
      <c r="N32" s="11">
        <f>F32*'GS&lt;50 Predicted Monthly'!$X$10</f>
        <v>10850907.01259904</v>
      </c>
      <c r="O32" s="11">
        <f>G32*'GS&lt;50 Predicted Monthly'!$X$11</f>
        <v>0</v>
      </c>
      <c r="P32" s="11">
        <f>H32*'GS&lt;50 Predicted Monthly'!$X$12</f>
        <v>20753533.272940867</v>
      </c>
      <c r="Q32" s="11">
        <f>I32*'GS&lt;50 Predicted Monthly'!$X$13</f>
        <v>21156772.903677907</v>
      </c>
      <c r="R32" s="11">
        <f t="shared" si="5"/>
        <v>0</v>
      </c>
      <c r="S32" s="11">
        <f t="shared" si="6"/>
        <v>39168780.644546114</v>
      </c>
      <c r="T32" s="11">
        <f t="shared" si="3"/>
        <v>167989.75278371572</v>
      </c>
      <c r="U32" s="23">
        <f t="shared" si="4"/>
        <v>4.3073422087755121E-3</v>
      </c>
    </row>
    <row r="33" spans="1:21" x14ac:dyDescent="0.2">
      <c r="A33" s="8">
        <f>'Monthly Data'!A33</f>
        <v>43678</v>
      </c>
      <c r="B33">
        <f t="shared" si="1"/>
        <v>2019</v>
      </c>
      <c r="C33">
        <f t="shared" si="2"/>
        <v>8</v>
      </c>
      <c r="D33" s="19">
        <f>'Monthly Data'!J33</f>
        <v>36320178.532291718</v>
      </c>
      <c r="E33" s="21">
        <f>'Monthly Data'!BJ33</f>
        <v>0</v>
      </c>
      <c r="F33" s="21">
        <f>'Monthly Data'!BK33</f>
        <v>182.71666666666661</v>
      </c>
      <c r="G33" s="283">
        <f>'Monthly Data'!CV33</f>
        <v>0</v>
      </c>
      <c r="H33" s="7">
        <f>'Monthly Data'!CS33</f>
        <v>31</v>
      </c>
      <c r="I33" s="7">
        <f>'Monthly Data'!AO33</f>
        <v>810697</v>
      </c>
      <c r="J33" s="7">
        <f>'Monthly Data'!BT33</f>
        <v>0</v>
      </c>
      <c r="L33" s="11">
        <f>'GS&lt;50 Predicted Monthly'!$X$8</f>
        <v>-13592432.544671699</v>
      </c>
      <c r="M33" s="11">
        <f>E33*'GS&lt;50 Predicted Monthly'!$X$9</f>
        <v>0</v>
      </c>
      <c r="N33" s="11">
        <f>F33*'GS&lt;50 Predicted Monthly'!$X$10</f>
        <v>7865284.3782685855</v>
      </c>
      <c r="O33" s="11">
        <f>G33*'GS&lt;50 Predicted Monthly'!$X$11</f>
        <v>0</v>
      </c>
      <c r="P33" s="11">
        <f>H33*'GS&lt;50 Predicted Monthly'!$X$12</f>
        <v>20753533.272940867</v>
      </c>
      <c r="Q33" s="11">
        <f>I33*'GS&lt;50 Predicted Monthly'!$X$13</f>
        <v>21156772.903677907</v>
      </c>
      <c r="R33" s="11">
        <f t="shared" si="5"/>
        <v>0</v>
      </c>
      <c r="S33" s="11">
        <f t="shared" si="6"/>
        <v>36183158.010215655</v>
      </c>
      <c r="T33" s="11">
        <f t="shared" si="3"/>
        <v>-137020.52207606286</v>
      </c>
      <c r="U33" s="23">
        <f t="shared" si="4"/>
        <v>3.7725729226314236E-3</v>
      </c>
    </row>
    <row r="34" spans="1:21" x14ac:dyDescent="0.2">
      <c r="A34" s="8">
        <f>'Monthly Data'!A34</f>
        <v>43709</v>
      </c>
      <c r="B34">
        <f t="shared" si="1"/>
        <v>2019</v>
      </c>
      <c r="C34">
        <f t="shared" si="2"/>
        <v>9</v>
      </c>
      <c r="D34" s="19">
        <f>'Monthly Data'!J34</f>
        <v>31962336.608666547</v>
      </c>
      <c r="E34" s="21">
        <f>'Monthly Data'!BJ34</f>
        <v>1.8833333333333364</v>
      </c>
      <c r="F34" s="21">
        <f>'Monthly Data'!BK34</f>
        <v>103.38124999999999</v>
      </c>
      <c r="G34" s="283">
        <f>'Monthly Data'!CV34</f>
        <v>0</v>
      </c>
      <c r="H34" s="7">
        <f>'Monthly Data'!CS34</f>
        <v>30</v>
      </c>
      <c r="I34" s="7">
        <f>'Monthly Data'!AO34</f>
        <v>810697</v>
      </c>
      <c r="J34" s="7">
        <f>'Monthly Data'!BT34</f>
        <v>0</v>
      </c>
      <c r="L34" s="11">
        <f>'GS&lt;50 Predicted Monthly'!$X$8</f>
        <v>-13592432.544671699</v>
      </c>
      <c r="M34" s="11">
        <f>E34*'GS&lt;50 Predicted Monthly'!$X$9</f>
        <v>26019.680357802496</v>
      </c>
      <c r="N34" s="11">
        <f>F34*'GS&lt;50 Predicted Monthly'!$X$10</f>
        <v>4450184.7886393107</v>
      </c>
      <c r="O34" s="11">
        <f>G34*'GS&lt;50 Predicted Monthly'!$X$11</f>
        <v>0</v>
      </c>
      <c r="P34" s="11">
        <f>H34*'GS&lt;50 Predicted Monthly'!$X$12</f>
        <v>20084064.457684711</v>
      </c>
      <c r="Q34" s="11">
        <f>I34*'GS&lt;50 Predicted Monthly'!$X$13</f>
        <v>21156772.903677907</v>
      </c>
      <c r="R34" s="11">
        <f t="shared" si="5"/>
        <v>0</v>
      </c>
      <c r="S34" s="11">
        <f t="shared" si="6"/>
        <v>32124609.285688031</v>
      </c>
      <c r="T34" s="11">
        <f t="shared" ref="T34:T65" si="7">S34-D34</f>
        <v>162272.67702148482</v>
      </c>
      <c r="U34" s="23">
        <f t="shared" ref="U34:U65" si="8">ABS(T34/D34)</f>
        <v>5.0769966854514884E-3</v>
      </c>
    </row>
    <row r="35" spans="1:21" x14ac:dyDescent="0.2">
      <c r="A35" s="8">
        <f>'Monthly Data'!A35</f>
        <v>43739</v>
      </c>
      <c r="B35">
        <f t="shared" si="1"/>
        <v>2019</v>
      </c>
      <c r="C35">
        <f t="shared" si="2"/>
        <v>10</v>
      </c>
      <c r="D35" s="19">
        <f>'Monthly Data'!J35</f>
        <v>30759281.251047574</v>
      </c>
      <c r="E35" s="21">
        <f>'Monthly Data'!BJ35</f>
        <v>126.96250000000001</v>
      </c>
      <c r="F35" s="21">
        <f>'Monthly Data'!BK35</f>
        <v>10.866666666666669</v>
      </c>
      <c r="G35" s="283">
        <f>'Monthly Data'!CV35</f>
        <v>0</v>
      </c>
      <c r="H35" s="7">
        <f>'Monthly Data'!CS35</f>
        <v>31</v>
      </c>
      <c r="I35" s="7">
        <f>'Monthly Data'!AO35</f>
        <v>812164</v>
      </c>
      <c r="J35" s="7">
        <f>'Monthly Data'!BT35</f>
        <v>0</v>
      </c>
      <c r="L35" s="11">
        <f>'GS&lt;50 Predicted Monthly'!$X$8</f>
        <v>-13592432.544671699</v>
      </c>
      <c r="M35" s="11">
        <f>E35*'GS&lt;50 Predicted Monthly'!$X$9</f>
        <v>1754083.3632358375</v>
      </c>
      <c r="N35" s="11">
        <f>F35*'GS&lt;50 Predicted Monthly'!$X$10</f>
        <v>467770.26494856516</v>
      </c>
      <c r="O35" s="11">
        <f>G35*'GS&lt;50 Predicted Monthly'!$X$11</f>
        <v>0</v>
      </c>
      <c r="P35" s="11">
        <f>H35*'GS&lt;50 Predicted Monthly'!$X$12</f>
        <v>20753533.272940867</v>
      </c>
      <c r="Q35" s="11">
        <f>I35*'GS&lt;50 Predicted Monthly'!$X$13</f>
        <v>21195057.226735342</v>
      </c>
      <c r="R35" s="11">
        <f t="shared" si="5"/>
        <v>0</v>
      </c>
      <c r="S35" s="11">
        <f t="shared" si="6"/>
        <v>30578011.583188914</v>
      </c>
      <c r="T35" s="11">
        <f t="shared" si="7"/>
        <v>-181269.66785866022</v>
      </c>
      <c r="U35" s="23">
        <f t="shared" si="8"/>
        <v>5.8931698169145839E-3</v>
      </c>
    </row>
    <row r="36" spans="1:21" x14ac:dyDescent="0.2">
      <c r="A36" s="8">
        <f>'Monthly Data'!A36</f>
        <v>43770</v>
      </c>
      <c r="B36">
        <f t="shared" si="1"/>
        <v>2019</v>
      </c>
      <c r="C36">
        <f t="shared" si="2"/>
        <v>11</v>
      </c>
      <c r="D36" s="19">
        <f>'Monthly Data'!J36</f>
        <v>33141456.629586298</v>
      </c>
      <c r="E36" s="21">
        <f>'Monthly Data'!BJ36</f>
        <v>403.4666666666667</v>
      </c>
      <c r="F36" s="21">
        <f>'Monthly Data'!BK36</f>
        <v>0</v>
      </c>
      <c r="G36" s="283">
        <f>'Monthly Data'!CV36</f>
        <v>0</v>
      </c>
      <c r="H36" s="7">
        <f>'Monthly Data'!CS36</f>
        <v>30</v>
      </c>
      <c r="I36" s="7">
        <f>'Monthly Data'!AO36</f>
        <v>812164</v>
      </c>
      <c r="J36" s="7">
        <f>'Monthly Data'!BT36</f>
        <v>0</v>
      </c>
      <c r="L36" s="11">
        <f>'GS&lt;50 Predicted Monthly'!$X$8</f>
        <v>-13592432.544671699</v>
      </c>
      <c r="M36" s="11">
        <f>E36*'GS&lt;50 Predicted Monthly'!$X$9</f>
        <v>5574198.4256785996</v>
      </c>
      <c r="N36" s="11">
        <f>F36*'GS&lt;50 Predicted Monthly'!$X$10</f>
        <v>0</v>
      </c>
      <c r="O36" s="11">
        <f>G36*'GS&lt;50 Predicted Monthly'!$X$11</f>
        <v>0</v>
      </c>
      <c r="P36" s="11">
        <f>H36*'GS&lt;50 Predicted Monthly'!$X$12</f>
        <v>20084064.457684711</v>
      </c>
      <c r="Q36" s="11">
        <f>I36*'GS&lt;50 Predicted Monthly'!$X$13</f>
        <v>21195057.226735342</v>
      </c>
      <c r="R36" s="11">
        <f t="shared" si="5"/>
        <v>0</v>
      </c>
      <c r="S36" s="11">
        <f t="shared" si="6"/>
        <v>33260887.565426953</v>
      </c>
      <c r="T36" s="11">
        <f t="shared" si="7"/>
        <v>119430.93584065512</v>
      </c>
      <c r="U36" s="23">
        <f t="shared" si="8"/>
        <v>3.6036718957619929E-3</v>
      </c>
    </row>
    <row r="37" spans="1:21" x14ac:dyDescent="0.2">
      <c r="A37" s="8">
        <f>'Monthly Data'!A37</f>
        <v>43800</v>
      </c>
      <c r="B37">
        <f t="shared" si="1"/>
        <v>2019</v>
      </c>
      <c r="C37">
        <f t="shared" si="2"/>
        <v>12</v>
      </c>
      <c r="D37" s="19">
        <f>'Monthly Data'!J37</f>
        <v>34727182.032087423</v>
      </c>
      <c r="E37" s="21">
        <f>'Monthly Data'!BJ37</f>
        <v>456.13125000000002</v>
      </c>
      <c r="F37" s="21">
        <f>'Monthly Data'!BK37</f>
        <v>0</v>
      </c>
      <c r="G37" s="283">
        <f>'Monthly Data'!CV37</f>
        <v>0</v>
      </c>
      <c r="H37" s="7">
        <f>'Monthly Data'!CS37</f>
        <v>31</v>
      </c>
      <c r="I37" s="7">
        <f>'Monthly Data'!AO37</f>
        <v>812164</v>
      </c>
      <c r="J37" s="7">
        <f>'Monthly Data'!BT37</f>
        <v>0</v>
      </c>
      <c r="L37" s="11">
        <f>'GS&lt;50 Predicted Monthly'!$X$8</f>
        <v>-13592432.544671699</v>
      </c>
      <c r="M37" s="11">
        <f>E37*'GS&lt;50 Predicted Monthly'!$X$9</f>
        <v>6301799.6422326798</v>
      </c>
      <c r="N37" s="11">
        <f>F37*'GS&lt;50 Predicted Monthly'!$X$10</f>
        <v>0</v>
      </c>
      <c r="O37" s="11">
        <f>G37*'GS&lt;50 Predicted Monthly'!$X$11</f>
        <v>0</v>
      </c>
      <c r="P37" s="11">
        <f>H37*'GS&lt;50 Predicted Monthly'!$X$12</f>
        <v>20753533.272940867</v>
      </c>
      <c r="Q37" s="11">
        <f>I37*'GS&lt;50 Predicted Monthly'!$X$13</f>
        <v>21195057.226735342</v>
      </c>
      <c r="R37" s="11">
        <f t="shared" si="5"/>
        <v>0</v>
      </c>
      <c r="S37" s="11">
        <f t="shared" si="6"/>
        <v>34657957.597237185</v>
      </c>
      <c r="T37" s="11">
        <f t="shared" si="7"/>
        <v>-69224.434850238264</v>
      </c>
      <c r="U37" s="23">
        <f t="shared" si="8"/>
        <v>1.9933789844012069E-3</v>
      </c>
    </row>
    <row r="38" spans="1:21" x14ac:dyDescent="0.2">
      <c r="A38" s="8">
        <f>'Monthly Data'!A38</f>
        <v>43831</v>
      </c>
      <c r="B38">
        <f t="shared" si="1"/>
        <v>2020</v>
      </c>
      <c r="C38">
        <f t="shared" si="2"/>
        <v>1</v>
      </c>
      <c r="D38" s="19">
        <f>'Monthly Data'!J38</f>
        <v>35587534.780226827</v>
      </c>
      <c r="E38" s="21">
        <f>'Monthly Data'!BJ38</f>
        <v>478.31249999999994</v>
      </c>
      <c r="F38" s="21">
        <f>'Monthly Data'!BK38</f>
        <v>0</v>
      </c>
      <c r="G38" s="283">
        <f>'Monthly Data'!CV38</f>
        <v>0</v>
      </c>
      <c r="H38" s="7">
        <f>'Monthly Data'!CS38</f>
        <v>31</v>
      </c>
      <c r="I38" s="7">
        <f>'Monthly Data'!AO38</f>
        <v>801246</v>
      </c>
      <c r="J38" s="7">
        <f>'Monthly Data'!BT38</f>
        <v>0</v>
      </c>
      <c r="L38" s="11">
        <f>'GS&lt;50 Predicted Monthly'!$X$8</f>
        <v>-13592432.544671699</v>
      </c>
      <c r="M38" s="11">
        <f>E38*'GS&lt;50 Predicted Monthly'!$X$9</f>
        <v>6608250.4572432125</v>
      </c>
      <c r="N38" s="11">
        <f>F38*'GS&lt;50 Predicted Monthly'!$X$10</f>
        <v>0</v>
      </c>
      <c r="O38" s="11">
        <f>G38*'GS&lt;50 Predicted Monthly'!$X$11</f>
        <v>0</v>
      </c>
      <c r="P38" s="11">
        <f>H38*'GS&lt;50 Predicted Monthly'!$X$12</f>
        <v>20753533.272940867</v>
      </c>
      <c r="Q38" s="11">
        <f>I38*'GS&lt;50 Predicted Monthly'!$X$13</f>
        <v>20910130.001690283</v>
      </c>
      <c r="R38" s="11">
        <f t="shared" si="5"/>
        <v>0</v>
      </c>
      <c r="S38" s="11">
        <f t="shared" si="6"/>
        <v>34679481.187202662</v>
      </c>
      <c r="T38" s="11">
        <f t="shared" si="7"/>
        <v>-908053.59302416444</v>
      </c>
      <c r="U38" s="23">
        <f t="shared" si="8"/>
        <v>2.5516057761008439E-2</v>
      </c>
    </row>
    <row r="39" spans="1:21" x14ac:dyDescent="0.2">
      <c r="A39" s="8">
        <f>'Monthly Data'!A39</f>
        <v>43862</v>
      </c>
      <c r="B39">
        <f t="shared" si="1"/>
        <v>2020</v>
      </c>
      <c r="C39">
        <f t="shared" si="2"/>
        <v>2</v>
      </c>
      <c r="D39" s="19">
        <f>'Monthly Data'!J39</f>
        <v>33755956.937224291</v>
      </c>
      <c r="E39" s="21">
        <f>'Monthly Data'!BJ39</f>
        <v>496.01666666666659</v>
      </c>
      <c r="F39" s="21">
        <f>'Monthly Data'!BK39</f>
        <v>0</v>
      </c>
      <c r="G39" s="283">
        <f>'Monthly Data'!CV39</f>
        <v>0</v>
      </c>
      <c r="H39" s="7">
        <f>'Monthly Data'!CS39</f>
        <v>29</v>
      </c>
      <c r="I39" s="7">
        <f>'Monthly Data'!AO39</f>
        <v>801246</v>
      </c>
      <c r="J39" s="7">
        <f>'Monthly Data'!BT39</f>
        <v>0</v>
      </c>
      <c r="L39" s="11">
        <f>'GS&lt;50 Predicted Monthly'!$X$8</f>
        <v>-13592432.544671699</v>
      </c>
      <c r="M39" s="11">
        <f>E39*'GS&lt;50 Predicted Monthly'!$X$9</f>
        <v>6852846.9657394569</v>
      </c>
      <c r="N39" s="11">
        <f>F39*'GS&lt;50 Predicted Monthly'!$X$10</f>
        <v>0</v>
      </c>
      <c r="O39" s="11">
        <f>G39*'GS&lt;50 Predicted Monthly'!$X$11</f>
        <v>0</v>
      </c>
      <c r="P39" s="11">
        <f>H39*'GS&lt;50 Predicted Monthly'!$X$12</f>
        <v>19414595.642428551</v>
      </c>
      <c r="Q39" s="11">
        <f>I39*'GS&lt;50 Predicted Monthly'!$X$13</f>
        <v>20910130.001690283</v>
      </c>
      <c r="R39" s="11">
        <f t="shared" si="5"/>
        <v>0</v>
      </c>
      <c r="S39" s="11">
        <f t="shared" si="6"/>
        <v>33585140.06518659</v>
      </c>
      <c r="T39" s="11">
        <f t="shared" si="7"/>
        <v>-170816.87203770131</v>
      </c>
      <c r="U39" s="23">
        <f t="shared" si="8"/>
        <v>5.06034749230686E-3</v>
      </c>
    </row>
    <row r="40" spans="1:21" x14ac:dyDescent="0.2">
      <c r="A40" s="8">
        <f>'Monthly Data'!A40</f>
        <v>43891</v>
      </c>
      <c r="B40">
        <f t="shared" si="1"/>
        <v>2020</v>
      </c>
      <c r="C40">
        <f t="shared" si="2"/>
        <v>3</v>
      </c>
      <c r="D40" s="19">
        <f>'Monthly Data'!J40</f>
        <v>31961407.074373361</v>
      </c>
      <c r="E40" s="21">
        <f>'Monthly Data'!BJ40</f>
        <v>346.7208333333333</v>
      </c>
      <c r="F40" s="21">
        <f>'Monthly Data'!BK40</f>
        <v>0</v>
      </c>
      <c r="G40" s="283">
        <f>'Monthly Data'!CV40</f>
        <v>0.5</v>
      </c>
      <c r="H40" s="7">
        <f>'Monthly Data'!CS40</f>
        <v>31</v>
      </c>
      <c r="I40" s="7">
        <f>'Monthly Data'!AO40</f>
        <v>801246</v>
      </c>
      <c r="J40" s="7">
        <f>'Monthly Data'!BT40</f>
        <v>1</v>
      </c>
      <c r="L40" s="11">
        <f>'GS&lt;50 Predicted Monthly'!$X$8</f>
        <v>-13592432.544671699</v>
      </c>
      <c r="M40" s="11">
        <f>E40*'GS&lt;50 Predicted Monthly'!$X$9</f>
        <v>4790211.6407385292</v>
      </c>
      <c r="N40" s="11">
        <f>F40*'GS&lt;50 Predicted Monthly'!$X$10</f>
        <v>0</v>
      </c>
      <c r="O40" s="11">
        <f>G40*'GS&lt;50 Predicted Monthly'!$X$11</f>
        <v>-1045181.63332577</v>
      </c>
      <c r="P40" s="11">
        <f>H40*'GS&lt;50 Predicted Monthly'!$X$12</f>
        <v>20753533.272940867</v>
      </c>
      <c r="Q40" s="11">
        <f>I40*'GS&lt;50 Predicted Monthly'!$X$13</f>
        <v>20910130.001690283</v>
      </c>
      <c r="R40" s="11">
        <f t="shared" si="5"/>
        <v>522033.18159628101</v>
      </c>
      <c r="S40" s="11">
        <f t="shared" si="6"/>
        <v>32338293.918968491</v>
      </c>
      <c r="T40" s="11">
        <f t="shared" si="7"/>
        <v>376886.84459513053</v>
      </c>
      <c r="U40" s="23">
        <f t="shared" si="8"/>
        <v>1.1791935308671633E-2</v>
      </c>
    </row>
    <row r="41" spans="1:21" x14ac:dyDescent="0.2">
      <c r="A41" s="8">
        <f>'Monthly Data'!A41</f>
        <v>43922</v>
      </c>
      <c r="B41">
        <f t="shared" si="1"/>
        <v>2020</v>
      </c>
      <c r="C41">
        <f t="shared" si="2"/>
        <v>4</v>
      </c>
      <c r="D41" s="19">
        <f>'Monthly Data'!J41</f>
        <v>26435861.898934826</v>
      </c>
      <c r="E41" s="21">
        <f>'Monthly Data'!BJ41</f>
        <v>265.07083333333338</v>
      </c>
      <c r="F41" s="21">
        <f>'Monthly Data'!BK41</f>
        <v>0</v>
      </c>
      <c r="G41" s="283">
        <f>'Monthly Data'!CV41</f>
        <v>1</v>
      </c>
      <c r="H41" s="7">
        <f>'Monthly Data'!CS41</f>
        <v>30</v>
      </c>
      <c r="I41" s="7">
        <f>'Monthly Data'!AO41</f>
        <v>705711</v>
      </c>
      <c r="J41" s="7">
        <f>'Monthly Data'!BT41</f>
        <v>0</v>
      </c>
      <c r="L41" s="11">
        <f>'GS&lt;50 Predicted Monthly'!$X$8</f>
        <v>-13592432.544671699</v>
      </c>
      <c r="M41" s="11">
        <f>E41*'GS&lt;50 Predicted Monthly'!$X$9</f>
        <v>3662154.8790316787</v>
      </c>
      <c r="N41" s="11">
        <f>F41*'GS&lt;50 Predicted Monthly'!$X$10</f>
        <v>0</v>
      </c>
      <c r="O41" s="11">
        <f>G41*'GS&lt;50 Predicted Monthly'!$X$11</f>
        <v>-2090363.2666515401</v>
      </c>
      <c r="P41" s="11">
        <f>H41*'GS&lt;50 Predicted Monthly'!$X$12</f>
        <v>20084064.457684711</v>
      </c>
      <c r="Q41" s="11">
        <f>I41*'GS&lt;50 Predicted Monthly'!$X$13</f>
        <v>18416951.540005006</v>
      </c>
      <c r="R41" s="11">
        <f t="shared" si="5"/>
        <v>0</v>
      </c>
      <c r="S41" s="11">
        <f t="shared" si="6"/>
        <v>26480375.065398157</v>
      </c>
      <c r="T41" s="11">
        <f t="shared" si="7"/>
        <v>44513.166463330388</v>
      </c>
      <c r="U41" s="23">
        <f t="shared" si="8"/>
        <v>1.6838174837463479E-3</v>
      </c>
    </row>
    <row r="42" spans="1:21" x14ac:dyDescent="0.2">
      <c r="A42" s="8">
        <f>'Monthly Data'!A42</f>
        <v>43952</v>
      </c>
      <c r="B42">
        <f t="shared" si="1"/>
        <v>2020</v>
      </c>
      <c r="C42">
        <f t="shared" si="2"/>
        <v>5</v>
      </c>
      <c r="D42" s="19">
        <f>'Monthly Data'!J42</f>
        <v>27588460.479361489</v>
      </c>
      <c r="E42" s="21">
        <f>'Monthly Data'!BJ42</f>
        <v>117.34583333333333</v>
      </c>
      <c r="F42" s="21">
        <f>'Monthly Data'!BK42</f>
        <v>55.616666666666646</v>
      </c>
      <c r="G42" s="283">
        <f>'Monthly Data'!CV42</f>
        <v>1</v>
      </c>
      <c r="H42" s="7">
        <f>'Monthly Data'!CS42</f>
        <v>31</v>
      </c>
      <c r="I42" s="7">
        <f>'Monthly Data'!AO42</f>
        <v>705711</v>
      </c>
      <c r="J42" s="7">
        <f>'Monthly Data'!BT42</f>
        <v>0</v>
      </c>
      <c r="L42" s="11">
        <f>'GS&lt;50 Predicted Monthly'!$X$8</f>
        <v>-13592432.544671699</v>
      </c>
      <c r="M42" s="11">
        <f>E42*'GS&lt;50 Predicted Monthly'!$X$9</f>
        <v>1621221.8095504213</v>
      </c>
      <c r="N42" s="11">
        <f>F42*'GS&lt;50 Predicted Monthly'!$X$10</f>
        <v>2394094.1321063819</v>
      </c>
      <c r="O42" s="11">
        <f>G42*'GS&lt;50 Predicted Monthly'!$X$11</f>
        <v>-2090363.2666515401</v>
      </c>
      <c r="P42" s="11">
        <f>H42*'GS&lt;50 Predicted Monthly'!$X$12</f>
        <v>20753533.272940867</v>
      </c>
      <c r="Q42" s="11">
        <f>I42*'GS&lt;50 Predicted Monthly'!$X$13</f>
        <v>18416951.540005006</v>
      </c>
      <c r="R42" s="11">
        <f t="shared" si="5"/>
        <v>0</v>
      </c>
      <c r="S42" s="11">
        <f t="shared" si="6"/>
        <v>27503004.943279438</v>
      </c>
      <c r="T42" s="11">
        <f t="shared" si="7"/>
        <v>-85455.536082051694</v>
      </c>
      <c r="U42" s="23">
        <f t="shared" si="8"/>
        <v>3.0975101400087073E-3</v>
      </c>
    </row>
    <row r="43" spans="1:21" x14ac:dyDescent="0.2">
      <c r="A43" s="8">
        <f>'Monthly Data'!A43</f>
        <v>43983</v>
      </c>
      <c r="B43">
        <f t="shared" si="1"/>
        <v>2020</v>
      </c>
      <c r="C43">
        <f t="shared" si="2"/>
        <v>6</v>
      </c>
      <c r="D43" s="19">
        <f>'Monthly Data'!J43</f>
        <v>32012058.677479155</v>
      </c>
      <c r="E43" s="21">
        <f>'Monthly Data'!BJ43</f>
        <v>3.7708333333333339</v>
      </c>
      <c r="F43" s="21">
        <f>'Monthly Data'!BK43</f>
        <v>167.22499999999997</v>
      </c>
      <c r="G43" s="283">
        <f>'Monthly Data'!CV43</f>
        <v>0.5</v>
      </c>
      <c r="H43" s="7">
        <f>'Monthly Data'!CS43</f>
        <v>30</v>
      </c>
      <c r="I43" s="7">
        <f>'Monthly Data'!AO43</f>
        <v>705711</v>
      </c>
      <c r="J43" s="7">
        <f>'Monthly Data'!BT43</f>
        <v>0</v>
      </c>
      <c r="L43" s="11">
        <f>'GS&lt;50 Predicted Monthly'!$X$8</f>
        <v>-13592432.544671699</v>
      </c>
      <c r="M43" s="11">
        <f>E43*'GS&lt;50 Predicted Monthly'!$X$9</f>
        <v>52096.92638011332</v>
      </c>
      <c r="N43" s="11">
        <f>F43*'GS&lt;50 Predicted Monthly'!$X$10</f>
        <v>7198424.775094213</v>
      </c>
      <c r="O43" s="11">
        <f>G43*'GS&lt;50 Predicted Monthly'!$X$11</f>
        <v>-1045181.63332577</v>
      </c>
      <c r="P43" s="11">
        <f>H43*'GS&lt;50 Predicted Monthly'!$X$12</f>
        <v>20084064.457684711</v>
      </c>
      <c r="Q43" s="11">
        <f>I43*'GS&lt;50 Predicted Monthly'!$X$13</f>
        <v>18416951.540005006</v>
      </c>
      <c r="R43" s="11">
        <f t="shared" si="5"/>
        <v>0</v>
      </c>
      <c r="S43" s="11">
        <f t="shared" si="6"/>
        <v>31113923.52116657</v>
      </c>
      <c r="T43" s="11">
        <f t="shared" si="7"/>
        <v>-898135.15631258488</v>
      </c>
      <c r="U43" s="23">
        <f t="shared" si="8"/>
        <v>2.8056151132336674E-2</v>
      </c>
    </row>
    <row r="44" spans="1:21" x14ac:dyDescent="0.2">
      <c r="A44" s="8">
        <f>'Monthly Data'!A44</f>
        <v>44013</v>
      </c>
      <c r="B44">
        <f t="shared" si="1"/>
        <v>2020</v>
      </c>
      <c r="C44">
        <f t="shared" si="2"/>
        <v>7</v>
      </c>
      <c r="D44" s="19">
        <f>'Monthly Data'!J44</f>
        <v>38745453.377998121</v>
      </c>
      <c r="E44" s="21">
        <f>'Monthly Data'!BJ44</f>
        <v>0</v>
      </c>
      <c r="F44" s="21">
        <f>'Monthly Data'!BK44</f>
        <v>285.85000000000008</v>
      </c>
      <c r="G44" s="283">
        <f>'Monthly Data'!CV44</f>
        <v>0.5</v>
      </c>
      <c r="H44" s="7">
        <f>'Monthly Data'!CS44</f>
        <v>31</v>
      </c>
      <c r="I44" s="7">
        <f>'Monthly Data'!AO44</f>
        <v>778294</v>
      </c>
      <c r="J44" s="7">
        <f>'Monthly Data'!BT44</f>
        <v>0</v>
      </c>
      <c r="L44" s="11">
        <f>'GS&lt;50 Predicted Monthly'!$X$8</f>
        <v>-13592432.544671699</v>
      </c>
      <c r="M44" s="11">
        <f>E44*'GS&lt;50 Predicted Monthly'!$X$9</f>
        <v>0</v>
      </c>
      <c r="N44" s="11">
        <f>F44*'GS&lt;50 Predicted Monthly'!$X$10</f>
        <v>12304797.260939941</v>
      </c>
      <c r="O44" s="11">
        <f>G44*'GS&lt;50 Predicted Monthly'!$X$11</f>
        <v>-1045181.63332577</v>
      </c>
      <c r="P44" s="11">
        <f>H44*'GS&lt;50 Predicted Monthly'!$X$12</f>
        <v>20753533.272940867</v>
      </c>
      <c r="Q44" s="11">
        <f>I44*'GS&lt;50 Predicted Monthly'!$X$13</f>
        <v>20311151.281298798</v>
      </c>
      <c r="R44" s="11">
        <f t="shared" si="5"/>
        <v>0</v>
      </c>
      <c r="S44" s="11">
        <f t="shared" si="6"/>
        <v>38731867.637182131</v>
      </c>
      <c r="T44" s="11">
        <f t="shared" si="7"/>
        <v>-13585.740815989673</v>
      </c>
      <c r="U44" s="23">
        <f t="shared" si="8"/>
        <v>3.5064090445524203E-4</v>
      </c>
    </row>
    <row r="45" spans="1:21" x14ac:dyDescent="0.2">
      <c r="A45" s="8">
        <f>'Monthly Data'!A45</f>
        <v>44044</v>
      </c>
      <c r="B45">
        <f t="shared" si="1"/>
        <v>2020</v>
      </c>
      <c r="C45">
        <f t="shared" si="2"/>
        <v>8</v>
      </c>
      <c r="D45" s="19">
        <f>'Monthly Data'!J45</f>
        <v>35336767.432149887</v>
      </c>
      <c r="E45" s="21">
        <f>'Monthly Data'!BJ45</f>
        <v>0</v>
      </c>
      <c r="F45" s="21">
        <f>'Monthly Data'!BK45</f>
        <v>199.54583333333341</v>
      </c>
      <c r="G45" s="283">
        <f>'Monthly Data'!CV45</f>
        <v>0.5</v>
      </c>
      <c r="H45" s="7">
        <f>'Monthly Data'!CS45</f>
        <v>31</v>
      </c>
      <c r="I45" s="7">
        <f>'Monthly Data'!AO45</f>
        <v>778294</v>
      </c>
      <c r="J45" s="7">
        <f>'Monthly Data'!BT45</f>
        <v>0</v>
      </c>
      <c r="L45" s="11">
        <f>'GS&lt;50 Predicted Monthly'!$X$8</f>
        <v>-13592432.544671699</v>
      </c>
      <c r="M45" s="11">
        <f>E45*'GS&lt;50 Predicted Monthly'!$X$9</f>
        <v>0</v>
      </c>
      <c r="N45" s="11">
        <f>F45*'GS&lt;50 Predicted Monthly'!$X$10</f>
        <v>8589718.4657406975</v>
      </c>
      <c r="O45" s="11">
        <f>G45*'GS&lt;50 Predicted Monthly'!$X$11</f>
        <v>-1045181.63332577</v>
      </c>
      <c r="P45" s="11">
        <f>H45*'GS&lt;50 Predicted Monthly'!$X$12</f>
        <v>20753533.272940867</v>
      </c>
      <c r="Q45" s="11">
        <f>I45*'GS&lt;50 Predicted Monthly'!$X$13</f>
        <v>20311151.281298798</v>
      </c>
      <c r="R45" s="11">
        <f t="shared" si="5"/>
        <v>0</v>
      </c>
      <c r="S45" s="11">
        <f t="shared" si="6"/>
        <v>35016788.841982894</v>
      </c>
      <c r="T45" s="11">
        <f t="shared" si="7"/>
        <v>-319978.59016699344</v>
      </c>
      <c r="U45" s="23">
        <f t="shared" si="8"/>
        <v>9.0551177546555218E-3</v>
      </c>
    </row>
    <row r="46" spans="1:21" x14ac:dyDescent="0.2">
      <c r="A46" s="8">
        <f>'Monthly Data'!A46</f>
        <v>44075</v>
      </c>
      <c r="B46">
        <f t="shared" si="1"/>
        <v>2020</v>
      </c>
      <c r="C46">
        <f t="shared" si="2"/>
        <v>9</v>
      </c>
      <c r="D46" s="19">
        <f>'Monthly Data'!J46</f>
        <v>30064424.989130653</v>
      </c>
      <c r="E46" s="21">
        <f>'Monthly Data'!BJ46</f>
        <v>25.787499999999994</v>
      </c>
      <c r="F46" s="21">
        <f>'Monthly Data'!BK46</f>
        <v>71.695833333333354</v>
      </c>
      <c r="G46" s="283">
        <f>'Monthly Data'!CV46</f>
        <v>0.5</v>
      </c>
      <c r="H46" s="7">
        <f>'Monthly Data'!CS46</f>
        <v>30</v>
      </c>
      <c r="I46" s="7">
        <f>'Monthly Data'!AO46</f>
        <v>778294</v>
      </c>
      <c r="J46" s="7">
        <f>'Monthly Data'!BT46</f>
        <v>0</v>
      </c>
      <c r="L46" s="11">
        <f>'GS&lt;50 Predicted Monthly'!$X$8</f>
        <v>-13592432.544671699</v>
      </c>
      <c r="M46" s="11">
        <f>E46*'GS&lt;50 Predicted Monthly'!$X$9</f>
        <v>356273.8976425649</v>
      </c>
      <c r="N46" s="11">
        <f>F46*'GS&lt;50 Predicted Monthly'!$X$10</f>
        <v>3086243.4620283595</v>
      </c>
      <c r="O46" s="11">
        <f>G46*'GS&lt;50 Predicted Monthly'!$X$11</f>
        <v>-1045181.63332577</v>
      </c>
      <c r="P46" s="11">
        <f>H46*'GS&lt;50 Predicted Monthly'!$X$12</f>
        <v>20084064.457684711</v>
      </c>
      <c r="Q46" s="11">
        <f>I46*'GS&lt;50 Predicted Monthly'!$X$13</f>
        <v>20311151.281298798</v>
      </c>
      <c r="R46" s="11">
        <f t="shared" si="5"/>
        <v>0</v>
      </c>
      <c r="S46" s="11">
        <f t="shared" si="6"/>
        <v>29200118.920656964</v>
      </c>
      <c r="T46" s="11">
        <f t="shared" si="7"/>
        <v>-864306.06847368926</v>
      </c>
      <c r="U46" s="23">
        <f t="shared" si="8"/>
        <v>2.8748464964361245E-2</v>
      </c>
    </row>
    <row r="47" spans="1:21" x14ac:dyDescent="0.2">
      <c r="A47" s="8">
        <f>'Monthly Data'!A47</f>
        <v>44105</v>
      </c>
      <c r="B47">
        <f t="shared" si="1"/>
        <v>2020</v>
      </c>
      <c r="C47">
        <f t="shared" si="2"/>
        <v>10</v>
      </c>
      <c r="D47" s="19">
        <f>'Monthly Data'!J47</f>
        <v>29507060.335061818</v>
      </c>
      <c r="E47" s="21">
        <f>'Monthly Data'!BJ47</f>
        <v>165.45833333333334</v>
      </c>
      <c r="F47" s="21">
        <f>'Monthly Data'!BK47</f>
        <v>4.0104166666666714</v>
      </c>
      <c r="G47" s="283">
        <f>'Monthly Data'!CV47</f>
        <v>0.5</v>
      </c>
      <c r="H47" s="7">
        <f>'Monthly Data'!CS47</f>
        <v>31</v>
      </c>
      <c r="I47" s="7">
        <f>'Monthly Data'!AO47</f>
        <v>797313</v>
      </c>
      <c r="J47" s="7">
        <f>'Monthly Data'!BT47</f>
        <v>0</v>
      </c>
      <c r="L47" s="11">
        <f>'GS&lt;50 Predicted Monthly'!$X$8</f>
        <v>-13592432.544671699</v>
      </c>
      <c r="M47" s="11">
        <f>E47*'GS&lt;50 Predicted Monthly'!$X$9</f>
        <v>2285932.5376290604</v>
      </c>
      <c r="N47" s="11">
        <f>F47*'GS&lt;50 Predicted Monthly'!$X$10</f>
        <v>172633.7730111175</v>
      </c>
      <c r="O47" s="11">
        <f>G47*'GS&lt;50 Predicted Monthly'!$X$11</f>
        <v>-1045181.63332577</v>
      </c>
      <c r="P47" s="11">
        <f>H47*'GS&lt;50 Predicted Monthly'!$X$12</f>
        <v>20753533.272940867</v>
      </c>
      <c r="Q47" s="11">
        <f>I47*'GS&lt;50 Predicted Monthly'!$X$13</f>
        <v>20807490.436192736</v>
      </c>
      <c r="R47" s="11">
        <f t="shared" si="5"/>
        <v>0</v>
      </c>
      <c r="S47" s="11">
        <f t="shared" si="6"/>
        <v>29381975.841776311</v>
      </c>
      <c r="T47" s="11">
        <f t="shared" si="7"/>
        <v>-125084.49328550696</v>
      </c>
      <c r="U47" s="23">
        <f t="shared" si="8"/>
        <v>4.2391377475469857E-3</v>
      </c>
    </row>
    <row r="48" spans="1:21" x14ac:dyDescent="0.2">
      <c r="A48" s="8">
        <f>'Monthly Data'!A48</f>
        <v>44136</v>
      </c>
      <c r="B48">
        <f t="shared" si="1"/>
        <v>2020</v>
      </c>
      <c r="C48">
        <f t="shared" si="2"/>
        <v>11</v>
      </c>
      <c r="D48" s="19">
        <f>'Monthly Data'!J48</f>
        <v>30257073.560644682</v>
      </c>
      <c r="E48" s="21">
        <f>'Monthly Data'!BJ48</f>
        <v>238.94583333333335</v>
      </c>
      <c r="F48" s="21">
        <f>'Monthly Data'!BK48</f>
        <v>3.091666666666665</v>
      </c>
      <c r="G48" s="283">
        <f>'Monthly Data'!CV48</f>
        <v>0.5</v>
      </c>
      <c r="H48" s="7">
        <f>'Monthly Data'!CS48</f>
        <v>30</v>
      </c>
      <c r="I48" s="7">
        <f>'Monthly Data'!AO48</f>
        <v>797313</v>
      </c>
      <c r="J48" s="7">
        <f>'Monthly Data'!BT48</f>
        <v>0</v>
      </c>
      <c r="L48" s="11">
        <f>'GS&lt;50 Predicted Monthly'!$X$8</f>
        <v>-13592432.544671699</v>
      </c>
      <c r="M48" s="11">
        <f>E48*'GS&lt;50 Predicted Monthly'!$X$9</f>
        <v>3301218.1625639321</v>
      </c>
      <c r="N48" s="11">
        <f>F48*'GS&lt;50 Predicted Monthly'!$X$10</f>
        <v>133084.94501220671</v>
      </c>
      <c r="O48" s="11">
        <f>G48*'GS&lt;50 Predicted Monthly'!$X$11</f>
        <v>-1045181.63332577</v>
      </c>
      <c r="P48" s="11">
        <f>H48*'GS&lt;50 Predicted Monthly'!$X$12</f>
        <v>20084064.457684711</v>
      </c>
      <c r="Q48" s="11">
        <f>I48*'GS&lt;50 Predicted Monthly'!$X$13</f>
        <v>20807490.436192736</v>
      </c>
      <c r="R48" s="11">
        <f t="shared" si="5"/>
        <v>0</v>
      </c>
      <c r="S48" s="11">
        <f t="shared" si="6"/>
        <v>29688243.823456116</v>
      </c>
      <c r="T48" s="11">
        <f t="shared" si="7"/>
        <v>-568829.73718856648</v>
      </c>
      <c r="U48" s="23">
        <f t="shared" si="8"/>
        <v>1.8799892727512226E-2</v>
      </c>
    </row>
    <row r="49" spans="1:28" x14ac:dyDescent="0.2">
      <c r="A49" s="8">
        <f>'Monthly Data'!A49</f>
        <v>44166</v>
      </c>
      <c r="B49">
        <f t="shared" si="1"/>
        <v>2020</v>
      </c>
      <c r="C49">
        <f t="shared" si="2"/>
        <v>12</v>
      </c>
      <c r="D49" s="19">
        <f>'Monthly Data'!J49</f>
        <v>33353346.81291895</v>
      </c>
      <c r="E49" s="21">
        <f>'Monthly Data'!BJ49</f>
        <v>455.59791666666672</v>
      </c>
      <c r="F49" s="21">
        <f>'Monthly Data'!BK49</f>
        <v>0</v>
      </c>
      <c r="G49" s="283">
        <f>'Monthly Data'!CV49</f>
        <v>0.5</v>
      </c>
      <c r="H49" s="7">
        <f>'Monthly Data'!CS49</f>
        <v>31</v>
      </c>
      <c r="I49" s="7">
        <f>'Monthly Data'!AO49</f>
        <v>797313</v>
      </c>
      <c r="J49" s="7">
        <f>'Monthly Data'!BT49</f>
        <v>0</v>
      </c>
      <c r="L49" s="11">
        <f>'GS&lt;50 Predicted Monthly'!$X$8</f>
        <v>-13592432.544671699</v>
      </c>
      <c r="M49" s="11">
        <f>E49*'GS&lt;50 Predicted Monthly'!$X$9</f>
        <v>6294431.2371756034</v>
      </c>
      <c r="N49" s="11">
        <f>F49*'GS&lt;50 Predicted Monthly'!$X$10</f>
        <v>0</v>
      </c>
      <c r="O49" s="11">
        <f>G49*'GS&lt;50 Predicted Monthly'!$X$11</f>
        <v>-1045181.63332577</v>
      </c>
      <c r="P49" s="11">
        <f>H49*'GS&lt;50 Predicted Monthly'!$X$12</f>
        <v>20753533.272940867</v>
      </c>
      <c r="Q49" s="11">
        <f>I49*'GS&lt;50 Predicted Monthly'!$X$13</f>
        <v>20807490.436192736</v>
      </c>
      <c r="R49" s="11">
        <f t="shared" si="5"/>
        <v>0</v>
      </c>
      <c r="S49" s="11">
        <f t="shared" si="6"/>
        <v>33217840.768311739</v>
      </c>
      <c r="T49" s="11">
        <f t="shared" si="7"/>
        <v>-135506.0446072109</v>
      </c>
      <c r="U49" s="23">
        <f t="shared" si="8"/>
        <v>4.0627420500639099E-3</v>
      </c>
    </row>
    <row r="50" spans="1:28" x14ac:dyDescent="0.2">
      <c r="A50" s="8">
        <f>'Monthly Data'!A50</f>
        <v>44197</v>
      </c>
      <c r="B50">
        <f t="shared" si="1"/>
        <v>2021</v>
      </c>
      <c r="C50">
        <f t="shared" si="2"/>
        <v>1</v>
      </c>
      <c r="D50" s="19">
        <f>'Monthly Data'!J50</f>
        <v>33188670.928305969</v>
      </c>
      <c r="E50" s="21">
        <f>'Monthly Data'!BJ50</f>
        <v>523.92083333333335</v>
      </c>
      <c r="F50" s="21">
        <f>'Monthly Data'!BK50</f>
        <v>0</v>
      </c>
      <c r="G50" s="283">
        <f>'Monthly Data'!CV50</f>
        <v>0.5</v>
      </c>
      <c r="H50" s="7">
        <f>'Monthly Data'!CS50</f>
        <v>31</v>
      </c>
      <c r="I50" s="7">
        <f>'Monthly Data'!AO50</f>
        <v>809994</v>
      </c>
      <c r="J50" s="7">
        <f>'Monthly Data'!BT50</f>
        <v>0</v>
      </c>
      <c r="L50" s="11">
        <f>'GS&lt;50 Predicted Monthly'!$X$8</f>
        <v>-13592432.544671699</v>
      </c>
      <c r="M50" s="11">
        <f>E50*'GS&lt;50 Predicted Monthly'!$X$9</f>
        <v>7238364.2209522966</v>
      </c>
      <c r="N50" s="11">
        <f>F50*'GS&lt;50 Predicted Monthly'!$X$10</f>
        <v>0</v>
      </c>
      <c r="O50" s="11">
        <f>G50*'GS&lt;50 Predicted Monthly'!$X$11</f>
        <v>-1045181.63332577</v>
      </c>
      <c r="P50" s="11">
        <f>H50*'GS&lt;50 Predicted Monthly'!$X$12</f>
        <v>20753533.272940867</v>
      </c>
      <c r="Q50" s="11">
        <f>I50*'GS&lt;50 Predicted Monthly'!$X$13</f>
        <v>21138426.701149359</v>
      </c>
      <c r="R50" s="11">
        <f t="shared" si="5"/>
        <v>0</v>
      </c>
      <c r="S50" s="11">
        <f t="shared" si="6"/>
        <v>34492710.017045051</v>
      </c>
      <c r="T50" s="11">
        <f t="shared" si="7"/>
        <v>1304039.0887390822</v>
      </c>
      <c r="U50" s="23">
        <f t="shared" si="8"/>
        <v>3.9291693588937686E-2</v>
      </c>
    </row>
    <row r="51" spans="1:28" x14ac:dyDescent="0.2">
      <c r="A51" s="8">
        <f>'Monthly Data'!A51</f>
        <v>44228</v>
      </c>
      <c r="B51">
        <f t="shared" si="1"/>
        <v>2021</v>
      </c>
      <c r="C51">
        <f t="shared" si="2"/>
        <v>2</v>
      </c>
      <c r="D51" s="19">
        <f>'Monthly Data'!J51</f>
        <v>32029961.907204423</v>
      </c>
      <c r="E51" s="21">
        <f>'Monthly Data'!BJ51</f>
        <v>570.50000000000011</v>
      </c>
      <c r="F51" s="21">
        <f>'Monthly Data'!BK51</f>
        <v>0</v>
      </c>
      <c r="G51" s="283">
        <f>'Monthly Data'!CV51</f>
        <v>0.5</v>
      </c>
      <c r="H51" s="7">
        <f>'Monthly Data'!CS51</f>
        <v>28</v>
      </c>
      <c r="I51" s="7">
        <f>'Monthly Data'!AO51</f>
        <v>809994</v>
      </c>
      <c r="J51" s="7">
        <f>'Monthly Data'!BT51</f>
        <v>0</v>
      </c>
      <c r="L51" s="11">
        <f>'GS&lt;50 Predicted Monthly'!$X$8</f>
        <v>-13592432.544671699</v>
      </c>
      <c r="M51" s="11">
        <f>E51*'GS&lt;50 Predicted Monthly'!$X$9</f>
        <v>7881890.7844918417</v>
      </c>
      <c r="N51" s="11">
        <f>F51*'GS&lt;50 Predicted Monthly'!$X$10</f>
        <v>0</v>
      </c>
      <c r="O51" s="11">
        <f>G51*'GS&lt;50 Predicted Monthly'!$X$11</f>
        <v>-1045181.63332577</v>
      </c>
      <c r="P51" s="11">
        <f>H51*'GS&lt;50 Predicted Monthly'!$X$12</f>
        <v>18745126.827172395</v>
      </c>
      <c r="Q51" s="11">
        <f>I51*'GS&lt;50 Predicted Monthly'!$X$13</f>
        <v>21138426.701149359</v>
      </c>
      <c r="R51" s="11">
        <f t="shared" si="5"/>
        <v>0</v>
      </c>
      <c r="S51" s="11">
        <f t="shared" si="6"/>
        <v>33127830.134816125</v>
      </c>
      <c r="T51" s="11">
        <f t="shared" si="7"/>
        <v>1097868.2276117019</v>
      </c>
      <c r="U51" s="23">
        <f t="shared" si="8"/>
        <v>3.4276288894516636E-2</v>
      </c>
    </row>
    <row r="52" spans="1:28" x14ac:dyDescent="0.2">
      <c r="A52" s="8">
        <f>'Monthly Data'!A52</f>
        <v>44256</v>
      </c>
      <c r="B52">
        <f t="shared" si="1"/>
        <v>2021</v>
      </c>
      <c r="C52">
        <f t="shared" si="2"/>
        <v>3</v>
      </c>
      <c r="D52" s="19">
        <f>'Monthly Data'!J52</f>
        <v>32767606.297940973</v>
      </c>
      <c r="E52" s="21">
        <f>'Monthly Data'!BJ52</f>
        <v>328.07083333333333</v>
      </c>
      <c r="F52" s="21">
        <f>'Monthly Data'!BK52</f>
        <v>0</v>
      </c>
      <c r="G52" s="283">
        <f>'Monthly Data'!CV52</f>
        <v>0.5</v>
      </c>
      <c r="H52" s="7">
        <f>'Monthly Data'!CS52</f>
        <v>31</v>
      </c>
      <c r="I52" s="7">
        <f>'Monthly Data'!AO52</f>
        <v>809994</v>
      </c>
      <c r="J52" s="7">
        <f>'Monthly Data'!BT52</f>
        <v>1</v>
      </c>
      <c r="L52" s="11">
        <f>'GS&lt;50 Predicted Monthly'!$X$8</f>
        <v>-13592432.544671699</v>
      </c>
      <c r="M52" s="11">
        <f>E52*'GS&lt;50 Predicted Monthly'!$X$9</f>
        <v>4532547.726398875</v>
      </c>
      <c r="N52" s="11">
        <f>F52*'GS&lt;50 Predicted Monthly'!$X$10</f>
        <v>0</v>
      </c>
      <c r="O52" s="11">
        <f>G52*'GS&lt;50 Predicted Monthly'!$X$11</f>
        <v>-1045181.63332577</v>
      </c>
      <c r="P52" s="11">
        <f>H52*'GS&lt;50 Predicted Monthly'!$X$12</f>
        <v>20753533.272940867</v>
      </c>
      <c r="Q52" s="11">
        <f>I52*'GS&lt;50 Predicted Monthly'!$X$13</f>
        <v>21138426.701149359</v>
      </c>
      <c r="R52" s="11">
        <f t="shared" si="5"/>
        <v>522033.18159628101</v>
      </c>
      <c r="S52" s="11">
        <f t="shared" si="6"/>
        <v>32308926.704087913</v>
      </c>
      <c r="T52" s="11">
        <f t="shared" si="7"/>
        <v>-458679.59385306016</v>
      </c>
      <c r="U52" s="23">
        <f t="shared" si="8"/>
        <v>1.3997958522892847E-2</v>
      </c>
    </row>
    <row r="53" spans="1:28" x14ac:dyDescent="0.2">
      <c r="A53" s="8">
        <f>'Monthly Data'!A53</f>
        <v>44287</v>
      </c>
      <c r="B53">
        <f t="shared" si="1"/>
        <v>2021</v>
      </c>
      <c r="C53">
        <f t="shared" si="2"/>
        <v>4</v>
      </c>
      <c r="D53" s="19">
        <f>'Monthly Data'!J53</f>
        <v>28526897.993398827</v>
      </c>
      <c r="E53" s="21">
        <f>'Monthly Data'!BJ53</f>
        <v>195.19166666666669</v>
      </c>
      <c r="F53" s="21">
        <f>'Monthly Data'!BK53</f>
        <v>8.0499999999999954</v>
      </c>
      <c r="G53" s="283">
        <f>'Monthly Data'!CV53</f>
        <v>0.5</v>
      </c>
      <c r="H53" s="7">
        <f>'Monthly Data'!CS53</f>
        <v>30</v>
      </c>
      <c r="I53" s="7">
        <f>'Monthly Data'!AO53</f>
        <v>803585</v>
      </c>
      <c r="J53" s="7">
        <f>'Monthly Data'!BT53</f>
        <v>0</v>
      </c>
      <c r="L53" s="11">
        <f>'GS&lt;50 Predicted Monthly'!$X$8</f>
        <v>-13592432.544671699</v>
      </c>
      <c r="M53" s="11">
        <f>E53*'GS&lt;50 Predicted Monthly'!$X$9</f>
        <v>2696721.1195610925</v>
      </c>
      <c r="N53" s="11">
        <f>F53*'GS&lt;50 Predicted Monthly'!$X$10</f>
        <v>346523.06437140616</v>
      </c>
      <c r="O53" s="11">
        <f>G53*'GS&lt;50 Predicted Monthly'!$X$11</f>
        <v>-1045181.63332577</v>
      </c>
      <c r="P53" s="11">
        <f>H53*'GS&lt;50 Predicted Monthly'!$X$12</f>
        <v>20084064.457684711</v>
      </c>
      <c r="Q53" s="11">
        <f>I53*'GS&lt;50 Predicted Monthly'!$X$13</f>
        <v>20971170.92304771</v>
      </c>
      <c r="R53" s="11">
        <f t="shared" si="5"/>
        <v>0</v>
      </c>
      <c r="S53" s="11">
        <f t="shared" si="6"/>
        <v>29460865.386667453</v>
      </c>
      <c r="T53" s="11">
        <f t="shared" si="7"/>
        <v>933967.39326862618</v>
      </c>
      <c r="U53" s="23">
        <f t="shared" si="8"/>
        <v>3.2739886176364072E-2</v>
      </c>
    </row>
    <row r="54" spans="1:28" x14ac:dyDescent="0.2">
      <c r="A54" s="8">
        <f>'Monthly Data'!A54</f>
        <v>44317</v>
      </c>
      <c r="B54">
        <f t="shared" si="1"/>
        <v>2021</v>
      </c>
      <c r="C54">
        <f t="shared" si="2"/>
        <v>5</v>
      </c>
      <c r="D54" s="19">
        <f>'Monthly Data'!J54</f>
        <v>29460273.547266677</v>
      </c>
      <c r="E54" s="21">
        <f>'Monthly Data'!BJ54</f>
        <v>93.4375</v>
      </c>
      <c r="F54" s="21">
        <f>'Monthly Data'!BK54</f>
        <v>66.793749999999989</v>
      </c>
      <c r="G54" s="283">
        <f>'Monthly Data'!CV54</f>
        <v>0.5</v>
      </c>
      <c r="H54" s="7">
        <f>'Monthly Data'!CS54</f>
        <v>31</v>
      </c>
      <c r="I54" s="7">
        <f>'Monthly Data'!AO54</f>
        <v>803585</v>
      </c>
      <c r="J54" s="7">
        <f>'Monthly Data'!BT54</f>
        <v>0</v>
      </c>
      <c r="L54" s="11">
        <f>'GS&lt;50 Predicted Monthly'!$X$8</f>
        <v>-13592432.544671699</v>
      </c>
      <c r="M54" s="11">
        <f>E54*'GS&lt;50 Predicted Monthly'!$X$9</f>
        <v>1290910.0266011504</v>
      </c>
      <c r="N54" s="11">
        <f>F54*'GS&lt;50 Predicted Monthly'!$X$10</f>
        <v>2875226.6994854184</v>
      </c>
      <c r="O54" s="11">
        <f>G54*'GS&lt;50 Predicted Monthly'!$X$11</f>
        <v>-1045181.63332577</v>
      </c>
      <c r="P54" s="11">
        <f>H54*'GS&lt;50 Predicted Monthly'!$X$12</f>
        <v>20753533.272940867</v>
      </c>
      <c r="Q54" s="11">
        <f>I54*'GS&lt;50 Predicted Monthly'!$X$13</f>
        <v>20971170.92304771</v>
      </c>
      <c r="R54" s="11">
        <f t="shared" si="5"/>
        <v>0</v>
      </c>
      <c r="S54" s="11">
        <f t="shared" si="6"/>
        <v>31253226.744077675</v>
      </c>
      <c r="T54" s="11">
        <f t="shared" si="7"/>
        <v>1792953.196810998</v>
      </c>
      <c r="U54" s="23">
        <f t="shared" si="8"/>
        <v>6.0860032203514561E-2</v>
      </c>
    </row>
    <row r="55" spans="1:28" x14ac:dyDescent="0.2">
      <c r="A55" s="8">
        <f>'Monthly Data'!A55</f>
        <v>44348</v>
      </c>
      <c r="B55">
        <f t="shared" si="1"/>
        <v>2021</v>
      </c>
      <c r="C55">
        <f t="shared" si="2"/>
        <v>6</v>
      </c>
      <c r="D55" s="19">
        <f>'Monthly Data'!J55</f>
        <v>33741581.231269225</v>
      </c>
      <c r="E55" s="21">
        <f>'Monthly Data'!BJ55</f>
        <v>1.1083333333333361</v>
      </c>
      <c r="F55" s="21">
        <f>'Monthly Data'!BK55</f>
        <v>198.83750000000006</v>
      </c>
      <c r="G55" s="283">
        <f>'Monthly Data'!CV55</f>
        <v>0.5</v>
      </c>
      <c r="H55" s="7">
        <f>'Monthly Data'!CS55</f>
        <v>30</v>
      </c>
      <c r="I55" s="7">
        <f>'Monthly Data'!AO55</f>
        <v>803585</v>
      </c>
      <c r="J55" s="7">
        <f>'Monthly Data'!BT55</f>
        <v>0</v>
      </c>
      <c r="L55" s="11">
        <f>'GS&lt;50 Predicted Monthly'!$X$8</f>
        <v>-13592432.544671699</v>
      </c>
      <c r="M55" s="11">
        <f>E55*'GS&lt;50 Predicted Monthly'!$X$9</f>
        <v>15312.466759237763</v>
      </c>
      <c r="N55" s="11">
        <f>F55*'GS&lt;50 Predicted Monthly'!$X$10</f>
        <v>8559227.3058322389</v>
      </c>
      <c r="O55" s="11">
        <f>G55*'GS&lt;50 Predicted Monthly'!$X$11</f>
        <v>-1045181.63332577</v>
      </c>
      <c r="P55" s="11">
        <f>H55*'GS&lt;50 Predicted Monthly'!$X$12</f>
        <v>20084064.457684711</v>
      </c>
      <c r="Q55" s="11">
        <f>I55*'GS&lt;50 Predicted Monthly'!$X$13</f>
        <v>20971170.92304771</v>
      </c>
      <c r="R55" s="11">
        <f t="shared" si="5"/>
        <v>0</v>
      </c>
      <c r="S55" s="11">
        <f t="shared" si="6"/>
        <v>34992160.975326426</v>
      </c>
      <c r="T55" s="11">
        <f t="shared" si="7"/>
        <v>1250579.7440572008</v>
      </c>
      <c r="U55" s="23">
        <f t="shared" si="8"/>
        <v>3.7063459933473868E-2</v>
      </c>
    </row>
    <row r="56" spans="1:28" x14ac:dyDescent="0.2">
      <c r="A56" s="8">
        <f>'Monthly Data'!A56</f>
        <v>44378</v>
      </c>
      <c r="B56">
        <f t="shared" si="1"/>
        <v>2021</v>
      </c>
      <c r="C56">
        <f t="shared" si="2"/>
        <v>7</v>
      </c>
      <c r="D56" s="19">
        <f>'Monthly Data'!J56</f>
        <v>35821107.582326174</v>
      </c>
      <c r="E56" s="21">
        <f>'Monthly Data'!BJ56</f>
        <v>0</v>
      </c>
      <c r="F56" s="21">
        <f>'Monthly Data'!BK56</f>
        <v>193.42708333333331</v>
      </c>
      <c r="G56" s="283">
        <f>'Monthly Data'!CV56</f>
        <v>0.5</v>
      </c>
      <c r="H56" s="7">
        <f>'Monthly Data'!CS56</f>
        <v>31</v>
      </c>
      <c r="I56" s="7">
        <f>'Monthly Data'!AO56</f>
        <v>821006</v>
      </c>
      <c r="J56" s="7">
        <f>'Monthly Data'!BT56</f>
        <v>0</v>
      </c>
      <c r="L56" s="11">
        <f>'GS&lt;50 Predicted Monthly'!$X$8</f>
        <v>-13592432.544671699</v>
      </c>
      <c r="M56" s="11">
        <f>E56*'GS&lt;50 Predicted Monthly'!$X$9</f>
        <v>0</v>
      </c>
      <c r="N56" s="11">
        <f>F56*'GS&lt;50 Predicted Monthly'!$X$10</f>
        <v>8326328.6520608747</v>
      </c>
      <c r="O56" s="11">
        <f>G56*'GS&lt;50 Predicted Monthly'!$X$11</f>
        <v>-1045181.63332577</v>
      </c>
      <c r="P56" s="11">
        <f>H56*'GS&lt;50 Predicted Monthly'!$X$12</f>
        <v>20753533.272940867</v>
      </c>
      <c r="Q56" s="11">
        <f>I56*'GS&lt;50 Predicted Monthly'!$X$13</f>
        <v>21425807.045735933</v>
      </c>
      <c r="R56" s="11">
        <f t="shared" si="5"/>
        <v>0</v>
      </c>
      <c r="S56" s="11">
        <f t="shared" si="6"/>
        <v>35868054.792740203</v>
      </c>
      <c r="T56" s="11">
        <f t="shared" si="7"/>
        <v>46947.210414029658</v>
      </c>
      <c r="U56" s="23">
        <f t="shared" si="8"/>
        <v>1.3106018652866279E-3</v>
      </c>
    </row>
    <row r="57" spans="1:28" x14ac:dyDescent="0.2">
      <c r="A57" s="8">
        <f>'Monthly Data'!A57</f>
        <v>44409</v>
      </c>
      <c r="B57">
        <f t="shared" si="1"/>
        <v>2021</v>
      </c>
      <c r="C57">
        <f t="shared" si="2"/>
        <v>8</v>
      </c>
      <c r="D57" s="19">
        <f>'Monthly Data'!J57</f>
        <v>38356548.084514029</v>
      </c>
      <c r="E57" s="21">
        <f>'Monthly Data'!BJ57</f>
        <v>0</v>
      </c>
      <c r="F57" s="21">
        <f>'Monthly Data'!BK57</f>
        <v>234.19791666666669</v>
      </c>
      <c r="G57" s="283">
        <f>'Monthly Data'!CV57</f>
        <v>0.5</v>
      </c>
      <c r="H57" s="7">
        <f>'Monthly Data'!CS57</f>
        <v>31</v>
      </c>
      <c r="I57" s="7">
        <f>'Monthly Data'!AO57</f>
        <v>821006</v>
      </c>
      <c r="J57" s="7">
        <f>'Monthly Data'!BT57</f>
        <v>0</v>
      </c>
      <c r="L57" s="11">
        <f>'GS&lt;50 Predicted Monthly'!$X$8</f>
        <v>-13592432.544671699</v>
      </c>
      <c r="M57" s="11">
        <f>E57*'GS&lt;50 Predicted Monthly'!$X$9</f>
        <v>0</v>
      </c>
      <c r="N57" s="11">
        <f>F57*'GS&lt;50 Predicted Monthly'!$X$10</f>
        <v>10081363.944438832</v>
      </c>
      <c r="O57" s="11">
        <f>G57*'GS&lt;50 Predicted Monthly'!$X$11</f>
        <v>-1045181.63332577</v>
      </c>
      <c r="P57" s="11">
        <f>H57*'GS&lt;50 Predicted Monthly'!$X$12</f>
        <v>20753533.272940867</v>
      </c>
      <c r="Q57" s="11">
        <f>I57*'GS&lt;50 Predicted Monthly'!$X$13</f>
        <v>21425807.045735933</v>
      </c>
      <c r="R57" s="11">
        <f t="shared" si="5"/>
        <v>0</v>
      </c>
      <c r="S57" s="11">
        <f t="shared" si="6"/>
        <v>37623090.08511816</v>
      </c>
      <c r="T57" s="11">
        <f t="shared" si="7"/>
        <v>-733457.99939586967</v>
      </c>
      <c r="U57" s="23">
        <f t="shared" si="8"/>
        <v>1.9122106550875834E-2</v>
      </c>
      <c r="AA57" s="11"/>
      <c r="AB57" s="23"/>
    </row>
    <row r="58" spans="1:28" x14ac:dyDescent="0.2">
      <c r="A58" s="8">
        <f>'Monthly Data'!A58</f>
        <v>44440</v>
      </c>
      <c r="B58">
        <f t="shared" si="1"/>
        <v>2021</v>
      </c>
      <c r="C58">
        <f t="shared" si="2"/>
        <v>9</v>
      </c>
      <c r="D58" s="19">
        <f>'Monthly Data'!J58</f>
        <v>31815550.085094079</v>
      </c>
      <c r="E58" s="21">
        <f>'Monthly Data'!BJ58</f>
        <v>6.8624999999999954</v>
      </c>
      <c r="F58" s="21">
        <f>'Monthly Data'!BK58</f>
        <v>86.675000000000011</v>
      </c>
      <c r="G58" s="283">
        <f>'Monthly Data'!CV58</f>
        <v>0.5</v>
      </c>
      <c r="H58" s="7">
        <f>'Monthly Data'!CS58</f>
        <v>30</v>
      </c>
      <c r="I58" s="7">
        <f>'Monthly Data'!AO58</f>
        <v>821006</v>
      </c>
      <c r="J58" s="7">
        <f>'Monthly Data'!BT58</f>
        <v>0</v>
      </c>
      <c r="L58" s="11">
        <f>'GS&lt;50 Predicted Monthly'!$X$8</f>
        <v>-13592432.544671699</v>
      </c>
      <c r="M58" s="11">
        <f>E58*'GS&lt;50 Predicted Monthly'!$X$9</f>
        <v>94810.649445355331</v>
      </c>
      <c r="N58" s="11">
        <f>F58*'GS&lt;50 Predicted Monthly'!$X$10</f>
        <v>3731041.8142101425</v>
      </c>
      <c r="O58" s="11">
        <f>G58*'GS&lt;50 Predicted Monthly'!$X$11</f>
        <v>-1045181.63332577</v>
      </c>
      <c r="P58" s="11">
        <f>H58*'GS&lt;50 Predicted Monthly'!$X$12</f>
        <v>20084064.457684711</v>
      </c>
      <c r="Q58" s="11">
        <f>I58*'GS&lt;50 Predicted Monthly'!$X$13</f>
        <v>21425807.045735933</v>
      </c>
      <c r="R58" s="11">
        <f t="shared" si="5"/>
        <v>0</v>
      </c>
      <c r="S58" s="11">
        <f t="shared" si="6"/>
        <v>30698109.789078671</v>
      </c>
      <c r="T58" s="11">
        <f t="shared" si="7"/>
        <v>-1117440.2960154079</v>
      </c>
      <c r="U58" s="23">
        <f t="shared" si="8"/>
        <v>3.512245719551272E-2</v>
      </c>
      <c r="AA58" s="11"/>
      <c r="AB58" s="23"/>
    </row>
    <row r="59" spans="1:28" x14ac:dyDescent="0.2">
      <c r="A59" s="8">
        <f>'Monthly Data'!A59</f>
        <v>44470</v>
      </c>
      <c r="B59">
        <f t="shared" si="1"/>
        <v>2021</v>
      </c>
      <c r="C59">
        <f t="shared" si="2"/>
        <v>10</v>
      </c>
      <c r="D59" s="19">
        <f>'Monthly Data'!J59</f>
        <v>30918107.462813132</v>
      </c>
      <c r="E59" s="21">
        <f>'Monthly Data'!BJ59</f>
        <v>80.245833333333309</v>
      </c>
      <c r="F59" s="21">
        <f>'Monthly Data'!BK59</f>
        <v>50.395833333333336</v>
      </c>
      <c r="G59" s="283">
        <f>'Monthly Data'!CV59</f>
        <v>0.5</v>
      </c>
      <c r="H59" s="7">
        <f>'Monthly Data'!CS59</f>
        <v>31</v>
      </c>
      <c r="I59" s="7">
        <f>'Monthly Data'!AO59</f>
        <v>840399</v>
      </c>
      <c r="J59" s="7">
        <f>'Monthly Data'!BT59</f>
        <v>0</v>
      </c>
      <c r="L59" s="11">
        <f>'GS&lt;50 Predicted Monthly'!$X$8</f>
        <v>-13592432.544671699</v>
      </c>
      <c r="M59" s="11">
        <f>E59*'GS&lt;50 Predicted Monthly'!$X$9</f>
        <v>1108657.132767516</v>
      </c>
      <c r="N59" s="11">
        <f>F59*'GS&lt;50 Predicted Monthly'!$X$10</f>
        <v>2169356.3476046375</v>
      </c>
      <c r="O59" s="11">
        <f>G59*'GS&lt;50 Predicted Monthly'!$X$11</f>
        <v>-1045181.63332577</v>
      </c>
      <c r="P59" s="11">
        <f>H59*'GS&lt;50 Predicted Monthly'!$X$12</f>
        <v>20753533.272940867</v>
      </c>
      <c r="Q59" s="11">
        <f>I59*'GS&lt;50 Predicted Monthly'!$X$13</f>
        <v>21931906.484763123</v>
      </c>
      <c r="R59" s="11">
        <f t="shared" si="5"/>
        <v>0</v>
      </c>
      <c r="S59" s="11">
        <f t="shared" si="6"/>
        <v>31325839.060078673</v>
      </c>
      <c r="T59" s="11">
        <f t="shared" si="7"/>
        <v>407731.59726554155</v>
      </c>
      <c r="U59" s="23">
        <f t="shared" si="8"/>
        <v>1.3187469438611087E-2</v>
      </c>
      <c r="AA59" s="11"/>
      <c r="AB59" s="23"/>
    </row>
    <row r="60" spans="1:28" x14ac:dyDescent="0.2">
      <c r="A60" s="8">
        <f>'Monthly Data'!A60</f>
        <v>44501</v>
      </c>
      <c r="B60">
        <f t="shared" ref="B60:B97" si="9">YEAR(A60)</f>
        <v>2021</v>
      </c>
      <c r="C60">
        <f t="shared" ref="C60:C97" si="10">MONTH(A60)</f>
        <v>11</v>
      </c>
      <c r="D60" s="19">
        <f>'Monthly Data'!J60</f>
        <v>31869917.672068384</v>
      </c>
      <c r="E60" s="21">
        <f>'Monthly Data'!BJ60</f>
        <v>328.07916666666665</v>
      </c>
      <c r="F60" s="21">
        <f>'Monthly Data'!BK60</f>
        <v>0</v>
      </c>
      <c r="G60" s="283">
        <f>'Monthly Data'!CV60</f>
        <v>0.5</v>
      </c>
      <c r="H60" s="7">
        <f>'Monthly Data'!CS60</f>
        <v>30</v>
      </c>
      <c r="I60" s="7">
        <f>'Monthly Data'!AO60</f>
        <v>840399</v>
      </c>
      <c r="J60" s="7">
        <f>'Monthly Data'!BT60</f>
        <v>0</v>
      </c>
      <c r="L60" s="11">
        <f>'GS&lt;50 Predicted Monthly'!$X$8</f>
        <v>-13592432.544671699</v>
      </c>
      <c r="M60" s="11">
        <f>E60*'GS&lt;50 Predicted Monthly'!$X$9</f>
        <v>4532662.8577278918</v>
      </c>
      <c r="N60" s="11">
        <f>F60*'GS&lt;50 Predicted Monthly'!$X$10</f>
        <v>0</v>
      </c>
      <c r="O60" s="11">
        <f>G60*'GS&lt;50 Predicted Monthly'!$X$11</f>
        <v>-1045181.63332577</v>
      </c>
      <c r="P60" s="11">
        <f>H60*'GS&lt;50 Predicted Monthly'!$X$12</f>
        <v>20084064.457684711</v>
      </c>
      <c r="Q60" s="11">
        <f>I60*'GS&lt;50 Predicted Monthly'!$X$13</f>
        <v>21931906.484763123</v>
      </c>
      <c r="R60" s="11">
        <f t="shared" si="5"/>
        <v>0</v>
      </c>
      <c r="S60" s="11">
        <f t="shared" si="6"/>
        <v>31911019.622178257</v>
      </c>
      <c r="T60" s="11">
        <f t="shared" si="7"/>
        <v>41101.950109872967</v>
      </c>
      <c r="U60" s="23">
        <f t="shared" si="8"/>
        <v>1.2896785781751729E-3</v>
      </c>
      <c r="AA60" s="11"/>
      <c r="AB60" s="23"/>
    </row>
    <row r="61" spans="1:28" x14ac:dyDescent="0.2">
      <c r="A61" s="8">
        <f>'Monthly Data'!A61</f>
        <v>44531</v>
      </c>
      <c r="B61">
        <f t="shared" si="9"/>
        <v>2021</v>
      </c>
      <c r="C61">
        <f t="shared" si="10"/>
        <v>12</v>
      </c>
      <c r="D61" s="19">
        <f>'Monthly Data'!J61</f>
        <v>33904688.36236053</v>
      </c>
      <c r="E61" s="21">
        <f>'Monthly Data'!BJ61</f>
        <v>403.17083333333323</v>
      </c>
      <c r="F61" s="21">
        <f>'Monthly Data'!BK61</f>
        <v>0</v>
      </c>
      <c r="G61" s="283">
        <f>'Monthly Data'!CV61</f>
        <v>0.5</v>
      </c>
      <c r="H61" s="7">
        <f>'Monthly Data'!CS61</f>
        <v>31</v>
      </c>
      <c r="I61" s="7">
        <f>'Monthly Data'!AO61</f>
        <v>840399</v>
      </c>
      <c r="J61" s="7">
        <f>'Monthly Data'!BT61</f>
        <v>0</v>
      </c>
      <c r="L61" s="11">
        <f>'GS&lt;50 Predicted Monthly'!$X$8</f>
        <v>-13592432.544671699</v>
      </c>
      <c r="M61" s="11">
        <f>E61*'GS&lt;50 Predicted Monthly'!$X$9</f>
        <v>5570111.2634985009</v>
      </c>
      <c r="N61" s="11">
        <f>F61*'GS&lt;50 Predicted Monthly'!$X$10</f>
        <v>0</v>
      </c>
      <c r="O61" s="11">
        <f>G61*'GS&lt;50 Predicted Monthly'!$X$11</f>
        <v>-1045181.63332577</v>
      </c>
      <c r="P61" s="11">
        <f>H61*'GS&lt;50 Predicted Monthly'!$X$12</f>
        <v>20753533.272940867</v>
      </c>
      <c r="Q61" s="11">
        <f>I61*'GS&lt;50 Predicted Monthly'!$X$13</f>
        <v>21931906.484763123</v>
      </c>
      <c r="R61" s="11">
        <f t="shared" si="5"/>
        <v>0</v>
      </c>
      <c r="S61" s="11">
        <f t="shared" si="6"/>
        <v>33617936.84320502</v>
      </c>
      <c r="T61" s="11">
        <f t="shared" si="7"/>
        <v>-286751.51915550977</v>
      </c>
      <c r="U61" s="23">
        <f t="shared" si="8"/>
        <v>8.4575771967232861E-3</v>
      </c>
      <c r="AA61" s="11"/>
      <c r="AB61" s="23"/>
    </row>
    <row r="62" spans="1:28" x14ac:dyDescent="0.2">
      <c r="A62" s="8">
        <f>'Monthly Data'!A62</f>
        <v>44562</v>
      </c>
      <c r="B62">
        <f t="shared" si="9"/>
        <v>2022</v>
      </c>
      <c r="C62">
        <f t="shared" si="10"/>
        <v>1</v>
      </c>
      <c r="D62" s="19">
        <f>'Monthly Data'!J62</f>
        <v>37072199.286133692</v>
      </c>
      <c r="E62" s="21">
        <f>'Monthly Data'!BJ62</f>
        <v>680.12083333333328</v>
      </c>
      <c r="F62" s="21">
        <f>'Monthly Data'!BK62</f>
        <v>0</v>
      </c>
      <c r="G62" s="283">
        <f>'Monthly Data'!CV62</f>
        <v>0.25</v>
      </c>
      <c r="H62" s="7">
        <f>'Monthly Data'!CS62</f>
        <v>31</v>
      </c>
      <c r="I62" s="7">
        <f>'Monthly Data'!AO62</f>
        <v>847546</v>
      </c>
      <c r="J62" s="7">
        <f>'Monthly Data'!BT62</f>
        <v>0</v>
      </c>
      <c r="L62" s="11">
        <f>'GS&lt;50 Predicted Monthly'!$X$8</f>
        <v>-13592432.544671699</v>
      </c>
      <c r="M62" s="11">
        <f>E62*'GS&lt;50 Predicted Monthly'!$X$9</f>
        <v>9396385.8520436641</v>
      </c>
      <c r="N62" s="11">
        <f>F62*'GS&lt;50 Predicted Monthly'!$X$10</f>
        <v>0</v>
      </c>
      <c r="O62" s="11">
        <f>G62*'GS&lt;50 Predicted Monthly'!$X$11</f>
        <v>-522590.81666288502</v>
      </c>
      <c r="P62" s="11">
        <f>H62*'GS&lt;50 Predicted Monthly'!$X$12</f>
        <v>20753533.272940867</v>
      </c>
      <c r="Q62" s="11">
        <f>I62*'GS&lt;50 Predicted Monthly'!$X$13</f>
        <v>22118421.860967286</v>
      </c>
      <c r="R62" s="11">
        <f t="shared" si="5"/>
        <v>0</v>
      </c>
      <c r="S62" s="11">
        <f t="shared" si="6"/>
        <v>38153317.624617234</v>
      </c>
      <c r="T62" s="11">
        <f t="shared" si="7"/>
        <v>1081118.3384835422</v>
      </c>
      <c r="U62" s="23">
        <f t="shared" si="8"/>
        <v>2.9162508815275993E-2</v>
      </c>
      <c r="AA62" s="11"/>
      <c r="AB62" s="23"/>
    </row>
    <row r="63" spans="1:28" x14ac:dyDescent="0.2">
      <c r="A63" s="8">
        <f>'Monthly Data'!A63</f>
        <v>44593</v>
      </c>
      <c r="B63">
        <f t="shared" si="9"/>
        <v>2022</v>
      </c>
      <c r="C63">
        <f t="shared" si="10"/>
        <v>2</v>
      </c>
      <c r="D63" s="19">
        <f>'Monthly Data'!J63</f>
        <v>34106025.220729686</v>
      </c>
      <c r="E63" s="21">
        <f>'Monthly Data'!BJ63</f>
        <v>528.55208333333337</v>
      </c>
      <c r="F63" s="21">
        <f>'Monthly Data'!BK63</f>
        <v>0</v>
      </c>
      <c r="G63" s="283">
        <f>'Monthly Data'!CV63</f>
        <v>0.25</v>
      </c>
      <c r="H63" s="7">
        <f>'Monthly Data'!CS63</f>
        <v>28</v>
      </c>
      <c r="I63" s="7">
        <f>'Monthly Data'!AO63</f>
        <v>847546</v>
      </c>
      <c r="J63" s="7">
        <f>'Monthly Data'!BT63</f>
        <v>0</v>
      </c>
      <c r="L63" s="11">
        <f>'GS&lt;50 Predicted Monthly'!$X$8</f>
        <v>-13592432.544671699</v>
      </c>
      <c r="M63" s="11">
        <f>E63*'GS&lt;50 Predicted Monthly'!$X$9</f>
        <v>7302348.4570533978</v>
      </c>
      <c r="N63" s="11">
        <f>F63*'GS&lt;50 Predicted Monthly'!$X$10</f>
        <v>0</v>
      </c>
      <c r="O63" s="11">
        <f>G63*'GS&lt;50 Predicted Monthly'!$X$11</f>
        <v>-522590.81666288502</v>
      </c>
      <c r="P63" s="11">
        <f>H63*'GS&lt;50 Predicted Monthly'!$X$12</f>
        <v>18745126.827172395</v>
      </c>
      <c r="Q63" s="11">
        <f>I63*'GS&lt;50 Predicted Monthly'!$X$13</f>
        <v>22118421.860967286</v>
      </c>
      <c r="R63" s="11">
        <f t="shared" si="5"/>
        <v>0</v>
      </c>
      <c r="S63" s="11">
        <f t="shared" si="6"/>
        <v>34050873.783858493</v>
      </c>
      <c r="T63" s="11">
        <f t="shared" si="7"/>
        <v>-55151.436871193349</v>
      </c>
      <c r="U63" s="23">
        <f t="shared" si="8"/>
        <v>1.6170584673605483E-3</v>
      </c>
      <c r="AA63" s="11"/>
      <c r="AB63" s="23"/>
    </row>
    <row r="64" spans="1:28" x14ac:dyDescent="0.2">
      <c r="A64" s="8">
        <f>'Monthly Data'!A64</f>
        <v>44621</v>
      </c>
      <c r="B64">
        <f t="shared" si="9"/>
        <v>2022</v>
      </c>
      <c r="C64">
        <f t="shared" si="10"/>
        <v>3</v>
      </c>
      <c r="D64" s="19">
        <f>'Monthly Data'!J64</f>
        <v>35656141.74767568</v>
      </c>
      <c r="E64" s="21">
        <f>'Monthly Data'!BJ64</f>
        <v>412.21041666666667</v>
      </c>
      <c r="F64" s="21">
        <f>'Monthly Data'!BK64</f>
        <v>0</v>
      </c>
      <c r="G64" s="283">
        <f>'Monthly Data'!CV64</f>
        <v>0.25</v>
      </c>
      <c r="H64" s="7">
        <f>'Monthly Data'!CS64</f>
        <v>31</v>
      </c>
      <c r="I64" s="7">
        <f>'Monthly Data'!AO64</f>
        <v>847546</v>
      </c>
      <c r="J64" s="7">
        <f>'Monthly Data'!BT64</f>
        <v>1</v>
      </c>
      <c r="L64" s="11">
        <f>'GS&lt;50 Predicted Monthly'!$X$8</f>
        <v>-13592432.544671699</v>
      </c>
      <c r="M64" s="11">
        <f>E64*'GS&lt;50 Predicted Monthly'!$X$9</f>
        <v>5694999.9726495035</v>
      </c>
      <c r="N64" s="11">
        <f>F64*'GS&lt;50 Predicted Monthly'!$X$10</f>
        <v>0</v>
      </c>
      <c r="O64" s="11">
        <f>G64*'GS&lt;50 Predicted Monthly'!$X$11</f>
        <v>-522590.81666288502</v>
      </c>
      <c r="P64" s="11">
        <f>H64*'GS&lt;50 Predicted Monthly'!$X$12</f>
        <v>20753533.272940867</v>
      </c>
      <c r="Q64" s="11">
        <f>I64*'GS&lt;50 Predicted Monthly'!$X$13</f>
        <v>22118421.860967286</v>
      </c>
      <c r="R64" s="11">
        <f t="shared" si="5"/>
        <v>522033.18159628101</v>
      </c>
      <c r="S64" s="11">
        <f t="shared" si="6"/>
        <v>34973964.926819354</v>
      </c>
      <c r="T64" s="11">
        <f t="shared" si="7"/>
        <v>-682176.82085632533</v>
      </c>
      <c r="U64" s="23">
        <f t="shared" si="8"/>
        <v>1.9132098634894911E-2</v>
      </c>
      <c r="W64" s="11"/>
      <c r="X64" s="23"/>
      <c r="AA64" s="11"/>
      <c r="AB64" s="23"/>
    </row>
    <row r="65" spans="1:28" x14ac:dyDescent="0.2">
      <c r="A65" s="8">
        <f>'Monthly Data'!A65</f>
        <v>44652</v>
      </c>
      <c r="B65">
        <f t="shared" si="9"/>
        <v>2022</v>
      </c>
      <c r="C65">
        <f t="shared" si="10"/>
        <v>4</v>
      </c>
      <c r="D65" s="19">
        <f>'Monthly Data'!J65</f>
        <v>31746429.201593272</v>
      </c>
      <c r="E65" s="21">
        <f>'Monthly Data'!BJ65</f>
        <v>250.45416666666662</v>
      </c>
      <c r="F65" s="21">
        <f>'Monthly Data'!BK65</f>
        <v>2.5416666666666696</v>
      </c>
      <c r="G65" s="283">
        <f>'Monthly Data'!CV65</f>
        <v>0.25</v>
      </c>
      <c r="H65" s="7">
        <f>'Monthly Data'!CS65</f>
        <v>30</v>
      </c>
      <c r="I65" s="7">
        <f>'Monthly Data'!AO65</f>
        <v>854755</v>
      </c>
      <c r="J65" s="7">
        <f>'Monthly Data'!BT65</f>
        <v>0</v>
      </c>
      <c r="L65" s="11">
        <f>'GS&lt;50 Predicted Monthly'!$X$8</f>
        <v>-13592432.544671699</v>
      </c>
      <c r="M65" s="11">
        <f>E65*'GS&lt;50 Predicted Monthly'!$X$9</f>
        <v>3460214.5279361666</v>
      </c>
      <c r="N65" s="11">
        <f>F65*'GS&lt;50 Predicted Monthly'!$X$10</f>
        <v>109409.45614211082</v>
      </c>
      <c r="O65" s="11">
        <f>G65*'GS&lt;50 Predicted Monthly'!$X$11</f>
        <v>-522590.81666288502</v>
      </c>
      <c r="P65" s="11">
        <f>H65*'GS&lt;50 Predicted Monthly'!$X$12</f>
        <v>20084064.457684711</v>
      </c>
      <c r="Q65" s="11">
        <f>I65*'GS&lt;50 Predicted Monthly'!$X$13</f>
        <v>22306555.252188191</v>
      </c>
      <c r="R65" s="11">
        <f t="shared" si="5"/>
        <v>0</v>
      </c>
      <c r="S65" s="11">
        <f t="shared" si="6"/>
        <v>31845220.332616594</v>
      </c>
      <c r="T65" s="11">
        <f t="shared" si="7"/>
        <v>98791.131023321301</v>
      </c>
      <c r="U65" s="23">
        <f t="shared" si="8"/>
        <v>3.1118816669423476E-3</v>
      </c>
      <c r="W65" s="11"/>
      <c r="X65" s="23"/>
      <c r="AA65" s="11"/>
      <c r="AB65" s="23"/>
    </row>
    <row r="66" spans="1:28" x14ac:dyDescent="0.2">
      <c r="A66" s="8">
        <f>'Monthly Data'!A66</f>
        <v>44682</v>
      </c>
      <c r="B66">
        <f t="shared" si="9"/>
        <v>2022</v>
      </c>
      <c r="C66">
        <f t="shared" si="10"/>
        <v>5</v>
      </c>
      <c r="D66" s="19">
        <f>'Monthly Data'!J66</f>
        <v>32818195.351553965</v>
      </c>
      <c r="E66" s="21">
        <f>'Monthly Data'!BJ66</f>
        <v>44.104166666666664</v>
      </c>
      <c r="F66" s="21">
        <f>'Monthly Data'!BK66</f>
        <v>80.722916666666649</v>
      </c>
      <c r="G66" s="283">
        <f>'Monthly Data'!CV66</f>
        <v>0.25</v>
      </c>
      <c r="H66" s="7">
        <f>'Monthly Data'!CS66</f>
        <v>31</v>
      </c>
      <c r="I66" s="7">
        <f>'Monthly Data'!AO66</f>
        <v>854755</v>
      </c>
      <c r="J66" s="7">
        <f>'Monthly Data'!BT66</f>
        <v>0</v>
      </c>
      <c r="L66" s="11">
        <f>'GS&lt;50 Predicted Monthly'!$X$8</f>
        <v>-13592432.544671699</v>
      </c>
      <c r="M66" s="11">
        <f>E66*'GS&lt;50 Predicted Monthly'!$X$9</f>
        <v>609332.55882154626</v>
      </c>
      <c r="N66" s="11">
        <f>F66*'GS&lt;50 Predicted Monthly'!$X$10</f>
        <v>3474826.391097018</v>
      </c>
      <c r="O66" s="11">
        <f>G66*'GS&lt;50 Predicted Monthly'!$X$11</f>
        <v>-522590.81666288502</v>
      </c>
      <c r="P66" s="11">
        <f>H66*'GS&lt;50 Predicted Monthly'!$X$12</f>
        <v>20753533.272940867</v>
      </c>
      <c r="Q66" s="11">
        <f>I66*'GS&lt;50 Predicted Monthly'!$X$13</f>
        <v>22306555.252188191</v>
      </c>
      <c r="R66" s="11">
        <f t="shared" si="5"/>
        <v>0</v>
      </c>
      <c r="S66" s="11">
        <f t="shared" si="6"/>
        <v>33029224.113713037</v>
      </c>
      <c r="T66" s="11">
        <f t="shared" ref="T66:T97" si="11">S66-D66</f>
        <v>211028.76215907186</v>
      </c>
      <c r="U66" s="23">
        <f t="shared" ref="U66:U97" si="12">ABS(T66/D66)</f>
        <v>6.4302366385018033E-3</v>
      </c>
      <c r="W66" s="11"/>
      <c r="X66" s="23"/>
      <c r="AA66" s="11"/>
      <c r="AB66" s="23"/>
    </row>
    <row r="67" spans="1:28" x14ac:dyDescent="0.2">
      <c r="A67" s="8">
        <f>'Monthly Data'!A67</f>
        <v>44713</v>
      </c>
      <c r="B67">
        <f t="shared" si="9"/>
        <v>2022</v>
      </c>
      <c r="C67">
        <f t="shared" si="10"/>
        <v>6</v>
      </c>
      <c r="D67" s="19">
        <f>'Monthly Data'!J67</f>
        <v>35352197.196220562</v>
      </c>
      <c r="E67" s="21">
        <f>'Monthly Data'!BJ67</f>
        <v>0.97291666666666998</v>
      </c>
      <c r="F67" s="21">
        <f>'Monthly Data'!BK67</f>
        <v>142.82500000000002</v>
      </c>
      <c r="G67" s="283">
        <f>'Monthly Data'!CV67</f>
        <v>0.25</v>
      </c>
      <c r="H67" s="7">
        <f>'Monthly Data'!CS67</f>
        <v>30</v>
      </c>
      <c r="I67" s="7">
        <f>'Monthly Data'!AO67</f>
        <v>854755</v>
      </c>
      <c r="J67" s="7">
        <f>'Monthly Data'!BT67</f>
        <v>0</v>
      </c>
      <c r="L67" s="11">
        <f>'GS&lt;50 Predicted Monthly'!$X$8</f>
        <v>-13592432.544671699</v>
      </c>
      <c r="M67" s="11">
        <f>E67*'GS&lt;50 Predicted Monthly'!$X$9</f>
        <v>13441.582662714365</v>
      </c>
      <c r="N67" s="11">
        <f>F67*'GS&lt;50 Predicted Monthly'!$X$10</f>
        <v>6148093.9961299524</v>
      </c>
      <c r="O67" s="11">
        <f>G67*'GS&lt;50 Predicted Monthly'!$X$11</f>
        <v>-522590.81666288502</v>
      </c>
      <c r="P67" s="11">
        <f>H67*'GS&lt;50 Predicted Monthly'!$X$12</f>
        <v>20084064.457684711</v>
      </c>
      <c r="Q67" s="11">
        <f>I67*'GS&lt;50 Predicted Monthly'!$X$13</f>
        <v>22306555.252188191</v>
      </c>
      <c r="R67" s="11">
        <f t="shared" ref="R67:R97" si="13">J67*$X$14</f>
        <v>0</v>
      </c>
      <c r="S67" s="11">
        <f t="shared" ref="S67:S97" si="14">SUM(L67:R67)</f>
        <v>34437131.927330986</v>
      </c>
      <c r="T67" s="11">
        <f t="shared" si="11"/>
        <v>-915065.2688895762</v>
      </c>
      <c r="U67" s="23">
        <f t="shared" si="12"/>
        <v>2.5884254486660426E-2</v>
      </c>
      <c r="W67" s="11"/>
      <c r="X67" s="23"/>
      <c r="AA67" s="11"/>
      <c r="AB67" s="23"/>
    </row>
    <row r="68" spans="1:28" x14ac:dyDescent="0.2">
      <c r="A68" s="8">
        <f>'Monthly Data'!A68</f>
        <v>44743</v>
      </c>
      <c r="B68">
        <f t="shared" si="9"/>
        <v>2022</v>
      </c>
      <c r="C68">
        <f t="shared" si="10"/>
        <v>7</v>
      </c>
      <c r="D68" s="19">
        <f>'Monthly Data'!J68</f>
        <v>38896081.999405652</v>
      </c>
      <c r="E68" s="21">
        <f>'Monthly Data'!BJ68</f>
        <v>0</v>
      </c>
      <c r="F68" s="21">
        <f>'Monthly Data'!BK68</f>
        <v>224.93333333333328</v>
      </c>
      <c r="G68" s="283">
        <f>'Monthly Data'!CV68</f>
        <v>0.25</v>
      </c>
      <c r="H68" s="7">
        <f>'Monthly Data'!CS68</f>
        <v>31</v>
      </c>
      <c r="I68" s="7">
        <f>'Monthly Data'!AO68</f>
        <v>856819</v>
      </c>
      <c r="J68" s="7">
        <f>'Monthly Data'!BT68</f>
        <v>0</v>
      </c>
      <c r="L68" s="11">
        <f>'GS&lt;50 Predicted Monthly'!$X$8</f>
        <v>-13592432.544671699</v>
      </c>
      <c r="M68" s="11">
        <f>E68*'GS&lt;50 Predicted Monthly'!$X$9</f>
        <v>0</v>
      </c>
      <c r="N68" s="11">
        <f>F68*'GS&lt;50 Predicted Monthly'!$X$10</f>
        <v>9682557.5088126268</v>
      </c>
      <c r="O68" s="11">
        <f>G68*'GS&lt;50 Predicted Monthly'!$X$11</f>
        <v>-522590.81666288502</v>
      </c>
      <c r="P68" s="11">
        <f>H68*'GS&lt;50 Predicted Monthly'!$X$12</f>
        <v>20753533.272940867</v>
      </c>
      <c r="Q68" s="11">
        <f>I68*'GS&lt;50 Predicted Monthly'!$X$13</f>
        <v>22360419.494035874</v>
      </c>
      <c r="R68" s="11">
        <f t="shared" si="13"/>
        <v>0</v>
      </c>
      <c r="S68" s="11">
        <f t="shared" si="14"/>
        <v>38681486.914454781</v>
      </c>
      <c r="T68" s="11">
        <f t="shared" si="11"/>
        <v>-214595.08495087177</v>
      </c>
      <c r="U68" s="23">
        <f t="shared" si="12"/>
        <v>5.5171388458650121E-3</v>
      </c>
      <c r="W68" s="11"/>
      <c r="X68" s="23"/>
      <c r="AA68" s="11"/>
      <c r="AB68" s="23"/>
    </row>
    <row r="69" spans="1:28" x14ac:dyDescent="0.2">
      <c r="A69" s="8">
        <f>'Monthly Data'!A69</f>
        <v>44774</v>
      </c>
      <c r="B69">
        <f t="shared" si="9"/>
        <v>2022</v>
      </c>
      <c r="C69">
        <f t="shared" si="10"/>
        <v>8</v>
      </c>
      <c r="D69" s="19">
        <f>'Monthly Data'!J69</f>
        <v>38840185.92272944</v>
      </c>
      <c r="E69" s="21">
        <f>'Monthly Data'!BJ69</f>
        <v>0</v>
      </c>
      <c r="F69" s="21">
        <f>'Monthly Data'!BK69</f>
        <v>208.27916666666667</v>
      </c>
      <c r="G69" s="283">
        <f>'Monthly Data'!CV69</f>
        <v>0.25</v>
      </c>
      <c r="H69" s="7">
        <f>'Monthly Data'!CS69</f>
        <v>31</v>
      </c>
      <c r="I69" s="7">
        <f>'Monthly Data'!AO69</f>
        <v>856819</v>
      </c>
      <c r="J69" s="7">
        <f>'Monthly Data'!BT69</f>
        <v>0</v>
      </c>
      <c r="L69" s="11">
        <f>'GS&lt;50 Predicted Monthly'!$X$8</f>
        <v>-13592432.544671699</v>
      </c>
      <c r="M69" s="11">
        <f>E69*'GS&lt;50 Predicted Monthly'!$X$9</f>
        <v>0</v>
      </c>
      <c r="N69" s="11">
        <f>F69*'GS&lt;50 Predicted Monthly'!$X$10</f>
        <v>8965656.531435553</v>
      </c>
      <c r="O69" s="11">
        <f>G69*'GS&lt;50 Predicted Monthly'!$X$11</f>
        <v>-522590.81666288502</v>
      </c>
      <c r="P69" s="11">
        <f>H69*'GS&lt;50 Predicted Monthly'!$X$12</f>
        <v>20753533.272940867</v>
      </c>
      <c r="Q69" s="11">
        <f>I69*'GS&lt;50 Predicted Monthly'!$X$13</f>
        <v>22360419.494035874</v>
      </c>
      <c r="R69" s="11">
        <f t="shared" si="13"/>
        <v>0</v>
      </c>
      <c r="S69" s="11">
        <f t="shared" si="14"/>
        <v>37964585.937077709</v>
      </c>
      <c r="T69" s="11">
        <f t="shared" si="11"/>
        <v>-875599.98565173149</v>
      </c>
      <c r="U69" s="23">
        <f t="shared" si="12"/>
        <v>2.2543661026589647E-2</v>
      </c>
      <c r="W69" s="11"/>
      <c r="X69" s="23"/>
      <c r="AA69" s="11"/>
      <c r="AB69" s="23"/>
    </row>
    <row r="70" spans="1:28" x14ac:dyDescent="0.2">
      <c r="A70" s="8">
        <f>'Monthly Data'!A70</f>
        <v>44805</v>
      </c>
      <c r="B70">
        <f t="shared" si="9"/>
        <v>2022</v>
      </c>
      <c r="C70">
        <f t="shared" si="10"/>
        <v>9</v>
      </c>
      <c r="D70" s="19">
        <f>'Monthly Data'!J70</f>
        <v>33654327.730507731</v>
      </c>
      <c r="E70" s="21">
        <f>'Monthly Data'!BJ70</f>
        <v>24.349999999999994</v>
      </c>
      <c r="F70" s="21">
        <f>'Monthly Data'!BK70</f>
        <v>101.75833333333333</v>
      </c>
      <c r="G70" s="283">
        <f>'Monthly Data'!CV70</f>
        <v>0.25</v>
      </c>
      <c r="H70" s="7">
        <f>'Monthly Data'!CS70</f>
        <v>30</v>
      </c>
      <c r="I70" s="7">
        <f>'Monthly Data'!AO70</f>
        <v>856819</v>
      </c>
      <c r="J70" s="7">
        <f>'Monthly Data'!BT70</f>
        <v>0</v>
      </c>
      <c r="L70" s="11">
        <f>'GS&lt;50 Predicted Monthly'!$X$8</f>
        <v>-13592432.544671699</v>
      </c>
      <c r="M70" s="11">
        <f>E70*'GS&lt;50 Predicted Monthly'!$X$9</f>
        <v>336413.74338716257</v>
      </c>
      <c r="N70" s="11">
        <f>F70*'GS&lt;50 Predicted Monthly'!$X$10</f>
        <v>4380324.1604961101</v>
      </c>
      <c r="O70" s="11">
        <f>G70*'GS&lt;50 Predicted Monthly'!$X$11</f>
        <v>-522590.81666288502</v>
      </c>
      <c r="P70" s="11">
        <f>H70*'GS&lt;50 Predicted Monthly'!$X$12</f>
        <v>20084064.457684711</v>
      </c>
      <c r="Q70" s="11">
        <f>I70*'GS&lt;50 Predicted Monthly'!$X$13</f>
        <v>22360419.494035874</v>
      </c>
      <c r="R70" s="11">
        <f t="shared" si="13"/>
        <v>0</v>
      </c>
      <c r="S70" s="11">
        <f t="shared" si="14"/>
        <v>33046198.494269274</v>
      </c>
      <c r="T70" s="11">
        <f t="shared" si="11"/>
        <v>-608129.23623845726</v>
      </c>
      <c r="U70" s="23">
        <f t="shared" si="12"/>
        <v>1.8069867302302003E-2</v>
      </c>
      <c r="W70" s="11"/>
      <c r="X70" s="23"/>
      <c r="AA70" s="11"/>
      <c r="AB70" s="23"/>
    </row>
    <row r="71" spans="1:28" x14ac:dyDescent="0.2">
      <c r="A71" s="8">
        <f>'Monthly Data'!A71</f>
        <v>44835</v>
      </c>
      <c r="B71">
        <f t="shared" si="9"/>
        <v>2022</v>
      </c>
      <c r="C71">
        <f t="shared" si="10"/>
        <v>10</v>
      </c>
      <c r="D71" s="19">
        <f>'Monthly Data'!J71</f>
        <v>31415307.367699027</v>
      </c>
      <c r="E71" s="21">
        <f>'Monthly Data'!BJ71</f>
        <v>138.87083333333328</v>
      </c>
      <c r="F71" s="21">
        <f>'Monthly Data'!BK71</f>
        <v>4.3500000000000014</v>
      </c>
      <c r="G71" s="283">
        <f>'Monthly Data'!CV71</f>
        <v>0.25</v>
      </c>
      <c r="H71" s="7">
        <f>'Monthly Data'!CS71</f>
        <v>31</v>
      </c>
      <c r="I71" s="7">
        <f>'Monthly Data'!AO71</f>
        <v>856887</v>
      </c>
      <c r="J71" s="7">
        <f>'Monthly Data'!BT71</f>
        <v>0</v>
      </c>
      <c r="L71" s="11">
        <f>'GS&lt;50 Predicted Monthly'!$X$8</f>
        <v>-13592432.544671699</v>
      </c>
      <c r="M71" s="11">
        <f>E71*'GS&lt;50 Predicted Monthly'!$X$9</f>
        <v>1918606.0324008795</v>
      </c>
      <c r="N71" s="11">
        <f>F71*'GS&lt;50 Predicted Monthly'!$X$10</f>
        <v>187251.59379076</v>
      </c>
      <c r="O71" s="11">
        <f>G71*'GS&lt;50 Predicted Monthly'!$X$11</f>
        <v>-522590.81666288502</v>
      </c>
      <c r="P71" s="11">
        <f>H71*'GS&lt;50 Predicted Monthly'!$X$12</f>
        <v>20753533.272940867</v>
      </c>
      <c r="Q71" s="11">
        <f>I71*'GS&lt;50 Predicted Monthly'!$X$13</f>
        <v>22362194.09115101</v>
      </c>
      <c r="R71" s="11">
        <f t="shared" si="13"/>
        <v>0</v>
      </c>
      <c r="S71" s="11">
        <f t="shared" si="14"/>
        <v>31106561.628948934</v>
      </c>
      <c r="T71" s="11">
        <f t="shared" si="11"/>
        <v>-308745.73875009269</v>
      </c>
      <c r="U71" s="23">
        <f t="shared" si="12"/>
        <v>9.8278757911355857E-3</v>
      </c>
      <c r="W71" s="11"/>
      <c r="X71" s="23"/>
      <c r="AA71" s="11"/>
      <c r="AB71" s="23"/>
    </row>
    <row r="72" spans="1:28" x14ac:dyDescent="0.2">
      <c r="A72" s="8">
        <f>'Monthly Data'!A72</f>
        <v>44866</v>
      </c>
      <c r="B72">
        <f t="shared" si="9"/>
        <v>2022</v>
      </c>
      <c r="C72">
        <f t="shared" si="10"/>
        <v>11</v>
      </c>
      <c r="D72" s="19">
        <f>'Monthly Data'!J72</f>
        <v>33054898.399967819</v>
      </c>
      <c r="E72" s="21">
        <f>'Monthly Data'!BJ72</f>
        <v>285.52916666666664</v>
      </c>
      <c r="F72" s="21">
        <f>'Monthly Data'!BK72</f>
        <v>4.2666666666666639</v>
      </c>
      <c r="G72" s="283">
        <f>'Monthly Data'!CV72</f>
        <v>0.25</v>
      </c>
      <c r="H72" s="7">
        <f>'Monthly Data'!CS72</f>
        <v>30</v>
      </c>
      <c r="I72" s="7">
        <f>'Monthly Data'!AO72</f>
        <v>856887</v>
      </c>
      <c r="J72" s="7">
        <f>'Monthly Data'!BT72</f>
        <v>0</v>
      </c>
      <c r="L72" s="11">
        <f>'GS&lt;50 Predicted Monthly'!$X$8</f>
        <v>-13592432.544671699</v>
      </c>
      <c r="M72" s="11">
        <f>E72*'GS&lt;50 Predicted Monthly'!$X$9</f>
        <v>3944802.2917679832</v>
      </c>
      <c r="N72" s="11">
        <f>F72*'GS&lt;50 Predicted Monthly'!$X$10</f>
        <v>183664.39850741194</v>
      </c>
      <c r="O72" s="11">
        <f>G72*'GS&lt;50 Predicted Monthly'!$X$11</f>
        <v>-522590.81666288502</v>
      </c>
      <c r="P72" s="11">
        <f>H72*'GS&lt;50 Predicted Monthly'!$X$12</f>
        <v>20084064.457684711</v>
      </c>
      <c r="Q72" s="11">
        <f>I72*'GS&lt;50 Predicted Monthly'!$X$13</f>
        <v>22362194.09115101</v>
      </c>
      <c r="R72" s="11">
        <f t="shared" si="13"/>
        <v>0</v>
      </c>
      <c r="S72" s="11">
        <f t="shared" si="14"/>
        <v>32459701.877776533</v>
      </c>
      <c r="T72" s="11">
        <f t="shared" si="11"/>
        <v>-595196.52219128609</v>
      </c>
      <c r="U72" s="23">
        <f t="shared" si="12"/>
        <v>1.8006303180525447E-2</v>
      </c>
      <c r="W72" s="11"/>
      <c r="X72" s="23"/>
      <c r="Z72" s="11"/>
      <c r="AA72" s="11"/>
      <c r="AB72" s="23"/>
    </row>
    <row r="73" spans="1:28" x14ac:dyDescent="0.2">
      <c r="A73" s="8">
        <f>'Monthly Data'!A73</f>
        <v>44896</v>
      </c>
      <c r="B73">
        <f t="shared" si="9"/>
        <v>2022</v>
      </c>
      <c r="C73">
        <f t="shared" si="10"/>
        <v>12</v>
      </c>
      <c r="D73" s="19">
        <f>'Monthly Data'!J73</f>
        <v>36113207.191137917</v>
      </c>
      <c r="E73" s="21">
        <f>'Monthly Data'!BJ73</f>
        <v>469.42500000000007</v>
      </c>
      <c r="F73" s="21">
        <f>'Monthly Data'!BK73</f>
        <v>0</v>
      </c>
      <c r="G73" s="283">
        <f>'Monthly Data'!CV73</f>
        <v>0.25</v>
      </c>
      <c r="H73" s="7">
        <f>'Monthly Data'!CS73</f>
        <v>31</v>
      </c>
      <c r="I73" s="7">
        <f>'Monthly Data'!AO73</f>
        <v>856887</v>
      </c>
      <c r="J73" s="7">
        <f>'Monthly Data'!BT73</f>
        <v>0</v>
      </c>
      <c r="L73" s="11">
        <f>'GS&lt;50 Predicted Monthly'!$X$8</f>
        <v>-13592432.544671699</v>
      </c>
      <c r="M73" s="11">
        <f>E73*'GS&lt;50 Predicted Monthly'!$X$9</f>
        <v>6485462.89484677</v>
      </c>
      <c r="N73" s="11">
        <f>F73*'GS&lt;50 Predicted Monthly'!$X$10</f>
        <v>0</v>
      </c>
      <c r="O73" s="11">
        <f>G73*'GS&lt;50 Predicted Monthly'!$X$11</f>
        <v>-522590.81666288502</v>
      </c>
      <c r="P73" s="11">
        <f>H73*'GS&lt;50 Predicted Monthly'!$X$12</f>
        <v>20753533.272940867</v>
      </c>
      <c r="Q73" s="11">
        <f>I73*'GS&lt;50 Predicted Monthly'!$X$13</f>
        <v>22362194.09115101</v>
      </c>
      <c r="R73" s="11">
        <f t="shared" si="13"/>
        <v>0</v>
      </c>
      <c r="S73" s="11">
        <f t="shared" si="14"/>
        <v>35486166.897604063</v>
      </c>
      <c r="T73" s="11">
        <f t="shared" si="11"/>
        <v>-627040.29353385419</v>
      </c>
      <c r="U73" s="23">
        <f t="shared" si="12"/>
        <v>1.7363184892859037E-2</v>
      </c>
      <c r="W73" s="11"/>
      <c r="X73" s="23"/>
      <c r="Z73" s="11">
        <v>2017</v>
      </c>
      <c r="AA73" s="11">
        <f>SUMIFS(T:T,B:B,Z73)</f>
        <v>-376843.21232705191</v>
      </c>
      <c r="AB73" s="23">
        <f>SUMIFS(U:U,B:B,Z73)</f>
        <v>0.17881193814063481</v>
      </c>
    </row>
    <row r="74" spans="1:28" x14ac:dyDescent="0.2">
      <c r="A74" s="8">
        <f>'Monthly Data'!A74</f>
        <v>44927</v>
      </c>
      <c r="B74">
        <f t="shared" si="9"/>
        <v>2023</v>
      </c>
      <c r="C74">
        <f t="shared" si="10"/>
        <v>1</v>
      </c>
      <c r="D74" s="19">
        <f>'Monthly Data'!J74</f>
        <v>36644302.910595365</v>
      </c>
      <c r="E74" s="21">
        <f>'Monthly Data'!BJ74</f>
        <v>465.55416666666667</v>
      </c>
      <c r="F74" s="21">
        <f>'Monthly Data'!BK74</f>
        <v>0</v>
      </c>
      <c r="G74" s="283">
        <f>'Monthly Data'!CV74</f>
        <v>0</v>
      </c>
      <c r="H74" s="7">
        <f>'Monthly Data'!CS74</f>
        <v>31</v>
      </c>
      <c r="I74" s="7">
        <f>'Monthly Data'!AO74</f>
        <v>867096</v>
      </c>
      <c r="J74" s="7">
        <f>'Monthly Data'!BT74</f>
        <v>0</v>
      </c>
      <c r="L74" s="11">
        <f>'GS&lt;50 Predicted Monthly'!$X$8</f>
        <v>-13592432.544671699</v>
      </c>
      <c r="M74" s="11">
        <f>E74*'GS&lt;50 Predicted Monthly'!$X$9</f>
        <v>6431984.3925184542</v>
      </c>
      <c r="N74" s="11">
        <f>F74*'GS&lt;50 Predicted Monthly'!$X$10</f>
        <v>0</v>
      </c>
      <c r="O74" s="11">
        <f>G74*'GS&lt;50 Predicted Monthly'!$X$11</f>
        <v>0</v>
      </c>
      <c r="P74" s="11">
        <f>H74*'GS&lt;50 Predicted Monthly'!$X$12</f>
        <v>20753533.272940867</v>
      </c>
      <c r="Q74" s="11">
        <f>I74*'GS&lt;50 Predicted Monthly'!$X$13</f>
        <v>22628618.531569127</v>
      </c>
      <c r="R74" s="11">
        <f t="shared" si="13"/>
        <v>0</v>
      </c>
      <c r="S74" s="11">
        <f t="shared" si="14"/>
        <v>36221703.652356744</v>
      </c>
      <c r="T74" s="11">
        <f t="shared" si="11"/>
        <v>-422599.25823862106</v>
      </c>
      <c r="U74" s="23">
        <f t="shared" si="12"/>
        <v>1.15324682057584E-2</v>
      </c>
      <c r="W74" s="11"/>
      <c r="X74" s="23"/>
      <c r="Z74" s="11">
        <f>Z73+1</f>
        <v>2018</v>
      </c>
      <c r="AA74" s="11">
        <f t="shared" ref="AA74:AA81" si="15">SUMIFS(T:T,B:B,Z74)</f>
        <v>1596790.9606479891</v>
      </c>
      <c r="AB74" s="23">
        <f t="shared" ref="AB74:AB81" si="16">SUMIFS(U:U,B:B,Z74)</f>
        <v>0.14516160305672532</v>
      </c>
    </row>
    <row r="75" spans="1:28" x14ac:dyDescent="0.2">
      <c r="A75" s="8">
        <f>'Monthly Data'!A75</f>
        <v>44958</v>
      </c>
      <c r="B75">
        <f t="shared" si="9"/>
        <v>2023</v>
      </c>
      <c r="C75">
        <f t="shared" si="10"/>
        <v>2</v>
      </c>
      <c r="D75" s="19">
        <f>'Monthly Data'!J75</f>
        <v>33697550.512014888</v>
      </c>
      <c r="E75" s="21">
        <f>'Monthly Data'!BJ75</f>
        <v>433.21666666666664</v>
      </c>
      <c r="F75" s="21">
        <f>'Monthly Data'!BK75</f>
        <v>0</v>
      </c>
      <c r="G75" s="283">
        <f>'Monthly Data'!CV75</f>
        <v>0</v>
      </c>
      <c r="H75" s="7">
        <f>'Monthly Data'!CS75</f>
        <v>28</v>
      </c>
      <c r="I75" s="7">
        <f>'Monthly Data'!AO75</f>
        <v>867096</v>
      </c>
      <c r="J75" s="7">
        <f>'Monthly Data'!BT75</f>
        <v>0</v>
      </c>
      <c r="L75" s="11">
        <f>'GS&lt;50 Predicted Monthly'!$X$8</f>
        <v>-13592432.544671699</v>
      </c>
      <c r="M75" s="11">
        <f>E75*'GS&lt;50 Predicted Monthly'!$X$9</f>
        <v>5985217.2702686647</v>
      </c>
      <c r="N75" s="11">
        <f>F75*'GS&lt;50 Predicted Monthly'!$X$10</f>
        <v>0</v>
      </c>
      <c r="O75" s="11">
        <f>G75*'GS&lt;50 Predicted Monthly'!$X$11</f>
        <v>0</v>
      </c>
      <c r="P75" s="11">
        <f>H75*'GS&lt;50 Predicted Monthly'!$X$12</f>
        <v>18745126.827172395</v>
      </c>
      <c r="Q75" s="11">
        <f>I75*'GS&lt;50 Predicted Monthly'!$X$13</f>
        <v>22628618.531569127</v>
      </c>
      <c r="R75" s="11">
        <f t="shared" si="13"/>
        <v>0</v>
      </c>
      <c r="S75" s="11">
        <f t="shared" si="14"/>
        <v>33766530.084338486</v>
      </c>
      <c r="T75" s="11">
        <f t="shared" si="11"/>
        <v>68979.572323597968</v>
      </c>
      <c r="U75" s="23">
        <f t="shared" si="12"/>
        <v>2.0470203701899118E-3</v>
      </c>
      <c r="W75" s="11"/>
      <c r="X75" s="23"/>
      <c r="Z75" s="11">
        <f t="shared" ref="Z75:Z81" si="17">Z74+1</f>
        <v>2019</v>
      </c>
      <c r="AA75" s="11">
        <f t="shared" si="15"/>
        <v>1668078.1913552955</v>
      </c>
      <c r="AB75" s="23">
        <f t="shared" si="16"/>
        <v>0.10264099748973117</v>
      </c>
    </row>
    <row r="76" spans="1:28" x14ac:dyDescent="0.2">
      <c r="A76" s="8">
        <f>'Monthly Data'!A76</f>
        <v>44986</v>
      </c>
      <c r="B76">
        <f t="shared" si="9"/>
        <v>2023</v>
      </c>
      <c r="C76">
        <f t="shared" si="10"/>
        <v>3</v>
      </c>
      <c r="D76" s="19">
        <f>'Monthly Data'!J76</f>
        <v>36355592.281842805</v>
      </c>
      <c r="E76" s="21">
        <f>'Monthly Data'!BJ76</f>
        <v>428.04583333333323</v>
      </c>
      <c r="F76" s="21">
        <f>'Monthly Data'!BK76</f>
        <v>0</v>
      </c>
      <c r="G76" s="283">
        <f>'Monthly Data'!CV76</f>
        <v>0</v>
      </c>
      <c r="H76" s="7">
        <f>'Monthly Data'!CS76</f>
        <v>31</v>
      </c>
      <c r="I76" s="7">
        <f>'Monthly Data'!AO76</f>
        <v>867096</v>
      </c>
      <c r="J76" s="7">
        <f>'Monthly Data'!BT76</f>
        <v>1</v>
      </c>
      <c r="L76" s="11">
        <f>'GS&lt;50 Predicted Monthly'!$X$8</f>
        <v>-13592432.544671699</v>
      </c>
      <c r="M76" s="11">
        <f>E76*'GS&lt;50 Predicted Monthly'!$X$9</f>
        <v>5913778.2806137232</v>
      </c>
      <c r="N76" s="11">
        <f>F76*'GS&lt;50 Predicted Monthly'!$X$10</f>
        <v>0</v>
      </c>
      <c r="O76" s="11">
        <f>G76*'GS&lt;50 Predicted Monthly'!$X$11</f>
        <v>0</v>
      </c>
      <c r="P76" s="11">
        <f>H76*'GS&lt;50 Predicted Monthly'!$X$12</f>
        <v>20753533.272940867</v>
      </c>
      <c r="Q76" s="11">
        <f>I76*'GS&lt;50 Predicted Monthly'!$X$13</f>
        <v>22628618.531569127</v>
      </c>
      <c r="R76" s="11">
        <f t="shared" si="13"/>
        <v>522033.18159628101</v>
      </c>
      <c r="S76" s="11">
        <f t="shared" si="14"/>
        <v>36225530.722048298</v>
      </c>
      <c r="T76" s="11">
        <f t="shared" si="11"/>
        <v>-130061.55979450792</v>
      </c>
      <c r="U76" s="23">
        <f t="shared" si="12"/>
        <v>3.5774842776929534E-3</v>
      </c>
      <c r="X76" s="23"/>
      <c r="Z76" s="11">
        <f t="shared" si="17"/>
        <v>2020</v>
      </c>
      <c r="AA76" s="11">
        <f t="shared" si="15"/>
        <v>-3668351.8209359981</v>
      </c>
      <c r="AB76" s="23">
        <f t="shared" si="16"/>
        <v>0.14046181546667377</v>
      </c>
    </row>
    <row r="77" spans="1:28" x14ac:dyDescent="0.2">
      <c r="A77" s="8">
        <f>'Monthly Data'!A77</f>
        <v>45017</v>
      </c>
      <c r="B77">
        <f t="shared" si="9"/>
        <v>2023</v>
      </c>
      <c r="C77">
        <f t="shared" si="10"/>
        <v>4</v>
      </c>
      <c r="D77" s="19">
        <f>'Monthly Data'!J77</f>
        <v>31973002.845864329</v>
      </c>
      <c r="E77" s="21">
        <f>'Monthly Data'!BJ77</f>
        <v>192.73750000000004</v>
      </c>
      <c r="F77" s="21">
        <f>'Monthly Data'!BK77</f>
        <v>22.516666666666687</v>
      </c>
      <c r="G77" s="283">
        <f>'Monthly Data'!CV77</f>
        <v>0</v>
      </c>
      <c r="H77" s="7">
        <f>'Monthly Data'!CS77</f>
        <v>30</v>
      </c>
      <c r="I77" s="7">
        <f>'Monthly Data'!AO77</f>
        <v>873385</v>
      </c>
      <c r="J77" s="7">
        <f>'Monthly Data'!BT77</f>
        <v>0</v>
      </c>
      <c r="L77" s="11">
        <f>'GS&lt;50 Predicted Monthly'!$X$8</f>
        <v>-13592432.544671699</v>
      </c>
      <c r="M77" s="11">
        <f>E77*'GS&lt;50 Predicted Monthly'!$X$9</f>
        <v>2662814.9431656376</v>
      </c>
      <c r="N77" s="11">
        <f>F77*'GS&lt;50 Predicted Monthly'!$X$10</f>
        <v>969260.16556060128</v>
      </c>
      <c r="O77" s="11">
        <f>G77*'GS&lt;50 Predicted Monthly'!$X$11</f>
        <v>0</v>
      </c>
      <c r="P77" s="11">
        <f>H77*'GS&lt;50 Predicted Monthly'!$X$12</f>
        <v>20084064.457684711</v>
      </c>
      <c r="Q77" s="11">
        <f>I77*'GS&lt;50 Predicted Monthly'!$X$13</f>
        <v>22792742.667702887</v>
      </c>
      <c r="R77" s="11">
        <f t="shared" si="13"/>
        <v>0</v>
      </c>
      <c r="S77" s="11">
        <f t="shared" si="14"/>
        <v>32916449.689442135</v>
      </c>
      <c r="T77" s="11">
        <f t="shared" si="11"/>
        <v>943446.84357780591</v>
      </c>
      <c r="U77" s="23">
        <f t="shared" si="12"/>
        <v>2.9507608282086636E-2</v>
      </c>
      <c r="W77" s="11"/>
      <c r="X77" s="23"/>
      <c r="Z77" s="11">
        <f t="shared" si="17"/>
        <v>2021</v>
      </c>
      <c r="AA77" s="11">
        <f t="shared" si="15"/>
        <v>4278858.9998572059</v>
      </c>
      <c r="AB77" s="23">
        <f t="shared" si="16"/>
        <v>0.29671921014488445</v>
      </c>
    </row>
    <row r="78" spans="1:28" x14ac:dyDescent="0.2">
      <c r="A78" s="8">
        <f>'Monthly Data'!A78</f>
        <v>45047</v>
      </c>
      <c r="B78">
        <f t="shared" si="9"/>
        <v>2023</v>
      </c>
      <c r="C78">
        <f t="shared" si="10"/>
        <v>5</v>
      </c>
      <c r="D78" s="19">
        <f>'Monthly Data'!J78</f>
        <v>33099271.600468054</v>
      </c>
      <c r="E78" s="21">
        <f>'Monthly Data'!BJ78</f>
        <v>62.808333333333323</v>
      </c>
      <c r="F78" s="21">
        <f>'Monthly Data'!BK78</f>
        <v>49.670833333333306</v>
      </c>
      <c r="G78" s="283">
        <f>'Monthly Data'!CV78</f>
        <v>0</v>
      </c>
      <c r="H78" s="7">
        <f>'Monthly Data'!CS78</f>
        <v>31</v>
      </c>
      <c r="I78" s="7">
        <f>'Monthly Data'!AO78</f>
        <v>873385</v>
      </c>
      <c r="J78" s="7">
        <f>'Monthly Data'!BT78</f>
        <v>0</v>
      </c>
      <c r="L78" s="11">
        <f>'GS&lt;50 Predicted Monthly'!$X$8</f>
        <v>-13592432.544671699</v>
      </c>
      <c r="M78" s="11">
        <f>E78*'GS&lt;50 Predicted Monthly'!$X$9</f>
        <v>867744.82679980993</v>
      </c>
      <c r="N78" s="11">
        <f>F78*'GS&lt;50 Predicted Monthly'!$X$10</f>
        <v>2138147.7486395095</v>
      </c>
      <c r="O78" s="11">
        <f>G78*'GS&lt;50 Predicted Monthly'!$X$11</f>
        <v>0</v>
      </c>
      <c r="P78" s="11">
        <f>H78*'GS&lt;50 Predicted Monthly'!$X$12</f>
        <v>20753533.272940867</v>
      </c>
      <c r="Q78" s="11">
        <f>I78*'GS&lt;50 Predicted Monthly'!$X$13</f>
        <v>22792742.667702887</v>
      </c>
      <c r="R78" s="11">
        <f t="shared" si="13"/>
        <v>0</v>
      </c>
      <c r="S78" s="11">
        <f t="shared" si="14"/>
        <v>32959735.971411373</v>
      </c>
      <c r="T78" s="11">
        <f t="shared" si="11"/>
        <v>-139535.62905668095</v>
      </c>
      <c r="U78" s="23">
        <f t="shared" si="12"/>
        <v>4.2156706872881087E-3</v>
      </c>
      <c r="W78" s="11"/>
      <c r="X78" s="23"/>
      <c r="Z78" s="11">
        <f t="shared" si="17"/>
        <v>2022</v>
      </c>
      <c r="AA78" s="11">
        <f t="shared" si="15"/>
        <v>-3490762.156267453</v>
      </c>
      <c r="AB78" s="23">
        <f t="shared" si="16"/>
        <v>0.17666606974891277</v>
      </c>
    </row>
    <row r="79" spans="1:28" x14ac:dyDescent="0.2">
      <c r="A79" s="8">
        <f>'Monthly Data'!A79</f>
        <v>45078</v>
      </c>
      <c r="B79">
        <f t="shared" si="9"/>
        <v>2023</v>
      </c>
      <c r="C79">
        <f t="shared" si="10"/>
        <v>6</v>
      </c>
      <c r="D79" s="19">
        <f>'Monthly Data'!J79</f>
        <v>34472273.31071417</v>
      </c>
      <c r="E79" s="21">
        <f>'Monthly Data'!BJ79</f>
        <v>1.8374999999999932</v>
      </c>
      <c r="F79" s="21">
        <f>'Monthly Data'!BK79</f>
        <v>130.14166666666665</v>
      </c>
      <c r="G79" s="283">
        <f>'Monthly Data'!CV79</f>
        <v>0</v>
      </c>
      <c r="H79" s="7">
        <f>'Monthly Data'!CS79</f>
        <v>30</v>
      </c>
      <c r="I79" s="7">
        <f>'Monthly Data'!AO79</f>
        <v>873385</v>
      </c>
      <c r="J79" s="7">
        <f>'Monthly Data'!BT79</f>
        <v>0</v>
      </c>
      <c r="L79" s="11">
        <f>'GS&lt;50 Predicted Monthly'!$X$8</f>
        <v>-13592432.544671699</v>
      </c>
      <c r="M79" s="11">
        <f>E79*'GS&lt;50 Predicted Monthly'!$X$9</f>
        <v>25386.458048209821</v>
      </c>
      <c r="N79" s="11">
        <f>F79*'GS&lt;50 Predicted Monthly'!$X$10</f>
        <v>5602122.8740044022</v>
      </c>
      <c r="O79" s="11">
        <f>G79*'GS&lt;50 Predicted Monthly'!$X$11</f>
        <v>0</v>
      </c>
      <c r="P79" s="11">
        <f>H79*'GS&lt;50 Predicted Monthly'!$X$12</f>
        <v>20084064.457684711</v>
      </c>
      <c r="Q79" s="11">
        <f>I79*'GS&lt;50 Predicted Monthly'!$X$13</f>
        <v>22792742.667702887</v>
      </c>
      <c r="R79" s="11">
        <f t="shared" si="13"/>
        <v>0</v>
      </c>
      <c r="S79" s="11">
        <f t="shared" si="14"/>
        <v>34911883.912768513</v>
      </c>
      <c r="T79" s="11">
        <f t="shared" si="11"/>
        <v>439610.60205434263</v>
      </c>
      <c r="U79" s="23">
        <f t="shared" si="12"/>
        <v>1.2752585189028113E-2</v>
      </c>
      <c r="W79" s="11"/>
      <c r="X79" s="23"/>
      <c r="Z79" s="11">
        <f t="shared" si="17"/>
        <v>2023</v>
      </c>
      <c r="AA79" s="11">
        <f t="shared" si="15"/>
        <v>1221867.1940163039</v>
      </c>
      <c r="AB79" s="23">
        <f t="shared" si="16"/>
        <v>0.11767427168787165</v>
      </c>
    </row>
    <row r="80" spans="1:28" x14ac:dyDescent="0.2">
      <c r="A80" s="8">
        <f>'Monthly Data'!A80</f>
        <v>45108</v>
      </c>
      <c r="B80">
        <f t="shared" si="9"/>
        <v>2023</v>
      </c>
      <c r="C80">
        <f t="shared" si="10"/>
        <v>7</v>
      </c>
      <c r="D80" s="19">
        <f>'Monthly Data'!J80</f>
        <v>38328544.836939998</v>
      </c>
      <c r="E80" s="21">
        <f>'Monthly Data'!BJ80</f>
        <v>0</v>
      </c>
      <c r="F80" s="21">
        <f>'Monthly Data'!BK80</f>
        <v>203.20000000000002</v>
      </c>
      <c r="G80" s="283">
        <f>'Monthly Data'!CV80</f>
        <v>0</v>
      </c>
      <c r="H80" s="7">
        <f>'Monthly Data'!CS80</f>
        <v>31</v>
      </c>
      <c r="I80" s="7">
        <f>'Monthly Data'!AO80</f>
        <v>876964</v>
      </c>
      <c r="J80" s="7">
        <f>'Monthly Data'!BT80</f>
        <v>0</v>
      </c>
      <c r="L80" s="11">
        <f>'GS&lt;50 Predicted Monthly'!$X$8</f>
        <v>-13592432.544671699</v>
      </c>
      <c r="M80" s="11">
        <f>E80*'GS&lt;50 Predicted Monthly'!$X$9</f>
        <v>0</v>
      </c>
      <c r="N80" s="11">
        <f>F80*'GS&lt;50 Predicted Monthly'!$X$10</f>
        <v>8747016.9789154995</v>
      </c>
      <c r="O80" s="11">
        <f>G80*'GS&lt;50 Predicted Monthly'!$X$11</f>
        <v>0</v>
      </c>
      <c r="P80" s="11">
        <f>H80*'GS&lt;50 Predicted Monthly'!$X$12</f>
        <v>20753533.272940867</v>
      </c>
      <c r="Q80" s="11">
        <f>I80*'GS&lt;50 Predicted Monthly'!$X$13</f>
        <v>22886143.889395162</v>
      </c>
      <c r="R80" s="11">
        <f t="shared" si="13"/>
        <v>0</v>
      </c>
      <c r="S80" s="11">
        <f t="shared" si="14"/>
        <v>38794261.596579827</v>
      </c>
      <c r="T80" s="11">
        <f t="shared" si="11"/>
        <v>465716.7596398294</v>
      </c>
      <c r="U80" s="23">
        <f t="shared" si="12"/>
        <v>1.2150650686612667E-2</v>
      </c>
      <c r="W80" s="11"/>
      <c r="X80" s="23"/>
      <c r="Z80" s="11">
        <f t="shared" si="17"/>
        <v>2024</v>
      </c>
      <c r="AA80" s="11">
        <f t="shared" si="15"/>
        <v>2872648.8284404203</v>
      </c>
      <c r="AB80" s="23">
        <f t="shared" si="16"/>
        <v>0.13405135900232881</v>
      </c>
    </row>
    <row r="81" spans="1:28" x14ac:dyDescent="0.2">
      <c r="A81" s="8">
        <f>'Monthly Data'!A81</f>
        <v>45139</v>
      </c>
      <c r="B81">
        <f t="shared" si="9"/>
        <v>2023</v>
      </c>
      <c r="C81">
        <f t="shared" si="10"/>
        <v>8</v>
      </c>
      <c r="D81" s="19">
        <f>'Monthly Data'!J81</f>
        <v>36428584.860646717</v>
      </c>
      <c r="E81" s="21">
        <f>'Monthly Data'!BJ81</f>
        <v>4.1666666666646535E-3</v>
      </c>
      <c r="F81" s="21">
        <f>'Monthly Data'!BK81</f>
        <v>144.09583333333336</v>
      </c>
      <c r="G81" s="283">
        <f>'Monthly Data'!CV81</f>
        <v>0</v>
      </c>
      <c r="H81" s="7">
        <f>'Monthly Data'!CS81</f>
        <v>31</v>
      </c>
      <c r="I81" s="7">
        <f>'Monthly Data'!AO81</f>
        <v>876964</v>
      </c>
      <c r="J81" s="7">
        <f>'Monthly Data'!BT81</f>
        <v>0</v>
      </c>
      <c r="L81" s="11">
        <f>'GS&lt;50 Predicted Monthly'!$X$8</f>
        <v>-13592432.544671699</v>
      </c>
      <c r="M81" s="11">
        <f>E81*'GS&lt;50 Predicted Monthly'!$X$9</f>
        <v>57.565664508384685</v>
      </c>
      <c r="N81" s="11">
        <f>F81*'GS&lt;50 Predicted Monthly'!$X$10</f>
        <v>6202798.7242010077</v>
      </c>
      <c r="O81" s="11">
        <f>G81*'GS&lt;50 Predicted Monthly'!$X$11</f>
        <v>0</v>
      </c>
      <c r="P81" s="11">
        <f>H81*'GS&lt;50 Predicted Monthly'!$X$12</f>
        <v>20753533.272940867</v>
      </c>
      <c r="Q81" s="11">
        <f>I81*'GS&lt;50 Predicted Monthly'!$X$13</f>
        <v>22886143.889395162</v>
      </c>
      <c r="R81" s="11">
        <f t="shared" si="13"/>
        <v>0</v>
      </c>
      <c r="S81" s="11">
        <f t="shared" si="14"/>
        <v>36250100.907529846</v>
      </c>
      <c r="T81" s="11">
        <f t="shared" si="11"/>
        <v>-178483.95311687142</v>
      </c>
      <c r="U81" s="23">
        <f t="shared" si="12"/>
        <v>4.8995576907431585E-3</v>
      </c>
      <c r="W81" s="11"/>
      <c r="X81" s="23"/>
      <c r="Z81" s="11">
        <f t="shared" si="17"/>
        <v>2025</v>
      </c>
      <c r="AA81" s="11">
        <f t="shared" si="15"/>
        <v>-3729492.4989526346</v>
      </c>
      <c r="AB81" s="23">
        <f t="shared" si="16"/>
        <v>0.12102081516663558</v>
      </c>
    </row>
    <row r="82" spans="1:28" x14ac:dyDescent="0.2">
      <c r="A82" s="8">
        <f>'Monthly Data'!A82</f>
        <v>45170</v>
      </c>
      <c r="B82">
        <f t="shared" si="9"/>
        <v>2023</v>
      </c>
      <c r="C82">
        <f t="shared" si="10"/>
        <v>9</v>
      </c>
      <c r="D82" s="19">
        <f>'Monthly Data'!J82</f>
        <v>33579765.16547174</v>
      </c>
      <c r="E82" s="21">
        <f>'Monthly Data'!BJ82</f>
        <v>3.8624999999999901</v>
      </c>
      <c r="F82" s="21">
        <f>'Monthly Data'!BK82</f>
        <v>90.90416666666664</v>
      </c>
      <c r="G82" s="283">
        <f>'Monthly Data'!CV82</f>
        <v>0</v>
      </c>
      <c r="H82" s="7">
        <f>'Monthly Data'!CS82</f>
        <v>30</v>
      </c>
      <c r="I82" s="7">
        <f>'Monthly Data'!AO82</f>
        <v>876964</v>
      </c>
      <c r="J82" s="7">
        <f>'Monthly Data'!BT82</f>
        <v>0</v>
      </c>
      <c r="L82" s="11">
        <f>'GS&lt;50 Predicted Monthly'!$X$8</f>
        <v>-13592432.544671699</v>
      </c>
      <c r="M82" s="11">
        <f>E82*'GS&lt;50 Predicted Monthly'!$X$9</f>
        <v>53363.370999298255</v>
      </c>
      <c r="N82" s="11">
        <f>F82*'GS&lt;50 Predicted Monthly'!$X$10</f>
        <v>3913091.9748400464</v>
      </c>
      <c r="O82" s="11">
        <f>G82*'GS&lt;50 Predicted Monthly'!$X$11</f>
        <v>0</v>
      </c>
      <c r="P82" s="11">
        <f>H82*'GS&lt;50 Predicted Monthly'!$X$12</f>
        <v>20084064.457684711</v>
      </c>
      <c r="Q82" s="11">
        <f>I82*'GS&lt;50 Predicted Monthly'!$X$13</f>
        <v>22886143.889395162</v>
      </c>
      <c r="R82" s="11">
        <f t="shared" si="13"/>
        <v>0</v>
      </c>
      <c r="S82" s="11">
        <f t="shared" si="14"/>
        <v>33344231.148247518</v>
      </c>
      <c r="T82" s="11">
        <f t="shared" si="11"/>
        <v>-235534.01722422242</v>
      </c>
      <c r="U82" s="23">
        <f t="shared" si="12"/>
        <v>7.0141651099576282E-3</v>
      </c>
      <c r="W82" s="11"/>
      <c r="X82" s="23"/>
      <c r="Z82" s="11"/>
      <c r="AA82" s="11"/>
      <c r="AB82" s="57"/>
    </row>
    <row r="83" spans="1:28" x14ac:dyDescent="0.2">
      <c r="A83" s="8">
        <f>'Monthly Data'!A83</f>
        <v>45200</v>
      </c>
      <c r="B83">
        <f t="shared" si="9"/>
        <v>2023</v>
      </c>
      <c r="C83">
        <f t="shared" si="10"/>
        <v>10</v>
      </c>
      <c r="D83" s="19">
        <f>'Monthly Data'!J83</f>
        <v>32793920.29388446</v>
      </c>
      <c r="E83" s="21">
        <f>'Monthly Data'!BJ83</f>
        <v>126.92083333333335</v>
      </c>
      <c r="F83" s="21">
        <f>'Monthly Data'!BK83</f>
        <v>37.479166666666657</v>
      </c>
      <c r="G83" s="283">
        <f>'Monthly Data'!CV83</f>
        <v>0</v>
      </c>
      <c r="H83" s="7">
        <f>'Monthly Data'!CS83</f>
        <v>31</v>
      </c>
      <c r="I83" s="7">
        <f>'Monthly Data'!AO83</f>
        <v>880255</v>
      </c>
      <c r="J83" s="7">
        <f>'Monthly Data'!BT83</f>
        <v>0</v>
      </c>
      <c r="L83" s="11">
        <f>'GS&lt;50 Predicted Monthly'!$X$8</f>
        <v>-13592432.544671699</v>
      </c>
      <c r="M83" s="11">
        <f>E83*'GS&lt;50 Predicted Monthly'!$X$9</f>
        <v>1753507.7065907535</v>
      </c>
      <c r="N83" s="11">
        <f>F83*'GS&lt;50 Predicted Monthly'!$X$10</f>
        <v>1613341.0786857139</v>
      </c>
      <c r="O83" s="11">
        <f>G83*'GS&lt;50 Predicted Monthly'!$X$11</f>
        <v>0</v>
      </c>
      <c r="P83" s="11">
        <f>H83*'GS&lt;50 Predicted Monthly'!$X$12</f>
        <v>20753533.272940867</v>
      </c>
      <c r="Q83" s="11">
        <f>I83*'GS&lt;50 Predicted Monthly'!$X$13</f>
        <v>22972029.170364507</v>
      </c>
      <c r="R83" s="11">
        <f t="shared" si="13"/>
        <v>0</v>
      </c>
      <c r="S83" s="11">
        <f t="shared" si="14"/>
        <v>33499978.683910139</v>
      </c>
      <c r="T83" s="11">
        <f t="shared" si="11"/>
        <v>706058.39002567902</v>
      </c>
      <c r="U83" s="23">
        <f t="shared" si="12"/>
        <v>2.1530161191412898E-2</v>
      </c>
      <c r="W83" s="11"/>
      <c r="X83" s="23"/>
      <c r="Z83" s="11"/>
      <c r="AA83" s="11"/>
      <c r="AB83" s="57"/>
    </row>
    <row r="84" spans="1:28" x14ac:dyDescent="0.2">
      <c r="A84" s="8">
        <f>'Monthly Data'!A84</f>
        <v>45231</v>
      </c>
      <c r="B84">
        <f t="shared" si="9"/>
        <v>2023</v>
      </c>
      <c r="C84">
        <f t="shared" si="10"/>
        <v>11</v>
      </c>
      <c r="D84" s="19">
        <f>'Monthly Data'!J84</f>
        <v>33988995.077233881</v>
      </c>
      <c r="E84" s="21">
        <f>'Monthly Data'!BJ84</f>
        <v>323.11666666666673</v>
      </c>
      <c r="F84" s="21">
        <f>'Monthly Data'!BK84</f>
        <v>0</v>
      </c>
      <c r="G84" s="283">
        <f>'Monthly Data'!CV84</f>
        <v>0</v>
      </c>
      <c r="H84" s="7">
        <f>'Monthly Data'!CS84</f>
        <v>30</v>
      </c>
      <c r="I84" s="7">
        <f>'Monthly Data'!AO84</f>
        <v>880255</v>
      </c>
      <c r="J84" s="7">
        <f>'Monthly Data'!BT84</f>
        <v>0</v>
      </c>
      <c r="L84" s="11">
        <f>'GS&lt;50 Predicted Monthly'!$X$8</f>
        <v>-13592432.544671699</v>
      </c>
      <c r="M84" s="11">
        <f>E84*'GS&lt;50 Predicted Monthly'!$X$9</f>
        <v>4464102.1512983739</v>
      </c>
      <c r="N84" s="11">
        <f>F84*'GS&lt;50 Predicted Monthly'!$X$10</f>
        <v>0</v>
      </c>
      <c r="O84" s="11">
        <f>G84*'GS&lt;50 Predicted Monthly'!$X$11</f>
        <v>0</v>
      </c>
      <c r="P84" s="11">
        <f>H84*'GS&lt;50 Predicted Monthly'!$X$12</f>
        <v>20084064.457684711</v>
      </c>
      <c r="Q84" s="11">
        <f>I84*'GS&lt;50 Predicted Monthly'!$X$13</f>
        <v>22972029.170364507</v>
      </c>
      <c r="R84" s="11">
        <f t="shared" si="13"/>
        <v>0</v>
      </c>
      <c r="S84" s="11">
        <f t="shared" si="14"/>
        <v>33927763.234675892</v>
      </c>
      <c r="T84" s="11">
        <f t="shared" si="11"/>
        <v>-61231.842557989061</v>
      </c>
      <c r="U84" s="23">
        <f t="shared" si="12"/>
        <v>1.8015196512533162E-3</v>
      </c>
      <c r="W84" s="11"/>
      <c r="X84" s="23"/>
      <c r="Z84" s="11"/>
      <c r="AA84" s="11"/>
      <c r="AB84" s="57"/>
    </row>
    <row r="85" spans="1:28" x14ac:dyDescent="0.2">
      <c r="A85" s="8">
        <f>'Monthly Data'!A85</f>
        <v>45261</v>
      </c>
      <c r="B85">
        <f t="shared" si="9"/>
        <v>2023</v>
      </c>
      <c r="C85">
        <f t="shared" si="10"/>
        <v>12</v>
      </c>
      <c r="D85" s="19">
        <f>'Monthly Data'!J85</f>
        <v>35287478.129461206</v>
      </c>
      <c r="E85" s="21">
        <f>'Monthly Data'!BJ85</f>
        <v>356.10416666666674</v>
      </c>
      <c r="F85" s="21">
        <f>'Monthly Data'!BK85</f>
        <v>0</v>
      </c>
      <c r="G85" s="283">
        <f>'Monthly Data'!CV85</f>
        <v>0</v>
      </c>
      <c r="H85" s="7">
        <f>'Monthly Data'!CS85</f>
        <v>31</v>
      </c>
      <c r="I85" s="7">
        <f>'Monthly Data'!AO85</f>
        <v>880255</v>
      </c>
      <c r="J85" s="7">
        <f>'Monthly Data'!BT85</f>
        <v>0</v>
      </c>
      <c r="L85" s="11">
        <f>'GS&lt;50 Predicted Monthly'!$X$8</f>
        <v>-13592432.544671699</v>
      </c>
      <c r="M85" s="11">
        <f>E85*'GS&lt;50 Predicted Monthly'!$X$9</f>
        <v>4919849.5172114754</v>
      </c>
      <c r="N85" s="11">
        <f>F85*'GS&lt;50 Predicted Monthly'!$X$10</f>
        <v>0</v>
      </c>
      <c r="O85" s="11">
        <f>G85*'GS&lt;50 Predicted Monthly'!$X$11</f>
        <v>0</v>
      </c>
      <c r="P85" s="11">
        <f>H85*'GS&lt;50 Predicted Monthly'!$X$12</f>
        <v>20753533.272940867</v>
      </c>
      <c r="Q85" s="11">
        <f>I85*'GS&lt;50 Predicted Monthly'!$X$13</f>
        <v>22972029.170364507</v>
      </c>
      <c r="R85" s="11">
        <f t="shared" si="13"/>
        <v>0</v>
      </c>
      <c r="S85" s="11">
        <f t="shared" si="14"/>
        <v>35052979.415845148</v>
      </c>
      <c r="T85" s="11">
        <f t="shared" si="11"/>
        <v>-234498.71361605823</v>
      </c>
      <c r="U85" s="23">
        <f t="shared" si="12"/>
        <v>6.6453803458478749E-3</v>
      </c>
      <c r="W85" s="11"/>
      <c r="X85" s="23"/>
      <c r="Z85" s="11"/>
      <c r="AA85" s="11"/>
      <c r="AB85" s="57"/>
    </row>
    <row r="86" spans="1:28" x14ac:dyDescent="0.2">
      <c r="A86" s="8">
        <f>'Monthly Data'!A86</f>
        <v>45292</v>
      </c>
      <c r="B86">
        <f t="shared" si="9"/>
        <v>2024</v>
      </c>
      <c r="C86">
        <f t="shared" si="10"/>
        <v>1</v>
      </c>
      <c r="D86" s="19">
        <f>'Monthly Data'!J86</f>
        <v>38219875.681387417</v>
      </c>
      <c r="E86" s="21">
        <f>'Monthly Data'!BJ86</f>
        <v>530.65208333333339</v>
      </c>
      <c r="F86" s="21">
        <f>'Monthly Data'!BK86</f>
        <v>0</v>
      </c>
      <c r="G86" s="283">
        <f>'Monthly Data'!CV86</f>
        <v>0</v>
      </c>
      <c r="H86" s="7">
        <f>'Monthly Data'!CS86</f>
        <v>31</v>
      </c>
      <c r="I86" s="7">
        <f>'Monthly Data'!AO86</f>
        <v>885802</v>
      </c>
      <c r="J86" s="7">
        <f>'Monthly Data'!BT86</f>
        <v>0</v>
      </c>
      <c r="L86" s="11">
        <f>'GS&lt;50 Predicted Monthly'!$X$8</f>
        <v>-13592432.544671699</v>
      </c>
      <c r="M86" s="11">
        <f>E86*'GS&lt;50 Predicted Monthly'!$X$9</f>
        <v>7331361.5519656381</v>
      </c>
      <c r="N86" s="11">
        <f>F86*'GS&lt;50 Predicted Monthly'!$X$10</f>
        <v>0</v>
      </c>
      <c r="O86" s="11">
        <f>G86*'GS&lt;50 Predicted Monthly'!$X$11</f>
        <v>0</v>
      </c>
      <c r="P86" s="11">
        <f>H86*'GS&lt;50 Predicted Monthly'!$X$12</f>
        <v>20753533.272940867</v>
      </c>
      <c r="Q86" s="11">
        <f>I86*'GS&lt;50 Predicted Monthly'!$X$13</f>
        <v>23116789.320330158</v>
      </c>
      <c r="R86" s="11">
        <f t="shared" si="13"/>
        <v>0</v>
      </c>
      <c r="S86" s="11">
        <f t="shared" si="14"/>
        <v>37609251.600564964</v>
      </c>
      <c r="T86" s="11">
        <f t="shared" si="11"/>
        <v>-610624.0808224529</v>
      </c>
      <c r="U86" s="23">
        <f t="shared" si="12"/>
        <v>1.5976610858517756E-2</v>
      </c>
      <c r="W86" s="11"/>
      <c r="X86" s="23"/>
      <c r="Z86" s="11"/>
      <c r="AA86" s="11"/>
      <c r="AB86" s="57"/>
    </row>
    <row r="87" spans="1:28" x14ac:dyDescent="0.2">
      <c r="A87" s="8">
        <f>'Monthly Data'!A87</f>
        <v>45323</v>
      </c>
      <c r="B87">
        <f t="shared" si="9"/>
        <v>2024</v>
      </c>
      <c r="C87">
        <f t="shared" si="10"/>
        <v>2</v>
      </c>
      <c r="D87" s="19">
        <f>'Monthly Data'!J87</f>
        <v>34257979.157338955</v>
      </c>
      <c r="E87" s="21">
        <f>'Monthly Data'!BJ87</f>
        <v>407.16041666666661</v>
      </c>
      <c r="F87" s="21">
        <f>'Monthly Data'!BK87</f>
        <v>0</v>
      </c>
      <c r="G87" s="283">
        <f>'Monthly Data'!CV87</f>
        <v>0</v>
      </c>
      <c r="H87" s="7">
        <f>'Monthly Data'!CS87</f>
        <v>29</v>
      </c>
      <c r="I87" s="7">
        <f>'Monthly Data'!AO87</f>
        <v>885802</v>
      </c>
      <c r="J87" s="7">
        <f>'Monthly Data'!BT87</f>
        <v>0</v>
      </c>
      <c r="L87" s="11">
        <f>'GS&lt;50 Predicted Monthly'!$X$8</f>
        <v>-13592432.544671699</v>
      </c>
      <c r="M87" s="11">
        <f>E87*'GS&lt;50 Predicted Monthly'!$X$9</f>
        <v>5625230.387265306</v>
      </c>
      <c r="N87" s="11">
        <f>F87*'GS&lt;50 Predicted Monthly'!$X$10</f>
        <v>0</v>
      </c>
      <c r="O87" s="11">
        <f>G87*'GS&lt;50 Predicted Monthly'!$X$11</f>
        <v>0</v>
      </c>
      <c r="P87" s="11">
        <f>H87*'GS&lt;50 Predicted Monthly'!$X$12</f>
        <v>19414595.642428551</v>
      </c>
      <c r="Q87" s="11">
        <f>I87*'GS&lt;50 Predicted Monthly'!$X$13</f>
        <v>23116789.320330158</v>
      </c>
      <c r="R87" s="11">
        <f t="shared" si="13"/>
        <v>0</v>
      </c>
      <c r="S87" s="11">
        <f t="shared" si="14"/>
        <v>34564182.805352315</v>
      </c>
      <c r="T87" s="11">
        <f t="shared" si="11"/>
        <v>306203.6480133608</v>
      </c>
      <c r="U87" s="23">
        <f t="shared" si="12"/>
        <v>8.9381701882366871E-3</v>
      </c>
      <c r="W87" s="11"/>
      <c r="X87" s="23"/>
      <c r="Z87" s="11"/>
      <c r="AA87" s="11"/>
      <c r="AB87" s="57"/>
    </row>
    <row r="88" spans="1:28" x14ac:dyDescent="0.2">
      <c r="A88" s="8">
        <f>'Monthly Data'!A88</f>
        <v>45352</v>
      </c>
      <c r="B88">
        <f t="shared" si="9"/>
        <v>2024</v>
      </c>
      <c r="C88">
        <f t="shared" si="10"/>
        <v>3</v>
      </c>
      <c r="D88" s="19">
        <f>'Monthly Data'!J88</f>
        <v>34527361.185368188</v>
      </c>
      <c r="E88" s="21">
        <f>'Monthly Data'!BJ88</f>
        <v>332.44375000000008</v>
      </c>
      <c r="F88" s="21">
        <f>'Monthly Data'!BK88</f>
        <v>0</v>
      </c>
      <c r="G88" s="283">
        <f>'Monthly Data'!CV88</f>
        <v>0</v>
      </c>
      <c r="H88" s="7">
        <f>'Monthly Data'!CS88</f>
        <v>31</v>
      </c>
      <c r="I88" s="7">
        <f>'Monthly Data'!AO88</f>
        <v>885802</v>
      </c>
      <c r="J88" s="7">
        <f>'Monthly Data'!BT88</f>
        <v>1</v>
      </c>
      <c r="L88" s="11">
        <f>'GS&lt;50 Predicted Monthly'!$X$8</f>
        <v>-13592432.544671699</v>
      </c>
      <c r="M88" s="11">
        <f>E88*'GS&lt;50 Predicted Monthly'!$X$9</f>
        <v>4592962.8913004557</v>
      </c>
      <c r="N88" s="11">
        <f>F88*'GS&lt;50 Predicted Monthly'!$X$10</f>
        <v>0</v>
      </c>
      <c r="O88" s="11">
        <f>G88*'GS&lt;50 Predicted Monthly'!$X$11</f>
        <v>0</v>
      </c>
      <c r="P88" s="11">
        <f>H88*'GS&lt;50 Predicted Monthly'!$X$12</f>
        <v>20753533.272940867</v>
      </c>
      <c r="Q88" s="11">
        <f>I88*'GS&lt;50 Predicted Monthly'!$X$13</f>
        <v>23116789.320330158</v>
      </c>
      <c r="R88" s="11">
        <f t="shared" si="13"/>
        <v>522033.18159628101</v>
      </c>
      <c r="S88" s="11">
        <f t="shared" si="14"/>
        <v>35392886.121496059</v>
      </c>
      <c r="T88" s="11">
        <f t="shared" si="11"/>
        <v>865524.93612787127</v>
      </c>
      <c r="U88" s="23">
        <f t="shared" si="12"/>
        <v>2.5067798592574131E-2</v>
      </c>
      <c r="W88" s="11"/>
    </row>
    <row r="89" spans="1:28" x14ac:dyDescent="0.2">
      <c r="A89" s="8">
        <f>'Monthly Data'!A89</f>
        <v>45383</v>
      </c>
      <c r="B89">
        <f t="shared" si="9"/>
        <v>2024</v>
      </c>
      <c r="C89">
        <f t="shared" si="10"/>
        <v>4</v>
      </c>
      <c r="D89" s="19">
        <f>'Monthly Data'!J89</f>
        <v>31963168.830053426</v>
      </c>
      <c r="E89" s="21">
        <f>'Monthly Data'!BJ89</f>
        <v>158.17500000000004</v>
      </c>
      <c r="F89" s="21">
        <f>'Monthly Data'!BK89</f>
        <v>8.4166666666666679</v>
      </c>
      <c r="G89" s="283">
        <f>'Monthly Data'!CV89</f>
        <v>0</v>
      </c>
      <c r="H89" s="7">
        <f>'Monthly Data'!CS89</f>
        <v>30</v>
      </c>
      <c r="I89" s="7">
        <f>'Monthly Data'!AO89</f>
        <v>888733</v>
      </c>
      <c r="J89" s="7">
        <f>'Monthly Data'!BT89</f>
        <v>0</v>
      </c>
      <c r="L89" s="11">
        <f>'GS&lt;50 Predicted Monthly'!$X$8</f>
        <v>-13592432.544671699</v>
      </c>
      <c r="M89" s="11">
        <f>E89*'GS&lt;50 Predicted Monthly'!$X$9</f>
        <v>2185307.7560683559</v>
      </c>
      <c r="N89" s="11">
        <f>F89*'GS&lt;50 Predicted Monthly'!$X$10</f>
        <v>362306.72361813713</v>
      </c>
      <c r="O89" s="11">
        <f>G89*'GS&lt;50 Predicted Monthly'!$X$11</f>
        <v>0</v>
      </c>
      <c r="P89" s="11">
        <f>H89*'GS&lt;50 Predicted Monthly'!$X$12</f>
        <v>20084064.457684711</v>
      </c>
      <c r="Q89" s="11">
        <f>I89*'GS&lt;50 Predicted Monthly'!$X$13</f>
        <v>23193279.675395835</v>
      </c>
      <c r="R89" s="11">
        <f t="shared" si="13"/>
        <v>0</v>
      </c>
      <c r="S89" s="11">
        <f t="shared" si="14"/>
        <v>32232526.068095341</v>
      </c>
      <c r="T89" s="11">
        <f t="shared" si="11"/>
        <v>269357.238041915</v>
      </c>
      <c r="U89" s="23">
        <f t="shared" si="12"/>
        <v>8.4271130773695812E-3</v>
      </c>
      <c r="AB89" s="49"/>
    </row>
    <row r="90" spans="1:28" x14ac:dyDescent="0.2">
      <c r="A90" s="8">
        <f>'Monthly Data'!A90</f>
        <v>45413</v>
      </c>
      <c r="B90">
        <f t="shared" si="9"/>
        <v>2024</v>
      </c>
      <c r="C90">
        <f t="shared" si="10"/>
        <v>5</v>
      </c>
      <c r="D90" s="19">
        <f>'Monthly Data'!J90</f>
        <v>33702078.344445564</v>
      </c>
      <c r="E90" s="21">
        <f>'Monthly Data'!BJ90</f>
        <v>14.683333333333328</v>
      </c>
      <c r="F90" s="21">
        <f>'Monthly Data'!BK90</f>
        <v>73.216666666666654</v>
      </c>
      <c r="G90" s="283">
        <f>'Monthly Data'!CV90</f>
        <v>0</v>
      </c>
      <c r="H90" s="7">
        <f>'Monthly Data'!CS90</f>
        <v>31</v>
      </c>
      <c r="I90" s="7">
        <f>'Monthly Data'!AO90</f>
        <v>888733</v>
      </c>
      <c r="J90" s="7">
        <f>'Monthly Data'!BT90</f>
        <v>0</v>
      </c>
      <c r="L90" s="11">
        <f>'GS&lt;50 Predicted Monthly'!$X$8</f>
        <v>-13592432.544671699</v>
      </c>
      <c r="M90" s="11">
        <f>E90*'GS&lt;50 Predicted Monthly'!$X$9</f>
        <v>202861.4017276456</v>
      </c>
      <c r="N90" s="11">
        <f>F90*'GS&lt;50 Predicted Monthly'!$X$10</f>
        <v>3151709.7759494572</v>
      </c>
      <c r="O90" s="11">
        <f>G90*'GS&lt;50 Predicted Monthly'!$X$11</f>
        <v>0</v>
      </c>
      <c r="P90" s="11">
        <f>H90*'GS&lt;50 Predicted Monthly'!$X$12</f>
        <v>20753533.272940867</v>
      </c>
      <c r="Q90" s="11">
        <f>I90*'GS&lt;50 Predicted Monthly'!$X$13</f>
        <v>23193279.675395835</v>
      </c>
      <c r="R90" s="11">
        <f t="shared" si="13"/>
        <v>0</v>
      </c>
      <c r="S90" s="11">
        <f t="shared" si="14"/>
        <v>33708951.581342101</v>
      </c>
      <c r="T90" s="11">
        <f t="shared" si="11"/>
        <v>6873.2368965372443</v>
      </c>
      <c r="U90" s="23">
        <f t="shared" si="12"/>
        <v>2.0394103966795928E-4</v>
      </c>
    </row>
    <row r="91" spans="1:28" x14ac:dyDescent="0.2">
      <c r="A91" s="8">
        <f>'Monthly Data'!A91</f>
        <v>45444</v>
      </c>
      <c r="B91">
        <f t="shared" si="9"/>
        <v>2024</v>
      </c>
      <c r="C91">
        <f t="shared" si="10"/>
        <v>6</v>
      </c>
      <c r="D91" s="19">
        <f>'Monthly Data'!J91</f>
        <v>36390924.841228999</v>
      </c>
      <c r="E91" s="21">
        <f>'Monthly Data'!BJ91</f>
        <v>1.9666666666666686</v>
      </c>
      <c r="F91" s="21">
        <f>'Monthly Data'!BK91</f>
        <v>169.16458333333333</v>
      </c>
      <c r="G91" s="283">
        <f>'Monthly Data'!CV91</f>
        <v>0</v>
      </c>
      <c r="H91" s="7">
        <f>'Monthly Data'!CS91</f>
        <v>30</v>
      </c>
      <c r="I91" s="7">
        <f>'Monthly Data'!AO91</f>
        <v>888733</v>
      </c>
      <c r="J91" s="7">
        <f>'Monthly Data'!BT91</f>
        <v>0</v>
      </c>
      <c r="L91" s="11">
        <f>'GS&lt;50 Predicted Monthly'!$X$8</f>
        <v>-13592432.544671699</v>
      </c>
      <c r="M91" s="11">
        <f>E91*'GS&lt;50 Predicted Monthly'!$X$9</f>
        <v>27170.993647970728</v>
      </c>
      <c r="N91" s="11">
        <f>F91*'GS&lt;50 Predicted Monthly'!$X$10</f>
        <v>7281916.7453141361</v>
      </c>
      <c r="O91" s="11">
        <f>G91*'GS&lt;50 Predicted Monthly'!$X$11</f>
        <v>0</v>
      </c>
      <c r="P91" s="11">
        <f>H91*'GS&lt;50 Predicted Monthly'!$X$12</f>
        <v>20084064.457684711</v>
      </c>
      <c r="Q91" s="11">
        <f>I91*'GS&lt;50 Predicted Monthly'!$X$13</f>
        <v>23193279.675395835</v>
      </c>
      <c r="R91" s="11">
        <f t="shared" si="13"/>
        <v>0</v>
      </c>
      <c r="S91" s="11">
        <f t="shared" si="14"/>
        <v>36993999.327370957</v>
      </c>
      <c r="T91" s="11">
        <f t="shared" si="11"/>
        <v>603074.48614195734</v>
      </c>
      <c r="U91" s="23">
        <f t="shared" si="12"/>
        <v>1.6572112106881816E-2</v>
      </c>
    </row>
    <row r="92" spans="1:28" x14ac:dyDescent="0.2">
      <c r="A92" s="8">
        <f>'Monthly Data'!A92</f>
        <v>45474</v>
      </c>
      <c r="B92">
        <f t="shared" si="9"/>
        <v>2024</v>
      </c>
      <c r="C92">
        <f t="shared" si="10"/>
        <v>7</v>
      </c>
      <c r="D92" s="19">
        <f>'Monthly Data'!J92</f>
        <v>40087127.052448839</v>
      </c>
      <c r="E92" s="21">
        <f>'Monthly Data'!BJ92</f>
        <v>0</v>
      </c>
      <c r="F92" s="21">
        <f>'Monthly Data'!BK92</f>
        <v>221.45416666666657</v>
      </c>
      <c r="G92" s="283">
        <f>'Monthly Data'!CV92</f>
        <v>0</v>
      </c>
      <c r="H92" s="7">
        <f>'Monthly Data'!CS92</f>
        <v>31</v>
      </c>
      <c r="I92" s="7">
        <f>'Monthly Data'!AO92</f>
        <v>890079</v>
      </c>
      <c r="J92" s="7">
        <f>'Monthly Data'!BT92</f>
        <v>0</v>
      </c>
      <c r="L92" s="11">
        <f>'GS&lt;50 Predicted Monthly'!$X$8</f>
        <v>-13592432.544671699</v>
      </c>
      <c r="M92" s="11">
        <f>E92*'GS&lt;50 Predicted Monthly'!$X$9</f>
        <v>0</v>
      </c>
      <c r="N92" s="11">
        <f>F92*'GS&lt;50 Predicted Monthly'!$X$10</f>
        <v>9532792.1057328507</v>
      </c>
      <c r="O92" s="11">
        <f>G92*'GS&lt;50 Predicted Monthly'!$X$11</f>
        <v>0</v>
      </c>
      <c r="P92" s="11">
        <f>H92*'GS&lt;50 Predicted Monthly'!$X$12</f>
        <v>20753533.272940867</v>
      </c>
      <c r="Q92" s="11">
        <f>I92*'GS&lt;50 Predicted Monthly'!$X$13</f>
        <v>23228406.259468984</v>
      </c>
      <c r="R92" s="11">
        <f t="shared" si="13"/>
        <v>0</v>
      </c>
      <c r="S92" s="11">
        <f t="shared" si="14"/>
        <v>39922299.093471006</v>
      </c>
      <c r="T92" s="11">
        <f t="shared" si="11"/>
        <v>-164827.95897783339</v>
      </c>
      <c r="U92" s="23">
        <f t="shared" si="12"/>
        <v>4.1117428735208995E-3</v>
      </c>
    </row>
    <row r="93" spans="1:28" x14ac:dyDescent="0.2">
      <c r="A93" s="8">
        <f>'Monthly Data'!A93</f>
        <v>45505</v>
      </c>
      <c r="B93">
        <f t="shared" si="9"/>
        <v>2024</v>
      </c>
      <c r="C93">
        <f t="shared" si="10"/>
        <v>8</v>
      </c>
      <c r="D93" s="19">
        <f>'Monthly Data'!J93</f>
        <v>38411450.880521774</v>
      </c>
      <c r="E93" s="21">
        <f>'Monthly Data'!BJ93</f>
        <v>0.30000000000000426</v>
      </c>
      <c r="F93" s="21">
        <f>'Monthly Data'!BK93</f>
        <v>183.15208333333334</v>
      </c>
      <c r="G93" s="283">
        <f>'Monthly Data'!CV93</f>
        <v>0</v>
      </c>
      <c r="H93" s="7">
        <f>'Monthly Data'!CS93</f>
        <v>31</v>
      </c>
      <c r="I93" s="7">
        <f>'Monthly Data'!AO93</f>
        <v>890079</v>
      </c>
      <c r="J93" s="7">
        <f>'Monthly Data'!BT93</f>
        <v>0</v>
      </c>
      <c r="L93" s="11">
        <f>'GS&lt;50 Predicted Monthly'!$X$8</f>
        <v>-13592432.544671699</v>
      </c>
      <c r="M93" s="11">
        <f>E93*'GS&lt;50 Predicted Monthly'!$X$9</f>
        <v>4144.7278446057589</v>
      </c>
      <c r="N93" s="11">
        <f>F93*'GS&lt;50 Predicted Monthly'!$X$10</f>
        <v>7884027.4736240804</v>
      </c>
      <c r="O93" s="11">
        <f>G93*'GS&lt;50 Predicted Monthly'!$X$11</f>
        <v>0</v>
      </c>
      <c r="P93" s="11">
        <f>H93*'GS&lt;50 Predicted Monthly'!$X$12</f>
        <v>20753533.272940867</v>
      </c>
      <c r="Q93" s="11">
        <f>I93*'GS&lt;50 Predicted Monthly'!$X$13</f>
        <v>23228406.259468984</v>
      </c>
      <c r="R93" s="11">
        <f t="shared" si="13"/>
        <v>0</v>
      </c>
      <c r="S93" s="11">
        <f t="shared" si="14"/>
        <v>38277679.189206839</v>
      </c>
      <c r="T93" s="11">
        <f t="shared" si="11"/>
        <v>-133771.69131493568</v>
      </c>
      <c r="U93" s="23">
        <f t="shared" si="12"/>
        <v>3.4825992835061208E-3</v>
      </c>
    </row>
    <row r="94" spans="1:28" x14ac:dyDescent="0.2">
      <c r="A94" s="8">
        <f>'Monthly Data'!A94</f>
        <v>45536</v>
      </c>
      <c r="B94">
        <f t="shared" si="9"/>
        <v>2024</v>
      </c>
      <c r="C94">
        <f t="shared" si="10"/>
        <v>9</v>
      </c>
      <c r="D94" s="19">
        <f>'Monthly Data'!J94</f>
        <v>34606193.578424111</v>
      </c>
      <c r="E94" s="21">
        <f>'Monthly Data'!BJ94</f>
        <v>4.2874999999999979</v>
      </c>
      <c r="F94" s="21">
        <f>'Monthly Data'!BK94</f>
        <v>120.08541666666667</v>
      </c>
      <c r="G94" s="283">
        <f>'Monthly Data'!CV94</f>
        <v>0</v>
      </c>
      <c r="H94" s="7">
        <f>'Monthly Data'!CS94</f>
        <v>30</v>
      </c>
      <c r="I94" s="7">
        <f>'Monthly Data'!AO94</f>
        <v>890079</v>
      </c>
      <c r="J94" s="7">
        <f>'Monthly Data'!BT94</f>
        <v>0</v>
      </c>
      <c r="L94" s="11">
        <f>'GS&lt;50 Predicted Monthly'!$X$8</f>
        <v>-13592432.544671699</v>
      </c>
      <c r="M94" s="11">
        <f>E94*'GS&lt;50 Predicted Monthly'!$X$9</f>
        <v>59235.068779156434</v>
      </c>
      <c r="N94" s="11">
        <f>F94*'GS&lt;50 Predicted Monthly'!$X$10</f>
        <v>5169238.0831863964</v>
      </c>
      <c r="O94" s="11">
        <f>G94*'GS&lt;50 Predicted Monthly'!$X$11</f>
        <v>0</v>
      </c>
      <c r="P94" s="11">
        <f>H94*'GS&lt;50 Predicted Monthly'!$X$12</f>
        <v>20084064.457684711</v>
      </c>
      <c r="Q94" s="11">
        <f>I94*'GS&lt;50 Predicted Monthly'!$X$13</f>
        <v>23228406.259468984</v>
      </c>
      <c r="R94" s="11">
        <f t="shared" si="13"/>
        <v>0</v>
      </c>
      <c r="S94" s="11">
        <f t="shared" si="14"/>
        <v>34948511.324447542</v>
      </c>
      <c r="T94" s="11">
        <f t="shared" si="11"/>
        <v>342317.74602343142</v>
      </c>
      <c r="U94" s="23">
        <f t="shared" si="12"/>
        <v>9.8918057904194331E-3</v>
      </c>
    </row>
    <row r="95" spans="1:28" x14ac:dyDescent="0.2">
      <c r="A95" s="8">
        <f>'Monthly Data'!A95</f>
        <v>45566</v>
      </c>
      <c r="B95">
        <f t="shared" si="9"/>
        <v>2024</v>
      </c>
      <c r="C95">
        <f t="shared" si="10"/>
        <v>10</v>
      </c>
      <c r="D95" s="19">
        <f>'Monthly Data'!J95</f>
        <v>32483265.88042035</v>
      </c>
      <c r="E95" s="21">
        <f>'Monthly Data'!BJ95</f>
        <v>109.52916666666667</v>
      </c>
      <c r="F95" s="21">
        <f>'Monthly Data'!BK95</f>
        <v>19.300000000000008</v>
      </c>
      <c r="G95" s="283">
        <f>'Monthly Data'!CV95</f>
        <v>0</v>
      </c>
      <c r="H95" s="7">
        <f>'Monthly Data'!CS95</f>
        <v>31</v>
      </c>
      <c r="I95" s="7">
        <f>'Monthly Data'!AO95</f>
        <v>893201</v>
      </c>
      <c r="J95" s="7">
        <f>'Monthly Data'!BT95</f>
        <v>0</v>
      </c>
      <c r="L95" s="11">
        <f>'GS&lt;50 Predicted Monthly'!$X$8</f>
        <v>-13592432.544671699</v>
      </c>
      <c r="M95" s="11">
        <f>E95*'GS&lt;50 Predicted Monthly'!$X$9</f>
        <v>1513228.6229326394</v>
      </c>
      <c r="N95" s="11">
        <f>F95*'GS&lt;50 Predicted Monthly'!$X$10</f>
        <v>830794.42762337206</v>
      </c>
      <c r="O95" s="11">
        <f>G95*'GS&lt;50 Predicted Monthly'!$X$11</f>
        <v>0</v>
      </c>
      <c r="P95" s="11">
        <f>H95*'GS&lt;50 Predicted Monthly'!$X$12</f>
        <v>20753533.272940867</v>
      </c>
      <c r="Q95" s="11">
        <f>I95*'GS&lt;50 Predicted Monthly'!$X$13</f>
        <v>23309881.144666884</v>
      </c>
      <c r="R95" s="11">
        <f t="shared" si="13"/>
        <v>0</v>
      </c>
      <c r="S95" s="11">
        <f t="shared" si="14"/>
        <v>32815004.923492063</v>
      </c>
      <c r="T95" s="11">
        <f t="shared" si="11"/>
        <v>331739.0430717133</v>
      </c>
      <c r="U95" s="23">
        <f t="shared" si="12"/>
        <v>1.0212613605200108E-2</v>
      </c>
    </row>
    <row r="96" spans="1:28" x14ac:dyDescent="0.2">
      <c r="A96" s="8">
        <f>'Monthly Data'!A96</f>
        <v>45597</v>
      </c>
      <c r="B96">
        <f t="shared" si="9"/>
        <v>2024</v>
      </c>
      <c r="C96">
        <f t="shared" si="10"/>
        <v>11</v>
      </c>
      <c r="D96" s="19">
        <f>'Monthly Data'!J96</f>
        <v>32809368.372306686</v>
      </c>
      <c r="E96" s="21">
        <f>'Monthly Data'!BJ96</f>
        <v>248.15208333333331</v>
      </c>
      <c r="F96" s="21">
        <f>'Monthly Data'!BK96</f>
        <v>7.3583333333333343</v>
      </c>
      <c r="G96" s="283">
        <f>'Monthly Data'!CV96</f>
        <v>0</v>
      </c>
      <c r="H96" s="7">
        <f>'Monthly Data'!CS96</f>
        <v>30</v>
      </c>
      <c r="I96" s="7">
        <f>'Monthly Data'!AO96</f>
        <v>893201</v>
      </c>
      <c r="J96" s="7">
        <f>'Monthly Data'!BT96</f>
        <v>0</v>
      </c>
      <c r="L96" s="11">
        <f>'GS&lt;50 Predicted Monthly'!$X$8</f>
        <v>-13592432.544671699</v>
      </c>
      <c r="M96" s="11">
        <f>E96*'GS&lt;50 Predicted Monthly'!$X$9</f>
        <v>3428409.498295269</v>
      </c>
      <c r="N96" s="11">
        <f>F96*'GS&lt;50 Predicted Monthly'!$X$10</f>
        <v>316749.34351961891</v>
      </c>
      <c r="O96" s="11">
        <f>G96*'GS&lt;50 Predicted Monthly'!$X$11</f>
        <v>0</v>
      </c>
      <c r="P96" s="11">
        <f>H96*'GS&lt;50 Predicted Monthly'!$X$12</f>
        <v>20084064.457684711</v>
      </c>
      <c r="Q96" s="11">
        <f>I96*'GS&lt;50 Predicted Monthly'!$X$13</f>
        <v>23309881.144666884</v>
      </c>
      <c r="R96" s="11">
        <f t="shared" si="13"/>
        <v>0</v>
      </c>
      <c r="S96" s="11">
        <f t="shared" si="14"/>
        <v>33546671.899494782</v>
      </c>
      <c r="T96" s="11">
        <f t="shared" si="11"/>
        <v>737303.5271880962</v>
      </c>
      <c r="U96" s="23">
        <f t="shared" si="12"/>
        <v>2.2472347496041101E-2</v>
      </c>
    </row>
    <row r="97" spans="1:21" x14ac:dyDescent="0.2">
      <c r="A97" s="8">
        <f>'Monthly Data'!A97</f>
        <v>45627</v>
      </c>
      <c r="B97">
        <f t="shared" si="9"/>
        <v>2024</v>
      </c>
      <c r="C97">
        <f t="shared" si="10"/>
        <v>12</v>
      </c>
      <c r="D97" s="19">
        <f>'Monthly Data'!J97</f>
        <v>36744901.690685332</v>
      </c>
      <c r="E97" s="21">
        <f>'Monthly Data'!BJ97</f>
        <v>477.23749999999995</v>
      </c>
      <c r="F97" s="21">
        <f>'Monthly Data'!BK97</f>
        <v>0</v>
      </c>
      <c r="G97" s="283">
        <f>'Monthly Data'!CV97</f>
        <v>0</v>
      </c>
      <c r="H97" s="7">
        <f>'Monthly Data'!CS97</f>
        <v>31</v>
      </c>
      <c r="I97" s="7">
        <f>'Monthly Data'!AO97</f>
        <v>893201</v>
      </c>
      <c r="J97" s="7">
        <f>'Monthly Data'!BT97</f>
        <v>0</v>
      </c>
      <c r="L97" s="11">
        <f>'GS&lt;50 Predicted Monthly'!$X$8</f>
        <v>-13592432.544671699</v>
      </c>
      <c r="M97" s="11">
        <f>E97*'GS&lt;50 Predicted Monthly'!$X$9</f>
        <v>6593398.5158000421</v>
      </c>
      <c r="N97" s="11">
        <f>F97*'GS&lt;50 Predicted Monthly'!$X$10</f>
        <v>0</v>
      </c>
      <c r="O97" s="11">
        <f>G97*'GS&lt;50 Predicted Monthly'!$X$11</f>
        <v>0</v>
      </c>
      <c r="P97" s="11">
        <f>H97*'GS&lt;50 Predicted Monthly'!$X$12</f>
        <v>20753533.272940867</v>
      </c>
      <c r="Q97" s="11">
        <f>I97*'GS&lt;50 Predicted Monthly'!$X$13</f>
        <v>23309881.144666884</v>
      </c>
      <c r="R97" s="11">
        <f t="shared" si="13"/>
        <v>0</v>
      </c>
      <c r="S97" s="11">
        <f t="shared" si="14"/>
        <v>37064380.388736092</v>
      </c>
      <c r="T97" s="11">
        <f t="shared" si="11"/>
        <v>319478.69805075973</v>
      </c>
      <c r="U97" s="23">
        <f t="shared" si="12"/>
        <v>8.6945040903932021E-3</v>
      </c>
    </row>
    <row r="98" spans="1:21" x14ac:dyDescent="0.2">
      <c r="A98" s="8">
        <f>'Monthly Data'!A98</f>
        <v>45658</v>
      </c>
      <c r="B98">
        <f t="shared" ref="B98:B109" si="18">YEAR(A98)</f>
        <v>2025</v>
      </c>
      <c r="C98">
        <f t="shared" ref="C98:C109" si="19">MONTH(A98)</f>
        <v>1</v>
      </c>
      <c r="D98" s="19">
        <f>'Monthly Data'!J98</f>
        <v>40183559.338830374</v>
      </c>
      <c r="E98" s="21">
        <f>'Monthly Data'!BJ98</f>
        <v>631.72708333333333</v>
      </c>
      <c r="F98" s="21">
        <f>'Monthly Data'!BK98</f>
        <v>0</v>
      </c>
      <c r="G98" s="283">
        <f>'Monthly Data'!CV98</f>
        <v>0</v>
      </c>
      <c r="H98" s="7">
        <f>'Monthly Data'!CS98</f>
        <v>31</v>
      </c>
      <c r="I98" s="7">
        <f>'Monthly Data'!AO98</f>
        <v>898185</v>
      </c>
      <c r="J98" s="7">
        <f>'Monthly Data'!BT98</f>
        <v>0</v>
      </c>
      <c r="L98" s="11">
        <f>'GS&lt;50 Predicted Monthly'!$X$8</f>
        <v>-13592432.544671699</v>
      </c>
      <c r="M98" s="11">
        <f>E98*'GS&lt;50 Predicted Monthly'!$X$9</f>
        <v>8727789.441610707</v>
      </c>
      <c r="N98" s="11">
        <f>F98*'GS&lt;50 Predicted Monthly'!$X$10</f>
        <v>0</v>
      </c>
      <c r="O98" s="11">
        <f>G98*'GS&lt;50 Predicted Monthly'!$X$11</f>
        <v>0</v>
      </c>
      <c r="P98" s="11">
        <f>H98*'GS&lt;50 Predicted Monthly'!$X$12</f>
        <v>20753533.272940867</v>
      </c>
      <c r="Q98" s="11">
        <f>I98*'GS&lt;50 Predicted Monthly'!$X$13</f>
        <v>23439948.674399856</v>
      </c>
      <c r="R98" s="11">
        <f t="shared" ref="R98:R109" si="20">J98*$X$14</f>
        <v>0</v>
      </c>
      <c r="S98" s="11">
        <f t="shared" ref="S98:S109" si="21">SUM(L98:R98)</f>
        <v>39328838.844279729</v>
      </c>
      <c r="T98" s="11">
        <f t="shared" ref="T98:T109" si="22">S98-D98</f>
        <v>-854720.49455064535</v>
      </c>
      <c r="U98" s="23">
        <f t="shared" ref="U98:U109" si="23">ABS(T98/D98)</f>
        <v>2.1270402836731976E-2</v>
      </c>
    </row>
    <row r="99" spans="1:21" x14ac:dyDescent="0.2">
      <c r="A99" s="8">
        <f>'Monthly Data'!A99</f>
        <v>45689</v>
      </c>
      <c r="B99">
        <f t="shared" si="18"/>
        <v>2025</v>
      </c>
      <c r="C99">
        <f t="shared" si="19"/>
        <v>2</v>
      </c>
      <c r="D99" s="19">
        <f>'Monthly Data'!J99</f>
        <v>36188686.913162045</v>
      </c>
      <c r="E99" s="21">
        <f>'Monthly Data'!BJ99</f>
        <v>547.18750000000011</v>
      </c>
      <c r="F99" s="21">
        <f>'Monthly Data'!BK99</f>
        <v>0</v>
      </c>
      <c r="G99" s="283">
        <f>'Monthly Data'!CV99</f>
        <v>0</v>
      </c>
      <c r="H99" s="7">
        <f>'Monthly Data'!CS99</f>
        <v>28</v>
      </c>
      <c r="I99" s="7">
        <f>'Monthly Data'!AO99</f>
        <v>898185</v>
      </c>
      <c r="J99" s="7">
        <f>'Monthly Data'!BT99</f>
        <v>0</v>
      </c>
      <c r="L99" s="11">
        <f>'GS&lt;50 Predicted Monthly'!$X$8</f>
        <v>-13592432.544671699</v>
      </c>
      <c r="M99" s="11">
        <f>E99*'GS&lt;50 Predicted Monthly'!$X$9</f>
        <v>7559810.8915672731</v>
      </c>
      <c r="N99" s="11">
        <f>F99*'GS&lt;50 Predicted Monthly'!$X$10</f>
        <v>0</v>
      </c>
      <c r="O99" s="11">
        <f>G99*'GS&lt;50 Predicted Monthly'!$X$11</f>
        <v>0</v>
      </c>
      <c r="P99" s="11">
        <f>H99*'GS&lt;50 Predicted Monthly'!$X$12</f>
        <v>18745126.827172395</v>
      </c>
      <c r="Q99" s="11">
        <f>I99*'GS&lt;50 Predicted Monthly'!$X$13</f>
        <v>23439948.674399856</v>
      </c>
      <c r="R99" s="11">
        <f t="shared" si="20"/>
        <v>0</v>
      </c>
      <c r="S99" s="11">
        <f t="shared" si="21"/>
        <v>36152453.848467827</v>
      </c>
      <c r="T99" s="11">
        <f t="shared" si="22"/>
        <v>-36233.064694218338</v>
      </c>
      <c r="U99" s="23">
        <f t="shared" si="23"/>
        <v>1.0012262887891673E-3</v>
      </c>
    </row>
    <row r="100" spans="1:21" x14ac:dyDescent="0.2">
      <c r="A100" s="8">
        <f>'Monthly Data'!A100</f>
        <v>45717</v>
      </c>
      <c r="B100">
        <f t="shared" si="18"/>
        <v>2025</v>
      </c>
      <c r="C100">
        <f t="shared" si="19"/>
        <v>3</v>
      </c>
      <c r="D100" s="19">
        <f>'Monthly Data'!J100</f>
        <v>36194100.339142725</v>
      </c>
      <c r="E100" s="21">
        <f>'Monthly Data'!BJ100</f>
        <v>350.71041666666673</v>
      </c>
      <c r="F100" s="21">
        <f>'Monthly Data'!BK100</f>
        <v>0</v>
      </c>
      <c r="G100" s="283">
        <f>'Monthly Data'!CV100</f>
        <v>0</v>
      </c>
      <c r="H100" s="7">
        <f>'Monthly Data'!CS100</f>
        <v>31</v>
      </c>
      <c r="I100" s="7">
        <f>'Monthly Data'!AO100</f>
        <v>898185</v>
      </c>
      <c r="J100" s="7">
        <f>'Monthly Data'!BT100</f>
        <v>1</v>
      </c>
      <c r="L100" s="11">
        <f>'GS&lt;50 Predicted Monthly'!$X$8</f>
        <v>-13592432.544671699</v>
      </c>
      <c r="M100" s="11">
        <f>E100*'GS&lt;50 Predicted Monthly'!$X$9</f>
        <v>4845330.7645053351</v>
      </c>
      <c r="N100" s="11">
        <f>F100*'GS&lt;50 Predicted Monthly'!$X$10</f>
        <v>0</v>
      </c>
      <c r="O100" s="11">
        <f>G100*'GS&lt;50 Predicted Monthly'!$X$11</f>
        <v>0</v>
      </c>
      <c r="P100" s="11">
        <f>H100*'GS&lt;50 Predicted Monthly'!$X$12</f>
        <v>20753533.272940867</v>
      </c>
      <c r="Q100" s="11">
        <f>I100*'GS&lt;50 Predicted Monthly'!$X$13</f>
        <v>23439948.674399856</v>
      </c>
      <c r="R100" s="11">
        <f t="shared" si="20"/>
        <v>522033.18159628101</v>
      </c>
      <c r="S100" s="11">
        <f t="shared" si="21"/>
        <v>35968413.348770633</v>
      </c>
      <c r="T100" s="11">
        <f t="shared" si="22"/>
        <v>-225686.99037209153</v>
      </c>
      <c r="U100" s="23">
        <f t="shared" si="23"/>
        <v>6.2354634666252082E-3</v>
      </c>
    </row>
    <row r="101" spans="1:21" x14ac:dyDescent="0.2">
      <c r="A101" s="8">
        <f>'Monthly Data'!A101</f>
        <v>45748</v>
      </c>
      <c r="B101">
        <f t="shared" si="18"/>
        <v>2025</v>
      </c>
      <c r="C101">
        <f t="shared" si="19"/>
        <v>4</v>
      </c>
      <c r="D101" s="19">
        <f>'Monthly Data'!J101</f>
        <v>33302287.632952996</v>
      </c>
      <c r="E101" s="21">
        <f>'Monthly Data'!BJ101</f>
        <v>209.11249999999995</v>
      </c>
      <c r="F101" s="21">
        <f>'Monthly Data'!BK101</f>
        <v>9.0583333333333371</v>
      </c>
      <c r="G101" s="283">
        <f>'Monthly Data'!CV101</f>
        <v>0</v>
      </c>
      <c r="H101" s="7">
        <f>'Monthly Data'!CS101</f>
        <v>30</v>
      </c>
      <c r="I101" s="7">
        <f>'Monthly Data'!AO101</f>
        <v>895773</v>
      </c>
      <c r="J101" s="7">
        <f>'Monthly Data'!BT101</f>
        <v>0</v>
      </c>
      <c r="L101" s="11">
        <f>'GS&lt;50 Predicted Monthly'!$X$8</f>
        <v>-13592432.544671699</v>
      </c>
      <c r="M101" s="11">
        <f>E101*'GS&lt;50 Predicted Monthly'!$X$9</f>
        <v>2889048.0046836976</v>
      </c>
      <c r="N101" s="11">
        <f>F101*'GS&lt;50 Predicted Monthly'!$X$10</f>
        <v>389928.127299916</v>
      </c>
      <c r="O101" s="11">
        <f>G101*'GS&lt;50 Predicted Monthly'!$X$11</f>
        <v>0</v>
      </c>
      <c r="P101" s="11">
        <f>H101*'GS&lt;50 Predicted Monthly'!$X$12</f>
        <v>20084064.457684711</v>
      </c>
      <c r="Q101" s="11">
        <f>I101*'GS&lt;50 Predicted Monthly'!$X$13</f>
        <v>23377002.670845296</v>
      </c>
      <c r="R101" s="11">
        <f t="shared" si="20"/>
        <v>0</v>
      </c>
      <c r="S101" s="11">
        <f t="shared" si="21"/>
        <v>33147610.715841919</v>
      </c>
      <c r="T101" s="11">
        <f t="shared" si="22"/>
        <v>-154676.91711107641</v>
      </c>
      <c r="U101" s="23">
        <f t="shared" si="23"/>
        <v>4.6446333902305809E-3</v>
      </c>
    </row>
    <row r="102" spans="1:21" x14ac:dyDescent="0.2">
      <c r="A102" s="8">
        <f>'Monthly Data'!A102</f>
        <v>45778</v>
      </c>
      <c r="B102">
        <f t="shared" si="18"/>
        <v>2025</v>
      </c>
      <c r="C102">
        <f t="shared" si="19"/>
        <v>5</v>
      </c>
      <c r="D102" s="19">
        <f>'Monthly Data'!J102</f>
        <v>32819813.044337571</v>
      </c>
      <c r="E102" s="21">
        <f>'Monthly Data'!BJ102</f>
        <v>73.445833333333326</v>
      </c>
      <c r="F102" s="21">
        <f>'Monthly Data'!BK102</f>
        <v>30.504166666666652</v>
      </c>
      <c r="G102" s="283">
        <f>'Monthly Data'!CV102</f>
        <v>0</v>
      </c>
      <c r="H102" s="7">
        <f>'Monthly Data'!CS102</f>
        <v>31</v>
      </c>
      <c r="I102" s="7">
        <f>'Monthly Data'!AO102</f>
        <v>895773</v>
      </c>
      <c r="J102" s="7">
        <f>'Monthly Data'!BT102</f>
        <v>0</v>
      </c>
      <c r="L102" s="11">
        <f>'GS&lt;50 Predicted Monthly'!$X$8</f>
        <v>-13592432.544671699</v>
      </c>
      <c r="M102" s="11">
        <f>E102*'GS&lt;50 Predicted Monthly'!$X$9</f>
        <v>1014709.9682897871</v>
      </c>
      <c r="N102" s="11">
        <f>F102*'GS&lt;50 Predicted Monthly'!$X$10</f>
        <v>1313092.8334694952</v>
      </c>
      <c r="O102" s="11">
        <f>G102*'GS&lt;50 Predicted Monthly'!$X$11</f>
        <v>0</v>
      </c>
      <c r="P102" s="11">
        <f>H102*'GS&lt;50 Predicted Monthly'!$X$12</f>
        <v>20753533.272940867</v>
      </c>
      <c r="Q102" s="11">
        <f>I102*'GS&lt;50 Predicted Monthly'!$X$13</f>
        <v>23377002.670845296</v>
      </c>
      <c r="R102" s="11">
        <f t="shared" si="20"/>
        <v>0</v>
      </c>
      <c r="S102" s="11">
        <f t="shared" si="21"/>
        <v>32865906.200873747</v>
      </c>
      <c r="T102" s="11">
        <f t="shared" si="22"/>
        <v>46093.156536176801</v>
      </c>
      <c r="U102" s="23">
        <f t="shared" si="23"/>
        <v>1.4044308075097122E-3</v>
      </c>
    </row>
    <row r="103" spans="1:21" x14ac:dyDescent="0.2">
      <c r="A103" s="8">
        <f>'Monthly Data'!A103</f>
        <v>45809</v>
      </c>
      <c r="B103">
        <f t="shared" si="18"/>
        <v>2025</v>
      </c>
      <c r="C103">
        <f t="shared" si="19"/>
        <v>6</v>
      </c>
      <c r="D103" s="19">
        <f>'Monthly Data'!J103</f>
        <v>37612354.418116137</v>
      </c>
      <c r="E103" s="21">
        <f>'Monthly Data'!BJ103</f>
        <v>4.3041666666666671</v>
      </c>
      <c r="F103" s="21">
        <f>'Monthly Data'!BK103</f>
        <v>188.56249999999997</v>
      </c>
      <c r="G103" s="283">
        <f>'Monthly Data'!CV103</f>
        <v>0</v>
      </c>
      <c r="H103" s="7">
        <f>'Monthly Data'!CS103</f>
        <v>30</v>
      </c>
      <c r="I103" s="7">
        <f>'Monthly Data'!AO103</f>
        <v>895773</v>
      </c>
      <c r="J103" s="7">
        <f>'Monthly Data'!BT103</f>
        <v>0</v>
      </c>
      <c r="L103" s="11">
        <f>'GS&lt;50 Predicted Monthly'!$X$8</f>
        <v>-13592432.544671699</v>
      </c>
      <c r="M103" s="11">
        <f>E103*'GS&lt;50 Predicted Monthly'!$X$9</f>
        <v>59465.331437190122</v>
      </c>
      <c r="N103" s="11">
        <f>F103*'GS&lt;50 Predicted Monthly'!$X$10</f>
        <v>8116926.1273954408</v>
      </c>
      <c r="O103" s="11">
        <f>G103*'GS&lt;50 Predicted Monthly'!$X$11</f>
        <v>0</v>
      </c>
      <c r="P103" s="11">
        <f>H103*'GS&lt;50 Predicted Monthly'!$X$12</f>
        <v>20084064.457684711</v>
      </c>
      <c r="Q103" s="11">
        <f>I103*'GS&lt;50 Predicted Monthly'!$X$13</f>
        <v>23377002.670845296</v>
      </c>
      <c r="R103" s="11">
        <f t="shared" si="20"/>
        <v>0</v>
      </c>
      <c r="S103" s="11">
        <f t="shared" si="21"/>
        <v>38045026.04269094</v>
      </c>
      <c r="T103" s="11">
        <f t="shared" si="22"/>
        <v>432671.62457480282</v>
      </c>
      <c r="U103" s="23">
        <f t="shared" si="23"/>
        <v>1.1503444314201316E-2</v>
      </c>
    </row>
    <row r="104" spans="1:21" x14ac:dyDescent="0.2">
      <c r="A104" s="8">
        <f>'Monthly Data'!A104</f>
        <v>45839</v>
      </c>
      <c r="B104">
        <f t="shared" si="18"/>
        <v>2025</v>
      </c>
      <c r="C104">
        <f t="shared" si="19"/>
        <v>7</v>
      </c>
      <c r="D104" s="19">
        <f>'Monthly Data'!J104</f>
        <v>42809598.246677913</v>
      </c>
      <c r="E104" s="21">
        <f>'Monthly Data'!BJ104</f>
        <v>0</v>
      </c>
      <c r="F104" s="21">
        <f>'Monthly Data'!BK104</f>
        <v>255.57916666666662</v>
      </c>
      <c r="G104" s="283">
        <f>'Monthly Data'!CV104</f>
        <v>0</v>
      </c>
      <c r="H104" s="7">
        <f>'Monthly Data'!CS104</f>
        <v>31</v>
      </c>
      <c r="I104" s="7">
        <f>'Monthly Data'!AO104</f>
        <v>901842</v>
      </c>
      <c r="J104" s="7">
        <f>'Monthly Data'!BT104</f>
        <v>0</v>
      </c>
      <c r="L104" s="11">
        <f>'GS&lt;50 Predicted Monthly'!$X$8</f>
        <v>-13592432.544671699</v>
      </c>
      <c r="M104" s="11">
        <f>E104*'GS&lt;50 Predicted Monthly'!$X$9</f>
        <v>0</v>
      </c>
      <c r="N104" s="11">
        <f>F104*'GS&lt;50 Predicted Monthly'!$X$10</f>
        <v>11001748.574263815</v>
      </c>
      <c r="O104" s="11">
        <f>G104*'GS&lt;50 Predicted Monthly'!$X$11</f>
        <v>0</v>
      </c>
      <c r="P104" s="11">
        <f>H104*'GS&lt;50 Predicted Monthly'!$X$12</f>
        <v>20753533.272940867</v>
      </c>
      <c r="Q104" s="11">
        <f>I104*'GS&lt;50 Predicted Monthly'!$X$13</f>
        <v>23535385.463371258</v>
      </c>
      <c r="R104" s="11">
        <f t="shared" si="20"/>
        <v>0</v>
      </c>
      <c r="S104" s="11">
        <f t="shared" si="21"/>
        <v>41698234.76590424</v>
      </c>
      <c r="T104" s="11">
        <f t="shared" si="22"/>
        <v>-1111363.4807736725</v>
      </c>
      <c r="U104" s="23">
        <f t="shared" si="23"/>
        <v>2.5960614588573391E-2</v>
      </c>
    </row>
    <row r="105" spans="1:21" x14ac:dyDescent="0.2">
      <c r="A105" s="8">
        <f>'Monthly Data'!A105</f>
        <v>45870</v>
      </c>
      <c r="B105">
        <f t="shared" si="18"/>
        <v>2025</v>
      </c>
      <c r="C105">
        <f t="shared" si="19"/>
        <v>8</v>
      </c>
      <c r="D105" s="19">
        <f>'Monthly Data'!J105</f>
        <v>39144829.233934194</v>
      </c>
      <c r="E105" s="21">
        <f>'Monthly Data'!BJ105</f>
        <v>2.4833333333333378</v>
      </c>
      <c r="F105" s="21">
        <f>'Monthly Data'!BK105</f>
        <v>178.91250000000005</v>
      </c>
      <c r="G105" s="283">
        <f>'Monthly Data'!CV105</f>
        <v>0</v>
      </c>
      <c r="H105" s="7">
        <f>'Monthly Data'!CS105</f>
        <v>31</v>
      </c>
      <c r="I105" s="7">
        <f>'Monthly Data'!AO105</f>
        <v>901842</v>
      </c>
      <c r="J105" s="7">
        <f>'Monthly Data'!BT105</f>
        <v>0</v>
      </c>
      <c r="L105" s="11">
        <f>'GS&lt;50 Predicted Monthly'!$X$8</f>
        <v>-13592432.544671699</v>
      </c>
      <c r="M105" s="11">
        <f>E105*'GS&lt;50 Predicted Monthly'!$X$9</f>
        <v>34309.136047013912</v>
      </c>
      <c r="N105" s="11">
        <f>F105*'GS&lt;50 Predicted Monthly'!$X$10</f>
        <v>7701528.9135837583</v>
      </c>
      <c r="O105" s="11">
        <f>G105*'GS&lt;50 Predicted Monthly'!$X$11</f>
        <v>0</v>
      </c>
      <c r="P105" s="11">
        <f>H105*'GS&lt;50 Predicted Monthly'!$X$12</f>
        <v>20753533.272940867</v>
      </c>
      <c r="Q105" s="11">
        <f>I105*'GS&lt;50 Predicted Monthly'!$X$13</f>
        <v>23535385.463371258</v>
      </c>
      <c r="R105" s="11">
        <f t="shared" si="20"/>
        <v>0</v>
      </c>
      <c r="S105" s="11">
        <f t="shared" si="21"/>
        <v>38432324.241271198</v>
      </c>
      <c r="T105" s="11">
        <f t="shared" si="22"/>
        <v>-712504.99266299605</v>
      </c>
      <c r="U105" s="23">
        <f t="shared" si="23"/>
        <v>1.8201765254996536E-2</v>
      </c>
    </row>
    <row r="106" spans="1:21" x14ac:dyDescent="0.2">
      <c r="A106" s="8">
        <f>'Monthly Data'!A106</f>
        <v>45901</v>
      </c>
      <c r="B106">
        <f t="shared" si="18"/>
        <v>2025</v>
      </c>
      <c r="C106">
        <f t="shared" si="19"/>
        <v>9</v>
      </c>
      <c r="D106" s="19">
        <f>'Monthly Data'!J106</f>
        <v>34783887.287649468</v>
      </c>
      <c r="E106" s="21">
        <f>'Monthly Data'!BJ106</f>
        <v>3.1125000000000025</v>
      </c>
      <c r="F106" s="21">
        <f>'Monthly Data'!BK106</f>
        <v>102.07916666666665</v>
      </c>
      <c r="G106" s="283">
        <f>'Monthly Data'!CV106</f>
        <v>0</v>
      </c>
      <c r="H106" s="7">
        <f>'Monthly Data'!CS106</f>
        <v>30</v>
      </c>
      <c r="I106" s="7">
        <f>'Monthly Data'!AO106</f>
        <v>901842</v>
      </c>
      <c r="J106" s="7">
        <f>'Monthly Data'!BT106</f>
        <v>0</v>
      </c>
      <c r="L106" s="11">
        <f>'GS&lt;50 Predicted Monthly'!$X$8</f>
        <v>-13592432.544671699</v>
      </c>
      <c r="M106" s="11">
        <f>E106*'GS&lt;50 Predicted Monthly'!$X$9</f>
        <v>43001.551387784173</v>
      </c>
      <c r="N106" s="11">
        <f>F106*'GS&lt;50 Predicted Monthly'!$X$10</f>
        <v>4394134.8623369997</v>
      </c>
      <c r="O106" s="11">
        <f>G106*'GS&lt;50 Predicted Monthly'!$X$11</f>
        <v>0</v>
      </c>
      <c r="P106" s="11">
        <f>H106*'GS&lt;50 Predicted Monthly'!$X$12</f>
        <v>20084064.457684711</v>
      </c>
      <c r="Q106" s="11">
        <f>I106*'GS&lt;50 Predicted Monthly'!$X$13</f>
        <v>23535385.463371258</v>
      </c>
      <c r="R106" s="11">
        <f t="shared" si="20"/>
        <v>0</v>
      </c>
      <c r="S106" s="11">
        <f t="shared" si="21"/>
        <v>34464153.790109053</v>
      </c>
      <c r="T106" s="11">
        <f t="shared" si="22"/>
        <v>-319733.49754041433</v>
      </c>
      <c r="U106" s="23">
        <f t="shared" si="23"/>
        <v>9.1920001607738774E-3</v>
      </c>
    </row>
    <row r="107" spans="1:21" x14ac:dyDescent="0.2">
      <c r="A107" s="8">
        <f>'Monthly Data'!A107</f>
        <v>45931</v>
      </c>
      <c r="B107">
        <f t="shared" si="18"/>
        <v>2025</v>
      </c>
      <c r="C107">
        <f t="shared" si="19"/>
        <v>10</v>
      </c>
      <c r="D107" s="19">
        <f>'Monthly Data'!J107</f>
        <v>33721107.220164739</v>
      </c>
      <c r="E107" s="21">
        <f>'Monthly Data'!BJ107</f>
        <v>119.57916666666667</v>
      </c>
      <c r="F107" s="21">
        <f>'Monthly Data'!BK107</f>
        <v>29.312500000000004</v>
      </c>
      <c r="G107" s="283">
        <f>'Monthly Data'!CV107</f>
        <v>0</v>
      </c>
      <c r="H107" s="7">
        <f>'Monthly Data'!CS107</f>
        <v>31</v>
      </c>
      <c r="I107" s="7">
        <f>'Monthly Data'!AO107</f>
        <v>900059</v>
      </c>
      <c r="J107" s="7">
        <f>'Monthly Data'!BT107</f>
        <v>0</v>
      </c>
      <c r="L107" s="11">
        <f>'GS&lt;50 Predicted Monthly'!$X$8</f>
        <v>-13592432.544671699</v>
      </c>
      <c r="M107" s="11">
        <f>E107*'GS&lt;50 Predicted Monthly'!$X$9</f>
        <v>1652077.0057269305</v>
      </c>
      <c r="N107" s="11">
        <f>F107*'GS&lt;50 Predicted Monthly'!$X$10</f>
        <v>1261795.9409176211</v>
      </c>
      <c r="O107" s="11">
        <f>G107*'GS&lt;50 Predicted Monthly'!$X$11</f>
        <v>0</v>
      </c>
      <c r="P107" s="11">
        <f>H107*'GS&lt;50 Predicted Monthly'!$X$12</f>
        <v>20753533.272940867</v>
      </c>
      <c r="Q107" s="11">
        <f>I107*'GS&lt;50 Predicted Monthly'!$X$13</f>
        <v>23488854.483131714</v>
      </c>
      <c r="R107" s="11">
        <f t="shared" si="20"/>
        <v>0</v>
      </c>
      <c r="S107" s="11">
        <f t="shared" si="21"/>
        <v>33563828.158045433</v>
      </c>
      <c r="T107" s="11">
        <f t="shared" si="22"/>
        <v>-157279.06211930513</v>
      </c>
      <c r="U107" s="23">
        <f t="shared" si="23"/>
        <v>4.6641132241723813E-3</v>
      </c>
    </row>
    <row r="108" spans="1:21" x14ac:dyDescent="0.2">
      <c r="A108" s="8">
        <f>'Monthly Data'!A108</f>
        <v>45962</v>
      </c>
      <c r="B108">
        <f t="shared" si="18"/>
        <v>2025</v>
      </c>
      <c r="C108">
        <f t="shared" si="19"/>
        <v>11</v>
      </c>
      <c r="D108" s="19">
        <f>'Monthly Data'!J108</f>
        <v>34683043.361470014</v>
      </c>
      <c r="E108" s="21">
        <f>'Monthly Data'!BJ108</f>
        <v>326.6229166666667</v>
      </c>
      <c r="F108" s="21">
        <f>'Monthly Data'!BK108</f>
        <v>0</v>
      </c>
      <c r="G108" s="283">
        <f>'Monthly Data'!CV108</f>
        <v>0</v>
      </c>
      <c r="H108" s="7">
        <f>'Monthly Data'!CS108</f>
        <v>30</v>
      </c>
      <c r="I108" s="7">
        <f>'Monthly Data'!AO108</f>
        <v>900059</v>
      </c>
      <c r="J108" s="7">
        <f>'Monthly Data'!BT108</f>
        <v>0</v>
      </c>
      <c r="L108" s="11">
        <f>'GS&lt;50 Predicted Monthly'!$X$8</f>
        <v>-13592432.544671699</v>
      </c>
      <c r="M108" s="11">
        <f>E108*'GS&lt;50 Predicted Monthly'!$X$9</f>
        <v>4512543.6579822022</v>
      </c>
      <c r="N108" s="11">
        <f>F108*'GS&lt;50 Predicted Monthly'!$X$10</f>
        <v>0</v>
      </c>
      <c r="O108" s="11">
        <f>G108*'GS&lt;50 Predicted Monthly'!$X$11</f>
        <v>0</v>
      </c>
      <c r="P108" s="11">
        <f>H108*'GS&lt;50 Predicted Monthly'!$X$12</f>
        <v>20084064.457684711</v>
      </c>
      <c r="Q108" s="11">
        <f>I108*'GS&lt;50 Predicted Monthly'!$X$13</f>
        <v>23488854.483131714</v>
      </c>
      <c r="R108" s="11">
        <f t="shared" si="20"/>
        <v>0</v>
      </c>
      <c r="S108" s="11">
        <f t="shared" si="21"/>
        <v>34493030.054126926</v>
      </c>
      <c r="T108" s="11">
        <f t="shared" si="22"/>
        <v>-190013.30734308809</v>
      </c>
      <c r="U108" s="23">
        <f t="shared" si="23"/>
        <v>5.47856499681274E-3</v>
      </c>
    </row>
    <row r="109" spans="1:21" x14ac:dyDescent="0.2">
      <c r="A109" s="8">
        <f>'Monthly Data'!A109</f>
        <v>45992</v>
      </c>
      <c r="B109">
        <f t="shared" si="18"/>
        <v>2025</v>
      </c>
      <c r="C109">
        <f t="shared" si="19"/>
        <v>12</v>
      </c>
      <c r="D109" s="19">
        <f>'Monthly Data'!J109</f>
        <v>38907834.05508209</v>
      </c>
      <c r="E109" s="21">
        <f>'Monthly Data'!BJ109</f>
        <v>565.42916666666667</v>
      </c>
      <c r="F109" s="21">
        <f>'Monthly Data'!BK109</f>
        <v>0</v>
      </c>
      <c r="G109" s="283">
        <f>'Monthly Data'!CV109</f>
        <v>0</v>
      </c>
      <c r="H109" s="7">
        <f>'Monthly Data'!CS109</f>
        <v>31</v>
      </c>
      <c r="I109" s="7">
        <f>'Monthly Data'!AO109</f>
        <v>900059</v>
      </c>
      <c r="J109" s="7">
        <f>'Monthly Data'!BT109</f>
        <v>0</v>
      </c>
      <c r="L109" s="11">
        <f>'GS&lt;50 Predicted Monthly'!$X$8</f>
        <v>-13592432.544671699</v>
      </c>
      <c r="M109" s="11">
        <f>E109*'GS&lt;50 Predicted Monthly'!$X$9</f>
        <v>7811833.3707851022</v>
      </c>
      <c r="N109" s="11">
        <f>F109*'GS&lt;50 Predicted Monthly'!$X$10</f>
        <v>0</v>
      </c>
      <c r="O109" s="11">
        <f>G109*'GS&lt;50 Predicted Monthly'!$X$11</f>
        <v>0</v>
      </c>
      <c r="P109" s="11">
        <f>H109*'GS&lt;50 Predicted Monthly'!$X$12</f>
        <v>20753533.272940867</v>
      </c>
      <c r="Q109" s="11">
        <f>I109*'GS&lt;50 Predicted Monthly'!$X$13</f>
        <v>23488854.483131714</v>
      </c>
      <c r="R109" s="11">
        <f t="shared" si="20"/>
        <v>0</v>
      </c>
      <c r="S109" s="11">
        <f t="shared" si="21"/>
        <v>38461788.582185984</v>
      </c>
      <c r="T109" s="11">
        <f t="shared" si="22"/>
        <v>-446045.47289610654</v>
      </c>
      <c r="U109" s="23">
        <f t="shared" si="23"/>
        <v>1.1464155837218718E-2</v>
      </c>
    </row>
    <row r="110" spans="1:21" x14ac:dyDescent="0.2">
      <c r="A110" s="8"/>
      <c r="U110" s="24">
        <f>AVERAGE(U2:U109)</f>
        <v>1.3085259999114803E-2</v>
      </c>
    </row>
    <row r="111" spans="1:21" x14ac:dyDescent="0.2">
      <c r="A111" s="8"/>
    </row>
    <row r="112" spans="1:21" x14ac:dyDescent="0.2">
      <c r="A112" s="8"/>
    </row>
    <row r="113" spans="1:1" x14ac:dyDescent="0.2">
      <c r="A113" s="8"/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8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CA3D0-2D15-441C-854C-DA23E692F8B6}">
  <dimension ref="A1:AE117"/>
  <sheetViews>
    <sheetView topLeftCell="A85" workbookViewId="0">
      <selection activeCell="J6" sqref="J6"/>
    </sheetView>
  </sheetViews>
  <sheetFormatPr defaultColWidth="9.33203125" defaultRowHeight="12.75" x14ac:dyDescent="0.2"/>
  <cols>
    <col min="1" max="1" width="10.5" bestFit="1" customWidth="1"/>
    <col min="4" max="4" width="20.1640625" bestFit="1" customWidth="1"/>
    <col min="13" max="13" width="14.6640625" bestFit="1" customWidth="1"/>
    <col min="14" max="14" width="12.83203125" bestFit="1" customWidth="1"/>
    <col min="15" max="15" width="13.83203125" bestFit="1" customWidth="1"/>
    <col min="16" max="16" width="13.83203125" customWidth="1"/>
    <col min="17" max="20" width="15.5" customWidth="1"/>
    <col min="21" max="21" width="18.1640625" customWidth="1"/>
    <col min="22" max="22" width="13.83203125" customWidth="1"/>
    <col min="25" max="25" width="13.83203125" bestFit="1" customWidth="1"/>
    <col min="26" max="26" width="13.5" customWidth="1"/>
    <col min="27" max="27" width="13.83203125" bestFit="1" customWidth="1"/>
    <col min="28" max="28" width="12.83203125" bestFit="1" customWidth="1"/>
    <col min="29" max="29" width="12.6640625" bestFit="1" customWidth="1"/>
    <col min="30" max="30" width="18" bestFit="1" customWidth="1"/>
    <col min="31" max="31" width="12.83203125" bestFit="1" customWidth="1"/>
  </cols>
  <sheetData>
    <row r="1" spans="1:31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Data'!N1</f>
        <v>GS_gt_50_NoCDM</v>
      </c>
      <c r="E1" s="181" t="str">
        <f>'Monthly Data'!BJ1</f>
        <v>HDD14</v>
      </c>
      <c r="F1" s="181" t="str">
        <f>'Monthly Data'!BK1</f>
        <v>CDD14</v>
      </c>
      <c r="G1" s="182" t="str">
        <f>'Monthly Data'!CV1</f>
        <v>COVID_AM</v>
      </c>
      <c r="H1" s="181" t="str">
        <f>'Monthly Data'!CS1</f>
        <v>Month Days</v>
      </c>
      <c r="I1" s="180" t="str">
        <f>'Monthly Data'!AO1</f>
        <v>OEA_GDP</v>
      </c>
      <c r="J1" s="180" t="str">
        <f>'Monthly Data'!CF1</f>
        <v>Fall</v>
      </c>
      <c r="K1" s="180" t="str">
        <f>'Monthly Data'!BY1</f>
        <v>Aug</v>
      </c>
      <c r="M1" s="171" t="s">
        <v>65</v>
      </c>
      <c r="N1" s="181" t="str">
        <f t="shared" ref="N1:T1" si="0">E1</f>
        <v>HDD14</v>
      </c>
      <c r="O1" s="181" t="str">
        <f t="shared" si="0"/>
        <v>CDD14</v>
      </c>
      <c r="P1" s="181" t="str">
        <f t="shared" si="0"/>
        <v>COVID_AM</v>
      </c>
      <c r="Q1" s="181" t="str">
        <f t="shared" si="0"/>
        <v>Month Days</v>
      </c>
      <c r="R1" s="181" t="str">
        <f t="shared" si="0"/>
        <v>OEA_GDP</v>
      </c>
      <c r="S1" s="181" t="str">
        <f t="shared" si="0"/>
        <v>Fall</v>
      </c>
      <c r="T1" s="181" t="str">
        <f t="shared" si="0"/>
        <v>Aug</v>
      </c>
      <c r="U1" s="171" t="s">
        <v>75</v>
      </c>
      <c r="V1" s="171" t="s">
        <v>76</v>
      </c>
    </row>
    <row r="2" spans="1:31" x14ac:dyDescent="0.2">
      <c r="A2" s="8">
        <f>'Monthly Data'!A2</f>
        <v>42736</v>
      </c>
      <c r="B2">
        <f t="shared" ref="B2:B65" si="1">YEAR(A2)</f>
        <v>2017</v>
      </c>
      <c r="C2">
        <f t="shared" ref="C2:C65" si="2">MONTH(A2)</f>
        <v>1</v>
      </c>
      <c r="D2" s="19">
        <f>'Monthly Data'!N2</f>
        <v>115950733.09478092</v>
      </c>
      <c r="E2" s="21">
        <f>'Monthly Data'!BJ2</f>
        <v>507.0916666666667</v>
      </c>
      <c r="F2" s="21">
        <f>'Monthly Data'!BK2</f>
        <v>0</v>
      </c>
      <c r="G2" s="7">
        <f>'Monthly Data'!CV2</f>
        <v>0</v>
      </c>
      <c r="H2" s="7">
        <f>'Monthly Data'!CS2</f>
        <v>31</v>
      </c>
      <c r="I2" s="7">
        <f>'Monthly Data'!AO2</f>
        <v>756670</v>
      </c>
      <c r="J2" s="7">
        <f>'Monthly Data'!CF2</f>
        <v>0</v>
      </c>
      <c r="K2" s="7">
        <f>'Monthly Data'!BY2</f>
        <v>0</v>
      </c>
      <c r="M2" s="11">
        <f>'GS &gt; 50 Predicted Monthly'!$Z$10</f>
        <v>-1907163.1226077401</v>
      </c>
      <c r="N2" s="11">
        <f>E2*'GS &gt; 50 Predicted Monthly'!$Z$11</f>
        <v>10817887.927135253</v>
      </c>
      <c r="O2" s="11">
        <f>F2*'GS &gt; 50 Predicted Monthly'!$Z$12</f>
        <v>0</v>
      </c>
      <c r="P2" s="11">
        <f>G2*'GS &gt; 50 Predicted Monthly'!$Z$13</f>
        <v>0</v>
      </c>
      <c r="Q2" s="11">
        <f>H2*'GS &gt; 50 Predicted Monthly'!$Z$14</f>
        <v>79525500.842962876</v>
      </c>
      <c r="R2" s="11">
        <f>I2*'GS &gt; 50 Predicted Monthly'!$Z$15</f>
        <v>33389013.200482801</v>
      </c>
      <c r="S2" s="11">
        <f>J2*'GS &gt; 50 Predicted Monthly'!$Z$16</f>
        <v>0</v>
      </c>
      <c r="T2" s="11">
        <f>K2*'GS &gt; 50 Predicted Monthly'!$Z$17</f>
        <v>0</v>
      </c>
      <c r="U2" s="11">
        <f>SUM(M2:T2)</f>
        <v>121825238.84797318</v>
      </c>
      <c r="V2" s="11">
        <f t="shared" ref="V2:V33" si="3">U2-D2</f>
        <v>5874505.7531922609</v>
      </c>
      <c r="W2" s="23">
        <f t="shared" ref="W2:W33" si="4">ABS(V2/D2)</f>
        <v>5.0663808640091117E-2</v>
      </c>
    </row>
    <row r="3" spans="1:31" x14ac:dyDescent="0.2">
      <c r="A3" s="8">
        <f>'Monthly Data'!A3</f>
        <v>42767</v>
      </c>
      <c r="B3">
        <f t="shared" si="1"/>
        <v>2017</v>
      </c>
      <c r="C3">
        <f t="shared" si="2"/>
        <v>2</v>
      </c>
      <c r="D3" s="19">
        <f>'Monthly Data'!N3</f>
        <v>123340878.84075171</v>
      </c>
      <c r="E3" s="21">
        <f>'Monthly Data'!BJ3</f>
        <v>393.97916666666669</v>
      </c>
      <c r="F3" s="21">
        <f>'Monthly Data'!BK3</f>
        <v>0</v>
      </c>
      <c r="G3" s="7">
        <f>'Monthly Data'!CV3</f>
        <v>0</v>
      </c>
      <c r="H3" s="7">
        <f>'Monthly Data'!CS3</f>
        <v>28</v>
      </c>
      <c r="I3" s="7">
        <f>'Monthly Data'!AO3</f>
        <v>756670</v>
      </c>
      <c r="J3" s="7">
        <f>'Monthly Data'!CF3</f>
        <v>0</v>
      </c>
      <c r="K3" s="7">
        <f>'Monthly Data'!BY3</f>
        <v>0</v>
      </c>
      <c r="M3" s="11">
        <f>'GS &gt; 50 Predicted Monthly'!$Z$10</f>
        <v>-1907163.1226077401</v>
      </c>
      <c r="N3" s="11">
        <f>E3*'GS &gt; 50 Predicted Monthly'!$Z$11</f>
        <v>8404836.3457484171</v>
      </c>
      <c r="O3" s="11">
        <f>F3*'GS &gt; 50 Predicted Monthly'!$Z$12</f>
        <v>0</v>
      </c>
      <c r="P3" s="11">
        <f>G3*'GS &gt; 50 Predicted Monthly'!$Z$13</f>
        <v>0</v>
      </c>
      <c r="Q3" s="11">
        <f>H3*'GS &gt; 50 Predicted Monthly'!$Z$14</f>
        <v>71829484.632353559</v>
      </c>
      <c r="R3" s="11">
        <f>I3*'GS &gt; 50 Predicted Monthly'!$Z$15</f>
        <v>33389013.200482801</v>
      </c>
      <c r="S3" s="11">
        <f>J3*'GS &gt; 50 Predicted Monthly'!$Z$16</f>
        <v>0</v>
      </c>
      <c r="T3" s="11">
        <f>K3*'GS &gt; 50 Predicted Monthly'!$Z$17</f>
        <v>0</v>
      </c>
      <c r="U3" s="11">
        <f t="shared" ref="U3:U66" si="5">SUM(M3:T3)</f>
        <v>111716171.05597703</v>
      </c>
      <c r="V3" s="11">
        <f t="shared" si="3"/>
        <v>-11624707.784774676</v>
      </c>
      <c r="W3" s="23">
        <f t="shared" si="4"/>
        <v>9.4248621333269472E-2</v>
      </c>
    </row>
    <row r="4" spans="1:31" x14ac:dyDescent="0.2">
      <c r="A4" s="8">
        <f>'Monthly Data'!A4</f>
        <v>42795</v>
      </c>
      <c r="B4">
        <f t="shared" si="1"/>
        <v>2017</v>
      </c>
      <c r="C4">
        <f t="shared" si="2"/>
        <v>3</v>
      </c>
      <c r="D4" s="19">
        <f>'Monthly Data'!N4</f>
        <v>126128064.58672249</v>
      </c>
      <c r="E4" s="21">
        <f>'Monthly Data'!BJ4</f>
        <v>439.39166666666665</v>
      </c>
      <c r="F4" s="21">
        <f>'Monthly Data'!BK4</f>
        <v>0</v>
      </c>
      <c r="G4" s="7">
        <f>'Monthly Data'!CV4</f>
        <v>0</v>
      </c>
      <c r="H4" s="7">
        <f>'Monthly Data'!CS4</f>
        <v>31</v>
      </c>
      <c r="I4" s="7">
        <f>'Monthly Data'!AO4</f>
        <v>756670</v>
      </c>
      <c r="J4" s="7">
        <f>'Monthly Data'!CF4</f>
        <v>0</v>
      </c>
      <c r="K4" s="7">
        <f>'Monthly Data'!BY4</f>
        <v>0</v>
      </c>
      <c r="M4" s="11">
        <f>'GS &gt; 50 Predicted Monthly'!$Z$10</f>
        <v>-1907163.1226077401</v>
      </c>
      <c r="N4" s="11">
        <f>E4*'GS &gt; 50 Predicted Monthly'!$Z$11</f>
        <v>9373630.2892978005</v>
      </c>
      <c r="O4" s="11">
        <f>F4*'GS &gt; 50 Predicted Monthly'!$Z$12</f>
        <v>0</v>
      </c>
      <c r="P4" s="11">
        <f>G4*'GS &gt; 50 Predicted Monthly'!$Z$13</f>
        <v>0</v>
      </c>
      <c r="Q4" s="11">
        <f>H4*'GS &gt; 50 Predicted Monthly'!$Z$14</f>
        <v>79525500.842962876</v>
      </c>
      <c r="R4" s="11">
        <f>I4*'GS &gt; 50 Predicted Monthly'!$Z$15</f>
        <v>33389013.200482801</v>
      </c>
      <c r="S4" s="11">
        <f>J4*'GS &gt; 50 Predicted Monthly'!$Z$16</f>
        <v>0</v>
      </c>
      <c r="T4" s="11">
        <f>K4*'GS &gt; 50 Predicted Monthly'!$Z$17</f>
        <v>0</v>
      </c>
      <c r="U4" s="11">
        <f t="shared" si="5"/>
        <v>120380981.21013574</v>
      </c>
      <c r="V4" s="11">
        <f t="shared" si="3"/>
        <v>-5747083.3765867501</v>
      </c>
      <c r="W4" s="23">
        <f t="shared" si="4"/>
        <v>4.5565460751482476E-2</v>
      </c>
    </row>
    <row r="5" spans="1:31" x14ac:dyDescent="0.2">
      <c r="A5" s="8">
        <f>'Monthly Data'!A5</f>
        <v>42826</v>
      </c>
      <c r="B5">
        <f t="shared" si="1"/>
        <v>2017</v>
      </c>
      <c r="C5">
        <f t="shared" si="2"/>
        <v>4</v>
      </c>
      <c r="D5" s="19">
        <f>'Monthly Data'!N5</f>
        <v>112971341.33269329</v>
      </c>
      <c r="E5" s="21">
        <f>'Monthly Data'!BJ5</f>
        <v>150.22500000000002</v>
      </c>
      <c r="F5" s="21">
        <f>'Monthly Data'!BK5</f>
        <v>11.354166666666671</v>
      </c>
      <c r="G5" s="7">
        <f>'Monthly Data'!CV5</f>
        <v>0</v>
      </c>
      <c r="H5" s="7">
        <f>'Monthly Data'!CS5</f>
        <v>30</v>
      </c>
      <c r="I5" s="7">
        <f>'Monthly Data'!AO5</f>
        <v>764676</v>
      </c>
      <c r="J5" s="7">
        <f>'Monthly Data'!CF5</f>
        <v>0</v>
      </c>
      <c r="K5" s="7">
        <f>'Monthly Data'!BY5</f>
        <v>0</v>
      </c>
      <c r="M5" s="11">
        <f>'GS &gt; 50 Predicted Monthly'!$Z$10</f>
        <v>-1907163.1226077401</v>
      </c>
      <c r="N5" s="11">
        <f>E5*'GS &gt; 50 Predicted Monthly'!$Z$11</f>
        <v>3204779.9652013481</v>
      </c>
      <c r="O5" s="11">
        <f>F5*'GS &gt; 50 Predicted Monthly'!$Z$12</f>
        <v>1345028.8477494519</v>
      </c>
      <c r="P5" s="11">
        <f>G5*'GS &gt; 50 Predicted Monthly'!$Z$13</f>
        <v>0</v>
      </c>
      <c r="Q5" s="11">
        <f>H5*'GS &gt; 50 Predicted Monthly'!$Z$14</f>
        <v>76960162.106093109</v>
      </c>
      <c r="R5" s="11">
        <f>I5*'GS &gt; 50 Predicted Monthly'!$Z$15</f>
        <v>33742287.996210217</v>
      </c>
      <c r="S5" s="11">
        <f>J5*'GS &gt; 50 Predicted Monthly'!$Z$16</f>
        <v>0</v>
      </c>
      <c r="T5" s="11">
        <f>K5*'GS &gt; 50 Predicted Monthly'!$Z$17</f>
        <v>0</v>
      </c>
      <c r="U5" s="11">
        <f t="shared" si="5"/>
        <v>113345095.79264638</v>
      </c>
      <c r="V5" s="11">
        <f t="shared" si="3"/>
        <v>373754.45995308459</v>
      </c>
      <c r="W5" s="23">
        <f t="shared" si="4"/>
        <v>3.3084006575827218E-3</v>
      </c>
      <c r="Y5" t="s">
        <v>547</v>
      </c>
    </row>
    <row r="6" spans="1:31" x14ac:dyDescent="0.2">
      <c r="A6" s="8">
        <f>'Monthly Data'!A6</f>
        <v>42856</v>
      </c>
      <c r="B6">
        <f t="shared" si="1"/>
        <v>2017</v>
      </c>
      <c r="C6">
        <f t="shared" si="2"/>
        <v>5</v>
      </c>
      <c r="D6" s="19">
        <f>'Monthly Data'!N6</f>
        <v>120807160.07866408</v>
      </c>
      <c r="E6" s="21">
        <f>'Monthly Data'!BJ6</f>
        <v>92.170833333333348</v>
      </c>
      <c r="F6" s="21">
        <f>'Monthly Data'!BK6</f>
        <v>37.183333333333337</v>
      </c>
      <c r="G6" s="7">
        <f>'Monthly Data'!CV6</f>
        <v>0</v>
      </c>
      <c r="H6" s="7">
        <f>'Monthly Data'!CS6</f>
        <v>31</v>
      </c>
      <c r="I6" s="7">
        <f>'Monthly Data'!AO6</f>
        <v>764676</v>
      </c>
      <c r="J6" s="7">
        <f>'Monthly Data'!CF6</f>
        <v>0</v>
      </c>
      <c r="K6" s="7">
        <f>'Monthly Data'!BY6</f>
        <v>0</v>
      </c>
      <c r="M6" s="11">
        <f>'GS &gt; 50 Predicted Monthly'!$Z$10</f>
        <v>-1907163.1226077401</v>
      </c>
      <c r="N6" s="11">
        <f>E6*'GS &gt; 50 Predicted Monthly'!$Z$11</f>
        <v>1966298.8187224448</v>
      </c>
      <c r="O6" s="11">
        <f>F6*'GS &gt; 50 Predicted Monthly'!$Z$12</f>
        <v>4404784.3806664599</v>
      </c>
      <c r="P6" s="11">
        <f>G6*'GS &gt; 50 Predicted Monthly'!$Z$13</f>
        <v>0</v>
      </c>
      <c r="Q6" s="11">
        <f>H6*'GS &gt; 50 Predicted Monthly'!$Z$14</f>
        <v>79525500.842962876</v>
      </c>
      <c r="R6" s="11">
        <f>I6*'GS &gt; 50 Predicted Monthly'!$Z$15</f>
        <v>33742287.996210217</v>
      </c>
      <c r="S6" s="11">
        <f>J6*'GS &gt; 50 Predicted Monthly'!$Z$16</f>
        <v>0</v>
      </c>
      <c r="T6" s="11">
        <f>K6*'GS &gt; 50 Predicted Monthly'!$Z$17</f>
        <v>0</v>
      </c>
      <c r="U6" s="11">
        <f t="shared" si="5"/>
        <v>117731708.91595426</v>
      </c>
      <c r="V6" s="11">
        <f t="shared" si="3"/>
        <v>-3075451.1627098173</v>
      </c>
      <c r="W6" s="23">
        <f t="shared" si="4"/>
        <v>2.5457523881094669E-2</v>
      </c>
      <c r="Y6" t="s">
        <v>180</v>
      </c>
    </row>
    <row r="7" spans="1:31" x14ac:dyDescent="0.2">
      <c r="A7" s="8">
        <f>'Monthly Data'!A7</f>
        <v>42887</v>
      </c>
      <c r="B7">
        <f t="shared" si="1"/>
        <v>2017</v>
      </c>
      <c r="C7">
        <f t="shared" si="2"/>
        <v>6</v>
      </c>
      <c r="D7" s="19">
        <f>'Monthly Data'!N7</f>
        <v>128030519.82463486</v>
      </c>
      <c r="E7" s="21">
        <f>'Monthly Data'!BJ7</f>
        <v>0.98333333333333428</v>
      </c>
      <c r="F7" s="21">
        <f>'Monthly Data'!BK7</f>
        <v>147.1333333333333</v>
      </c>
      <c r="G7" s="7">
        <f>'Monthly Data'!CV7</f>
        <v>0</v>
      </c>
      <c r="H7" s="7">
        <f>'Monthly Data'!CS7</f>
        <v>30</v>
      </c>
      <c r="I7" s="7">
        <f>'Monthly Data'!AO7</f>
        <v>764676</v>
      </c>
      <c r="J7" s="7">
        <f>'Monthly Data'!CF7</f>
        <v>0</v>
      </c>
      <c r="K7" s="7">
        <f>'Monthly Data'!BY7</f>
        <v>0</v>
      </c>
      <c r="M7" s="11">
        <f>'GS &gt; 50 Predicted Monthly'!$Z$10</f>
        <v>-1907163.1226077401</v>
      </c>
      <c r="N7" s="11">
        <f>E7*'GS &gt; 50 Predicted Monthly'!$Z$11</f>
        <v>20977.646635255969</v>
      </c>
      <c r="O7" s="11">
        <f>F7*'GS &gt; 50 Predicted Monthly'!$Z$12</f>
        <v>17429599.51256096</v>
      </c>
      <c r="P7" s="11">
        <f>G7*'GS &gt; 50 Predicted Monthly'!$Z$13</f>
        <v>0</v>
      </c>
      <c r="Q7" s="11">
        <f>H7*'GS &gt; 50 Predicted Monthly'!$Z$14</f>
        <v>76960162.106093109</v>
      </c>
      <c r="R7" s="11">
        <f>I7*'GS &gt; 50 Predicted Monthly'!$Z$15</f>
        <v>33742287.996210217</v>
      </c>
      <c r="S7" s="11">
        <f>J7*'GS &gt; 50 Predicted Monthly'!$Z$16</f>
        <v>0</v>
      </c>
      <c r="T7" s="11">
        <f>K7*'GS &gt; 50 Predicted Monthly'!$Z$17</f>
        <v>0</v>
      </c>
      <c r="U7" s="11">
        <f t="shared" si="5"/>
        <v>126245864.1388918</v>
      </c>
      <c r="V7" s="11">
        <f t="shared" si="3"/>
        <v>-1784655.6857430637</v>
      </c>
      <c r="W7" s="23">
        <f t="shared" si="4"/>
        <v>1.3939298912380663E-2</v>
      </c>
      <c r="Y7" t="s">
        <v>553</v>
      </c>
    </row>
    <row r="8" spans="1:31" x14ac:dyDescent="0.2">
      <c r="A8" s="8">
        <f>'Monthly Data'!A8</f>
        <v>42917</v>
      </c>
      <c r="B8">
        <f t="shared" si="1"/>
        <v>2017</v>
      </c>
      <c r="C8">
        <f t="shared" si="2"/>
        <v>7</v>
      </c>
      <c r="D8" s="19">
        <f>'Monthly Data'!N8</f>
        <v>133204977.57060567</v>
      </c>
      <c r="E8" s="21">
        <f>'Monthly Data'!BJ8</f>
        <v>0</v>
      </c>
      <c r="F8" s="21">
        <f>'Monthly Data'!BK8</f>
        <v>206.83541666666665</v>
      </c>
      <c r="G8" s="7">
        <f>'Monthly Data'!CV8</f>
        <v>0</v>
      </c>
      <c r="H8" s="7">
        <f>'Monthly Data'!CS8</f>
        <v>31</v>
      </c>
      <c r="I8" s="7">
        <f>'Monthly Data'!AO8</f>
        <v>765009</v>
      </c>
      <c r="J8" s="7">
        <f>'Monthly Data'!CF8</f>
        <v>0</v>
      </c>
      <c r="K8" s="7">
        <f>'Monthly Data'!BY8</f>
        <v>0</v>
      </c>
      <c r="M8" s="11">
        <f>'GS &gt; 50 Predicted Monthly'!$Z$10</f>
        <v>-1907163.1226077401</v>
      </c>
      <c r="N8" s="11">
        <f>E8*'GS &gt; 50 Predicted Monthly'!$Z$11</f>
        <v>0</v>
      </c>
      <c r="O8" s="11">
        <f>F8*'GS &gt; 50 Predicted Monthly'!$Z$12</f>
        <v>24501983.308883168</v>
      </c>
      <c r="P8" s="11">
        <f>G8*'GS &gt; 50 Predicted Monthly'!$Z$13</f>
        <v>0</v>
      </c>
      <c r="Q8" s="11">
        <f>H8*'GS &gt; 50 Predicted Monthly'!$Z$14</f>
        <v>79525500.842962876</v>
      </c>
      <c r="R8" s="11">
        <f>I8*'GS &gt; 50 Predicted Monthly'!$Z$15</f>
        <v>33756982.039050244</v>
      </c>
      <c r="S8" s="11">
        <f>J8*'GS &gt; 50 Predicted Monthly'!$Z$16</f>
        <v>0</v>
      </c>
      <c r="T8" s="11">
        <f>K8*'GS &gt; 50 Predicted Monthly'!$Z$17</f>
        <v>0</v>
      </c>
      <c r="U8" s="11">
        <f t="shared" si="5"/>
        <v>135877303.06828853</v>
      </c>
      <c r="V8" s="11">
        <f t="shared" si="3"/>
        <v>2672325.4976828694</v>
      </c>
      <c r="W8" s="23">
        <f t="shared" si="4"/>
        <v>2.0061754045687941E-2</v>
      </c>
    </row>
    <row r="9" spans="1:31" x14ac:dyDescent="0.2">
      <c r="A9" s="8">
        <f>'Monthly Data'!A9</f>
        <v>42948</v>
      </c>
      <c r="B9">
        <f t="shared" si="1"/>
        <v>2017</v>
      </c>
      <c r="C9">
        <f t="shared" si="2"/>
        <v>8</v>
      </c>
      <c r="D9" s="19">
        <f>'Monthly Data'!N9</f>
        <v>131492737.31657645</v>
      </c>
      <c r="E9" s="21">
        <f>'Monthly Data'!BJ9</f>
        <v>0</v>
      </c>
      <c r="F9" s="21">
        <f>'Monthly Data'!BK9</f>
        <v>149.20833333333331</v>
      </c>
      <c r="G9" s="7">
        <f>'Monthly Data'!CV9</f>
        <v>0</v>
      </c>
      <c r="H9" s="7">
        <f>'Monthly Data'!CS9</f>
        <v>31</v>
      </c>
      <c r="I9" s="7">
        <f>'Monthly Data'!AO9</f>
        <v>765009</v>
      </c>
      <c r="J9" s="7">
        <f>'Monthly Data'!CF9</f>
        <v>0</v>
      </c>
      <c r="K9" s="7">
        <f>'Monthly Data'!BY9</f>
        <v>1</v>
      </c>
      <c r="M9" s="11">
        <f>'GS &gt; 50 Predicted Monthly'!$Z$10</f>
        <v>-1907163.1226077401</v>
      </c>
      <c r="N9" s="11">
        <f>E9*'GS &gt; 50 Predicted Monthly'!$Z$11</f>
        <v>0</v>
      </c>
      <c r="O9" s="11">
        <f>F9*'GS &gt; 50 Predicted Monthly'!$Z$12</f>
        <v>17675406.619415723</v>
      </c>
      <c r="P9" s="11">
        <f>G9*'GS &gt; 50 Predicted Monthly'!$Z$13</f>
        <v>0</v>
      </c>
      <c r="Q9" s="11">
        <f>H9*'GS &gt; 50 Predicted Monthly'!$Z$14</f>
        <v>79525500.842962876</v>
      </c>
      <c r="R9" s="11">
        <f>I9*'GS &gt; 50 Predicted Monthly'!$Z$15</f>
        <v>33756982.039050244</v>
      </c>
      <c r="S9" s="11">
        <f>J9*'GS &gt; 50 Predicted Monthly'!$Z$16</f>
        <v>0</v>
      </c>
      <c r="T9" s="11">
        <f>K9*'GS &gt; 50 Predicted Monthly'!$Z$17</f>
        <v>2800660.9376037801</v>
      </c>
      <c r="U9" s="11">
        <f t="shared" si="5"/>
        <v>131851387.31642489</v>
      </c>
      <c r="V9" s="11">
        <f t="shared" si="3"/>
        <v>358649.99984844029</v>
      </c>
      <c r="W9" s="23">
        <f t="shared" si="4"/>
        <v>2.7275270647455566E-3</v>
      </c>
      <c r="Z9" t="s">
        <v>61</v>
      </c>
      <c r="AA9" t="s">
        <v>62</v>
      </c>
      <c r="AB9" t="s">
        <v>63</v>
      </c>
      <c r="AC9" t="s">
        <v>64</v>
      </c>
    </row>
    <row r="10" spans="1:31" x14ac:dyDescent="0.2">
      <c r="A10" s="8">
        <f>'Monthly Data'!A10</f>
        <v>42979</v>
      </c>
      <c r="B10">
        <f t="shared" si="1"/>
        <v>2017</v>
      </c>
      <c r="C10">
        <f t="shared" si="2"/>
        <v>9</v>
      </c>
      <c r="D10" s="19">
        <f>'Monthly Data'!N10</f>
        <v>125862189.06254724</v>
      </c>
      <c r="E10" s="21">
        <f>'Monthly Data'!BJ10</f>
        <v>20.80416666666666</v>
      </c>
      <c r="F10" s="21">
        <f>'Monthly Data'!BK10</f>
        <v>112.60833333333332</v>
      </c>
      <c r="G10" s="7">
        <f>'Monthly Data'!CV10</f>
        <v>0</v>
      </c>
      <c r="H10" s="7">
        <f>'Monthly Data'!CS10</f>
        <v>30</v>
      </c>
      <c r="I10" s="7">
        <f>'Monthly Data'!AO10</f>
        <v>765009</v>
      </c>
      <c r="J10" s="7">
        <f>'Monthly Data'!CF10</f>
        <v>1</v>
      </c>
      <c r="K10" s="7">
        <f>'Monthly Data'!BY10</f>
        <v>0</v>
      </c>
      <c r="M10" s="11">
        <f>'GS &gt; 50 Predicted Monthly'!$Z$10</f>
        <v>-1907163.1226077401</v>
      </c>
      <c r="N10" s="11">
        <f>E10*'GS &gt; 50 Predicted Monthly'!$Z$11</f>
        <v>443819.4476687836</v>
      </c>
      <c r="O10" s="11">
        <f>F10*'GS &gt; 50 Predicted Monthly'!$Z$12</f>
        <v>13339724.638266666</v>
      </c>
      <c r="P10" s="11">
        <f>G10*'GS &gt; 50 Predicted Monthly'!$Z$13</f>
        <v>0</v>
      </c>
      <c r="Q10" s="11">
        <f>H10*'GS &gt; 50 Predicted Monthly'!$Z$14</f>
        <v>76960162.106093109</v>
      </c>
      <c r="R10" s="11">
        <f>I10*'GS &gt; 50 Predicted Monthly'!$Z$15</f>
        <v>33756982.039050244</v>
      </c>
      <c r="S10" s="11">
        <f>J10*'GS &gt; 50 Predicted Monthly'!$Z$16</f>
        <v>3497669.1063549998</v>
      </c>
      <c r="T10" s="11">
        <f>K10*'GS &gt; 50 Predicted Monthly'!$Z$17</f>
        <v>0</v>
      </c>
      <c r="U10" s="11">
        <f t="shared" si="5"/>
        <v>126091194.21482606</v>
      </c>
      <c r="V10" s="11">
        <f t="shared" si="3"/>
        <v>229005.15227882564</v>
      </c>
      <c r="W10" s="23">
        <f t="shared" si="4"/>
        <v>1.8194912545579634E-3</v>
      </c>
      <c r="Y10" t="s">
        <v>65</v>
      </c>
      <c r="Z10" s="13">
        <v>-1907163.1226077401</v>
      </c>
      <c r="AA10" s="13">
        <v>10520846.792475199</v>
      </c>
      <c r="AB10" s="211">
        <v>-0.18127467876177</v>
      </c>
      <c r="AC10" s="212">
        <v>0.85651889112365398</v>
      </c>
    </row>
    <row r="11" spans="1:31" x14ac:dyDescent="0.2">
      <c r="A11" s="8">
        <f>'Monthly Data'!A11</f>
        <v>43009</v>
      </c>
      <c r="B11">
        <f t="shared" si="1"/>
        <v>2017</v>
      </c>
      <c r="C11">
        <f t="shared" si="2"/>
        <v>10</v>
      </c>
      <c r="D11" s="19">
        <f>'Monthly Data'!N11</f>
        <v>120542924.80851802</v>
      </c>
      <c r="E11" s="21">
        <f>'Monthly Data'!BJ11</f>
        <v>90.324999999999989</v>
      </c>
      <c r="F11" s="21">
        <f>'Monthly Data'!BK11</f>
        <v>36.987500000000026</v>
      </c>
      <c r="G11" s="7">
        <f>'Monthly Data'!CV11</f>
        <v>0</v>
      </c>
      <c r="H11" s="7">
        <f>'Monthly Data'!CS11</f>
        <v>31</v>
      </c>
      <c r="I11" s="7">
        <f>'Monthly Data'!AO11</f>
        <v>771506</v>
      </c>
      <c r="J11" s="7">
        <f>'Monthly Data'!CF11</f>
        <v>1</v>
      </c>
      <c r="K11" s="7">
        <f>'Monthly Data'!BY11</f>
        <v>0</v>
      </c>
      <c r="M11" s="11">
        <f>'GS &gt; 50 Predicted Monthly'!$Z$10</f>
        <v>-1907163.1226077401</v>
      </c>
      <c r="N11" s="11">
        <f>E11*'GS &gt; 50 Predicted Monthly'!$Z$11</f>
        <v>1926921.2871147392</v>
      </c>
      <c r="O11" s="11">
        <f>F11*'GS &gt; 50 Predicted Monthly'!$Z$12</f>
        <v>4381585.7179713352</v>
      </c>
      <c r="P11" s="11">
        <f>G11*'GS &gt; 50 Predicted Monthly'!$Z$13</f>
        <v>0</v>
      </c>
      <c r="Q11" s="11">
        <f>H11*'GS &gt; 50 Predicted Monthly'!$Z$14</f>
        <v>79525500.842962876</v>
      </c>
      <c r="R11" s="11">
        <f>I11*'GS &gt; 50 Predicted Monthly'!$Z$15</f>
        <v>34043670.316322416</v>
      </c>
      <c r="S11" s="11">
        <f>J11*'GS &gt; 50 Predicted Monthly'!$Z$16</f>
        <v>3497669.1063549998</v>
      </c>
      <c r="T11" s="11">
        <f>K11*'GS &gt; 50 Predicted Monthly'!$Z$17</f>
        <v>0</v>
      </c>
      <c r="U11" s="11">
        <f t="shared" si="5"/>
        <v>121468184.14811863</v>
      </c>
      <c r="V11" s="11">
        <f t="shared" si="3"/>
        <v>925259.33960060775</v>
      </c>
      <c r="W11" s="23">
        <f t="shared" si="4"/>
        <v>7.6757664630286567E-3</v>
      </c>
      <c r="Y11" t="s">
        <v>30</v>
      </c>
      <c r="Z11" s="13">
        <v>21333.199968056899</v>
      </c>
      <c r="AA11" s="13">
        <v>2422.0956559925999</v>
      </c>
      <c r="AB11" s="211">
        <v>8.8077446137503195</v>
      </c>
      <c r="AC11" s="212">
        <v>4.0373430424034298E-14</v>
      </c>
    </row>
    <row r="12" spans="1:31" x14ac:dyDescent="0.2">
      <c r="A12" s="8">
        <f>'Monthly Data'!A12</f>
        <v>43040</v>
      </c>
      <c r="B12">
        <f t="shared" si="1"/>
        <v>2017</v>
      </c>
      <c r="C12">
        <f t="shared" si="2"/>
        <v>11</v>
      </c>
      <c r="D12" s="19">
        <f>'Monthly Data'!N12</f>
        <v>118519529.55448882</v>
      </c>
      <c r="E12" s="21">
        <f>'Monthly Data'!BJ12</f>
        <v>331.08124999999995</v>
      </c>
      <c r="F12" s="21">
        <f>'Monthly Data'!BK12</f>
        <v>0</v>
      </c>
      <c r="G12" s="7">
        <f>'Monthly Data'!CV12</f>
        <v>0</v>
      </c>
      <c r="H12" s="7">
        <f>'Monthly Data'!CS12</f>
        <v>30</v>
      </c>
      <c r="I12" s="7">
        <f>'Monthly Data'!AO12</f>
        <v>771506</v>
      </c>
      <c r="J12" s="7">
        <f>'Monthly Data'!CF12</f>
        <v>1</v>
      </c>
      <c r="K12" s="7">
        <f>'Monthly Data'!BY12</f>
        <v>0</v>
      </c>
      <c r="M12" s="11">
        <f>'GS &gt; 50 Predicted Monthly'!$Z$10</f>
        <v>-1907163.1226077401</v>
      </c>
      <c r="N12" s="11">
        <f>E12*'GS &gt; 50 Predicted Monthly'!$Z$11</f>
        <v>7063022.511924237</v>
      </c>
      <c r="O12" s="11">
        <f>F12*'GS &gt; 50 Predicted Monthly'!$Z$12</f>
        <v>0</v>
      </c>
      <c r="P12" s="11">
        <f>G12*'GS &gt; 50 Predicted Monthly'!$Z$13</f>
        <v>0</v>
      </c>
      <c r="Q12" s="11">
        <f>H12*'GS &gt; 50 Predicted Monthly'!$Z$14</f>
        <v>76960162.106093109</v>
      </c>
      <c r="R12" s="11">
        <f>I12*'GS &gt; 50 Predicted Monthly'!$Z$15</f>
        <v>34043670.316322416</v>
      </c>
      <c r="S12" s="11">
        <f>J12*'GS &gt; 50 Predicted Monthly'!$Z$16</f>
        <v>3497669.1063549998</v>
      </c>
      <c r="T12" s="11">
        <f>K12*'GS &gt; 50 Predicted Monthly'!$Z$17</f>
        <v>0</v>
      </c>
      <c r="U12" s="11">
        <f t="shared" si="5"/>
        <v>119657360.91808702</v>
      </c>
      <c r="V12" s="11">
        <f t="shared" si="3"/>
        <v>1137831.3635981977</v>
      </c>
      <c r="W12" s="23">
        <f t="shared" si="4"/>
        <v>9.6003702332878808E-3</v>
      </c>
      <c r="Y12" t="s">
        <v>31</v>
      </c>
      <c r="Z12" s="13">
        <v>118461.256315548</v>
      </c>
      <c r="AA12" s="13">
        <v>6119.71524854566</v>
      </c>
      <c r="AB12" s="211">
        <v>19.357315088099998</v>
      </c>
      <c r="AC12" s="212">
        <v>1.3485665190971701E-35</v>
      </c>
    </row>
    <row r="13" spans="1:31" x14ac:dyDescent="0.2">
      <c r="A13" s="8">
        <f>'Monthly Data'!A13</f>
        <v>43070</v>
      </c>
      <c r="B13">
        <f t="shared" si="1"/>
        <v>2017</v>
      </c>
      <c r="C13">
        <f t="shared" si="2"/>
        <v>12</v>
      </c>
      <c r="D13" s="19">
        <f>'Monthly Data'!N13</f>
        <v>121951004.30045961</v>
      </c>
      <c r="E13" s="21">
        <f>'Monthly Data'!BJ13</f>
        <v>592.54583333333346</v>
      </c>
      <c r="F13" s="21">
        <f>'Monthly Data'!BK13</f>
        <v>0</v>
      </c>
      <c r="G13" s="7">
        <f>'Monthly Data'!CV13</f>
        <v>0</v>
      </c>
      <c r="H13" s="7">
        <f>'Monthly Data'!CS13</f>
        <v>31</v>
      </c>
      <c r="I13" s="7">
        <f>'Monthly Data'!AO13</f>
        <v>771506</v>
      </c>
      <c r="J13" s="7">
        <f>'Monthly Data'!CF13</f>
        <v>0</v>
      </c>
      <c r="K13" s="7">
        <f>'Monthly Data'!BY13</f>
        <v>0</v>
      </c>
      <c r="M13" s="11">
        <f>'GS &gt; 50 Predicted Monthly'!$Z$10</f>
        <v>-1907163.1226077401</v>
      </c>
      <c r="N13" s="11">
        <f>E13*'GS &gt; 50 Predicted Monthly'!$Z$11</f>
        <v>12640898.752738917</v>
      </c>
      <c r="O13" s="11">
        <f>F13*'GS &gt; 50 Predicted Monthly'!$Z$12</f>
        <v>0</v>
      </c>
      <c r="P13" s="11">
        <f>G13*'GS &gt; 50 Predicted Monthly'!$Z$13</f>
        <v>0</v>
      </c>
      <c r="Q13" s="11">
        <f>H13*'GS &gt; 50 Predicted Monthly'!$Z$14</f>
        <v>79525500.842962876</v>
      </c>
      <c r="R13" s="11">
        <f>I13*'GS &gt; 50 Predicted Monthly'!$Z$15</f>
        <v>34043670.316322416</v>
      </c>
      <c r="S13" s="11">
        <f>J13*'GS &gt; 50 Predicted Monthly'!$Z$16</f>
        <v>0</v>
      </c>
      <c r="T13" s="11">
        <f>K13*'GS &gt; 50 Predicted Monthly'!$Z$17</f>
        <v>0</v>
      </c>
      <c r="U13" s="11">
        <f t="shared" si="5"/>
        <v>124302906.78941646</v>
      </c>
      <c r="V13" s="11">
        <f t="shared" si="3"/>
        <v>2351902.4889568537</v>
      </c>
      <c r="W13" s="23">
        <f t="shared" si="4"/>
        <v>1.9285634443504045E-2</v>
      </c>
      <c r="Y13" t="s">
        <v>187</v>
      </c>
      <c r="Z13" s="13">
        <v>-9863415.4401770309</v>
      </c>
      <c r="AA13" s="13">
        <v>1555112.66443628</v>
      </c>
      <c r="AB13" s="211">
        <v>-6.34257289889183</v>
      </c>
      <c r="AC13" s="212">
        <v>6.6102374021719096E-9</v>
      </c>
      <c r="AE13" s="187"/>
    </row>
    <row r="14" spans="1:31" x14ac:dyDescent="0.2">
      <c r="A14" s="8">
        <f>'Monthly Data'!A14</f>
        <v>43101</v>
      </c>
      <c r="B14">
        <f t="shared" si="1"/>
        <v>2018</v>
      </c>
      <c r="C14">
        <f t="shared" si="2"/>
        <v>1</v>
      </c>
      <c r="D14" s="19">
        <f>'Monthly Data'!N14</f>
        <v>130123366.21189049</v>
      </c>
      <c r="E14" s="21">
        <f>'Monthly Data'!BJ14</f>
        <v>626.29583333333323</v>
      </c>
      <c r="F14" s="21">
        <f>'Monthly Data'!BK14</f>
        <v>0</v>
      </c>
      <c r="G14" s="7">
        <f>'Monthly Data'!CV14</f>
        <v>0</v>
      </c>
      <c r="H14" s="7">
        <f>'Monthly Data'!CS14</f>
        <v>31</v>
      </c>
      <c r="I14" s="7">
        <f>'Monthly Data'!AO14</f>
        <v>779694</v>
      </c>
      <c r="J14" s="7">
        <f>'Monthly Data'!CF14</f>
        <v>0</v>
      </c>
      <c r="K14" s="7">
        <f>'Monthly Data'!BY14</f>
        <v>0</v>
      </c>
      <c r="M14" s="11">
        <f>'GS &gt; 50 Predicted Monthly'!$Z$10</f>
        <v>-1907163.1226077401</v>
      </c>
      <c r="N14" s="11">
        <f>E14*'GS &gt; 50 Predicted Monthly'!$Z$11</f>
        <v>13360894.251660833</v>
      </c>
      <c r="O14" s="11">
        <f>F14*'GS &gt; 50 Predicted Monthly'!$Z$12</f>
        <v>0</v>
      </c>
      <c r="P14" s="11">
        <f>G14*'GS &gt; 50 Predicted Monthly'!$Z$13</f>
        <v>0</v>
      </c>
      <c r="Q14" s="11">
        <f>H14*'GS &gt; 50 Predicted Monthly'!$Z$14</f>
        <v>79525500.842962876</v>
      </c>
      <c r="R14" s="11">
        <f>I14*'GS &gt; 50 Predicted Monthly'!$Z$15</f>
        <v>34404976.09041886</v>
      </c>
      <c r="S14" s="11">
        <f>J14*'GS &gt; 50 Predicted Monthly'!$Z$16</f>
        <v>0</v>
      </c>
      <c r="T14" s="11">
        <f>K14*'GS &gt; 50 Predicted Monthly'!$Z$17</f>
        <v>0</v>
      </c>
      <c r="U14" s="11">
        <f t="shared" si="5"/>
        <v>125384208.06243484</v>
      </c>
      <c r="V14" s="11">
        <f t="shared" si="3"/>
        <v>-4739158.1494556516</v>
      </c>
      <c r="W14" s="23">
        <f t="shared" si="4"/>
        <v>3.6420500694229613E-2</v>
      </c>
      <c r="Y14" t="s">
        <v>178</v>
      </c>
      <c r="Z14" s="13">
        <v>2565338.7368697701</v>
      </c>
      <c r="AA14" s="13">
        <v>291852.95956979302</v>
      </c>
      <c r="AB14" s="211">
        <v>8.7898328687542495</v>
      </c>
      <c r="AC14" s="212">
        <v>4.4172438358394503E-14</v>
      </c>
      <c r="AE14" s="187"/>
    </row>
    <row r="15" spans="1:31" x14ac:dyDescent="0.2">
      <c r="A15" s="8">
        <f>'Monthly Data'!A15</f>
        <v>43132</v>
      </c>
      <c r="B15">
        <f t="shared" si="1"/>
        <v>2018</v>
      </c>
      <c r="C15">
        <f t="shared" si="2"/>
        <v>2</v>
      </c>
      <c r="D15" s="19">
        <f>'Monthly Data'!N15</f>
        <v>115694594.48045985</v>
      </c>
      <c r="E15" s="21">
        <f>'Monthly Data'!BJ15</f>
        <v>462.37083333333339</v>
      </c>
      <c r="F15" s="21">
        <f>'Monthly Data'!BK15</f>
        <v>0</v>
      </c>
      <c r="G15" s="7">
        <f>'Monthly Data'!CV15</f>
        <v>0</v>
      </c>
      <c r="H15" s="7">
        <f>'Monthly Data'!CS15</f>
        <v>28</v>
      </c>
      <c r="I15" s="7">
        <f>'Monthly Data'!AO15</f>
        <v>779694</v>
      </c>
      <c r="J15" s="7">
        <f>'Monthly Data'!CF15</f>
        <v>0</v>
      </c>
      <c r="K15" s="7">
        <f>'Monthly Data'!BY15</f>
        <v>0</v>
      </c>
      <c r="M15" s="11">
        <f>'GS &gt; 50 Predicted Monthly'!$Z$10</f>
        <v>-1907163.1226077401</v>
      </c>
      <c r="N15" s="11">
        <f>E15*'GS &gt; 50 Predicted Monthly'!$Z$11</f>
        <v>9863849.44689711</v>
      </c>
      <c r="O15" s="11">
        <f>F15*'GS &gt; 50 Predicted Monthly'!$Z$12</f>
        <v>0</v>
      </c>
      <c r="P15" s="11">
        <f>G15*'GS &gt; 50 Predicted Monthly'!$Z$13</f>
        <v>0</v>
      </c>
      <c r="Q15" s="11">
        <f>H15*'GS &gt; 50 Predicted Monthly'!$Z$14</f>
        <v>71829484.632353559</v>
      </c>
      <c r="R15" s="11">
        <f>I15*'GS &gt; 50 Predicted Monthly'!$Z$15</f>
        <v>34404976.09041886</v>
      </c>
      <c r="S15" s="11">
        <f>J15*'GS &gt; 50 Predicted Monthly'!$Z$16</f>
        <v>0</v>
      </c>
      <c r="T15" s="11">
        <f>K15*'GS &gt; 50 Predicted Monthly'!$Z$17</f>
        <v>0</v>
      </c>
      <c r="U15" s="11">
        <f t="shared" si="5"/>
        <v>114191147.04706179</v>
      </c>
      <c r="V15" s="11">
        <f t="shared" si="3"/>
        <v>-1503447.433398068</v>
      </c>
      <c r="W15" s="23">
        <f t="shared" si="4"/>
        <v>1.2994966965824764E-2</v>
      </c>
      <c r="Y15" t="s">
        <v>185</v>
      </c>
      <c r="Z15" s="13">
        <v>44.126254774846103</v>
      </c>
      <c r="AA15" s="13">
        <v>7.1743509777285999</v>
      </c>
      <c r="AB15" s="211">
        <v>6.1505570206737401</v>
      </c>
      <c r="AC15" s="212">
        <v>1.5992173692567001E-8</v>
      </c>
    </row>
    <row r="16" spans="1:31" x14ac:dyDescent="0.2">
      <c r="A16" s="8">
        <f>'Monthly Data'!A16</f>
        <v>43160</v>
      </c>
      <c r="B16">
        <f t="shared" si="1"/>
        <v>2018</v>
      </c>
      <c r="C16">
        <f t="shared" si="2"/>
        <v>3</v>
      </c>
      <c r="D16" s="19">
        <f>'Monthly Data'!N16</f>
        <v>125478631.74902922</v>
      </c>
      <c r="E16" s="21">
        <f>'Monthly Data'!BJ16</f>
        <v>471.81666666666666</v>
      </c>
      <c r="F16" s="21">
        <f>'Monthly Data'!BK16</f>
        <v>0</v>
      </c>
      <c r="G16" s="7">
        <f>'Monthly Data'!CV16</f>
        <v>0</v>
      </c>
      <c r="H16" s="7">
        <f>'Monthly Data'!CS16</f>
        <v>31</v>
      </c>
      <c r="I16" s="7">
        <f>'Monthly Data'!AO16</f>
        <v>779694</v>
      </c>
      <c r="J16" s="7">
        <f>'Monthly Data'!CF16</f>
        <v>0</v>
      </c>
      <c r="K16" s="7">
        <f>'Monthly Data'!BY16</f>
        <v>0</v>
      </c>
      <c r="M16" s="11">
        <f>'GS &gt; 50 Predicted Monthly'!$Z$10</f>
        <v>-1907163.1226077401</v>
      </c>
      <c r="N16" s="11">
        <f>E16*'GS &gt; 50 Predicted Monthly'!$Z$11</f>
        <v>10065359.298262047</v>
      </c>
      <c r="O16" s="11">
        <f>F16*'GS &gt; 50 Predicted Monthly'!$Z$12</f>
        <v>0</v>
      </c>
      <c r="P16" s="11">
        <f>G16*'GS &gt; 50 Predicted Monthly'!$Z$13</f>
        <v>0</v>
      </c>
      <c r="Q16" s="11">
        <f>H16*'GS &gt; 50 Predicted Monthly'!$Z$14</f>
        <v>79525500.842962876</v>
      </c>
      <c r="R16" s="11">
        <f>I16*'GS &gt; 50 Predicted Monthly'!$Z$15</f>
        <v>34404976.09041886</v>
      </c>
      <c r="S16" s="11">
        <f>J16*'GS &gt; 50 Predicted Monthly'!$Z$16</f>
        <v>0</v>
      </c>
      <c r="T16" s="11">
        <f>K16*'GS &gt; 50 Predicted Monthly'!$Z$17</f>
        <v>0</v>
      </c>
      <c r="U16" s="11">
        <f t="shared" si="5"/>
        <v>122088673.10903604</v>
      </c>
      <c r="V16" s="11">
        <f t="shared" si="3"/>
        <v>-3389958.6399931759</v>
      </c>
      <c r="W16" s="23">
        <f t="shared" si="4"/>
        <v>2.701622254515381E-2</v>
      </c>
      <c r="Y16" t="s">
        <v>56</v>
      </c>
      <c r="Z16" s="13">
        <v>3497669.1063549998</v>
      </c>
      <c r="AA16" s="13">
        <v>810376.06935101398</v>
      </c>
      <c r="AB16" s="211">
        <v>4.3161061125066196</v>
      </c>
      <c r="AC16" s="212">
        <v>3.7401432886729599E-5</v>
      </c>
    </row>
    <row r="17" spans="1:29" x14ac:dyDescent="0.2">
      <c r="A17" s="8">
        <f>'Monthly Data'!A17</f>
        <v>43191</v>
      </c>
      <c r="B17">
        <f t="shared" si="1"/>
        <v>2018</v>
      </c>
      <c r="C17">
        <f t="shared" si="2"/>
        <v>4</v>
      </c>
      <c r="D17" s="19">
        <f>'Monthly Data'!N17</f>
        <v>119717405.01759858</v>
      </c>
      <c r="E17" s="21">
        <f>'Monthly Data'!BJ17</f>
        <v>340.9</v>
      </c>
      <c r="F17" s="21">
        <f>'Monthly Data'!BK17</f>
        <v>0</v>
      </c>
      <c r="G17" s="7">
        <f>'Monthly Data'!CV17</f>
        <v>0</v>
      </c>
      <c r="H17" s="7">
        <f>'Monthly Data'!CS17</f>
        <v>30</v>
      </c>
      <c r="I17" s="7">
        <f>'Monthly Data'!AO17</f>
        <v>785185</v>
      </c>
      <c r="J17" s="7">
        <f>'Monthly Data'!CF17</f>
        <v>0</v>
      </c>
      <c r="K17" s="7">
        <f>'Monthly Data'!BY17</f>
        <v>0</v>
      </c>
      <c r="M17" s="11">
        <f>'GS &gt; 50 Predicted Monthly'!$Z$10</f>
        <v>-1907163.1226077401</v>
      </c>
      <c r="N17" s="11">
        <f>E17*'GS &gt; 50 Predicted Monthly'!$Z$11</f>
        <v>7272487.8691105964</v>
      </c>
      <c r="O17" s="11">
        <f>F17*'GS &gt; 50 Predicted Monthly'!$Z$12</f>
        <v>0</v>
      </c>
      <c r="P17" s="11">
        <f>G17*'GS &gt; 50 Predicted Monthly'!$Z$13</f>
        <v>0</v>
      </c>
      <c r="Q17" s="11">
        <f>H17*'GS &gt; 50 Predicted Monthly'!$Z$14</f>
        <v>76960162.106093109</v>
      </c>
      <c r="R17" s="11">
        <f>I17*'GS &gt; 50 Predicted Monthly'!$Z$15</f>
        <v>34647273.355387539</v>
      </c>
      <c r="S17" s="11">
        <f>J17*'GS &gt; 50 Predicted Monthly'!$Z$16</f>
        <v>0</v>
      </c>
      <c r="T17" s="11">
        <f>K17*'GS &gt; 50 Predicted Monthly'!$Z$17</f>
        <v>0</v>
      </c>
      <c r="U17" s="11">
        <f t="shared" si="5"/>
        <v>116972760.20798351</v>
      </c>
      <c r="V17" s="11">
        <f t="shared" si="3"/>
        <v>-2744644.8096150756</v>
      </c>
      <c r="W17" s="23">
        <f t="shared" si="4"/>
        <v>2.2926029921978428E-2</v>
      </c>
      <c r="Y17" t="s">
        <v>50</v>
      </c>
      <c r="Z17" s="11">
        <v>2800660.9376037801</v>
      </c>
      <c r="AA17">
        <v>1007258.11581625</v>
      </c>
      <c r="AB17">
        <v>2.7804798925191201</v>
      </c>
      <c r="AC17">
        <v>6.4866883544315397E-3</v>
      </c>
    </row>
    <row r="18" spans="1:29" x14ac:dyDescent="0.2">
      <c r="A18" s="8">
        <f>'Monthly Data'!A18</f>
        <v>43221</v>
      </c>
      <c r="B18">
        <f t="shared" si="1"/>
        <v>2018</v>
      </c>
      <c r="C18">
        <f t="shared" si="2"/>
        <v>5</v>
      </c>
      <c r="D18" s="19">
        <f>'Monthly Data'!N18</f>
        <v>127433786.28616795</v>
      </c>
      <c r="E18" s="21">
        <f>'Monthly Data'!BJ18</f>
        <v>15.375000000000002</v>
      </c>
      <c r="F18" s="21">
        <f>'Monthly Data'!BK18</f>
        <v>107.17916666666667</v>
      </c>
      <c r="G18" s="7">
        <f>'Monthly Data'!CV18</f>
        <v>0</v>
      </c>
      <c r="H18" s="7">
        <f>'Monthly Data'!CS18</f>
        <v>31</v>
      </c>
      <c r="I18" s="7">
        <f>'Monthly Data'!AO18</f>
        <v>785185</v>
      </c>
      <c r="J18" s="7">
        <f>'Monthly Data'!CF18</f>
        <v>0</v>
      </c>
      <c r="K18" s="7">
        <f>'Monthly Data'!BY18</f>
        <v>0</v>
      </c>
      <c r="M18" s="11">
        <f>'GS &gt; 50 Predicted Monthly'!$Z$10</f>
        <v>-1907163.1226077401</v>
      </c>
      <c r="N18" s="11">
        <f>E18*'GS &gt; 50 Predicted Monthly'!$Z$11</f>
        <v>327997.94950887485</v>
      </c>
      <c r="O18" s="11">
        <f>F18*'GS &gt; 50 Predicted Monthly'!$Z$12</f>
        <v>12696578.734186839</v>
      </c>
      <c r="P18" s="11">
        <f>G18*'GS &gt; 50 Predicted Monthly'!$Z$13</f>
        <v>0</v>
      </c>
      <c r="Q18" s="11">
        <f>H18*'GS &gt; 50 Predicted Monthly'!$Z$14</f>
        <v>79525500.842962876</v>
      </c>
      <c r="R18" s="11">
        <f>I18*'GS &gt; 50 Predicted Monthly'!$Z$15</f>
        <v>34647273.355387539</v>
      </c>
      <c r="S18" s="11">
        <f>J18*'GS &gt; 50 Predicted Monthly'!$Z$16</f>
        <v>0</v>
      </c>
      <c r="T18" s="11">
        <f>K18*'GS &gt; 50 Predicted Monthly'!$Z$17</f>
        <v>0</v>
      </c>
      <c r="U18" s="11">
        <f t="shared" si="5"/>
        <v>125290187.7594384</v>
      </c>
      <c r="V18" s="11">
        <f t="shared" si="3"/>
        <v>-2143598.5267295539</v>
      </c>
      <c r="W18" s="23">
        <f t="shared" si="4"/>
        <v>1.68212731427115E-2</v>
      </c>
    </row>
    <row r="19" spans="1:29" x14ac:dyDescent="0.2">
      <c r="A19" s="8">
        <f>'Monthly Data'!A19</f>
        <v>43252</v>
      </c>
      <c r="B19">
        <f t="shared" si="1"/>
        <v>2018</v>
      </c>
      <c r="C19">
        <f t="shared" si="2"/>
        <v>6</v>
      </c>
      <c r="D19" s="19">
        <f>'Monthly Data'!N19</f>
        <v>130160206.55473731</v>
      </c>
      <c r="E19" s="21">
        <f>'Monthly Data'!BJ19</f>
        <v>4.6208333333333336</v>
      </c>
      <c r="F19" s="21">
        <f>'Monthly Data'!BK19</f>
        <v>155.0625</v>
      </c>
      <c r="G19" s="7">
        <f>'Monthly Data'!CV19</f>
        <v>0</v>
      </c>
      <c r="H19" s="7">
        <f>'Monthly Data'!CS19</f>
        <v>30</v>
      </c>
      <c r="I19" s="7">
        <f>'Monthly Data'!AO19</f>
        <v>785185</v>
      </c>
      <c r="J19" s="7">
        <f>'Monthly Data'!CF19</f>
        <v>0</v>
      </c>
      <c r="K19" s="7">
        <f>'Monthly Data'!BY19</f>
        <v>0</v>
      </c>
      <c r="M19" s="11">
        <f>'GS &gt; 50 Predicted Monthly'!$Z$10</f>
        <v>-1907163.1226077401</v>
      </c>
      <c r="N19" s="11">
        <f>E19*'GS &gt; 50 Predicted Monthly'!$Z$11</f>
        <v>98577.161519062924</v>
      </c>
      <c r="O19" s="11">
        <f>F19*'GS &gt; 50 Predicted Monthly'!$Z$12</f>
        <v>18368898.557429664</v>
      </c>
      <c r="P19" s="11">
        <f>G19*'GS &gt; 50 Predicted Monthly'!$Z$13</f>
        <v>0</v>
      </c>
      <c r="Q19" s="11">
        <f>H19*'GS &gt; 50 Predicted Monthly'!$Z$14</f>
        <v>76960162.106093109</v>
      </c>
      <c r="R19" s="11">
        <f>I19*'GS &gt; 50 Predicted Monthly'!$Z$15</f>
        <v>34647273.355387539</v>
      </c>
      <c r="S19" s="11">
        <f>J19*'GS &gt; 50 Predicted Monthly'!$Z$16</f>
        <v>0</v>
      </c>
      <c r="T19" s="11">
        <f>K19*'GS &gt; 50 Predicted Monthly'!$Z$17</f>
        <v>0</v>
      </c>
      <c r="U19" s="11">
        <f t="shared" si="5"/>
        <v>128167748.05782163</v>
      </c>
      <c r="V19" s="11">
        <f t="shared" si="3"/>
        <v>-1992458.4969156832</v>
      </c>
      <c r="W19" s="23">
        <f t="shared" si="4"/>
        <v>1.530773920582078E-2</v>
      </c>
      <c r="Y19" t="s">
        <v>152</v>
      </c>
      <c r="Z19" s="214"/>
      <c r="AB19" s="211"/>
    </row>
    <row r="20" spans="1:29" x14ac:dyDescent="0.2">
      <c r="A20" s="8">
        <f>'Monthly Data'!A20</f>
        <v>43282</v>
      </c>
      <c r="B20">
        <f t="shared" si="1"/>
        <v>2018</v>
      </c>
      <c r="C20">
        <f t="shared" si="2"/>
        <v>7</v>
      </c>
      <c r="D20" s="19">
        <f>'Monthly Data'!N20</f>
        <v>139575448.82330668</v>
      </c>
      <c r="E20" s="21">
        <f>'Monthly Data'!BJ20</f>
        <v>0</v>
      </c>
      <c r="F20" s="21">
        <f>'Monthly Data'!BK20</f>
        <v>224.81458333333336</v>
      </c>
      <c r="G20" s="7">
        <f>'Monthly Data'!CV20</f>
        <v>0</v>
      </c>
      <c r="H20" s="7">
        <f>'Monthly Data'!CS20</f>
        <v>31</v>
      </c>
      <c r="I20" s="7">
        <f>'Monthly Data'!AO20</f>
        <v>794512</v>
      </c>
      <c r="J20" s="7">
        <f>'Monthly Data'!CF20</f>
        <v>0</v>
      </c>
      <c r="K20" s="7">
        <f>'Monthly Data'!BY20</f>
        <v>0</v>
      </c>
      <c r="M20" s="11">
        <f>'GS &gt; 50 Predicted Monthly'!$Z$10</f>
        <v>-1907163.1226077401</v>
      </c>
      <c r="N20" s="11">
        <f>E20*'GS &gt; 50 Predicted Monthly'!$Z$11</f>
        <v>0</v>
      </c>
      <c r="O20" s="11">
        <f>F20*'GS &gt; 50 Predicted Monthly'!$Z$12</f>
        <v>26631817.979723129</v>
      </c>
      <c r="P20" s="11">
        <f>G20*'GS &gt; 50 Predicted Monthly'!$Z$13</f>
        <v>0</v>
      </c>
      <c r="Q20" s="11">
        <f>H20*'GS &gt; 50 Predicted Monthly'!$Z$14</f>
        <v>79525500.842962876</v>
      </c>
      <c r="R20" s="11">
        <f>I20*'GS &gt; 50 Predicted Monthly'!$Z$15</f>
        <v>35058838.933672525</v>
      </c>
      <c r="S20" s="11">
        <f>J20*'GS &gt; 50 Predicted Monthly'!$Z$16</f>
        <v>0</v>
      </c>
      <c r="T20" s="11">
        <f>K20*'GS &gt; 50 Predicted Monthly'!$Z$17</f>
        <v>0</v>
      </c>
      <c r="U20" s="11">
        <f t="shared" si="5"/>
        <v>139308994.6337508</v>
      </c>
      <c r="V20" s="11">
        <f t="shared" si="3"/>
        <v>-266454.18955588341</v>
      </c>
      <c r="W20" s="23">
        <f t="shared" si="4"/>
        <v>1.9090333708559079E-3</v>
      </c>
      <c r="Y20" t="s">
        <v>68</v>
      </c>
      <c r="Z20" s="212">
        <v>743281261335296</v>
      </c>
      <c r="AA20" t="s">
        <v>69</v>
      </c>
      <c r="AB20" s="212">
        <v>2726318.5091535002</v>
      </c>
    </row>
    <row r="21" spans="1:29" x14ac:dyDescent="0.2">
      <c r="A21" s="8">
        <f>'Monthly Data'!A21</f>
        <v>43313</v>
      </c>
      <c r="B21">
        <f t="shared" si="1"/>
        <v>2018</v>
      </c>
      <c r="C21">
        <f t="shared" si="2"/>
        <v>8</v>
      </c>
      <c r="D21" s="19">
        <f>'Monthly Data'!N21</f>
        <v>145516334.09187603</v>
      </c>
      <c r="E21" s="21">
        <f>'Monthly Data'!BJ21</f>
        <v>0</v>
      </c>
      <c r="F21" s="21">
        <f>'Monthly Data'!BK21</f>
        <v>230.90833333333327</v>
      </c>
      <c r="G21" s="7">
        <f>'Monthly Data'!CV21</f>
        <v>0</v>
      </c>
      <c r="H21" s="7">
        <f>'Monthly Data'!CS21</f>
        <v>31</v>
      </c>
      <c r="I21" s="7">
        <f>'Monthly Data'!AO21</f>
        <v>794512</v>
      </c>
      <c r="J21" s="7">
        <f>'Monthly Data'!CF21</f>
        <v>0</v>
      </c>
      <c r="K21" s="7">
        <f>'Monthly Data'!BY21</f>
        <v>1</v>
      </c>
      <c r="M21" s="11">
        <f>'GS &gt; 50 Predicted Monthly'!$Z$10</f>
        <v>-1907163.1226077401</v>
      </c>
      <c r="N21" s="11">
        <f>E21*'GS &gt; 50 Predicted Monthly'!$Z$11</f>
        <v>0</v>
      </c>
      <c r="O21" s="11">
        <f>F21*'GS &gt; 50 Predicted Monthly'!$Z$12</f>
        <v>27353691.260395989</v>
      </c>
      <c r="P21" s="11">
        <f>G21*'GS &gt; 50 Predicted Monthly'!$Z$13</f>
        <v>0</v>
      </c>
      <c r="Q21" s="11">
        <f>H21*'GS &gt; 50 Predicted Monthly'!$Z$14</f>
        <v>79525500.842962876</v>
      </c>
      <c r="R21" s="11">
        <f>I21*'GS &gt; 50 Predicted Monthly'!$Z$15</f>
        <v>35058838.933672525</v>
      </c>
      <c r="S21" s="11">
        <f>J21*'GS &gt; 50 Predicted Monthly'!$Z$16</f>
        <v>0</v>
      </c>
      <c r="T21" s="11">
        <f>K21*'GS &gt; 50 Predicted Monthly'!$Z$17</f>
        <v>2800660.9376037801</v>
      </c>
      <c r="U21" s="11">
        <f t="shared" si="5"/>
        <v>142831528.85202742</v>
      </c>
      <c r="V21" s="11">
        <f t="shared" si="3"/>
        <v>-2684805.2398486137</v>
      </c>
      <c r="W21" s="23">
        <f t="shared" si="4"/>
        <v>1.8450198437197318E-2</v>
      </c>
      <c r="Y21" t="s">
        <v>70</v>
      </c>
      <c r="Z21" s="211">
        <v>0.91149928587706197</v>
      </c>
      <c r="AA21" t="s">
        <v>71</v>
      </c>
      <c r="AB21" s="212">
        <v>0.90530423588845599</v>
      </c>
    </row>
    <row r="22" spans="1:29" x14ac:dyDescent="0.2">
      <c r="A22" s="8">
        <f>'Monthly Data'!A22</f>
        <v>43344</v>
      </c>
      <c r="B22">
        <f t="shared" si="1"/>
        <v>2018</v>
      </c>
      <c r="C22">
        <f t="shared" si="2"/>
        <v>9</v>
      </c>
      <c r="D22" s="19">
        <f>'Monthly Data'!N22</f>
        <v>130472808.3604454</v>
      </c>
      <c r="E22" s="21">
        <f>'Monthly Data'!BJ22</f>
        <v>20.0625</v>
      </c>
      <c r="F22" s="21">
        <f>'Monthly Data'!BK22</f>
        <v>130.34583333333333</v>
      </c>
      <c r="G22" s="7">
        <f>'Monthly Data'!CV22</f>
        <v>0</v>
      </c>
      <c r="H22" s="7">
        <f>'Monthly Data'!CS22</f>
        <v>30</v>
      </c>
      <c r="I22" s="7">
        <f>'Monthly Data'!AO22</f>
        <v>794512</v>
      </c>
      <c r="J22" s="7">
        <f>'Monthly Data'!CF22</f>
        <v>1</v>
      </c>
      <c r="K22" s="7">
        <f>'Monthly Data'!BY22</f>
        <v>0</v>
      </c>
      <c r="M22" s="11">
        <f>'GS &gt; 50 Predicted Monthly'!$Z$10</f>
        <v>-1907163.1226077401</v>
      </c>
      <c r="N22" s="11">
        <f>E22*'GS &gt; 50 Predicted Monthly'!$Z$11</f>
        <v>427997.32435914152</v>
      </c>
      <c r="O22" s="11">
        <f>F22*'GS &gt; 50 Predicted Monthly'!$Z$12</f>
        <v>15440931.172163701</v>
      </c>
      <c r="P22" s="11">
        <f>G22*'GS &gt; 50 Predicted Monthly'!$Z$13</f>
        <v>0</v>
      </c>
      <c r="Q22" s="11">
        <f>H22*'GS &gt; 50 Predicted Monthly'!$Z$14</f>
        <v>76960162.106093109</v>
      </c>
      <c r="R22" s="11">
        <f>I22*'GS &gt; 50 Predicted Monthly'!$Z$15</f>
        <v>35058838.933672525</v>
      </c>
      <c r="S22" s="11">
        <f>J22*'GS &gt; 50 Predicted Monthly'!$Z$16</f>
        <v>3497669.1063549998</v>
      </c>
      <c r="T22" s="11">
        <f>K22*'GS &gt; 50 Predicted Monthly'!$Z$17</f>
        <v>0</v>
      </c>
      <c r="U22" s="11">
        <f t="shared" si="5"/>
        <v>129478435.52003573</v>
      </c>
      <c r="V22" s="11">
        <f t="shared" si="3"/>
        <v>-994372.8404096663</v>
      </c>
      <c r="W22" s="23">
        <f t="shared" si="4"/>
        <v>7.6213032654482505E-3</v>
      </c>
      <c r="Y22" t="s">
        <v>538</v>
      </c>
      <c r="Z22" s="212">
        <v>118.651502143024</v>
      </c>
      <c r="AA22" t="s">
        <v>72</v>
      </c>
      <c r="AB22" s="212">
        <v>1.60328642938772E-45</v>
      </c>
    </row>
    <row r="23" spans="1:29" x14ac:dyDescent="0.2">
      <c r="A23" s="8">
        <f>'Monthly Data'!A23</f>
        <v>43374</v>
      </c>
      <c r="B23">
        <f t="shared" si="1"/>
        <v>2018</v>
      </c>
      <c r="C23">
        <f t="shared" si="2"/>
        <v>10</v>
      </c>
      <c r="D23" s="19">
        <f>'Monthly Data'!N23</f>
        <v>124271950.62901476</v>
      </c>
      <c r="E23" s="21">
        <f>'Monthly Data'!BJ23</f>
        <v>181.64999999999998</v>
      </c>
      <c r="F23" s="21">
        <f>'Monthly Data'!BK23</f>
        <v>22.829166666666666</v>
      </c>
      <c r="G23" s="7">
        <f>'Monthly Data'!CV23</f>
        <v>0</v>
      </c>
      <c r="H23" s="7">
        <f>'Monthly Data'!CS23</f>
        <v>31</v>
      </c>
      <c r="I23" s="7">
        <f>'Monthly Data'!AO23</f>
        <v>799922</v>
      </c>
      <c r="J23" s="7">
        <f>'Monthly Data'!CF23</f>
        <v>1</v>
      </c>
      <c r="K23" s="7">
        <f>'Monthly Data'!BY23</f>
        <v>0</v>
      </c>
      <c r="M23" s="11">
        <f>'GS &gt; 50 Predicted Monthly'!$Z$10</f>
        <v>-1907163.1226077401</v>
      </c>
      <c r="N23" s="11">
        <f>E23*'GS &gt; 50 Predicted Monthly'!$Z$11</f>
        <v>3875175.7741975351</v>
      </c>
      <c r="O23" s="11">
        <f>F23*'GS &gt; 50 Predicted Monthly'!$Z$12</f>
        <v>2704371.7639703644</v>
      </c>
      <c r="P23" s="11">
        <f>G23*'GS &gt; 50 Predicted Monthly'!$Z$13</f>
        <v>0</v>
      </c>
      <c r="Q23" s="11">
        <f>H23*'GS &gt; 50 Predicted Monthly'!$Z$14</f>
        <v>79525500.842962876</v>
      </c>
      <c r="R23" s="11">
        <f>I23*'GS &gt; 50 Predicted Monthly'!$Z$15</f>
        <v>35297561.972004443</v>
      </c>
      <c r="S23" s="11">
        <f>J23*'GS &gt; 50 Predicted Monthly'!$Z$16</f>
        <v>3497669.1063549998</v>
      </c>
      <c r="T23" s="11">
        <f>K23*'GS &gt; 50 Predicted Monthly'!$Z$17</f>
        <v>0</v>
      </c>
      <c r="U23" s="11">
        <f t="shared" si="5"/>
        <v>122993116.33688247</v>
      </c>
      <c r="V23" s="11">
        <f t="shared" si="3"/>
        <v>-1278834.2921322882</v>
      </c>
      <c r="W23" s="23">
        <f t="shared" si="4"/>
        <v>1.0290610919514356E-2</v>
      </c>
      <c r="Y23" t="s">
        <v>73</v>
      </c>
      <c r="Z23">
        <v>-3.2413387057230701E-2</v>
      </c>
      <c r="AA23" t="s">
        <v>74</v>
      </c>
      <c r="AB23">
        <v>2.0208588048179399</v>
      </c>
    </row>
    <row r="24" spans="1:29" x14ac:dyDescent="0.2">
      <c r="A24" s="8">
        <f>'Monthly Data'!A24</f>
        <v>43405</v>
      </c>
      <c r="B24">
        <f t="shared" si="1"/>
        <v>2018</v>
      </c>
      <c r="C24">
        <f t="shared" si="2"/>
        <v>11</v>
      </c>
      <c r="D24" s="19">
        <f>'Monthly Data'!N24</f>
        <v>122525206.89758413</v>
      </c>
      <c r="E24" s="21">
        <f>'Monthly Data'!BJ24</f>
        <v>398.42499999999995</v>
      </c>
      <c r="F24" s="21">
        <f>'Monthly Data'!BK24</f>
        <v>0</v>
      </c>
      <c r="G24" s="7">
        <f>'Monthly Data'!CV24</f>
        <v>0</v>
      </c>
      <c r="H24" s="7">
        <f>'Monthly Data'!CS24</f>
        <v>30</v>
      </c>
      <c r="I24" s="7">
        <f>'Monthly Data'!AO24</f>
        <v>799922</v>
      </c>
      <c r="J24" s="7">
        <f>'Monthly Data'!CF24</f>
        <v>1</v>
      </c>
      <c r="K24" s="7">
        <f>'Monthly Data'!BY24</f>
        <v>0</v>
      </c>
      <c r="M24" s="11">
        <f>'GS &gt; 50 Predicted Monthly'!$Z$10</f>
        <v>-1907163.1226077401</v>
      </c>
      <c r="N24" s="11">
        <f>E24*'GS &gt; 50 Predicted Monthly'!$Z$11</f>
        <v>8499680.1972730681</v>
      </c>
      <c r="O24" s="11">
        <f>F24*'GS &gt; 50 Predicted Monthly'!$Z$12</f>
        <v>0</v>
      </c>
      <c r="P24" s="11">
        <f>G24*'GS &gt; 50 Predicted Monthly'!$Z$13</f>
        <v>0</v>
      </c>
      <c r="Q24" s="11">
        <f>H24*'GS &gt; 50 Predicted Monthly'!$Z$14</f>
        <v>76960162.106093109</v>
      </c>
      <c r="R24" s="11">
        <f>I24*'GS &gt; 50 Predicted Monthly'!$Z$15</f>
        <v>35297561.972004443</v>
      </c>
      <c r="S24" s="11">
        <f>J24*'GS &gt; 50 Predicted Monthly'!$Z$16</f>
        <v>3497669.1063549998</v>
      </c>
      <c r="T24" s="11">
        <f>K24*'GS &gt; 50 Predicted Monthly'!$Z$17</f>
        <v>0</v>
      </c>
      <c r="U24" s="11">
        <f t="shared" si="5"/>
        <v>122347910.25911787</v>
      </c>
      <c r="V24" s="11">
        <f t="shared" si="3"/>
        <v>-177296.63846625388</v>
      </c>
      <c r="W24" s="23">
        <f t="shared" si="4"/>
        <v>1.4470217431622203E-3</v>
      </c>
    </row>
    <row r="25" spans="1:29" x14ac:dyDescent="0.2">
      <c r="A25" s="8">
        <f>'Monthly Data'!A25</f>
        <v>43435</v>
      </c>
      <c r="B25">
        <f t="shared" si="1"/>
        <v>2018</v>
      </c>
      <c r="C25">
        <f t="shared" si="2"/>
        <v>12</v>
      </c>
      <c r="D25" s="19">
        <f>'Monthly Data'!N25</f>
        <v>120780245.16615349</v>
      </c>
      <c r="E25" s="21">
        <f>'Monthly Data'!BJ25</f>
        <v>449.47083333333325</v>
      </c>
      <c r="F25" s="21">
        <f>'Monthly Data'!BK25</f>
        <v>0</v>
      </c>
      <c r="G25" s="7">
        <f>'Monthly Data'!CV25</f>
        <v>0</v>
      </c>
      <c r="H25" s="7">
        <f>'Monthly Data'!CS25</f>
        <v>31</v>
      </c>
      <c r="I25" s="7">
        <f>'Monthly Data'!AO25</f>
        <v>799922</v>
      </c>
      <c r="J25" s="7">
        <f>'Monthly Data'!CF25</f>
        <v>0</v>
      </c>
      <c r="K25" s="7">
        <f>'Monthly Data'!BY25</f>
        <v>0</v>
      </c>
      <c r="M25" s="11">
        <f>'GS &gt; 50 Predicted Monthly'!$Z$10</f>
        <v>-1907163.1226077401</v>
      </c>
      <c r="N25" s="11">
        <f>E25*'GS &gt; 50 Predicted Monthly'!$Z$11</f>
        <v>9588651.1673091725</v>
      </c>
      <c r="O25" s="11">
        <f>F25*'GS &gt; 50 Predicted Monthly'!$Z$12</f>
        <v>0</v>
      </c>
      <c r="P25" s="11">
        <f>G25*'GS &gt; 50 Predicted Monthly'!$Z$13</f>
        <v>0</v>
      </c>
      <c r="Q25" s="11">
        <f>H25*'GS &gt; 50 Predicted Monthly'!$Z$14</f>
        <v>79525500.842962876</v>
      </c>
      <c r="R25" s="11">
        <f>I25*'GS &gt; 50 Predicted Monthly'!$Z$15</f>
        <v>35297561.972004443</v>
      </c>
      <c r="S25" s="11">
        <f>J25*'GS &gt; 50 Predicted Monthly'!$Z$16</f>
        <v>0</v>
      </c>
      <c r="T25" s="11">
        <f>K25*'GS &gt; 50 Predicted Monthly'!$Z$17</f>
        <v>0</v>
      </c>
      <c r="U25" s="11">
        <f t="shared" si="5"/>
        <v>122504550.85966875</v>
      </c>
      <c r="V25" s="11">
        <f t="shared" si="3"/>
        <v>1724305.693515256</v>
      </c>
      <c r="W25" s="23">
        <f t="shared" si="4"/>
        <v>1.4276388420500259E-2</v>
      </c>
      <c r="Y25" t="s">
        <v>361</v>
      </c>
      <c r="Z25" s="11"/>
      <c r="AB25" s="11"/>
    </row>
    <row r="26" spans="1:29" x14ac:dyDescent="0.2">
      <c r="A26" s="8">
        <f>'Monthly Data'!A26</f>
        <v>43466</v>
      </c>
      <c r="B26">
        <f t="shared" si="1"/>
        <v>2019</v>
      </c>
      <c r="C26">
        <f t="shared" si="2"/>
        <v>1</v>
      </c>
      <c r="D26" s="19">
        <f>'Monthly Data'!N26</f>
        <v>122557492.01553993</v>
      </c>
      <c r="E26" s="21">
        <f>'Monthly Data'!BJ26</f>
        <v>654.33749999999986</v>
      </c>
      <c r="F26" s="21">
        <f>'Monthly Data'!BK26</f>
        <v>0</v>
      </c>
      <c r="G26" s="7">
        <f>'Monthly Data'!CV26</f>
        <v>0</v>
      </c>
      <c r="H26" s="7">
        <f>'Monthly Data'!CS26</f>
        <v>31</v>
      </c>
      <c r="I26" s="7">
        <f>'Monthly Data'!AO26</f>
        <v>800743</v>
      </c>
      <c r="J26" s="7">
        <f>'Monthly Data'!CF26</f>
        <v>0</v>
      </c>
      <c r="K26" s="7">
        <f>'Monthly Data'!BY26</f>
        <v>0</v>
      </c>
      <c r="M26" s="11">
        <f>'GS &gt; 50 Predicted Monthly'!$Z$10</f>
        <v>-1907163.1226077401</v>
      </c>
      <c r="N26" s="11">
        <f>E26*'GS &gt; 50 Predicted Monthly'!$Z$11</f>
        <v>13959112.734098429</v>
      </c>
      <c r="O26" s="11">
        <f>F26*'GS &gt; 50 Predicted Monthly'!$Z$12</f>
        <v>0</v>
      </c>
      <c r="P26" s="11">
        <f>G26*'GS &gt; 50 Predicted Monthly'!$Z$13</f>
        <v>0</v>
      </c>
      <c r="Q26" s="11">
        <f>H26*'GS &gt; 50 Predicted Monthly'!$Z$14</f>
        <v>79525500.842962876</v>
      </c>
      <c r="R26" s="11">
        <f>I26*'GS &gt; 50 Predicted Monthly'!$Z$15</f>
        <v>35333789.627174594</v>
      </c>
      <c r="S26" s="11">
        <f>J26*'GS &gt; 50 Predicted Monthly'!$Z$16</f>
        <v>0</v>
      </c>
      <c r="T26" s="11">
        <f>K26*'GS &gt; 50 Predicted Monthly'!$Z$17</f>
        <v>0</v>
      </c>
      <c r="U26" s="11">
        <f t="shared" si="5"/>
        <v>126911240.08162814</v>
      </c>
      <c r="V26" s="11">
        <f t="shared" si="3"/>
        <v>4353748.0660882145</v>
      </c>
      <c r="W26" s="23">
        <f t="shared" si="4"/>
        <v>3.5524128264114378E-2</v>
      </c>
      <c r="Y26" t="s">
        <v>66</v>
      </c>
      <c r="Z26">
        <v>124895768.285512</v>
      </c>
      <c r="AA26" t="s">
        <v>67</v>
      </c>
      <c r="AB26">
        <v>8859415.5035063606</v>
      </c>
    </row>
    <row r="27" spans="1:29" x14ac:dyDescent="0.2">
      <c r="A27" s="8">
        <f>'Monthly Data'!A27</f>
        <v>43497</v>
      </c>
      <c r="B27">
        <f t="shared" si="1"/>
        <v>2019</v>
      </c>
      <c r="C27">
        <f t="shared" si="2"/>
        <v>2</v>
      </c>
      <c r="D27" s="19">
        <f>'Monthly Data'!N27</f>
        <v>112793572.2170434</v>
      </c>
      <c r="E27" s="21">
        <f>'Monthly Data'!BJ27</f>
        <v>517.91250000000002</v>
      </c>
      <c r="F27" s="21">
        <f>'Monthly Data'!BK27</f>
        <v>0</v>
      </c>
      <c r="G27" s="7">
        <f>'Monthly Data'!CV27</f>
        <v>0</v>
      </c>
      <c r="H27" s="7">
        <f>'Monthly Data'!CS27</f>
        <v>28</v>
      </c>
      <c r="I27" s="7">
        <f>'Monthly Data'!AO27</f>
        <v>800743</v>
      </c>
      <c r="J27" s="7">
        <f>'Monthly Data'!CF27</f>
        <v>0</v>
      </c>
      <c r="K27" s="7">
        <f>'Monthly Data'!BY27</f>
        <v>0</v>
      </c>
      <c r="M27" s="11">
        <f>'GS &gt; 50 Predicted Monthly'!$Z$10</f>
        <v>-1907163.1226077401</v>
      </c>
      <c r="N27" s="11">
        <f>E27*'GS &gt; 50 Predicted Monthly'!$Z$11</f>
        <v>11048730.928456269</v>
      </c>
      <c r="O27" s="11">
        <f>F27*'GS &gt; 50 Predicted Monthly'!$Z$12</f>
        <v>0</v>
      </c>
      <c r="P27" s="11">
        <f>G27*'GS &gt; 50 Predicted Monthly'!$Z$13</f>
        <v>0</v>
      </c>
      <c r="Q27" s="11">
        <f>H27*'GS &gt; 50 Predicted Monthly'!$Z$14</f>
        <v>71829484.632353559</v>
      </c>
      <c r="R27" s="11">
        <f>I27*'GS &gt; 50 Predicted Monthly'!$Z$15</f>
        <v>35333789.627174594</v>
      </c>
      <c r="S27" s="11">
        <f>J27*'GS &gt; 50 Predicted Monthly'!$Z$16</f>
        <v>0</v>
      </c>
      <c r="T27" s="11">
        <f>K27*'GS &gt; 50 Predicted Monthly'!$Z$17</f>
        <v>0</v>
      </c>
      <c r="U27" s="11">
        <f t="shared" si="5"/>
        <v>116304842.06537667</v>
      </c>
      <c r="V27" s="11">
        <f t="shared" si="3"/>
        <v>3511269.8483332694</v>
      </c>
      <c r="W27" s="23">
        <f t="shared" si="4"/>
        <v>3.1130052708825438E-2</v>
      </c>
    </row>
    <row r="28" spans="1:29" x14ac:dyDescent="0.2">
      <c r="A28" s="8">
        <f>'Monthly Data'!A28</f>
        <v>43525</v>
      </c>
      <c r="B28">
        <f t="shared" si="1"/>
        <v>2019</v>
      </c>
      <c r="C28">
        <f t="shared" si="2"/>
        <v>3</v>
      </c>
      <c r="D28" s="19">
        <f>'Monthly Data'!N28</f>
        <v>121279569.66264187</v>
      </c>
      <c r="E28" s="21">
        <f>'Monthly Data'!BJ28</f>
        <v>488.37083333333339</v>
      </c>
      <c r="F28" s="21">
        <f>'Monthly Data'!BK28</f>
        <v>0</v>
      </c>
      <c r="G28" s="7">
        <f>'Monthly Data'!CV28</f>
        <v>0</v>
      </c>
      <c r="H28" s="7">
        <f>'Monthly Data'!CS28</f>
        <v>31</v>
      </c>
      <c r="I28" s="7">
        <f>'Monthly Data'!AO28</f>
        <v>800743</v>
      </c>
      <c r="J28" s="7">
        <f>'Monthly Data'!CF28</f>
        <v>0</v>
      </c>
      <c r="K28" s="7">
        <f>'Monthly Data'!BY28</f>
        <v>0</v>
      </c>
      <c r="M28" s="11">
        <f>'GS &gt; 50 Predicted Monthly'!$Z$10</f>
        <v>-1907163.1226077401</v>
      </c>
      <c r="N28" s="11">
        <f>E28*'GS &gt; 50 Predicted Monthly'!$Z$11</f>
        <v>10418512.646066589</v>
      </c>
      <c r="O28" s="11">
        <f>F28*'GS &gt; 50 Predicted Monthly'!$Z$12</f>
        <v>0</v>
      </c>
      <c r="P28" s="11">
        <f>G28*'GS &gt; 50 Predicted Monthly'!$Z$13</f>
        <v>0</v>
      </c>
      <c r="Q28" s="11">
        <f>H28*'GS &gt; 50 Predicted Monthly'!$Z$14</f>
        <v>79525500.842962876</v>
      </c>
      <c r="R28" s="11">
        <f>I28*'GS &gt; 50 Predicted Monthly'!$Z$15</f>
        <v>35333789.627174594</v>
      </c>
      <c r="S28" s="11">
        <f>J28*'GS &gt; 50 Predicted Monthly'!$Z$16</f>
        <v>0</v>
      </c>
      <c r="T28" s="11">
        <f>K28*'GS &gt; 50 Predicted Monthly'!$Z$17</f>
        <v>0</v>
      </c>
      <c r="U28" s="11">
        <f t="shared" si="5"/>
        <v>123370639.99359632</v>
      </c>
      <c r="V28" s="11">
        <f t="shared" si="3"/>
        <v>2091070.3309544474</v>
      </c>
      <c r="W28" s="23">
        <f t="shared" si="4"/>
        <v>1.7241736071220298E-2</v>
      </c>
    </row>
    <row r="29" spans="1:29" x14ac:dyDescent="0.2">
      <c r="A29" s="8">
        <f>'Monthly Data'!A29</f>
        <v>43556</v>
      </c>
      <c r="B29">
        <f t="shared" si="1"/>
        <v>2019</v>
      </c>
      <c r="C29">
        <f t="shared" si="2"/>
        <v>4</v>
      </c>
      <c r="D29" s="19">
        <f>'Monthly Data'!N29</f>
        <v>112755840.54437633</v>
      </c>
      <c r="E29" s="21">
        <f>'Monthly Data'!BJ29</f>
        <v>235.04791666666668</v>
      </c>
      <c r="F29" s="21">
        <f>'Monthly Data'!BK29</f>
        <v>0</v>
      </c>
      <c r="G29" s="7">
        <f>'Monthly Data'!CV29</f>
        <v>0</v>
      </c>
      <c r="H29" s="7">
        <f>'Monthly Data'!CS29</f>
        <v>30</v>
      </c>
      <c r="I29" s="7">
        <f>'Monthly Data'!AO29</f>
        <v>806729</v>
      </c>
      <c r="J29" s="7">
        <f>'Monthly Data'!CF29</f>
        <v>0</v>
      </c>
      <c r="K29" s="7">
        <f>'Monthly Data'!BY29</f>
        <v>0</v>
      </c>
      <c r="M29" s="11">
        <f>'GS &gt; 50 Predicted Monthly'!$Z$10</f>
        <v>-1907163.1226077401</v>
      </c>
      <c r="N29" s="11">
        <f>E29*'GS &gt; 50 Predicted Monthly'!$Z$11</f>
        <v>5014324.2083251746</v>
      </c>
      <c r="O29" s="11">
        <f>F29*'GS &gt; 50 Predicted Monthly'!$Z$12</f>
        <v>0</v>
      </c>
      <c r="P29" s="11">
        <f>G29*'GS &gt; 50 Predicted Monthly'!$Z$13</f>
        <v>0</v>
      </c>
      <c r="Q29" s="11">
        <f>H29*'GS &gt; 50 Predicted Monthly'!$Z$14</f>
        <v>76960162.106093109</v>
      </c>
      <c r="R29" s="11">
        <f>I29*'GS &gt; 50 Predicted Monthly'!$Z$15</f>
        <v>35597929.388256826</v>
      </c>
      <c r="S29" s="11">
        <f>J29*'GS &gt; 50 Predicted Monthly'!$Z$16</f>
        <v>0</v>
      </c>
      <c r="T29" s="11">
        <f>K29*'GS &gt; 50 Predicted Monthly'!$Z$17</f>
        <v>0</v>
      </c>
      <c r="U29" s="11">
        <f t="shared" si="5"/>
        <v>115665252.58006737</v>
      </c>
      <c r="V29" s="11">
        <f t="shared" si="3"/>
        <v>2909412.0356910378</v>
      </c>
      <c r="W29" s="23">
        <f t="shared" si="4"/>
        <v>2.5802761272893941E-2</v>
      </c>
    </row>
    <row r="30" spans="1:29" x14ac:dyDescent="0.2">
      <c r="A30" s="8">
        <f>'Monthly Data'!A30</f>
        <v>43586</v>
      </c>
      <c r="B30">
        <f t="shared" si="1"/>
        <v>2019</v>
      </c>
      <c r="C30">
        <f t="shared" si="2"/>
        <v>5</v>
      </c>
      <c r="D30" s="19">
        <f>'Monthly Data'!N30</f>
        <v>116762983.33169977</v>
      </c>
      <c r="E30" s="21">
        <f>'Monthly Data'!BJ30</f>
        <v>74.912499999999994</v>
      </c>
      <c r="F30" s="21">
        <f>'Monthly Data'!BK30</f>
        <v>20.48749999999999</v>
      </c>
      <c r="G30" s="7">
        <f>'Monthly Data'!CV30</f>
        <v>0</v>
      </c>
      <c r="H30" s="7">
        <f>'Monthly Data'!CS30</f>
        <v>31</v>
      </c>
      <c r="I30" s="7">
        <f>'Monthly Data'!AO30</f>
        <v>806729</v>
      </c>
      <c r="J30" s="7">
        <f>'Monthly Data'!CF30</f>
        <v>0</v>
      </c>
      <c r="K30" s="7">
        <f>'Monthly Data'!BY30</f>
        <v>0</v>
      </c>
      <c r="M30" s="11">
        <f>'GS &gt; 50 Predicted Monthly'!$Z$10</f>
        <v>-1907163.1226077401</v>
      </c>
      <c r="N30" s="11">
        <f>E30*'GS &gt; 50 Predicted Monthly'!$Z$11</f>
        <v>1598123.3426070623</v>
      </c>
      <c r="O30" s="11">
        <f>F30*'GS &gt; 50 Predicted Monthly'!$Z$12</f>
        <v>2426974.9887647885</v>
      </c>
      <c r="P30" s="11">
        <f>G30*'GS &gt; 50 Predicted Monthly'!$Z$13</f>
        <v>0</v>
      </c>
      <c r="Q30" s="11">
        <f>H30*'GS &gt; 50 Predicted Monthly'!$Z$14</f>
        <v>79525500.842962876</v>
      </c>
      <c r="R30" s="11">
        <f>I30*'GS &gt; 50 Predicted Monthly'!$Z$15</f>
        <v>35597929.388256826</v>
      </c>
      <c r="S30" s="11">
        <f>J30*'GS &gt; 50 Predicted Monthly'!$Z$16</f>
        <v>0</v>
      </c>
      <c r="T30" s="11">
        <f>K30*'GS &gt; 50 Predicted Monthly'!$Z$17</f>
        <v>0</v>
      </c>
      <c r="U30" s="11">
        <f t="shared" si="5"/>
        <v>117241365.43998381</v>
      </c>
      <c r="V30" s="11">
        <f t="shared" si="3"/>
        <v>478382.10828404129</v>
      </c>
      <c r="W30" s="23">
        <f t="shared" si="4"/>
        <v>4.0970356754679305E-3</v>
      </c>
    </row>
    <row r="31" spans="1:29" x14ac:dyDescent="0.2">
      <c r="A31" s="8">
        <f>'Monthly Data'!A31</f>
        <v>43617</v>
      </c>
      <c r="B31">
        <f t="shared" si="1"/>
        <v>2019</v>
      </c>
      <c r="C31">
        <f t="shared" si="2"/>
        <v>6</v>
      </c>
      <c r="D31" s="19">
        <f>'Monthly Data'!N31</f>
        <v>120912813.73683724</v>
      </c>
      <c r="E31" s="21">
        <f>'Monthly Data'!BJ31</f>
        <v>4.4958333333333336</v>
      </c>
      <c r="F31" s="21">
        <f>'Monthly Data'!BK31</f>
        <v>127.21041666666667</v>
      </c>
      <c r="G31" s="7">
        <f>'Monthly Data'!CV31</f>
        <v>0</v>
      </c>
      <c r="H31" s="7">
        <f>'Monthly Data'!CS31</f>
        <v>30</v>
      </c>
      <c r="I31" s="7">
        <f>'Monthly Data'!AO31</f>
        <v>806729</v>
      </c>
      <c r="J31" s="7">
        <f>'Monthly Data'!CF31</f>
        <v>0</v>
      </c>
      <c r="K31" s="7">
        <f>'Monthly Data'!BY31</f>
        <v>0</v>
      </c>
      <c r="M31" s="11">
        <f>'GS &gt; 50 Predicted Monthly'!$Z$10</f>
        <v>-1907163.1226077401</v>
      </c>
      <c r="N31" s="11">
        <f>E31*'GS &gt; 50 Predicted Monthly'!$Z$11</f>
        <v>95910.511523055815</v>
      </c>
      <c r="O31" s="11">
        <f>F31*'GS &gt; 50 Predicted Monthly'!$Z$12</f>
        <v>15069505.774757661</v>
      </c>
      <c r="P31" s="11">
        <f>G31*'GS &gt; 50 Predicted Monthly'!$Z$13</f>
        <v>0</v>
      </c>
      <c r="Q31" s="11">
        <f>H31*'GS &gt; 50 Predicted Monthly'!$Z$14</f>
        <v>76960162.106093109</v>
      </c>
      <c r="R31" s="11">
        <f>I31*'GS &gt; 50 Predicted Monthly'!$Z$15</f>
        <v>35597929.388256826</v>
      </c>
      <c r="S31" s="11">
        <f>J31*'GS &gt; 50 Predicted Monthly'!$Z$16</f>
        <v>0</v>
      </c>
      <c r="T31" s="11">
        <f>K31*'GS &gt; 50 Predicted Monthly'!$Z$17</f>
        <v>0</v>
      </c>
      <c r="U31" s="11">
        <f t="shared" si="5"/>
        <v>125816344.65802291</v>
      </c>
      <c r="V31" s="11">
        <f t="shared" si="3"/>
        <v>4903530.9211856723</v>
      </c>
      <c r="W31" s="23">
        <f t="shared" si="4"/>
        <v>4.0554270218688702E-2</v>
      </c>
    </row>
    <row r="32" spans="1:29" x14ac:dyDescent="0.2">
      <c r="A32" s="8">
        <f>'Monthly Data'!A32</f>
        <v>43647</v>
      </c>
      <c r="B32">
        <f t="shared" si="1"/>
        <v>2019</v>
      </c>
      <c r="C32">
        <f t="shared" si="2"/>
        <v>7</v>
      </c>
      <c r="D32" s="19">
        <f>'Monthly Data'!N32</f>
        <v>140267312.68120268</v>
      </c>
      <c r="E32" s="21">
        <f>'Monthly Data'!BJ32</f>
        <v>0</v>
      </c>
      <c r="F32" s="21">
        <f>'Monthly Data'!BK32</f>
        <v>252.07500000000005</v>
      </c>
      <c r="G32" s="7">
        <f>'Monthly Data'!CV32</f>
        <v>0</v>
      </c>
      <c r="H32" s="7">
        <f>'Monthly Data'!CS32</f>
        <v>31</v>
      </c>
      <c r="I32" s="7">
        <f>'Monthly Data'!AO32</f>
        <v>810697</v>
      </c>
      <c r="J32" s="7">
        <f>'Monthly Data'!CF32</f>
        <v>0</v>
      </c>
      <c r="K32" s="7">
        <f>'Monthly Data'!BY32</f>
        <v>0</v>
      </c>
      <c r="M32" s="11">
        <f>'GS &gt; 50 Predicted Monthly'!$Z$10</f>
        <v>-1907163.1226077401</v>
      </c>
      <c r="N32" s="11">
        <f>E32*'GS &gt; 50 Predicted Monthly'!$Z$11</f>
        <v>0</v>
      </c>
      <c r="O32" s="11">
        <f>F32*'GS &gt; 50 Predicted Monthly'!$Z$12</f>
        <v>29861121.185741767</v>
      </c>
      <c r="P32" s="11">
        <f>G32*'GS &gt; 50 Predicted Monthly'!$Z$13</f>
        <v>0</v>
      </c>
      <c r="Q32" s="11">
        <f>H32*'GS &gt; 50 Predicted Monthly'!$Z$14</f>
        <v>79525500.842962876</v>
      </c>
      <c r="R32" s="11">
        <f>I32*'GS &gt; 50 Predicted Monthly'!$Z$15</f>
        <v>35773022.367203414</v>
      </c>
      <c r="S32" s="11">
        <f>J32*'GS &gt; 50 Predicted Monthly'!$Z$16</f>
        <v>0</v>
      </c>
      <c r="T32" s="11">
        <f>K32*'GS &gt; 50 Predicted Monthly'!$Z$17</f>
        <v>0</v>
      </c>
      <c r="U32" s="11">
        <f t="shared" si="5"/>
        <v>143252481.27330032</v>
      </c>
      <c r="V32" s="11">
        <f t="shared" si="3"/>
        <v>2985168.59209764</v>
      </c>
      <c r="W32" s="23">
        <f t="shared" si="4"/>
        <v>2.1281997459253275E-2</v>
      </c>
    </row>
    <row r="33" spans="1:23" x14ac:dyDescent="0.2">
      <c r="A33" s="8">
        <f>'Monthly Data'!A33</f>
        <v>43678</v>
      </c>
      <c r="B33">
        <f t="shared" si="1"/>
        <v>2019</v>
      </c>
      <c r="C33">
        <f t="shared" si="2"/>
        <v>8</v>
      </c>
      <c r="D33" s="19">
        <f>'Monthly Data'!N33</f>
        <v>134325215.26618317</v>
      </c>
      <c r="E33" s="21">
        <f>'Monthly Data'!BJ33</f>
        <v>0</v>
      </c>
      <c r="F33" s="21">
        <f>'Monthly Data'!BK33</f>
        <v>182.71666666666661</v>
      </c>
      <c r="G33" s="7">
        <f>'Monthly Data'!CV33</f>
        <v>0</v>
      </c>
      <c r="H33" s="7">
        <f>'Monthly Data'!CS33</f>
        <v>31</v>
      </c>
      <c r="I33" s="7">
        <f>'Monthly Data'!AO33</f>
        <v>810697</v>
      </c>
      <c r="J33" s="7">
        <f>'Monthly Data'!CF33</f>
        <v>0</v>
      </c>
      <c r="K33" s="7">
        <f>'Monthly Data'!BY33</f>
        <v>1</v>
      </c>
      <c r="M33" s="11">
        <f>'GS &gt; 50 Predicted Monthly'!$Z$10</f>
        <v>-1907163.1226077401</v>
      </c>
      <c r="N33" s="11">
        <f>E33*'GS &gt; 50 Predicted Monthly'!$Z$11</f>
        <v>0</v>
      </c>
      <c r="O33" s="11">
        <f>F33*'GS &gt; 50 Predicted Monthly'!$Z$12</f>
        <v>21644845.883122541</v>
      </c>
      <c r="P33" s="11">
        <f>G33*'GS &gt; 50 Predicted Monthly'!$Z$13</f>
        <v>0</v>
      </c>
      <c r="Q33" s="11">
        <f>H33*'GS &gt; 50 Predicted Monthly'!$Z$14</f>
        <v>79525500.842962876</v>
      </c>
      <c r="R33" s="11">
        <f>I33*'GS &gt; 50 Predicted Monthly'!$Z$15</f>
        <v>35773022.367203414</v>
      </c>
      <c r="S33" s="11">
        <f>J33*'GS &gt; 50 Predicted Monthly'!$Z$16</f>
        <v>0</v>
      </c>
      <c r="T33" s="11">
        <f>K33*'GS &gt; 50 Predicted Monthly'!$Z$17</f>
        <v>2800660.9376037801</v>
      </c>
      <c r="U33" s="11">
        <f t="shared" si="5"/>
        <v>137836866.90828484</v>
      </c>
      <c r="V33" s="11">
        <f t="shared" si="3"/>
        <v>3511651.6421016753</v>
      </c>
      <c r="W33" s="23">
        <f t="shared" si="4"/>
        <v>2.6142907235569088E-2</v>
      </c>
    </row>
    <row r="34" spans="1:23" x14ac:dyDescent="0.2">
      <c r="A34" s="8">
        <f>'Monthly Data'!A34</f>
        <v>43709</v>
      </c>
      <c r="B34">
        <f t="shared" si="1"/>
        <v>2019</v>
      </c>
      <c r="C34">
        <f t="shared" si="2"/>
        <v>9</v>
      </c>
      <c r="D34" s="19">
        <f>'Monthly Data'!N34</f>
        <v>124892350.68187562</v>
      </c>
      <c r="E34" s="21">
        <f>'Monthly Data'!BJ34</f>
        <v>1.8833333333333364</v>
      </c>
      <c r="F34" s="21">
        <f>'Monthly Data'!BK34</f>
        <v>103.38124999999999</v>
      </c>
      <c r="G34" s="7">
        <f>'Monthly Data'!CV34</f>
        <v>0</v>
      </c>
      <c r="H34" s="7">
        <f>'Monthly Data'!CS34</f>
        <v>30</v>
      </c>
      <c r="I34" s="7">
        <f>'Monthly Data'!AO34</f>
        <v>810697</v>
      </c>
      <c r="J34" s="7">
        <f>'Monthly Data'!CF34</f>
        <v>1</v>
      </c>
      <c r="K34" s="7">
        <f>'Monthly Data'!BY34</f>
        <v>0</v>
      </c>
      <c r="M34" s="11">
        <f>'GS &gt; 50 Predicted Monthly'!$Z$10</f>
        <v>-1907163.1226077401</v>
      </c>
      <c r="N34" s="11">
        <f>E34*'GS &gt; 50 Predicted Monthly'!$Z$11</f>
        <v>40177.526606507228</v>
      </c>
      <c r="O34" s="11">
        <f>F34*'GS &gt; 50 Predicted Monthly'!$Z$12</f>
        <v>12246672.754471745</v>
      </c>
      <c r="P34" s="11">
        <f>G34*'GS &gt; 50 Predicted Monthly'!$Z$13</f>
        <v>0</v>
      </c>
      <c r="Q34" s="11">
        <f>H34*'GS &gt; 50 Predicted Monthly'!$Z$14</f>
        <v>76960162.106093109</v>
      </c>
      <c r="R34" s="11">
        <f>I34*'GS &gt; 50 Predicted Monthly'!$Z$15</f>
        <v>35773022.367203414</v>
      </c>
      <c r="S34" s="11">
        <f>J34*'GS &gt; 50 Predicted Monthly'!$Z$16</f>
        <v>3497669.1063549998</v>
      </c>
      <c r="T34" s="11">
        <f>K34*'GS &gt; 50 Predicted Monthly'!$Z$17</f>
        <v>0</v>
      </c>
      <c r="U34" s="11">
        <f t="shared" si="5"/>
        <v>126610540.73812203</v>
      </c>
      <c r="V34" s="11">
        <f t="shared" ref="V34:V65" si="6">U34-D34</f>
        <v>1718190.0562464148</v>
      </c>
      <c r="W34" s="23">
        <f t="shared" ref="W34:W65" si="7">ABS(V34/D34)</f>
        <v>1.3757368220436246E-2</v>
      </c>
    </row>
    <row r="35" spans="1:23" x14ac:dyDescent="0.2">
      <c r="A35" s="8">
        <f>'Monthly Data'!A35</f>
        <v>43739</v>
      </c>
      <c r="B35">
        <f t="shared" si="1"/>
        <v>2019</v>
      </c>
      <c r="C35">
        <f t="shared" si="2"/>
        <v>10</v>
      </c>
      <c r="D35" s="19">
        <f>'Monthly Data'!N35</f>
        <v>120326999.51092409</v>
      </c>
      <c r="E35" s="21">
        <f>'Monthly Data'!BJ35</f>
        <v>126.96250000000001</v>
      </c>
      <c r="F35" s="21">
        <f>'Monthly Data'!BK35</f>
        <v>10.866666666666669</v>
      </c>
      <c r="G35" s="7">
        <f>'Monthly Data'!CV35</f>
        <v>0</v>
      </c>
      <c r="H35" s="7">
        <f>'Monthly Data'!CS35</f>
        <v>31</v>
      </c>
      <c r="I35" s="7">
        <f>'Monthly Data'!AO35</f>
        <v>812164</v>
      </c>
      <c r="J35" s="7">
        <f>'Monthly Data'!CF35</f>
        <v>1</v>
      </c>
      <c r="K35" s="7">
        <f>'Monthly Data'!BY35</f>
        <v>0</v>
      </c>
      <c r="M35" s="11">
        <f>'GS &gt; 50 Predicted Monthly'!$Z$10</f>
        <v>-1907163.1226077401</v>
      </c>
      <c r="N35" s="11">
        <f>E35*'GS &gt; 50 Predicted Monthly'!$Z$11</f>
        <v>2708516.4009444243</v>
      </c>
      <c r="O35" s="11">
        <f>F35*'GS &gt; 50 Predicted Monthly'!$Z$12</f>
        <v>1287278.9852956219</v>
      </c>
      <c r="P35" s="11">
        <f>G35*'GS &gt; 50 Predicted Monthly'!$Z$13</f>
        <v>0</v>
      </c>
      <c r="Q35" s="11">
        <f>H35*'GS &gt; 50 Predicted Monthly'!$Z$14</f>
        <v>79525500.842962876</v>
      </c>
      <c r="R35" s="11">
        <f>I35*'GS &gt; 50 Predicted Monthly'!$Z$15</f>
        <v>35837755.58295811</v>
      </c>
      <c r="S35" s="11">
        <f>J35*'GS &gt; 50 Predicted Monthly'!$Z$16</f>
        <v>3497669.1063549998</v>
      </c>
      <c r="T35" s="11">
        <f>K35*'GS &gt; 50 Predicted Monthly'!$Z$17</f>
        <v>0</v>
      </c>
      <c r="U35" s="11">
        <f t="shared" si="5"/>
        <v>120949557.79590829</v>
      </c>
      <c r="V35" s="11">
        <f t="shared" si="6"/>
        <v>622558.28498420119</v>
      </c>
      <c r="W35" s="23">
        <f t="shared" si="7"/>
        <v>5.173886887520047E-3</v>
      </c>
    </row>
    <row r="36" spans="1:23" x14ac:dyDescent="0.2">
      <c r="A36" s="8">
        <f>'Monthly Data'!A36</f>
        <v>43770</v>
      </c>
      <c r="B36">
        <f t="shared" si="1"/>
        <v>2019</v>
      </c>
      <c r="C36">
        <f t="shared" si="2"/>
        <v>11</v>
      </c>
      <c r="D36" s="19">
        <f>'Monthly Data'!N36</f>
        <v>119811245.49147254</v>
      </c>
      <c r="E36" s="21">
        <f>'Monthly Data'!BJ36</f>
        <v>403.4666666666667</v>
      </c>
      <c r="F36" s="21">
        <f>'Monthly Data'!BK36</f>
        <v>0</v>
      </c>
      <c r="G36" s="7">
        <f>'Monthly Data'!CV36</f>
        <v>0</v>
      </c>
      <c r="H36" s="7">
        <f>'Monthly Data'!CS36</f>
        <v>30</v>
      </c>
      <c r="I36" s="7">
        <f>'Monthly Data'!AO36</f>
        <v>812164</v>
      </c>
      <c r="J36" s="7">
        <f>'Monthly Data'!CF36</f>
        <v>1</v>
      </c>
      <c r="K36" s="7">
        <f>'Monthly Data'!BY36</f>
        <v>0</v>
      </c>
      <c r="M36" s="11">
        <f>'GS &gt; 50 Predicted Monthly'!$Z$10</f>
        <v>-1907163.1226077401</v>
      </c>
      <c r="N36" s="11">
        <f>E36*'GS &gt; 50 Predicted Monthly'!$Z$11</f>
        <v>8607235.0804453567</v>
      </c>
      <c r="O36" s="11">
        <f>F36*'GS &gt; 50 Predicted Monthly'!$Z$12</f>
        <v>0</v>
      </c>
      <c r="P36" s="11">
        <f>G36*'GS &gt; 50 Predicted Monthly'!$Z$13</f>
        <v>0</v>
      </c>
      <c r="Q36" s="11">
        <f>H36*'GS &gt; 50 Predicted Monthly'!$Z$14</f>
        <v>76960162.106093109</v>
      </c>
      <c r="R36" s="11">
        <f>I36*'GS &gt; 50 Predicted Monthly'!$Z$15</f>
        <v>35837755.58295811</v>
      </c>
      <c r="S36" s="11">
        <f>J36*'GS &gt; 50 Predicted Monthly'!$Z$16</f>
        <v>3497669.1063549998</v>
      </c>
      <c r="T36" s="11">
        <f>K36*'GS &gt; 50 Predicted Monthly'!$Z$17</f>
        <v>0</v>
      </c>
      <c r="U36" s="11">
        <f t="shared" si="5"/>
        <v>122995658.75324382</v>
      </c>
      <c r="V36" s="11">
        <f t="shared" si="6"/>
        <v>3184413.2617712766</v>
      </c>
      <c r="W36" s="23">
        <f t="shared" si="7"/>
        <v>2.6578584077885447E-2</v>
      </c>
    </row>
    <row r="37" spans="1:23" x14ac:dyDescent="0.2">
      <c r="A37" s="8">
        <f>'Monthly Data'!A37</f>
        <v>43800</v>
      </c>
      <c r="B37">
        <f t="shared" si="1"/>
        <v>2019</v>
      </c>
      <c r="C37">
        <f t="shared" si="2"/>
        <v>12</v>
      </c>
      <c r="D37" s="19">
        <f>'Monthly Data'!N37</f>
        <v>119234475.76994899</v>
      </c>
      <c r="E37" s="21">
        <f>'Monthly Data'!BJ37</f>
        <v>456.13125000000002</v>
      </c>
      <c r="F37" s="21">
        <f>'Monthly Data'!BK37</f>
        <v>0</v>
      </c>
      <c r="G37" s="7">
        <f>'Monthly Data'!CV37</f>
        <v>0</v>
      </c>
      <c r="H37" s="7">
        <f>'Monthly Data'!CS37</f>
        <v>31</v>
      </c>
      <c r="I37" s="7">
        <f>'Monthly Data'!AO37</f>
        <v>812164</v>
      </c>
      <c r="J37" s="7">
        <f>'Monthly Data'!CF37</f>
        <v>0</v>
      </c>
      <c r="K37" s="7">
        <f>'Monthly Data'!BY37</f>
        <v>0</v>
      </c>
      <c r="M37" s="11">
        <f>'GS &gt; 50 Predicted Monthly'!$Z$10</f>
        <v>-1907163.1226077401</v>
      </c>
      <c r="N37" s="11">
        <f>E37*'GS &gt; 50 Predicted Monthly'!$Z$11</f>
        <v>9730739.1679297537</v>
      </c>
      <c r="O37" s="11">
        <f>F37*'GS &gt; 50 Predicted Monthly'!$Z$12</f>
        <v>0</v>
      </c>
      <c r="P37" s="11">
        <f>G37*'GS &gt; 50 Predicted Monthly'!$Z$13</f>
        <v>0</v>
      </c>
      <c r="Q37" s="11">
        <f>H37*'GS &gt; 50 Predicted Monthly'!$Z$14</f>
        <v>79525500.842962876</v>
      </c>
      <c r="R37" s="11">
        <f>I37*'GS &gt; 50 Predicted Monthly'!$Z$15</f>
        <v>35837755.58295811</v>
      </c>
      <c r="S37" s="11">
        <f>J37*'GS &gt; 50 Predicted Monthly'!$Z$16</f>
        <v>0</v>
      </c>
      <c r="T37" s="11">
        <f>K37*'GS &gt; 50 Predicted Monthly'!$Z$17</f>
        <v>0</v>
      </c>
      <c r="U37" s="11">
        <f t="shared" si="5"/>
        <v>123186832.47124299</v>
      </c>
      <c r="V37" s="11">
        <f t="shared" si="6"/>
        <v>3952356.7012940049</v>
      </c>
      <c r="W37" s="23">
        <f t="shared" si="7"/>
        <v>3.3147767671824063E-2</v>
      </c>
    </row>
    <row r="38" spans="1:23" x14ac:dyDescent="0.2">
      <c r="A38" s="8">
        <f>'Monthly Data'!A38</f>
        <v>43831</v>
      </c>
      <c r="B38">
        <f t="shared" si="1"/>
        <v>2020</v>
      </c>
      <c r="C38">
        <f t="shared" si="2"/>
        <v>1</v>
      </c>
      <c r="D38" s="19">
        <f>'Monthly Data'!N38</f>
        <v>125430467.18861799</v>
      </c>
      <c r="E38" s="21">
        <f>'Monthly Data'!BJ38</f>
        <v>478.31249999999994</v>
      </c>
      <c r="F38" s="21">
        <f>'Monthly Data'!BK38</f>
        <v>0</v>
      </c>
      <c r="G38" s="7">
        <f>'Monthly Data'!CV38</f>
        <v>0</v>
      </c>
      <c r="H38" s="7">
        <f>'Monthly Data'!CS38</f>
        <v>31</v>
      </c>
      <c r="I38" s="7">
        <f>'Monthly Data'!AO38</f>
        <v>801246</v>
      </c>
      <c r="J38" s="7">
        <f>'Monthly Data'!CF38</f>
        <v>0</v>
      </c>
      <c r="K38" s="7">
        <f>'Monthly Data'!BY38</f>
        <v>0</v>
      </c>
      <c r="M38" s="11">
        <f>'GS &gt; 50 Predicted Monthly'!$Z$10</f>
        <v>-1907163.1226077401</v>
      </c>
      <c r="N38" s="11">
        <f>E38*'GS &gt; 50 Predicted Monthly'!$Z$11</f>
        <v>10203936.209721215</v>
      </c>
      <c r="O38" s="11">
        <f>F38*'GS &gt; 50 Predicted Monthly'!$Z$12</f>
        <v>0</v>
      </c>
      <c r="P38" s="11">
        <f>G38*'GS &gt; 50 Predicted Monthly'!$Z$13</f>
        <v>0</v>
      </c>
      <c r="Q38" s="11">
        <f>H38*'GS &gt; 50 Predicted Monthly'!$Z$14</f>
        <v>79525500.842962876</v>
      </c>
      <c r="R38" s="11">
        <f>I38*'GS &gt; 50 Predicted Monthly'!$Z$15</f>
        <v>35355985.133326344</v>
      </c>
      <c r="S38" s="11">
        <f>J38*'GS &gt; 50 Predicted Monthly'!$Z$16</f>
        <v>0</v>
      </c>
      <c r="T38" s="11">
        <f>K38*'GS &gt; 50 Predicted Monthly'!$Z$17</f>
        <v>0</v>
      </c>
      <c r="U38" s="11">
        <f t="shared" si="5"/>
        <v>123178259.06340268</v>
      </c>
      <c r="V38" s="11">
        <f t="shared" si="6"/>
        <v>-2252208.1252153069</v>
      </c>
      <c r="W38" s="23">
        <f t="shared" si="7"/>
        <v>1.7955829837008535E-2</v>
      </c>
    </row>
    <row r="39" spans="1:23" x14ac:dyDescent="0.2">
      <c r="A39" s="8">
        <f>'Monthly Data'!A39</f>
        <v>43862</v>
      </c>
      <c r="B39">
        <f t="shared" si="1"/>
        <v>2020</v>
      </c>
      <c r="C39">
        <f t="shared" si="2"/>
        <v>2</v>
      </c>
      <c r="D39" s="19">
        <f>'Monthly Data'!N39</f>
        <v>118571418.15449654</v>
      </c>
      <c r="E39" s="21">
        <f>'Monthly Data'!BJ39</f>
        <v>496.01666666666659</v>
      </c>
      <c r="F39" s="21">
        <f>'Monthly Data'!BK39</f>
        <v>0</v>
      </c>
      <c r="G39" s="7">
        <f>'Monthly Data'!CV39</f>
        <v>0</v>
      </c>
      <c r="H39" s="7">
        <f>'Monthly Data'!CS39</f>
        <v>29</v>
      </c>
      <c r="I39" s="7">
        <f>'Monthly Data'!AO39</f>
        <v>801246</v>
      </c>
      <c r="J39" s="7">
        <f>'Monthly Data'!CF39</f>
        <v>0</v>
      </c>
      <c r="K39" s="7">
        <f>'Monthly Data'!BY39</f>
        <v>0</v>
      </c>
      <c r="M39" s="11">
        <f>'GS &gt; 50 Predicted Monthly'!$Z$10</f>
        <v>-1907163.1226077401</v>
      </c>
      <c r="N39" s="11">
        <f>E39*'GS &gt; 50 Predicted Monthly'!$Z$11</f>
        <v>10581622.73748902</v>
      </c>
      <c r="O39" s="11">
        <f>F39*'GS &gt; 50 Predicted Monthly'!$Z$12</f>
        <v>0</v>
      </c>
      <c r="P39" s="11">
        <f>G39*'GS &gt; 50 Predicted Monthly'!$Z$13</f>
        <v>0</v>
      </c>
      <c r="Q39" s="11">
        <f>H39*'GS &gt; 50 Predicted Monthly'!$Z$14</f>
        <v>74394823.369223326</v>
      </c>
      <c r="R39" s="11">
        <f>I39*'GS &gt; 50 Predicted Monthly'!$Z$15</f>
        <v>35355985.133326344</v>
      </c>
      <c r="S39" s="11">
        <f>J39*'GS &gt; 50 Predicted Monthly'!$Z$16</f>
        <v>0</v>
      </c>
      <c r="T39" s="11">
        <f>K39*'GS &gt; 50 Predicted Monthly'!$Z$17</f>
        <v>0</v>
      </c>
      <c r="U39" s="11">
        <f t="shared" si="5"/>
        <v>118425268.11743096</v>
      </c>
      <c r="V39" s="11">
        <f t="shared" si="6"/>
        <v>-146150.03706558049</v>
      </c>
      <c r="W39" s="23">
        <f t="shared" si="7"/>
        <v>1.2325907823346558E-3</v>
      </c>
    </row>
    <row r="40" spans="1:23" x14ac:dyDescent="0.2">
      <c r="A40" s="8">
        <f>'Monthly Data'!A40</f>
        <v>43891</v>
      </c>
      <c r="B40">
        <f t="shared" si="1"/>
        <v>2020</v>
      </c>
      <c r="C40">
        <f t="shared" si="2"/>
        <v>3</v>
      </c>
      <c r="D40" s="19">
        <f>'Monthly Data'!N40</f>
        <v>117295704.87835306</v>
      </c>
      <c r="E40" s="21">
        <f>'Monthly Data'!BJ40</f>
        <v>346.7208333333333</v>
      </c>
      <c r="F40" s="21">
        <f>'Monthly Data'!BK40</f>
        <v>0</v>
      </c>
      <c r="G40" s="7">
        <f>'Monthly Data'!CV40</f>
        <v>0.5</v>
      </c>
      <c r="H40" s="7">
        <f>'Monthly Data'!CS40</f>
        <v>31</v>
      </c>
      <c r="I40" s="7">
        <f>'Monthly Data'!AO40</f>
        <v>801246</v>
      </c>
      <c r="J40" s="7">
        <f>'Monthly Data'!CF40</f>
        <v>0</v>
      </c>
      <c r="K40" s="7">
        <f>'Monthly Data'!BY40</f>
        <v>0</v>
      </c>
      <c r="M40" s="11">
        <f>'GS &gt; 50 Predicted Monthly'!$Z$10</f>
        <v>-1907163.1226077401</v>
      </c>
      <c r="N40" s="11">
        <f>E40*'GS &gt; 50 Predicted Monthly'!$Z$11</f>
        <v>7396664.8705913275</v>
      </c>
      <c r="O40" s="11">
        <f>F40*'GS &gt; 50 Predicted Monthly'!$Z$12</f>
        <v>0</v>
      </c>
      <c r="P40" s="11">
        <f>G40*'GS &gt; 50 Predicted Monthly'!$Z$13</f>
        <v>-4931707.7200885154</v>
      </c>
      <c r="Q40" s="11">
        <f>H40*'GS &gt; 50 Predicted Monthly'!$Z$14</f>
        <v>79525500.842962876</v>
      </c>
      <c r="R40" s="11">
        <f>I40*'GS &gt; 50 Predicted Monthly'!$Z$15</f>
        <v>35355985.133326344</v>
      </c>
      <c r="S40" s="11">
        <f>J40*'GS &gt; 50 Predicted Monthly'!$Z$16</f>
        <v>0</v>
      </c>
      <c r="T40" s="11">
        <f>K40*'GS &gt; 50 Predicted Monthly'!$Z$17</f>
        <v>0</v>
      </c>
      <c r="U40" s="11">
        <f t="shared" si="5"/>
        <v>115439280.00418431</v>
      </c>
      <c r="V40" s="11">
        <f t="shared" si="6"/>
        <v>-1856424.8741687536</v>
      </c>
      <c r="W40" s="23">
        <f t="shared" si="7"/>
        <v>1.5826878538255471E-2</v>
      </c>
    </row>
    <row r="41" spans="1:23" x14ac:dyDescent="0.2">
      <c r="A41" s="8">
        <f>'Monthly Data'!A41</f>
        <v>43922</v>
      </c>
      <c r="B41">
        <f t="shared" si="1"/>
        <v>2020</v>
      </c>
      <c r="C41">
        <f t="shared" si="2"/>
        <v>4</v>
      </c>
      <c r="D41" s="19">
        <f>'Monthly Data'!N41</f>
        <v>98603522.653697401</v>
      </c>
      <c r="E41" s="21">
        <f>'Monthly Data'!BJ41</f>
        <v>265.07083333333338</v>
      </c>
      <c r="F41" s="21">
        <f>'Monthly Data'!BK41</f>
        <v>0</v>
      </c>
      <c r="G41" s="7">
        <f>'Monthly Data'!CV41</f>
        <v>1</v>
      </c>
      <c r="H41" s="7">
        <f>'Monthly Data'!CS41</f>
        <v>30</v>
      </c>
      <c r="I41" s="7">
        <f>'Monthly Data'!AO41</f>
        <v>705711</v>
      </c>
      <c r="J41" s="7">
        <f>'Monthly Data'!CF41</f>
        <v>0</v>
      </c>
      <c r="K41" s="7">
        <f>'Monthly Data'!BY41</f>
        <v>0</v>
      </c>
      <c r="M41" s="11">
        <f>'GS &gt; 50 Predicted Monthly'!$Z$10</f>
        <v>-1907163.1226077401</v>
      </c>
      <c r="N41" s="11">
        <f>E41*'GS &gt; 50 Predicted Monthly'!$Z$11</f>
        <v>5654809.0931994831</v>
      </c>
      <c r="O41" s="11">
        <f>F41*'GS &gt; 50 Predicted Monthly'!$Z$12</f>
        <v>0</v>
      </c>
      <c r="P41" s="11">
        <f>G41*'GS &gt; 50 Predicted Monthly'!$Z$13</f>
        <v>-9863415.4401770309</v>
      </c>
      <c r="Q41" s="11">
        <f>H41*'GS &gt; 50 Predicted Monthly'!$Z$14</f>
        <v>76960162.106093109</v>
      </c>
      <c r="R41" s="11">
        <f>I41*'GS &gt; 50 Predicted Monthly'!$Z$15</f>
        <v>31140383.383411419</v>
      </c>
      <c r="S41" s="11">
        <f>J41*'GS &gt; 50 Predicted Monthly'!$Z$16</f>
        <v>0</v>
      </c>
      <c r="T41" s="11">
        <f>K41*'GS &gt; 50 Predicted Monthly'!$Z$17</f>
        <v>0</v>
      </c>
      <c r="U41" s="11">
        <f t="shared" si="5"/>
        <v>101984776.01991925</v>
      </c>
      <c r="V41" s="11">
        <f t="shared" si="6"/>
        <v>3381253.3662218451</v>
      </c>
      <c r="W41" s="23">
        <f t="shared" si="7"/>
        <v>3.4291405369938438E-2</v>
      </c>
    </row>
    <row r="42" spans="1:23" x14ac:dyDescent="0.2">
      <c r="A42" s="8">
        <f>'Monthly Data'!A42</f>
        <v>43952</v>
      </c>
      <c r="B42">
        <f t="shared" si="1"/>
        <v>2020</v>
      </c>
      <c r="C42">
        <f t="shared" si="2"/>
        <v>5</v>
      </c>
      <c r="D42" s="19">
        <f>'Monthly Data'!N42</f>
        <v>105305767.47523543</v>
      </c>
      <c r="E42" s="21">
        <f>'Monthly Data'!BJ42</f>
        <v>117.34583333333333</v>
      </c>
      <c r="F42" s="21">
        <f>'Monthly Data'!BK42</f>
        <v>55.616666666666646</v>
      </c>
      <c r="G42" s="7">
        <f>'Monthly Data'!CV42</f>
        <v>1</v>
      </c>
      <c r="H42" s="7">
        <f>'Monthly Data'!CS42</f>
        <v>31</v>
      </c>
      <c r="I42" s="7">
        <f>'Monthly Data'!AO42</f>
        <v>705711</v>
      </c>
      <c r="J42" s="7">
        <f>'Monthly Data'!CF42</f>
        <v>0</v>
      </c>
      <c r="K42" s="7">
        <f>'Monthly Data'!BY42</f>
        <v>0</v>
      </c>
      <c r="M42" s="11">
        <f>'GS &gt; 50 Predicted Monthly'!$Z$10</f>
        <v>-1907163.1226077401</v>
      </c>
      <c r="N42" s="11">
        <f>E42*'GS &gt; 50 Predicted Monthly'!$Z$11</f>
        <v>2503362.1279182769</v>
      </c>
      <c r="O42" s="11">
        <f>F42*'GS &gt; 50 Predicted Monthly'!$Z$12</f>
        <v>6588420.2054163925</v>
      </c>
      <c r="P42" s="11">
        <f>G42*'GS &gt; 50 Predicted Monthly'!$Z$13</f>
        <v>-9863415.4401770309</v>
      </c>
      <c r="Q42" s="11">
        <f>H42*'GS &gt; 50 Predicted Monthly'!$Z$14</f>
        <v>79525500.842962876</v>
      </c>
      <c r="R42" s="11">
        <f>I42*'GS &gt; 50 Predicted Monthly'!$Z$15</f>
        <v>31140383.383411419</v>
      </c>
      <c r="S42" s="11">
        <f>J42*'GS &gt; 50 Predicted Monthly'!$Z$16</f>
        <v>0</v>
      </c>
      <c r="T42" s="11">
        <f>K42*'GS &gt; 50 Predicted Monthly'!$Z$17</f>
        <v>0</v>
      </c>
      <c r="U42" s="11">
        <f t="shared" si="5"/>
        <v>107987087.99692419</v>
      </c>
      <c r="V42" s="11">
        <f t="shared" si="6"/>
        <v>2681320.5216887593</v>
      </c>
      <c r="W42" s="23">
        <f t="shared" si="7"/>
        <v>2.5462238070857048E-2</v>
      </c>
    </row>
    <row r="43" spans="1:23" x14ac:dyDescent="0.2">
      <c r="A43" s="8">
        <f>'Monthly Data'!A43</f>
        <v>43983</v>
      </c>
      <c r="B43">
        <f t="shared" si="1"/>
        <v>2020</v>
      </c>
      <c r="C43">
        <f t="shared" si="2"/>
        <v>6</v>
      </c>
      <c r="D43" s="19">
        <f>'Monthly Data'!N43</f>
        <v>121746154.50347269</v>
      </c>
      <c r="E43" s="21">
        <f>'Monthly Data'!BJ43</f>
        <v>3.7708333333333339</v>
      </c>
      <c r="F43" s="21">
        <f>'Monthly Data'!BK43</f>
        <v>167.22499999999997</v>
      </c>
      <c r="G43" s="7">
        <f>'Monthly Data'!CV43</f>
        <v>0.5</v>
      </c>
      <c r="H43" s="7">
        <f>'Monthly Data'!CS43</f>
        <v>30</v>
      </c>
      <c r="I43" s="7">
        <f>'Monthly Data'!AO43</f>
        <v>705711</v>
      </c>
      <c r="J43" s="7">
        <f>'Monthly Data'!CF43</f>
        <v>0</v>
      </c>
      <c r="K43" s="7">
        <f>'Monthly Data'!BY43</f>
        <v>0</v>
      </c>
      <c r="M43" s="11">
        <f>'GS &gt; 50 Predicted Monthly'!$Z$10</f>
        <v>-1907163.1226077401</v>
      </c>
      <c r="N43" s="11">
        <f>E43*'GS &gt; 50 Predicted Monthly'!$Z$11</f>
        <v>80443.94154621457</v>
      </c>
      <c r="O43" s="11">
        <f>F43*'GS &gt; 50 Predicted Monthly'!$Z$12</f>
        <v>19809683.587367512</v>
      </c>
      <c r="P43" s="11">
        <f>G43*'GS &gt; 50 Predicted Monthly'!$Z$13</f>
        <v>-4931707.7200885154</v>
      </c>
      <c r="Q43" s="11">
        <f>H43*'GS &gt; 50 Predicted Monthly'!$Z$14</f>
        <v>76960162.106093109</v>
      </c>
      <c r="R43" s="11">
        <f>I43*'GS &gt; 50 Predicted Monthly'!$Z$15</f>
        <v>31140383.383411419</v>
      </c>
      <c r="S43" s="11">
        <f>J43*'GS &gt; 50 Predicted Monthly'!$Z$16</f>
        <v>0</v>
      </c>
      <c r="T43" s="11">
        <f>K43*'GS &gt; 50 Predicted Monthly'!$Z$17</f>
        <v>0</v>
      </c>
      <c r="U43" s="11">
        <f t="shared" si="5"/>
        <v>121151802.175722</v>
      </c>
      <c r="V43" s="11">
        <f t="shared" si="6"/>
        <v>-594352.32775068283</v>
      </c>
      <c r="W43" s="23">
        <f t="shared" si="7"/>
        <v>4.8818981607647374E-3</v>
      </c>
    </row>
    <row r="44" spans="1:23" x14ac:dyDescent="0.2">
      <c r="A44" s="8">
        <f>'Monthly Data'!A44</f>
        <v>44013</v>
      </c>
      <c r="B44">
        <f t="shared" si="1"/>
        <v>2020</v>
      </c>
      <c r="C44">
        <f t="shared" si="2"/>
        <v>7</v>
      </c>
      <c r="D44" s="19">
        <f>'Monthly Data'!N44</f>
        <v>139946746.85685223</v>
      </c>
      <c r="E44" s="21">
        <f>'Monthly Data'!BJ44</f>
        <v>0</v>
      </c>
      <c r="F44" s="21">
        <f>'Monthly Data'!BK44</f>
        <v>285.85000000000008</v>
      </c>
      <c r="G44" s="7">
        <f>'Monthly Data'!CV44</f>
        <v>0.5</v>
      </c>
      <c r="H44" s="7">
        <f>'Monthly Data'!CS44</f>
        <v>31</v>
      </c>
      <c r="I44" s="7">
        <f>'Monthly Data'!AO44</f>
        <v>778294</v>
      </c>
      <c r="J44" s="7">
        <f>'Monthly Data'!CF44</f>
        <v>0</v>
      </c>
      <c r="K44" s="7">
        <f>'Monthly Data'!BY44</f>
        <v>0</v>
      </c>
      <c r="M44" s="11">
        <f>'GS &gt; 50 Predicted Monthly'!$Z$10</f>
        <v>-1907163.1226077401</v>
      </c>
      <c r="N44" s="11">
        <f>E44*'GS &gt; 50 Predicted Monthly'!$Z$11</f>
        <v>0</v>
      </c>
      <c r="O44" s="11">
        <f>F44*'GS &gt; 50 Predicted Monthly'!$Z$12</f>
        <v>33862150.117799409</v>
      </c>
      <c r="P44" s="11">
        <f>G44*'GS &gt; 50 Predicted Monthly'!$Z$13</f>
        <v>-4931707.7200885154</v>
      </c>
      <c r="Q44" s="11">
        <f>H44*'GS &gt; 50 Predicted Monthly'!$Z$14</f>
        <v>79525500.842962876</v>
      </c>
      <c r="R44" s="11">
        <f>I44*'GS &gt; 50 Predicted Monthly'!$Z$15</f>
        <v>34343199.333734073</v>
      </c>
      <c r="S44" s="11">
        <f>J44*'GS &gt; 50 Predicted Monthly'!$Z$16</f>
        <v>0</v>
      </c>
      <c r="T44" s="11">
        <f>K44*'GS &gt; 50 Predicted Monthly'!$Z$17</f>
        <v>0</v>
      </c>
      <c r="U44" s="11">
        <f t="shared" si="5"/>
        <v>140891979.45180011</v>
      </c>
      <c r="V44" s="11">
        <f t="shared" si="6"/>
        <v>945232.59494787455</v>
      </c>
      <c r="W44" s="23">
        <f t="shared" si="7"/>
        <v>6.7542305639639311E-3</v>
      </c>
    </row>
    <row r="45" spans="1:23" x14ac:dyDescent="0.2">
      <c r="A45" s="8">
        <f>'Monthly Data'!A45</f>
        <v>44044</v>
      </c>
      <c r="B45">
        <f t="shared" si="1"/>
        <v>2020</v>
      </c>
      <c r="C45">
        <f t="shared" si="2"/>
        <v>8</v>
      </c>
      <c r="D45" s="19">
        <f>'Monthly Data'!N45</f>
        <v>133892282.17763576</v>
      </c>
      <c r="E45" s="21">
        <f>'Monthly Data'!BJ45</f>
        <v>0</v>
      </c>
      <c r="F45" s="21">
        <f>'Monthly Data'!BK45</f>
        <v>199.54583333333341</v>
      </c>
      <c r="G45" s="7">
        <f>'Monthly Data'!CV45</f>
        <v>0.5</v>
      </c>
      <c r="H45" s="7">
        <f>'Monthly Data'!CS45</f>
        <v>31</v>
      </c>
      <c r="I45" s="7">
        <f>'Monthly Data'!AO45</f>
        <v>778294</v>
      </c>
      <c r="J45" s="7">
        <f>'Monthly Data'!CF45</f>
        <v>0</v>
      </c>
      <c r="K45" s="7">
        <f>'Monthly Data'!BY45</f>
        <v>1</v>
      </c>
      <c r="M45" s="11">
        <f>'GS &gt; 50 Predicted Monthly'!$Z$10</f>
        <v>-1907163.1226077401</v>
      </c>
      <c r="N45" s="11">
        <f>E45*'GS &gt; 50 Predicted Monthly'!$Z$11</f>
        <v>0</v>
      </c>
      <c r="O45" s="11">
        <f>F45*'GS &gt; 50 Predicted Monthly'!$Z$12</f>
        <v>23638450.109199632</v>
      </c>
      <c r="P45" s="11">
        <f>G45*'GS &gt; 50 Predicted Monthly'!$Z$13</f>
        <v>-4931707.7200885154</v>
      </c>
      <c r="Q45" s="11">
        <f>H45*'GS &gt; 50 Predicted Monthly'!$Z$14</f>
        <v>79525500.842962876</v>
      </c>
      <c r="R45" s="11">
        <f>I45*'GS &gt; 50 Predicted Monthly'!$Z$15</f>
        <v>34343199.333734073</v>
      </c>
      <c r="S45" s="11">
        <f>J45*'GS &gt; 50 Predicted Monthly'!$Z$16</f>
        <v>0</v>
      </c>
      <c r="T45" s="11">
        <f>K45*'GS &gt; 50 Predicted Monthly'!$Z$17</f>
        <v>2800660.9376037801</v>
      </c>
      <c r="U45" s="11">
        <f t="shared" si="5"/>
        <v>133468940.38080411</v>
      </c>
      <c r="V45" s="11">
        <f t="shared" si="6"/>
        <v>-423341.79683165252</v>
      </c>
      <c r="W45" s="23">
        <f t="shared" si="7"/>
        <v>3.16180880590266E-3</v>
      </c>
    </row>
    <row r="46" spans="1:23" x14ac:dyDescent="0.2">
      <c r="A46" s="8">
        <f>'Monthly Data'!A46</f>
        <v>44075</v>
      </c>
      <c r="B46">
        <f t="shared" si="1"/>
        <v>2020</v>
      </c>
      <c r="C46">
        <f t="shared" si="2"/>
        <v>9</v>
      </c>
      <c r="D46" s="19">
        <f>'Monthly Data'!N46</f>
        <v>120315113.40470029</v>
      </c>
      <c r="E46" s="21">
        <f>'Monthly Data'!BJ46</f>
        <v>25.787499999999994</v>
      </c>
      <c r="F46" s="21">
        <f>'Monthly Data'!BK46</f>
        <v>71.695833333333354</v>
      </c>
      <c r="G46" s="7">
        <f>'Monthly Data'!CV46</f>
        <v>0.5</v>
      </c>
      <c r="H46" s="7">
        <f>'Monthly Data'!CS46</f>
        <v>30</v>
      </c>
      <c r="I46" s="7">
        <f>'Monthly Data'!AO46</f>
        <v>778294</v>
      </c>
      <c r="J46" s="7">
        <f>'Monthly Data'!CF46</f>
        <v>1</v>
      </c>
      <c r="K46" s="7">
        <f>'Monthly Data'!BY46</f>
        <v>0</v>
      </c>
      <c r="M46" s="11">
        <f>'GS &gt; 50 Predicted Monthly'!$Z$10</f>
        <v>-1907163.1226077401</v>
      </c>
      <c r="N46" s="11">
        <f>E46*'GS &gt; 50 Predicted Monthly'!$Z$11</f>
        <v>550129.8941762672</v>
      </c>
      <c r="O46" s="11">
        <f>F46*'GS &gt; 50 Predicted Monthly'!$Z$12</f>
        <v>8493178.4892568123</v>
      </c>
      <c r="P46" s="11">
        <f>G46*'GS &gt; 50 Predicted Monthly'!$Z$13</f>
        <v>-4931707.7200885154</v>
      </c>
      <c r="Q46" s="11">
        <f>H46*'GS &gt; 50 Predicted Monthly'!$Z$14</f>
        <v>76960162.106093109</v>
      </c>
      <c r="R46" s="11">
        <f>I46*'GS &gt; 50 Predicted Monthly'!$Z$15</f>
        <v>34343199.333734073</v>
      </c>
      <c r="S46" s="11">
        <f>J46*'GS &gt; 50 Predicted Monthly'!$Z$16</f>
        <v>3497669.1063549998</v>
      </c>
      <c r="T46" s="11">
        <f>K46*'GS &gt; 50 Predicted Monthly'!$Z$17</f>
        <v>0</v>
      </c>
      <c r="U46" s="11">
        <f t="shared" si="5"/>
        <v>117005468.08691899</v>
      </c>
      <c r="V46" s="11">
        <f t="shared" si="6"/>
        <v>-3309645.3177812994</v>
      </c>
      <c r="W46" s="23">
        <f t="shared" si="7"/>
        <v>2.7508142777115174E-2</v>
      </c>
    </row>
    <row r="47" spans="1:23" x14ac:dyDescent="0.2">
      <c r="A47" s="8">
        <f>'Monthly Data'!A47</f>
        <v>44105</v>
      </c>
      <c r="B47">
        <f t="shared" si="1"/>
        <v>2020</v>
      </c>
      <c r="C47">
        <f t="shared" si="2"/>
        <v>10</v>
      </c>
      <c r="D47" s="19">
        <f>'Monthly Data'!N47</f>
        <v>116415167.56471382</v>
      </c>
      <c r="E47" s="21">
        <f>'Monthly Data'!BJ47</f>
        <v>165.45833333333334</v>
      </c>
      <c r="F47" s="21">
        <f>'Monthly Data'!BK47</f>
        <v>4.0104166666666714</v>
      </c>
      <c r="G47" s="7">
        <f>'Monthly Data'!CV47</f>
        <v>0.5</v>
      </c>
      <c r="H47" s="7">
        <f>'Monthly Data'!CS47</f>
        <v>31</v>
      </c>
      <c r="I47" s="7">
        <f>'Monthly Data'!AO47</f>
        <v>797313</v>
      </c>
      <c r="J47" s="7">
        <f>'Monthly Data'!CF47</f>
        <v>1</v>
      </c>
      <c r="K47" s="7">
        <f>'Monthly Data'!BY47</f>
        <v>0</v>
      </c>
      <c r="M47" s="11">
        <f>'GS &gt; 50 Predicted Monthly'!$Z$10</f>
        <v>-1907163.1226077401</v>
      </c>
      <c r="N47" s="11">
        <f>E47*'GS &gt; 50 Predicted Monthly'!$Z$11</f>
        <v>3529755.7113814144</v>
      </c>
      <c r="O47" s="11">
        <f>F47*'GS &gt; 50 Predicted Monthly'!$Z$12</f>
        <v>475078.99668214621</v>
      </c>
      <c r="P47" s="11">
        <f>G47*'GS &gt; 50 Predicted Monthly'!$Z$13</f>
        <v>-4931707.7200885154</v>
      </c>
      <c r="Q47" s="11">
        <f>H47*'GS &gt; 50 Predicted Monthly'!$Z$14</f>
        <v>79525500.842962876</v>
      </c>
      <c r="R47" s="11">
        <f>I47*'GS &gt; 50 Predicted Monthly'!$Z$15</f>
        <v>35182436.573296875</v>
      </c>
      <c r="S47" s="11">
        <f>J47*'GS &gt; 50 Predicted Monthly'!$Z$16</f>
        <v>3497669.1063549998</v>
      </c>
      <c r="T47" s="11">
        <f>K47*'GS &gt; 50 Predicted Monthly'!$Z$17</f>
        <v>0</v>
      </c>
      <c r="U47" s="11">
        <f t="shared" si="5"/>
        <v>115371570.38798206</v>
      </c>
      <c r="V47" s="11">
        <f t="shared" si="6"/>
        <v>-1043597.1767317653</v>
      </c>
      <c r="W47" s="23">
        <f t="shared" si="7"/>
        <v>8.9644433673270445E-3</v>
      </c>
    </row>
    <row r="48" spans="1:23" x14ac:dyDescent="0.2">
      <c r="A48" s="8">
        <f>'Monthly Data'!A48</f>
        <v>44136</v>
      </c>
      <c r="B48">
        <f t="shared" si="1"/>
        <v>2020</v>
      </c>
      <c r="C48">
        <f t="shared" si="2"/>
        <v>11</v>
      </c>
      <c r="D48" s="19">
        <f>'Monthly Data'!N48</f>
        <v>115562525.59741136</v>
      </c>
      <c r="E48" s="21">
        <f>'Monthly Data'!BJ48</f>
        <v>238.94583333333335</v>
      </c>
      <c r="F48" s="21">
        <f>'Monthly Data'!BK48</f>
        <v>3.091666666666665</v>
      </c>
      <c r="G48" s="7">
        <f>'Monthly Data'!CV48</f>
        <v>0.5</v>
      </c>
      <c r="H48" s="7">
        <f>'Monthly Data'!CS48</f>
        <v>30</v>
      </c>
      <c r="I48" s="7">
        <f>'Monthly Data'!AO48</f>
        <v>797313</v>
      </c>
      <c r="J48" s="7">
        <f>'Monthly Data'!CF48</f>
        <v>1</v>
      </c>
      <c r="K48" s="7">
        <f>'Monthly Data'!BY48</f>
        <v>0</v>
      </c>
      <c r="M48" s="11">
        <f>'GS &gt; 50 Predicted Monthly'!$Z$10</f>
        <v>-1907163.1226077401</v>
      </c>
      <c r="N48" s="11">
        <f>E48*'GS &gt; 50 Predicted Monthly'!$Z$11</f>
        <v>5097479.244033996</v>
      </c>
      <c r="O48" s="11">
        <f>F48*'GS &gt; 50 Predicted Monthly'!$Z$12</f>
        <v>366242.71744223573</v>
      </c>
      <c r="P48" s="11">
        <f>G48*'GS &gt; 50 Predicted Monthly'!$Z$13</f>
        <v>-4931707.7200885154</v>
      </c>
      <c r="Q48" s="11">
        <f>H48*'GS &gt; 50 Predicted Monthly'!$Z$14</f>
        <v>76960162.106093109</v>
      </c>
      <c r="R48" s="11">
        <f>I48*'GS &gt; 50 Predicted Monthly'!$Z$15</f>
        <v>35182436.573296875</v>
      </c>
      <c r="S48" s="11">
        <f>J48*'GS &gt; 50 Predicted Monthly'!$Z$16</f>
        <v>3497669.1063549998</v>
      </c>
      <c r="T48" s="11">
        <f>K48*'GS &gt; 50 Predicted Monthly'!$Z$17</f>
        <v>0</v>
      </c>
      <c r="U48" s="11">
        <f t="shared" si="5"/>
        <v>114265118.90452495</v>
      </c>
      <c r="V48" s="11">
        <f t="shared" si="6"/>
        <v>-1297406.6928864121</v>
      </c>
      <c r="W48" s="23">
        <f t="shared" si="7"/>
        <v>1.1226880739922791E-2</v>
      </c>
    </row>
    <row r="49" spans="1:28" x14ac:dyDescent="0.2">
      <c r="A49" s="8">
        <f>'Monthly Data'!A49</f>
        <v>44166</v>
      </c>
      <c r="B49">
        <f t="shared" si="1"/>
        <v>2020</v>
      </c>
      <c r="C49">
        <f t="shared" si="2"/>
        <v>12</v>
      </c>
      <c r="D49" s="19">
        <f>'Monthly Data'!N49</f>
        <v>117692607.99430689</v>
      </c>
      <c r="E49" s="21">
        <f>'Monthly Data'!BJ49</f>
        <v>455.59791666666672</v>
      </c>
      <c r="F49" s="21">
        <f>'Monthly Data'!BK49</f>
        <v>0</v>
      </c>
      <c r="G49" s="7">
        <f>'Monthly Data'!CV49</f>
        <v>0.5</v>
      </c>
      <c r="H49" s="7">
        <f>'Monthly Data'!CS49</f>
        <v>31</v>
      </c>
      <c r="I49" s="7">
        <f>'Monthly Data'!AO49</f>
        <v>797313</v>
      </c>
      <c r="J49" s="7">
        <f>'Monthly Data'!CF49</f>
        <v>0</v>
      </c>
      <c r="K49" s="7">
        <f>'Monthly Data'!BY49</f>
        <v>0</v>
      </c>
      <c r="M49" s="11">
        <f>'GS &gt; 50 Predicted Monthly'!$Z$10</f>
        <v>-1907163.1226077401</v>
      </c>
      <c r="N49" s="11">
        <f>E49*'GS &gt; 50 Predicted Monthly'!$Z$11</f>
        <v>9719361.4612801243</v>
      </c>
      <c r="O49" s="11">
        <f>F49*'GS &gt; 50 Predicted Monthly'!$Z$12</f>
        <v>0</v>
      </c>
      <c r="P49" s="11">
        <f>G49*'GS &gt; 50 Predicted Monthly'!$Z$13</f>
        <v>-4931707.7200885154</v>
      </c>
      <c r="Q49" s="11">
        <f>H49*'GS &gt; 50 Predicted Monthly'!$Z$14</f>
        <v>79525500.842962876</v>
      </c>
      <c r="R49" s="11">
        <f>I49*'GS &gt; 50 Predicted Monthly'!$Z$15</f>
        <v>35182436.573296875</v>
      </c>
      <c r="S49" s="11">
        <f>J49*'GS &gt; 50 Predicted Monthly'!$Z$16</f>
        <v>0</v>
      </c>
      <c r="T49" s="11">
        <f>K49*'GS &gt; 50 Predicted Monthly'!$Z$17</f>
        <v>0</v>
      </c>
      <c r="U49" s="11">
        <f t="shared" si="5"/>
        <v>117588428.03484362</v>
      </c>
      <c r="V49" s="11">
        <f t="shared" si="6"/>
        <v>-104179.95946326852</v>
      </c>
      <c r="W49" s="23">
        <f t="shared" si="7"/>
        <v>8.8518693942365512E-4</v>
      </c>
    </row>
    <row r="50" spans="1:28" x14ac:dyDescent="0.2">
      <c r="A50" s="8">
        <f>'Monthly Data'!A50</f>
        <v>44197</v>
      </c>
      <c r="B50">
        <f t="shared" si="1"/>
        <v>2021</v>
      </c>
      <c r="C50">
        <f t="shared" si="2"/>
        <v>1</v>
      </c>
      <c r="D50" s="19">
        <f>'Monthly Data'!N50</f>
        <v>118984048.05510825</v>
      </c>
      <c r="E50" s="21">
        <f>'Monthly Data'!BJ50</f>
        <v>523.92083333333335</v>
      </c>
      <c r="F50" s="21">
        <f>'Monthly Data'!BK50</f>
        <v>0</v>
      </c>
      <c r="G50" s="7">
        <f>'Monthly Data'!CV50</f>
        <v>0.5</v>
      </c>
      <c r="H50" s="7">
        <f>'Monthly Data'!CS50</f>
        <v>31</v>
      </c>
      <c r="I50" s="7">
        <f>'Monthly Data'!AO50</f>
        <v>809994</v>
      </c>
      <c r="J50" s="7">
        <f>'Monthly Data'!CF50</f>
        <v>0</v>
      </c>
      <c r="K50" s="7">
        <f>'Monthly Data'!BY50</f>
        <v>0</v>
      </c>
      <c r="M50" s="11">
        <f>'GS &gt; 50 Predicted Monthly'!$Z$10</f>
        <v>-1907163.1226077401</v>
      </c>
      <c r="N50" s="11">
        <f>E50*'GS &gt; 50 Predicted Monthly'!$Z$11</f>
        <v>11176907.904931011</v>
      </c>
      <c r="O50" s="11">
        <f>F50*'GS &gt; 50 Predicted Monthly'!$Z$12</f>
        <v>0</v>
      </c>
      <c r="P50" s="11">
        <f>G50*'GS &gt; 50 Predicted Monthly'!$Z$13</f>
        <v>-4931707.7200885154</v>
      </c>
      <c r="Q50" s="11">
        <f>H50*'GS &gt; 50 Predicted Monthly'!$Z$14</f>
        <v>79525500.842962876</v>
      </c>
      <c r="R50" s="11">
        <f>I50*'GS &gt; 50 Predicted Monthly'!$Z$15</f>
        <v>35742001.610096693</v>
      </c>
      <c r="S50" s="11">
        <f>J50*'GS &gt; 50 Predicted Monthly'!$Z$16</f>
        <v>0</v>
      </c>
      <c r="T50" s="11">
        <f>K50*'GS &gt; 50 Predicted Monthly'!$Z$17</f>
        <v>0</v>
      </c>
      <c r="U50" s="11">
        <f t="shared" si="5"/>
        <v>119605539.51529433</v>
      </c>
      <c r="V50" s="11">
        <f t="shared" si="6"/>
        <v>621491.46018607914</v>
      </c>
      <c r="W50" s="23">
        <f t="shared" si="7"/>
        <v>5.2233174979744446E-3</v>
      </c>
    </row>
    <row r="51" spans="1:28" x14ac:dyDescent="0.2">
      <c r="A51" s="8">
        <f>'Monthly Data'!A51</f>
        <v>44228</v>
      </c>
      <c r="B51">
        <f t="shared" si="1"/>
        <v>2021</v>
      </c>
      <c r="C51">
        <f t="shared" si="2"/>
        <v>2</v>
      </c>
      <c r="D51" s="19">
        <f>'Monthly Data'!N51</f>
        <v>113057274.56216528</v>
      </c>
      <c r="E51" s="21">
        <f>'Monthly Data'!BJ51</f>
        <v>570.50000000000011</v>
      </c>
      <c r="F51" s="21">
        <f>'Monthly Data'!BK51</f>
        <v>0</v>
      </c>
      <c r="G51" s="7">
        <f>'Monthly Data'!CV51</f>
        <v>0.5</v>
      </c>
      <c r="H51" s="7">
        <f>'Monthly Data'!CS51</f>
        <v>28</v>
      </c>
      <c r="I51" s="7">
        <f>'Monthly Data'!AO51</f>
        <v>809994</v>
      </c>
      <c r="J51" s="7">
        <f>'Monthly Data'!CF51</f>
        <v>0</v>
      </c>
      <c r="K51" s="7">
        <f>'Monthly Data'!BY51</f>
        <v>0</v>
      </c>
      <c r="M51" s="11">
        <f>'GS &gt; 50 Predicted Monthly'!$Z$10</f>
        <v>-1907163.1226077401</v>
      </c>
      <c r="N51" s="11">
        <f>E51*'GS &gt; 50 Predicted Monthly'!$Z$11</f>
        <v>12170590.581776462</v>
      </c>
      <c r="O51" s="11">
        <f>F51*'GS &gt; 50 Predicted Monthly'!$Z$12</f>
        <v>0</v>
      </c>
      <c r="P51" s="11">
        <f>G51*'GS &gt; 50 Predicted Monthly'!$Z$13</f>
        <v>-4931707.7200885154</v>
      </c>
      <c r="Q51" s="11">
        <f>H51*'GS &gt; 50 Predicted Monthly'!$Z$14</f>
        <v>71829484.632353559</v>
      </c>
      <c r="R51" s="11">
        <f>I51*'GS &gt; 50 Predicted Monthly'!$Z$15</f>
        <v>35742001.610096693</v>
      </c>
      <c r="S51" s="11">
        <f>J51*'GS &gt; 50 Predicted Monthly'!$Z$16</f>
        <v>0</v>
      </c>
      <c r="T51" s="11">
        <f>K51*'GS &gt; 50 Predicted Monthly'!$Z$17</f>
        <v>0</v>
      </c>
      <c r="U51" s="11">
        <f t="shared" si="5"/>
        <v>112903205.98153046</v>
      </c>
      <c r="V51" s="11">
        <f t="shared" si="6"/>
        <v>-154068.58063481748</v>
      </c>
      <c r="W51" s="23">
        <f t="shared" si="7"/>
        <v>1.3627480516532518E-3</v>
      </c>
    </row>
    <row r="52" spans="1:28" x14ac:dyDescent="0.2">
      <c r="A52" s="8">
        <f>'Monthly Data'!A52</f>
        <v>44256</v>
      </c>
      <c r="B52">
        <f t="shared" si="1"/>
        <v>2021</v>
      </c>
      <c r="C52">
        <f t="shared" si="2"/>
        <v>3</v>
      </c>
      <c r="D52" s="19">
        <f>'Monthly Data'!N52</f>
        <v>120813677.33533032</v>
      </c>
      <c r="E52" s="21">
        <f>'Monthly Data'!BJ52</f>
        <v>328.07083333333333</v>
      </c>
      <c r="F52" s="21">
        <f>'Monthly Data'!BK52</f>
        <v>0</v>
      </c>
      <c r="G52" s="7">
        <f>'Monthly Data'!CV52</f>
        <v>0.5</v>
      </c>
      <c r="H52" s="7">
        <f>'Monthly Data'!CS52</f>
        <v>31</v>
      </c>
      <c r="I52" s="7">
        <f>'Monthly Data'!AO52</f>
        <v>809994</v>
      </c>
      <c r="J52" s="7">
        <f>'Monthly Data'!CF52</f>
        <v>0</v>
      </c>
      <c r="K52" s="7">
        <f>'Monthly Data'!BY52</f>
        <v>0</v>
      </c>
      <c r="M52" s="11">
        <f>'GS &gt; 50 Predicted Monthly'!$Z$10</f>
        <v>-1907163.1226077401</v>
      </c>
      <c r="N52" s="11">
        <f>E52*'GS &gt; 50 Predicted Monthly'!$Z$11</f>
        <v>6998800.691187067</v>
      </c>
      <c r="O52" s="11">
        <f>F52*'GS &gt; 50 Predicted Monthly'!$Z$12</f>
        <v>0</v>
      </c>
      <c r="P52" s="11">
        <f>G52*'GS &gt; 50 Predicted Monthly'!$Z$13</f>
        <v>-4931707.7200885154</v>
      </c>
      <c r="Q52" s="11">
        <f>H52*'GS &gt; 50 Predicted Monthly'!$Z$14</f>
        <v>79525500.842962876</v>
      </c>
      <c r="R52" s="11">
        <f>I52*'GS &gt; 50 Predicted Monthly'!$Z$15</f>
        <v>35742001.610096693</v>
      </c>
      <c r="S52" s="11">
        <f>J52*'GS &gt; 50 Predicted Monthly'!$Z$16</f>
        <v>0</v>
      </c>
      <c r="T52" s="11">
        <f>K52*'GS &gt; 50 Predicted Monthly'!$Z$17</f>
        <v>0</v>
      </c>
      <c r="U52" s="11">
        <f t="shared" si="5"/>
        <v>115427432.30155039</v>
      </c>
      <c r="V52" s="11">
        <f t="shared" si="6"/>
        <v>-5386245.033779934</v>
      </c>
      <c r="W52" s="23">
        <f t="shared" si="7"/>
        <v>4.4583073312385632E-2</v>
      </c>
    </row>
    <row r="53" spans="1:28" x14ac:dyDescent="0.2">
      <c r="A53" s="8">
        <f>'Monthly Data'!A53</f>
        <v>44287</v>
      </c>
      <c r="B53">
        <f t="shared" si="1"/>
        <v>2021</v>
      </c>
      <c r="C53">
        <f t="shared" si="2"/>
        <v>4</v>
      </c>
      <c r="D53" s="19">
        <f>'Monthly Data'!N53</f>
        <v>109638007.65802936</v>
      </c>
      <c r="E53" s="21">
        <f>'Monthly Data'!BJ53</f>
        <v>195.19166666666669</v>
      </c>
      <c r="F53" s="21">
        <f>'Monthly Data'!BK53</f>
        <v>8.0499999999999954</v>
      </c>
      <c r="G53" s="7">
        <f>'Monthly Data'!CV53</f>
        <v>0.5</v>
      </c>
      <c r="H53" s="7">
        <f>'Monthly Data'!CS53</f>
        <v>30</v>
      </c>
      <c r="I53" s="7">
        <f>'Monthly Data'!AO53</f>
        <v>803585</v>
      </c>
      <c r="J53" s="7">
        <f>'Monthly Data'!CF53</f>
        <v>0</v>
      </c>
      <c r="K53" s="7">
        <f>'Monthly Data'!BY53</f>
        <v>0</v>
      </c>
      <c r="M53" s="11">
        <f>'GS &gt; 50 Predicted Monthly'!$Z$10</f>
        <v>-1907163.1226077401</v>
      </c>
      <c r="N53" s="11">
        <f>E53*'GS &gt; 50 Predicted Monthly'!$Z$11</f>
        <v>4164062.8570983065</v>
      </c>
      <c r="O53" s="11">
        <f>F53*'GS &gt; 50 Predicted Monthly'!$Z$12</f>
        <v>953613.11334016093</v>
      </c>
      <c r="P53" s="11">
        <f>G53*'GS &gt; 50 Predicted Monthly'!$Z$13</f>
        <v>-4931707.7200885154</v>
      </c>
      <c r="Q53" s="11">
        <f>H53*'GS &gt; 50 Predicted Monthly'!$Z$14</f>
        <v>76960162.106093109</v>
      </c>
      <c r="R53" s="11">
        <f>I53*'GS &gt; 50 Predicted Monthly'!$Z$15</f>
        <v>35459196.443244703</v>
      </c>
      <c r="S53" s="11">
        <f>J53*'GS &gt; 50 Predicted Monthly'!$Z$16</f>
        <v>0</v>
      </c>
      <c r="T53" s="11">
        <f>K53*'GS &gt; 50 Predicted Monthly'!$Z$17</f>
        <v>0</v>
      </c>
      <c r="U53" s="11">
        <f t="shared" si="5"/>
        <v>110698163.67708004</v>
      </c>
      <c r="V53" s="11">
        <f t="shared" si="6"/>
        <v>1060156.0190506727</v>
      </c>
      <c r="W53" s="23">
        <f t="shared" si="7"/>
        <v>9.6696031029439439E-3</v>
      </c>
    </row>
    <row r="54" spans="1:28" x14ac:dyDescent="0.2">
      <c r="A54" s="8">
        <f>'Monthly Data'!A54</f>
        <v>44317</v>
      </c>
      <c r="B54">
        <f t="shared" si="1"/>
        <v>2021</v>
      </c>
      <c r="C54">
        <f t="shared" si="2"/>
        <v>5</v>
      </c>
      <c r="D54" s="19">
        <f>'Monthly Data'!N54</f>
        <v>115240588.84939741</v>
      </c>
      <c r="E54" s="21">
        <f>'Monthly Data'!BJ54</f>
        <v>93.4375</v>
      </c>
      <c r="F54" s="21">
        <f>'Monthly Data'!BK54</f>
        <v>66.793749999999989</v>
      </c>
      <c r="G54" s="7">
        <f>'Monthly Data'!CV54</f>
        <v>0.5</v>
      </c>
      <c r="H54" s="7">
        <f>'Monthly Data'!CS54</f>
        <v>31</v>
      </c>
      <c r="I54" s="7">
        <f>'Monthly Data'!AO54</f>
        <v>803585</v>
      </c>
      <c r="J54" s="7">
        <f>'Monthly Data'!CF54</f>
        <v>0</v>
      </c>
      <c r="K54" s="7">
        <f>'Monthly Data'!BY54</f>
        <v>0</v>
      </c>
      <c r="M54" s="11">
        <f>'GS &gt; 50 Predicted Monthly'!$Z$10</f>
        <v>-1907163.1226077401</v>
      </c>
      <c r="N54" s="11">
        <f>E54*'GS &gt; 50 Predicted Monthly'!$Z$11</f>
        <v>1993320.8720153165</v>
      </c>
      <c r="O54" s="11">
        <f>F54*'GS &gt; 50 Predicted Monthly'!$Z$12</f>
        <v>7912471.5390266329</v>
      </c>
      <c r="P54" s="11">
        <f>G54*'GS &gt; 50 Predicted Monthly'!$Z$13</f>
        <v>-4931707.7200885154</v>
      </c>
      <c r="Q54" s="11">
        <f>H54*'GS &gt; 50 Predicted Monthly'!$Z$14</f>
        <v>79525500.842962876</v>
      </c>
      <c r="R54" s="11">
        <f>I54*'GS &gt; 50 Predicted Monthly'!$Z$15</f>
        <v>35459196.443244703</v>
      </c>
      <c r="S54" s="11">
        <f>J54*'GS &gt; 50 Predicted Monthly'!$Z$16</f>
        <v>0</v>
      </c>
      <c r="T54" s="11">
        <f>K54*'GS &gt; 50 Predicted Monthly'!$Z$17</f>
        <v>0</v>
      </c>
      <c r="U54" s="11">
        <f t="shared" si="5"/>
        <v>118051618.85455328</v>
      </c>
      <c r="V54" s="11">
        <f t="shared" si="6"/>
        <v>2811030.0051558763</v>
      </c>
      <c r="W54" s="23">
        <f t="shared" si="7"/>
        <v>2.4392707753597833E-2</v>
      </c>
    </row>
    <row r="55" spans="1:28" x14ac:dyDescent="0.2">
      <c r="A55" s="8">
        <f>'Monthly Data'!A55</f>
        <v>44348</v>
      </c>
      <c r="B55">
        <f t="shared" si="1"/>
        <v>2021</v>
      </c>
      <c r="C55">
        <f t="shared" si="2"/>
        <v>6</v>
      </c>
      <c r="D55" s="19">
        <f>'Monthly Data'!N55</f>
        <v>128558913.68041244</v>
      </c>
      <c r="E55" s="21">
        <f>'Monthly Data'!BJ55</f>
        <v>1.1083333333333361</v>
      </c>
      <c r="F55" s="21">
        <f>'Monthly Data'!BK55</f>
        <v>198.83750000000006</v>
      </c>
      <c r="G55" s="7">
        <f>'Monthly Data'!CV55</f>
        <v>0.5</v>
      </c>
      <c r="H55" s="7">
        <f>'Monthly Data'!CS55</f>
        <v>30</v>
      </c>
      <c r="I55" s="7">
        <f>'Monthly Data'!AO55</f>
        <v>803585</v>
      </c>
      <c r="J55" s="7">
        <f>'Monthly Data'!CF55</f>
        <v>0</v>
      </c>
      <c r="K55" s="7">
        <f>'Monthly Data'!BY55</f>
        <v>0</v>
      </c>
      <c r="M55" s="11">
        <f>'GS &gt; 50 Predicted Monthly'!$Z$10</f>
        <v>-1907163.1226077401</v>
      </c>
      <c r="N55" s="11">
        <f>E55*'GS &gt; 50 Predicted Monthly'!$Z$11</f>
        <v>23644.296631263122</v>
      </c>
      <c r="O55" s="11">
        <f>F55*'GS &gt; 50 Predicted Monthly'!$Z$12</f>
        <v>23554540.052642785</v>
      </c>
      <c r="P55" s="11">
        <f>G55*'GS &gt; 50 Predicted Monthly'!$Z$13</f>
        <v>-4931707.7200885154</v>
      </c>
      <c r="Q55" s="11">
        <f>H55*'GS &gt; 50 Predicted Monthly'!$Z$14</f>
        <v>76960162.106093109</v>
      </c>
      <c r="R55" s="11">
        <f>I55*'GS &gt; 50 Predicted Monthly'!$Z$15</f>
        <v>35459196.443244703</v>
      </c>
      <c r="S55" s="11">
        <f>J55*'GS &gt; 50 Predicted Monthly'!$Z$16</f>
        <v>0</v>
      </c>
      <c r="T55" s="11">
        <f>K55*'GS &gt; 50 Predicted Monthly'!$Z$17</f>
        <v>0</v>
      </c>
      <c r="U55" s="11">
        <f t="shared" si="5"/>
        <v>129158672.05591559</v>
      </c>
      <c r="V55" s="11">
        <f t="shared" si="6"/>
        <v>599758.37550315261</v>
      </c>
      <c r="W55" s="23">
        <f t="shared" si="7"/>
        <v>4.6652414704911535E-3</v>
      </c>
    </row>
    <row r="56" spans="1:28" x14ac:dyDescent="0.2">
      <c r="A56" s="8">
        <f>'Monthly Data'!A56</f>
        <v>44378</v>
      </c>
      <c r="B56">
        <f t="shared" si="1"/>
        <v>2021</v>
      </c>
      <c r="C56">
        <f t="shared" si="2"/>
        <v>7</v>
      </c>
      <c r="D56" s="19">
        <f>'Monthly Data'!N56</f>
        <v>132710760.35860747</v>
      </c>
      <c r="E56" s="21">
        <f>'Monthly Data'!BJ56</f>
        <v>0</v>
      </c>
      <c r="F56" s="21">
        <f>'Monthly Data'!BK56</f>
        <v>193.42708333333331</v>
      </c>
      <c r="G56" s="7">
        <f>'Monthly Data'!CV56</f>
        <v>0.5</v>
      </c>
      <c r="H56" s="7">
        <f>'Monthly Data'!CS56</f>
        <v>31</v>
      </c>
      <c r="I56" s="7">
        <f>'Monthly Data'!AO56</f>
        <v>821006</v>
      </c>
      <c r="J56" s="7">
        <f>'Monthly Data'!CF56</f>
        <v>0</v>
      </c>
      <c r="K56" s="7">
        <f>'Monthly Data'!BY56</f>
        <v>0</v>
      </c>
      <c r="M56" s="11">
        <f>'GS &gt; 50 Predicted Monthly'!$Z$10</f>
        <v>-1907163.1226077401</v>
      </c>
      <c r="N56" s="11">
        <f>E56*'GS &gt; 50 Predicted Monthly'!$Z$11</f>
        <v>0</v>
      </c>
      <c r="O56" s="11">
        <f>F56*'GS &gt; 50 Predicted Monthly'!$Z$12</f>
        <v>22913615.297118861</v>
      </c>
      <c r="P56" s="11">
        <f>G56*'GS &gt; 50 Predicted Monthly'!$Z$13</f>
        <v>-4931707.7200885154</v>
      </c>
      <c r="Q56" s="11">
        <f>H56*'GS &gt; 50 Predicted Monthly'!$Z$14</f>
        <v>79525500.842962876</v>
      </c>
      <c r="R56" s="11">
        <f>I56*'GS &gt; 50 Predicted Monthly'!$Z$15</f>
        <v>36227919.927677296</v>
      </c>
      <c r="S56" s="11">
        <f>J56*'GS &gt; 50 Predicted Monthly'!$Z$16</f>
        <v>0</v>
      </c>
      <c r="T56" s="11">
        <f>K56*'GS &gt; 50 Predicted Monthly'!$Z$17</f>
        <v>0</v>
      </c>
      <c r="U56" s="11">
        <f t="shared" si="5"/>
        <v>131828165.22506279</v>
      </c>
      <c r="V56" s="11">
        <f t="shared" si="6"/>
        <v>-882595.13354468346</v>
      </c>
      <c r="W56" s="23">
        <f t="shared" si="7"/>
        <v>6.6505167415193646E-3</v>
      </c>
    </row>
    <row r="57" spans="1:28" x14ac:dyDescent="0.2">
      <c r="A57" s="8">
        <f>'Monthly Data'!A57</f>
        <v>44409</v>
      </c>
      <c r="B57">
        <f t="shared" si="1"/>
        <v>2021</v>
      </c>
      <c r="C57">
        <f t="shared" si="2"/>
        <v>8</v>
      </c>
      <c r="D57" s="19">
        <f>'Monthly Data'!N57</f>
        <v>140955270.9844335</v>
      </c>
      <c r="E57" s="21">
        <f>'Monthly Data'!BJ57</f>
        <v>0</v>
      </c>
      <c r="F57" s="21">
        <f>'Monthly Data'!BK57</f>
        <v>234.19791666666669</v>
      </c>
      <c r="G57" s="7">
        <f>'Monthly Data'!CV57</f>
        <v>0.5</v>
      </c>
      <c r="H57" s="7">
        <f>'Monthly Data'!CS57</f>
        <v>31</v>
      </c>
      <c r="I57" s="7">
        <f>'Monthly Data'!AO57</f>
        <v>821006</v>
      </c>
      <c r="J57" s="7">
        <f>'Monthly Data'!CF57</f>
        <v>0</v>
      </c>
      <c r="K57" s="7">
        <f>'Monthly Data'!BY57</f>
        <v>1</v>
      </c>
      <c r="M57" s="11">
        <f>'GS &gt; 50 Predicted Monthly'!$Z$10</f>
        <v>-1907163.1226077401</v>
      </c>
      <c r="N57" s="11">
        <f>E57*'GS &gt; 50 Predicted Monthly'!$Z$11</f>
        <v>0</v>
      </c>
      <c r="O57" s="11">
        <f>F57*'GS &gt; 50 Predicted Monthly'!$Z$12</f>
        <v>27743379.434817355</v>
      </c>
      <c r="P57" s="11">
        <f>G57*'GS &gt; 50 Predicted Monthly'!$Z$13</f>
        <v>-4931707.7200885154</v>
      </c>
      <c r="Q57" s="11">
        <f>H57*'GS &gt; 50 Predicted Monthly'!$Z$14</f>
        <v>79525500.842962876</v>
      </c>
      <c r="R57" s="11">
        <f>I57*'GS &gt; 50 Predicted Monthly'!$Z$15</f>
        <v>36227919.927677296</v>
      </c>
      <c r="S57" s="11">
        <f>J57*'GS &gt; 50 Predicted Monthly'!$Z$16</f>
        <v>0</v>
      </c>
      <c r="T57" s="11">
        <f>K57*'GS &gt; 50 Predicted Monthly'!$Z$17</f>
        <v>2800660.9376037801</v>
      </c>
      <c r="U57" s="11">
        <f t="shared" si="5"/>
        <v>139458590.30036503</v>
      </c>
      <c r="V57" s="11">
        <f t="shared" si="6"/>
        <v>-1496680.6840684712</v>
      </c>
      <c r="W57" s="23">
        <f t="shared" si="7"/>
        <v>1.0618124981177597E-2</v>
      </c>
      <c r="AA57" s="11"/>
      <c r="AB57" s="23"/>
    </row>
    <row r="58" spans="1:28" x14ac:dyDescent="0.2">
      <c r="A58" s="8">
        <f>'Monthly Data'!A58</f>
        <v>44440</v>
      </c>
      <c r="B58">
        <f t="shared" si="1"/>
        <v>2021</v>
      </c>
      <c r="C58">
        <f t="shared" si="2"/>
        <v>9</v>
      </c>
      <c r="D58" s="19">
        <f>'Monthly Data'!N58</f>
        <v>122416145.77845256</v>
      </c>
      <c r="E58" s="21">
        <f>'Monthly Data'!BJ58</f>
        <v>6.8624999999999954</v>
      </c>
      <c r="F58" s="21">
        <f>'Monthly Data'!BK58</f>
        <v>86.675000000000011</v>
      </c>
      <c r="G58" s="7">
        <f>'Monthly Data'!CV58</f>
        <v>0.5</v>
      </c>
      <c r="H58" s="7">
        <f>'Monthly Data'!CS58</f>
        <v>30</v>
      </c>
      <c r="I58" s="7">
        <f>'Monthly Data'!AO58</f>
        <v>821006</v>
      </c>
      <c r="J58" s="7">
        <f>'Monthly Data'!CF58</f>
        <v>1</v>
      </c>
      <c r="K58" s="7">
        <f>'Monthly Data'!BY58</f>
        <v>0</v>
      </c>
      <c r="M58" s="11">
        <f>'GS &gt; 50 Predicted Monthly'!$Z$10</f>
        <v>-1907163.1226077401</v>
      </c>
      <c r="N58" s="11">
        <f>E58*'GS &gt; 50 Predicted Monthly'!$Z$11</f>
        <v>146399.08478079038</v>
      </c>
      <c r="O58" s="11">
        <f>F58*'GS &gt; 50 Predicted Monthly'!$Z$12</f>
        <v>10267629.391150124</v>
      </c>
      <c r="P58" s="11">
        <f>G58*'GS &gt; 50 Predicted Monthly'!$Z$13</f>
        <v>-4931707.7200885154</v>
      </c>
      <c r="Q58" s="11">
        <f>H58*'GS &gt; 50 Predicted Monthly'!$Z$14</f>
        <v>76960162.106093109</v>
      </c>
      <c r="R58" s="11">
        <f>I58*'GS &gt; 50 Predicted Monthly'!$Z$15</f>
        <v>36227919.927677296</v>
      </c>
      <c r="S58" s="11">
        <f>J58*'GS &gt; 50 Predicted Monthly'!$Z$16</f>
        <v>3497669.1063549998</v>
      </c>
      <c r="T58" s="11">
        <f>K58*'GS &gt; 50 Predicted Monthly'!$Z$17</f>
        <v>0</v>
      </c>
      <c r="U58" s="11">
        <f t="shared" si="5"/>
        <v>120260908.77336006</v>
      </c>
      <c r="V58" s="11">
        <f t="shared" si="6"/>
        <v>-2155237.0050925016</v>
      </c>
      <c r="W58" s="23">
        <f t="shared" si="7"/>
        <v>1.7605823083117048E-2</v>
      </c>
      <c r="AA58" s="11"/>
      <c r="AB58" s="23"/>
    </row>
    <row r="59" spans="1:28" x14ac:dyDescent="0.2">
      <c r="A59" s="8">
        <f>'Monthly Data'!A59</f>
        <v>44470</v>
      </c>
      <c r="B59">
        <f t="shared" si="1"/>
        <v>2021</v>
      </c>
      <c r="C59">
        <f t="shared" si="2"/>
        <v>10</v>
      </c>
      <c r="D59" s="19">
        <f>'Monthly Data'!N59</f>
        <v>120765160.1140646</v>
      </c>
      <c r="E59" s="21">
        <f>'Monthly Data'!BJ59</f>
        <v>80.245833333333309</v>
      </c>
      <c r="F59" s="21">
        <f>'Monthly Data'!BK59</f>
        <v>50.395833333333336</v>
      </c>
      <c r="G59" s="7">
        <f>'Monthly Data'!CV59</f>
        <v>0.5</v>
      </c>
      <c r="H59" s="7">
        <f>'Monthly Data'!CS59</f>
        <v>31</v>
      </c>
      <c r="I59" s="7">
        <f>'Monthly Data'!AO59</f>
        <v>840399</v>
      </c>
      <c r="J59" s="7">
        <f>'Monthly Data'!CF59</f>
        <v>1</v>
      </c>
      <c r="K59" s="7">
        <f>'Monthly Data'!BY59</f>
        <v>0</v>
      </c>
      <c r="M59" s="11">
        <f>'GS &gt; 50 Predicted Monthly'!$Z$10</f>
        <v>-1907163.1226077401</v>
      </c>
      <c r="N59" s="11">
        <f>E59*'GS &gt; 50 Predicted Monthly'!$Z$11</f>
        <v>1711900.4091033654</v>
      </c>
      <c r="O59" s="11">
        <f>F59*'GS &gt; 50 Predicted Monthly'!$Z$12</f>
        <v>5969953.729735638</v>
      </c>
      <c r="P59" s="11">
        <f>G59*'GS &gt; 50 Predicted Monthly'!$Z$13</f>
        <v>-4931707.7200885154</v>
      </c>
      <c r="Q59" s="11">
        <f>H59*'GS &gt; 50 Predicted Monthly'!$Z$14</f>
        <v>79525500.842962876</v>
      </c>
      <c r="R59" s="11">
        <f>I59*'GS &gt; 50 Predicted Monthly'!$Z$15</f>
        <v>37083660.386525892</v>
      </c>
      <c r="S59" s="11">
        <f>J59*'GS &gt; 50 Predicted Monthly'!$Z$16</f>
        <v>3497669.1063549998</v>
      </c>
      <c r="T59" s="11">
        <f>K59*'GS &gt; 50 Predicted Monthly'!$Z$17</f>
        <v>0</v>
      </c>
      <c r="U59" s="11">
        <f t="shared" si="5"/>
        <v>120949813.63198651</v>
      </c>
      <c r="V59" s="11">
        <f t="shared" si="6"/>
        <v>184653.51792190969</v>
      </c>
      <c r="W59" s="23">
        <f t="shared" si="7"/>
        <v>1.529029711445764E-3</v>
      </c>
      <c r="AA59" s="11"/>
      <c r="AB59" s="23"/>
    </row>
    <row r="60" spans="1:28" x14ac:dyDescent="0.2">
      <c r="A60" s="8">
        <f>'Monthly Data'!A60</f>
        <v>44501</v>
      </c>
      <c r="B60">
        <f t="shared" si="1"/>
        <v>2021</v>
      </c>
      <c r="C60">
        <f t="shared" si="2"/>
        <v>11</v>
      </c>
      <c r="D60" s="19">
        <f>'Monthly Data'!N60</f>
        <v>118650849.98473464</v>
      </c>
      <c r="E60" s="21">
        <f>'Monthly Data'!BJ60</f>
        <v>328.07916666666665</v>
      </c>
      <c r="F60" s="21">
        <f>'Monthly Data'!BK60</f>
        <v>0</v>
      </c>
      <c r="G60" s="7">
        <f>'Monthly Data'!CV60</f>
        <v>0.5</v>
      </c>
      <c r="H60" s="7">
        <f>'Monthly Data'!CS60</f>
        <v>30</v>
      </c>
      <c r="I60" s="7">
        <f>'Monthly Data'!AO60</f>
        <v>840399</v>
      </c>
      <c r="J60" s="7">
        <f>'Monthly Data'!CF60</f>
        <v>1</v>
      </c>
      <c r="K60" s="7">
        <f>'Monthly Data'!BY60</f>
        <v>0</v>
      </c>
      <c r="M60" s="11">
        <f>'GS &gt; 50 Predicted Monthly'!$Z$10</f>
        <v>-1907163.1226077401</v>
      </c>
      <c r="N60" s="11">
        <f>E60*'GS &gt; 50 Predicted Monthly'!$Z$11</f>
        <v>6998978.467853467</v>
      </c>
      <c r="O60" s="11">
        <f>F60*'GS &gt; 50 Predicted Monthly'!$Z$12</f>
        <v>0</v>
      </c>
      <c r="P60" s="11">
        <f>G60*'GS &gt; 50 Predicted Monthly'!$Z$13</f>
        <v>-4931707.7200885154</v>
      </c>
      <c r="Q60" s="11">
        <f>H60*'GS &gt; 50 Predicted Monthly'!$Z$14</f>
        <v>76960162.106093109</v>
      </c>
      <c r="R60" s="11">
        <f>I60*'GS &gt; 50 Predicted Monthly'!$Z$15</f>
        <v>37083660.386525892</v>
      </c>
      <c r="S60" s="11">
        <f>J60*'GS &gt; 50 Predicted Monthly'!$Z$16</f>
        <v>3497669.1063549998</v>
      </c>
      <c r="T60" s="11">
        <f>K60*'GS &gt; 50 Predicted Monthly'!$Z$17</f>
        <v>0</v>
      </c>
      <c r="U60" s="11">
        <f t="shared" si="5"/>
        <v>117701599.22413121</v>
      </c>
      <c r="V60" s="11">
        <f t="shared" si="6"/>
        <v>-949250.76060342789</v>
      </c>
      <c r="W60" s="23">
        <f t="shared" si="7"/>
        <v>8.0003705049357544E-3</v>
      </c>
      <c r="AA60" s="11"/>
      <c r="AB60" s="23"/>
    </row>
    <row r="61" spans="1:28" x14ac:dyDescent="0.2">
      <c r="A61" s="8">
        <f>'Monthly Data'!A61</f>
        <v>44531</v>
      </c>
      <c r="B61">
        <f t="shared" si="1"/>
        <v>2021</v>
      </c>
      <c r="C61">
        <f t="shared" si="2"/>
        <v>12</v>
      </c>
      <c r="D61" s="19">
        <f>'Monthly Data'!N61</f>
        <v>116117342.26088069</v>
      </c>
      <c r="E61" s="21">
        <f>'Monthly Data'!BJ61</f>
        <v>403.17083333333323</v>
      </c>
      <c r="F61" s="21">
        <f>'Monthly Data'!BK61</f>
        <v>0</v>
      </c>
      <c r="G61" s="7">
        <f>'Monthly Data'!CV61</f>
        <v>0.5</v>
      </c>
      <c r="H61" s="7">
        <f>'Monthly Data'!CS61</f>
        <v>31</v>
      </c>
      <c r="I61" s="7">
        <f>'Monthly Data'!AO61</f>
        <v>840399</v>
      </c>
      <c r="J61" s="7">
        <f>'Monthly Data'!CF61</f>
        <v>0</v>
      </c>
      <c r="K61" s="7">
        <f>'Monthly Data'!BY61</f>
        <v>0</v>
      </c>
      <c r="M61" s="11">
        <f>'GS &gt; 50 Predicted Monthly'!$Z$10</f>
        <v>-1907163.1226077401</v>
      </c>
      <c r="N61" s="11">
        <f>E61*'GS &gt; 50 Predicted Monthly'!$Z$11</f>
        <v>8600924.0087881386</v>
      </c>
      <c r="O61" s="11">
        <f>F61*'GS &gt; 50 Predicted Monthly'!$Z$12</f>
        <v>0</v>
      </c>
      <c r="P61" s="11">
        <f>G61*'GS &gt; 50 Predicted Monthly'!$Z$13</f>
        <v>-4931707.7200885154</v>
      </c>
      <c r="Q61" s="11">
        <f>H61*'GS &gt; 50 Predicted Monthly'!$Z$14</f>
        <v>79525500.842962876</v>
      </c>
      <c r="R61" s="11">
        <f>I61*'GS &gt; 50 Predicted Monthly'!$Z$15</f>
        <v>37083660.386525892</v>
      </c>
      <c r="S61" s="11">
        <f>J61*'GS &gt; 50 Predicted Monthly'!$Z$16</f>
        <v>0</v>
      </c>
      <c r="T61" s="11">
        <f>K61*'GS &gt; 50 Predicted Monthly'!$Z$17</f>
        <v>0</v>
      </c>
      <c r="U61" s="11">
        <f t="shared" si="5"/>
        <v>118371214.39558065</v>
      </c>
      <c r="V61" s="11">
        <f t="shared" si="6"/>
        <v>2253872.1346999556</v>
      </c>
      <c r="W61" s="23">
        <f t="shared" si="7"/>
        <v>1.9410297297678271E-2</v>
      </c>
      <c r="AA61" s="11"/>
      <c r="AB61" s="23"/>
    </row>
    <row r="62" spans="1:28" x14ac:dyDescent="0.2">
      <c r="A62" s="8">
        <f>'Monthly Data'!A62</f>
        <v>44562</v>
      </c>
      <c r="B62">
        <f t="shared" si="1"/>
        <v>2022</v>
      </c>
      <c r="C62">
        <f t="shared" si="2"/>
        <v>1</v>
      </c>
      <c r="D62" s="19">
        <f>'Monthly Data'!N62</f>
        <v>125926420.38829951</v>
      </c>
      <c r="E62" s="21">
        <f>'Monthly Data'!BJ62</f>
        <v>680.12083333333328</v>
      </c>
      <c r="F62" s="21">
        <f>'Monthly Data'!BK62</f>
        <v>0</v>
      </c>
      <c r="G62" s="7">
        <f>'Monthly Data'!CV62</f>
        <v>0.25</v>
      </c>
      <c r="H62" s="7">
        <f>'Monthly Data'!CS62</f>
        <v>31</v>
      </c>
      <c r="I62" s="7">
        <f>'Monthly Data'!AO62</f>
        <v>847546</v>
      </c>
      <c r="J62" s="7">
        <f>'Monthly Data'!CF62</f>
        <v>0</v>
      </c>
      <c r="K62" s="7">
        <f>'Monthly Data'!BY62</f>
        <v>0</v>
      </c>
      <c r="M62" s="11">
        <f>'GS &gt; 50 Predicted Monthly'!$Z$10</f>
        <v>-1907163.1226077401</v>
      </c>
      <c r="N62" s="11">
        <f>E62*'GS &gt; 50 Predicted Monthly'!$Z$11</f>
        <v>14509153.739941496</v>
      </c>
      <c r="O62" s="11">
        <f>F62*'GS &gt; 50 Predicted Monthly'!$Z$12</f>
        <v>0</v>
      </c>
      <c r="P62" s="11">
        <f>G62*'GS &gt; 50 Predicted Monthly'!$Z$13</f>
        <v>-2465853.8600442577</v>
      </c>
      <c r="Q62" s="11">
        <f>H62*'GS &gt; 50 Predicted Monthly'!$Z$14</f>
        <v>79525500.842962876</v>
      </c>
      <c r="R62" s="11">
        <f>I62*'GS &gt; 50 Predicted Monthly'!$Z$15</f>
        <v>37399030.729401715</v>
      </c>
      <c r="S62" s="11">
        <f>J62*'GS &gt; 50 Predicted Monthly'!$Z$16</f>
        <v>0</v>
      </c>
      <c r="T62" s="11">
        <f>K62*'GS &gt; 50 Predicted Monthly'!$Z$17</f>
        <v>0</v>
      </c>
      <c r="U62" s="11">
        <f t="shared" si="5"/>
        <v>127060668.3296541</v>
      </c>
      <c r="V62" s="11">
        <f t="shared" si="6"/>
        <v>1134247.9413545877</v>
      </c>
      <c r="W62" s="23">
        <f t="shared" si="7"/>
        <v>9.0072276958011316E-3</v>
      </c>
      <c r="AA62" s="11"/>
      <c r="AB62" s="23"/>
    </row>
    <row r="63" spans="1:28" x14ac:dyDescent="0.2">
      <c r="A63" s="8">
        <f>'Monthly Data'!A63</f>
        <v>44593</v>
      </c>
      <c r="B63">
        <f t="shared" si="1"/>
        <v>2022</v>
      </c>
      <c r="C63">
        <f t="shared" si="2"/>
        <v>2</v>
      </c>
      <c r="D63" s="19">
        <f>'Monthly Data'!N63</f>
        <v>115603933.80678451</v>
      </c>
      <c r="E63" s="21">
        <f>'Monthly Data'!BJ63</f>
        <v>528.55208333333337</v>
      </c>
      <c r="F63" s="21">
        <f>'Monthly Data'!BK63</f>
        <v>0</v>
      </c>
      <c r="G63" s="7">
        <f>'Monthly Data'!CV63</f>
        <v>0.25</v>
      </c>
      <c r="H63" s="7">
        <f>'Monthly Data'!CS63</f>
        <v>28</v>
      </c>
      <c r="I63" s="7">
        <f>'Monthly Data'!AO63</f>
        <v>847546</v>
      </c>
      <c r="J63" s="7">
        <f>'Monthly Data'!CF63</f>
        <v>0</v>
      </c>
      <c r="K63" s="7">
        <f>'Monthly Data'!BY63</f>
        <v>0</v>
      </c>
      <c r="M63" s="11">
        <f>'GS &gt; 50 Predicted Monthly'!$Z$10</f>
        <v>-1907163.1226077401</v>
      </c>
      <c r="N63" s="11">
        <f>E63*'GS &gt; 50 Predicted Monthly'!$Z$11</f>
        <v>11275707.287283074</v>
      </c>
      <c r="O63" s="11">
        <f>F63*'GS &gt; 50 Predicted Monthly'!$Z$12</f>
        <v>0</v>
      </c>
      <c r="P63" s="11">
        <f>G63*'GS &gt; 50 Predicted Monthly'!$Z$13</f>
        <v>-2465853.8600442577</v>
      </c>
      <c r="Q63" s="11">
        <f>H63*'GS &gt; 50 Predicted Monthly'!$Z$14</f>
        <v>71829484.632353559</v>
      </c>
      <c r="R63" s="11">
        <f>I63*'GS &gt; 50 Predicted Monthly'!$Z$15</f>
        <v>37399030.729401715</v>
      </c>
      <c r="S63" s="11">
        <f>J63*'GS &gt; 50 Predicted Monthly'!$Z$16</f>
        <v>0</v>
      </c>
      <c r="T63" s="11">
        <f>K63*'GS &gt; 50 Predicted Monthly'!$Z$17</f>
        <v>0</v>
      </c>
      <c r="U63" s="11">
        <f t="shared" si="5"/>
        <v>116131205.66638634</v>
      </c>
      <c r="V63" s="11">
        <f t="shared" si="6"/>
        <v>527271.85960182548</v>
      </c>
      <c r="W63" s="23">
        <f t="shared" si="7"/>
        <v>4.5610200469742247E-3</v>
      </c>
      <c r="AA63" s="11"/>
      <c r="AB63" s="23"/>
    </row>
    <row r="64" spans="1:28" x14ac:dyDescent="0.2">
      <c r="A64" s="8">
        <f>'Monthly Data'!A64</f>
        <v>44621</v>
      </c>
      <c r="B64">
        <f t="shared" si="1"/>
        <v>2022</v>
      </c>
      <c r="C64">
        <f t="shared" si="2"/>
        <v>3</v>
      </c>
      <c r="D64" s="19">
        <f>'Monthly Data'!N64</f>
        <v>125620675.73627552</v>
      </c>
      <c r="E64" s="21">
        <f>'Monthly Data'!BJ64</f>
        <v>412.21041666666667</v>
      </c>
      <c r="F64" s="21">
        <f>'Monthly Data'!BK64</f>
        <v>0</v>
      </c>
      <c r="G64" s="7">
        <f>'Monthly Data'!CV64</f>
        <v>0.25</v>
      </c>
      <c r="H64" s="7">
        <f>'Monthly Data'!CS64</f>
        <v>31</v>
      </c>
      <c r="I64" s="7">
        <f>'Monthly Data'!AO64</f>
        <v>847546</v>
      </c>
      <c r="J64" s="7">
        <f>'Monthly Data'!CF64</f>
        <v>0</v>
      </c>
      <c r="K64" s="7">
        <f>'Monthly Data'!BY64</f>
        <v>0</v>
      </c>
      <c r="M64" s="11">
        <f>'GS &gt; 50 Predicted Monthly'!$Z$10</f>
        <v>-1907163.1226077401</v>
      </c>
      <c r="N64" s="11">
        <f>E64*'GS &gt; 50 Predicted Monthly'!$Z$11</f>
        <v>8793767.2476660553</v>
      </c>
      <c r="O64" s="11">
        <f>F64*'GS &gt; 50 Predicted Monthly'!$Z$12</f>
        <v>0</v>
      </c>
      <c r="P64" s="11">
        <f>G64*'GS &gt; 50 Predicted Monthly'!$Z$13</f>
        <v>-2465853.8600442577</v>
      </c>
      <c r="Q64" s="11">
        <f>H64*'GS &gt; 50 Predicted Monthly'!$Z$14</f>
        <v>79525500.842962876</v>
      </c>
      <c r="R64" s="11">
        <f>I64*'GS &gt; 50 Predicted Monthly'!$Z$15</f>
        <v>37399030.729401715</v>
      </c>
      <c r="S64" s="11">
        <f>J64*'GS &gt; 50 Predicted Monthly'!$Z$16</f>
        <v>0</v>
      </c>
      <c r="T64" s="11">
        <f>K64*'GS &gt; 50 Predicted Monthly'!$Z$17</f>
        <v>0</v>
      </c>
      <c r="U64" s="11">
        <f t="shared" si="5"/>
        <v>121345281.83737865</v>
      </c>
      <c r="V64" s="11">
        <f t="shared" si="6"/>
        <v>-4275393.898896873</v>
      </c>
      <c r="W64" s="23">
        <f t="shared" si="7"/>
        <v>3.403415778364792E-2</v>
      </c>
      <c r="Y64" s="11"/>
      <c r="AA64" s="11"/>
      <c r="AB64" s="23"/>
    </row>
    <row r="65" spans="1:30" x14ac:dyDescent="0.2">
      <c r="A65" s="8">
        <f>'Monthly Data'!A65</f>
        <v>44652</v>
      </c>
      <c r="B65">
        <f t="shared" si="1"/>
        <v>2022</v>
      </c>
      <c r="C65">
        <f t="shared" si="2"/>
        <v>4</v>
      </c>
      <c r="D65" s="19">
        <f>'Monthly Data'!N65</f>
        <v>115405757.73839353</v>
      </c>
      <c r="E65" s="21">
        <f>'Monthly Data'!BJ65</f>
        <v>250.45416666666662</v>
      </c>
      <c r="F65" s="21">
        <f>'Monthly Data'!BK65</f>
        <v>2.5416666666666696</v>
      </c>
      <c r="G65" s="7">
        <f>'Monthly Data'!CV65</f>
        <v>0.25</v>
      </c>
      <c r="H65" s="7">
        <f>'Monthly Data'!CS65</f>
        <v>30</v>
      </c>
      <c r="I65" s="7">
        <f>'Monthly Data'!AO65</f>
        <v>854755</v>
      </c>
      <c r="J65" s="7">
        <f>'Monthly Data'!CF65</f>
        <v>0</v>
      </c>
      <c r="K65" s="7">
        <f>'Monthly Data'!BY65</f>
        <v>0</v>
      </c>
      <c r="M65" s="11">
        <f>'GS &gt; 50 Predicted Monthly'!$Z$10</f>
        <v>-1907163.1226077401</v>
      </c>
      <c r="N65" s="11">
        <f>E65*'GS &gt; 50 Predicted Monthly'!$Z$11</f>
        <v>5342988.8203330496</v>
      </c>
      <c r="O65" s="11">
        <f>F65*'GS &gt; 50 Predicted Monthly'!$Z$12</f>
        <v>301089.02646868484</v>
      </c>
      <c r="P65" s="11">
        <f>G65*'GS &gt; 50 Predicted Monthly'!$Z$13</f>
        <v>-2465853.8600442577</v>
      </c>
      <c r="Q65" s="11">
        <f>H65*'GS &gt; 50 Predicted Monthly'!$Z$14</f>
        <v>76960162.106093109</v>
      </c>
      <c r="R65" s="11">
        <f>I65*'GS &gt; 50 Predicted Monthly'!$Z$15</f>
        <v>37717136.90007358</v>
      </c>
      <c r="S65" s="11">
        <f>J65*'GS &gt; 50 Predicted Monthly'!$Z$16</f>
        <v>0</v>
      </c>
      <c r="T65" s="11">
        <f>K65*'GS &gt; 50 Predicted Monthly'!$Z$17</f>
        <v>0</v>
      </c>
      <c r="U65" s="11">
        <f t="shared" si="5"/>
        <v>115948359.87031642</v>
      </c>
      <c r="V65" s="11">
        <f t="shared" si="6"/>
        <v>542602.13192288578</v>
      </c>
      <c r="W65" s="23">
        <f t="shared" si="7"/>
        <v>4.7016903017341504E-3</v>
      </c>
      <c r="Y65" s="11"/>
      <c r="AA65" s="11"/>
      <c r="AB65" s="23"/>
    </row>
    <row r="66" spans="1:30" x14ac:dyDescent="0.2">
      <c r="A66" s="8">
        <f>'Monthly Data'!A66</f>
        <v>44682</v>
      </c>
      <c r="B66">
        <f t="shared" ref="B66:B97" si="8">YEAR(A66)</f>
        <v>2022</v>
      </c>
      <c r="C66">
        <f t="shared" ref="C66:C97" si="9">MONTH(A66)</f>
        <v>5</v>
      </c>
      <c r="D66" s="19">
        <f>'Monthly Data'!N66</f>
        <v>122884802.51982453</v>
      </c>
      <c r="E66" s="21">
        <f>'Monthly Data'!BJ66</f>
        <v>44.104166666666664</v>
      </c>
      <c r="F66" s="21">
        <f>'Monthly Data'!BK66</f>
        <v>80.722916666666649</v>
      </c>
      <c r="G66" s="7">
        <f>'Monthly Data'!CV66</f>
        <v>0.25</v>
      </c>
      <c r="H66" s="7">
        <f>'Monthly Data'!CS66</f>
        <v>31</v>
      </c>
      <c r="I66" s="7">
        <f>'Monthly Data'!AO66</f>
        <v>854755</v>
      </c>
      <c r="J66" s="7">
        <f>'Monthly Data'!CF66</f>
        <v>0</v>
      </c>
      <c r="K66" s="7">
        <f>'Monthly Data'!BY66</f>
        <v>0</v>
      </c>
      <c r="M66" s="11">
        <f>'GS &gt; 50 Predicted Monthly'!$Z$10</f>
        <v>-1907163.1226077401</v>
      </c>
      <c r="N66" s="11">
        <f>E66*'GS &gt; 50 Predicted Monthly'!$Z$11</f>
        <v>940883.00692450942</v>
      </c>
      <c r="O66" s="11">
        <f>F66*'GS &gt; 50 Predicted Monthly'!$Z$12</f>
        <v>9562538.1217886191</v>
      </c>
      <c r="P66" s="11">
        <f>G66*'GS &gt; 50 Predicted Monthly'!$Z$13</f>
        <v>-2465853.8600442577</v>
      </c>
      <c r="Q66" s="11">
        <f>H66*'GS &gt; 50 Predicted Monthly'!$Z$14</f>
        <v>79525500.842962876</v>
      </c>
      <c r="R66" s="11">
        <f>I66*'GS &gt; 50 Predicted Monthly'!$Z$15</f>
        <v>37717136.90007358</v>
      </c>
      <c r="S66" s="11">
        <f>J66*'GS &gt; 50 Predicted Monthly'!$Z$16</f>
        <v>0</v>
      </c>
      <c r="T66" s="11">
        <f>K66*'GS &gt; 50 Predicted Monthly'!$Z$17</f>
        <v>0</v>
      </c>
      <c r="U66" s="11">
        <f t="shared" si="5"/>
        <v>123373041.8890976</v>
      </c>
      <c r="V66" s="11">
        <f t="shared" ref="V66:V97" si="10">U66-D66</f>
        <v>488239.36927306652</v>
      </c>
      <c r="W66" s="23">
        <f t="shared" ref="W66:W97" si="11">ABS(V66/D66)</f>
        <v>3.9731468762730093E-3</v>
      </c>
      <c r="Y66" s="11"/>
      <c r="AA66" s="11"/>
      <c r="AB66" s="23"/>
    </row>
    <row r="67" spans="1:30" x14ac:dyDescent="0.2">
      <c r="A67" s="8">
        <f>'Monthly Data'!A67</f>
        <v>44713</v>
      </c>
      <c r="B67">
        <f t="shared" si="8"/>
        <v>2022</v>
      </c>
      <c r="C67">
        <f t="shared" si="9"/>
        <v>6</v>
      </c>
      <c r="D67" s="19">
        <f>'Monthly Data'!N67</f>
        <v>130536069.83949654</v>
      </c>
      <c r="E67" s="21">
        <f>'Monthly Data'!BJ67</f>
        <v>0.97291666666666998</v>
      </c>
      <c r="F67" s="21">
        <f>'Monthly Data'!BK67</f>
        <v>142.82500000000002</v>
      </c>
      <c r="G67" s="7">
        <f>'Monthly Data'!CV67</f>
        <v>0.25</v>
      </c>
      <c r="H67" s="7">
        <f>'Monthly Data'!CS67</f>
        <v>30</v>
      </c>
      <c r="I67" s="7">
        <f>'Monthly Data'!AO67</f>
        <v>854755</v>
      </c>
      <c r="J67" s="7">
        <f>'Monthly Data'!CF67</f>
        <v>0</v>
      </c>
      <c r="K67" s="7">
        <f>'Monthly Data'!BY67</f>
        <v>0</v>
      </c>
      <c r="M67" s="11">
        <f>'GS &gt; 50 Predicted Monthly'!$Z$10</f>
        <v>-1907163.1226077401</v>
      </c>
      <c r="N67" s="11">
        <f>E67*'GS &gt; 50 Predicted Monthly'!$Z$11</f>
        <v>20755.425802255428</v>
      </c>
      <c r="O67" s="11">
        <f>F67*'GS &gt; 50 Predicted Monthly'!$Z$12</f>
        <v>16919228.933268145</v>
      </c>
      <c r="P67" s="11">
        <f>G67*'GS &gt; 50 Predicted Monthly'!$Z$13</f>
        <v>-2465853.8600442577</v>
      </c>
      <c r="Q67" s="11">
        <f>H67*'GS &gt; 50 Predicted Monthly'!$Z$14</f>
        <v>76960162.106093109</v>
      </c>
      <c r="R67" s="11">
        <f>I67*'GS &gt; 50 Predicted Monthly'!$Z$15</f>
        <v>37717136.90007358</v>
      </c>
      <c r="S67" s="11">
        <f>J67*'GS &gt; 50 Predicted Monthly'!$Z$16</f>
        <v>0</v>
      </c>
      <c r="T67" s="11">
        <f>K67*'GS &gt; 50 Predicted Monthly'!$Z$17</f>
        <v>0</v>
      </c>
      <c r="U67" s="11">
        <f t="shared" ref="U67:U97" si="12">SUM(M67:T67)</f>
        <v>127244266.38258508</v>
      </c>
      <c r="V67" s="11">
        <f t="shared" si="10"/>
        <v>-3291803.4569114596</v>
      </c>
      <c r="W67" s="23">
        <f t="shared" si="11"/>
        <v>2.5217577493783658E-2</v>
      </c>
      <c r="Y67" s="11"/>
      <c r="AA67" s="11"/>
      <c r="AB67" s="23"/>
    </row>
    <row r="68" spans="1:30" x14ac:dyDescent="0.2">
      <c r="A68" s="8">
        <f>'Monthly Data'!A68</f>
        <v>44743</v>
      </c>
      <c r="B68">
        <f t="shared" si="8"/>
        <v>2022</v>
      </c>
      <c r="C68">
        <f t="shared" si="9"/>
        <v>7</v>
      </c>
      <c r="D68" s="19">
        <f>'Monthly Data'!N68</f>
        <v>139071059.40513155</v>
      </c>
      <c r="E68" s="21">
        <f>'Monthly Data'!BJ68</f>
        <v>0</v>
      </c>
      <c r="F68" s="21">
        <f>'Monthly Data'!BK68</f>
        <v>224.93333333333328</v>
      </c>
      <c r="G68" s="7">
        <f>'Monthly Data'!CV68</f>
        <v>0.25</v>
      </c>
      <c r="H68" s="7">
        <f>'Monthly Data'!CS68</f>
        <v>31</v>
      </c>
      <c r="I68" s="7">
        <f>'Monthly Data'!AO68</f>
        <v>856819</v>
      </c>
      <c r="J68" s="7">
        <f>'Monthly Data'!CF68</f>
        <v>0</v>
      </c>
      <c r="K68" s="7">
        <f>'Monthly Data'!BY68</f>
        <v>0</v>
      </c>
      <c r="M68" s="11">
        <f>'GS &gt; 50 Predicted Monthly'!$Z$10</f>
        <v>-1907163.1226077401</v>
      </c>
      <c r="N68" s="11">
        <f>E68*'GS &gt; 50 Predicted Monthly'!$Z$11</f>
        <v>0</v>
      </c>
      <c r="O68" s="11">
        <f>F68*'GS &gt; 50 Predicted Monthly'!$Z$12</f>
        <v>26645885.25391059</v>
      </c>
      <c r="P68" s="11">
        <f>G68*'GS &gt; 50 Predicted Monthly'!$Z$13</f>
        <v>-2465853.8600442577</v>
      </c>
      <c r="Q68" s="11">
        <f>H68*'GS &gt; 50 Predicted Monthly'!$Z$14</f>
        <v>79525500.842962876</v>
      </c>
      <c r="R68" s="11">
        <f>I68*'GS &gt; 50 Predicted Monthly'!$Z$15</f>
        <v>37808213.489928864</v>
      </c>
      <c r="S68" s="11">
        <f>J68*'GS &gt; 50 Predicted Monthly'!$Z$16</f>
        <v>0</v>
      </c>
      <c r="T68" s="11">
        <f>K68*'GS &gt; 50 Predicted Monthly'!$Z$17</f>
        <v>0</v>
      </c>
      <c r="U68" s="11">
        <f t="shared" si="12"/>
        <v>139606582.60415033</v>
      </c>
      <c r="V68" s="11">
        <f t="shared" si="10"/>
        <v>535523.19901877642</v>
      </c>
      <c r="W68" s="23">
        <f t="shared" si="11"/>
        <v>3.8507163266710276E-3</v>
      </c>
      <c r="Y68" s="11"/>
      <c r="AA68" s="11"/>
      <c r="AB68" s="23"/>
    </row>
    <row r="69" spans="1:30" x14ac:dyDescent="0.2">
      <c r="A69" s="8">
        <f>'Monthly Data'!A69</f>
        <v>44774</v>
      </c>
      <c r="B69">
        <f t="shared" si="8"/>
        <v>2022</v>
      </c>
      <c r="C69">
        <f t="shared" si="9"/>
        <v>8</v>
      </c>
      <c r="D69" s="19">
        <f>'Monthly Data'!N69</f>
        <v>143004251.01167753</v>
      </c>
      <c r="E69" s="21">
        <f>'Monthly Data'!BJ69</f>
        <v>0</v>
      </c>
      <c r="F69" s="21">
        <f>'Monthly Data'!BK69</f>
        <v>208.27916666666667</v>
      </c>
      <c r="G69" s="7">
        <f>'Monthly Data'!CV69</f>
        <v>0.25</v>
      </c>
      <c r="H69" s="7">
        <f>'Monthly Data'!CS69</f>
        <v>31</v>
      </c>
      <c r="I69" s="7">
        <f>'Monthly Data'!AO69</f>
        <v>856819</v>
      </c>
      <c r="J69" s="7">
        <f>'Monthly Data'!CF69</f>
        <v>0</v>
      </c>
      <c r="K69" s="7">
        <f>'Monthly Data'!BY69</f>
        <v>1</v>
      </c>
      <c r="M69" s="11">
        <f>'GS &gt; 50 Predicted Monthly'!$Z$10</f>
        <v>-1907163.1226077401</v>
      </c>
      <c r="N69" s="11">
        <f>E69*'GS &gt; 50 Predicted Monthly'!$Z$11</f>
        <v>0</v>
      </c>
      <c r="O69" s="11">
        <f>F69*'GS &gt; 50 Predicted Monthly'!$Z$12</f>
        <v>24673011.74768874</v>
      </c>
      <c r="P69" s="11">
        <f>G69*'GS &gt; 50 Predicted Monthly'!$Z$13</f>
        <v>-2465853.8600442577</v>
      </c>
      <c r="Q69" s="11">
        <f>H69*'GS &gt; 50 Predicted Monthly'!$Z$14</f>
        <v>79525500.842962876</v>
      </c>
      <c r="R69" s="11">
        <f>I69*'GS &gt; 50 Predicted Monthly'!$Z$15</f>
        <v>37808213.489928864</v>
      </c>
      <c r="S69" s="11">
        <f>J69*'GS &gt; 50 Predicted Monthly'!$Z$16</f>
        <v>0</v>
      </c>
      <c r="T69" s="11">
        <f>K69*'GS &gt; 50 Predicted Monthly'!$Z$17</f>
        <v>2800660.9376037801</v>
      </c>
      <c r="U69" s="11">
        <f t="shared" si="12"/>
        <v>140434370.03553227</v>
      </c>
      <c r="V69" s="11">
        <f t="shared" si="10"/>
        <v>-2569880.9761452675</v>
      </c>
      <c r="W69" s="23">
        <f t="shared" si="11"/>
        <v>1.7970661417158952E-2</v>
      </c>
      <c r="Y69" s="11"/>
      <c r="AA69" s="11"/>
      <c r="AB69" s="23"/>
    </row>
    <row r="70" spans="1:30" x14ac:dyDescent="0.2">
      <c r="A70" s="8">
        <f>'Monthly Data'!A70</f>
        <v>44805</v>
      </c>
      <c r="B70">
        <f t="shared" si="8"/>
        <v>2022</v>
      </c>
      <c r="C70">
        <f t="shared" si="9"/>
        <v>9</v>
      </c>
      <c r="D70" s="19">
        <f>'Monthly Data'!N70</f>
        <v>129335698.79016455</v>
      </c>
      <c r="E70" s="21">
        <f>'Monthly Data'!BJ70</f>
        <v>24.349999999999994</v>
      </c>
      <c r="F70" s="21">
        <f>'Monthly Data'!BK70</f>
        <v>101.75833333333333</v>
      </c>
      <c r="G70" s="7">
        <f>'Monthly Data'!CV70</f>
        <v>0.25</v>
      </c>
      <c r="H70" s="7">
        <f>'Monthly Data'!CS70</f>
        <v>30</v>
      </c>
      <c r="I70" s="7">
        <f>'Monthly Data'!AO70</f>
        <v>856819</v>
      </c>
      <c r="J70" s="7">
        <f>'Monthly Data'!CF70</f>
        <v>1</v>
      </c>
      <c r="K70" s="7">
        <f>'Monthly Data'!BY70</f>
        <v>0</v>
      </c>
      <c r="M70" s="11">
        <f>'GS &gt; 50 Predicted Monthly'!$Z$10</f>
        <v>-1907163.1226077401</v>
      </c>
      <c r="N70" s="11">
        <f>E70*'GS &gt; 50 Predicted Monthly'!$Z$11</f>
        <v>519463.41922218539</v>
      </c>
      <c r="O70" s="11">
        <f>F70*'GS &gt; 50 Predicted Monthly'!$Z$12</f>
        <v>12054420.007242972</v>
      </c>
      <c r="P70" s="11">
        <f>G70*'GS &gt; 50 Predicted Monthly'!$Z$13</f>
        <v>-2465853.8600442577</v>
      </c>
      <c r="Q70" s="11">
        <f>H70*'GS &gt; 50 Predicted Monthly'!$Z$14</f>
        <v>76960162.106093109</v>
      </c>
      <c r="R70" s="11">
        <f>I70*'GS &gt; 50 Predicted Monthly'!$Z$15</f>
        <v>37808213.489928864</v>
      </c>
      <c r="S70" s="11">
        <f>J70*'GS &gt; 50 Predicted Monthly'!$Z$16</f>
        <v>3497669.1063549998</v>
      </c>
      <c r="T70" s="11">
        <f>K70*'GS &gt; 50 Predicted Monthly'!$Z$17</f>
        <v>0</v>
      </c>
      <c r="U70" s="11">
        <f t="shared" si="12"/>
        <v>126466911.14619012</v>
      </c>
      <c r="V70" s="11">
        <f t="shared" si="10"/>
        <v>-2868787.6439744234</v>
      </c>
      <c r="W70" s="23">
        <f t="shared" si="11"/>
        <v>2.2180942081805051E-2</v>
      </c>
      <c r="Y70" s="11"/>
      <c r="AA70" s="11"/>
      <c r="AB70" s="23"/>
    </row>
    <row r="71" spans="1:30" x14ac:dyDescent="0.2">
      <c r="A71" s="8">
        <f>'Monthly Data'!A71</f>
        <v>44835</v>
      </c>
      <c r="B71">
        <f t="shared" si="8"/>
        <v>2022</v>
      </c>
      <c r="C71">
        <f t="shared" si="9"/>
        <v>10</v>
      </c>
      <c r="D71" s="19">
        <f>'Monthly Data'!N71</f>
        <v>118832227.09556258</v>
      </c>
      <c r="E71" s="21">
        <f>'Monthly Data'!BJ71</f>
        <v>138.87083333333328</v>
      </c>
      <c r="F71" s="21">
        <f>'Monthly Data'!BK71</f>
        <v>4.3500000000000014</v>
      </c>
      <c r="G71" s="7">
        <f>'Monthly Data'!CV71</f>
        <v>0.25</v>
      </c>
      <c r="H71" s="7">
        <f>'Monthly Data'!CS71</f>
        <v>31</v>
      </c>
      <c r="I71" s="7">
        <f>'Monthly Data'!AO71</f>
        <v>856887</v>
      </c>
      <c r="J71" s="7">
        <f>'Monthly Data'!CF71</f>
        <v>1</v>
      </c>
      <c r="K71" s="7">
        <f>'Monthly Data'!BY71</f>
        <v>0</v>
      </c>
      <c r="M71" s="11">
        <f>'GS &gt; 50 Predicted Monthly'!$Z$10</f>
        <v>-1907163.1226077401</v>
      </c>
      <c r="N71" s="11">
        <f>E71*'GS &gt; 50 Predicted Monthly'!$Z$11</f>
        <v>2962559.2572307005</v>
      </c>
      <c r="O71" s="11">
        <f>F71*'GS &gt; 50 Predicted Monthly'!$Z$12</f>
        <v>515306.46497263398</v>
      </c>
      <c r="P71" s="11">
        <f>G71*'GS &gt; 50 Predicted Monthly'!$Z$13</f>
        <v>-2465853.8600442577</v>
      </c>
      <c r="Q71" s="11">
        <f>H71*'GS &gt; 50 Predicted Monthly'!$Z$14</f>
        <v>79525500.842962876</v>
      </c>
      <c r="R71" s="11">
        <f>I71*'GS &gt; 50 Predicted Monthly'!$Z$15</f>
        <v>37811214.075253554</v>
      </c>
      <c r="S71" s="11">
        <f>J71*'GS &gt; 50 Predicted Monthly'!$Z$16</f>
        <v>3497669.1063549998</v>
      </c>
      <c r="T71" s="11">
        <f>K71*'GS &gt; 50 Predicted Monthly'!$Z$17</f>
        <v>0</v>
      </c>
      <c r="U71" s="11">
        <f t="shared" si="12"/>
        <v>119939232.76412277</v>
      </c>
      <c r="V71" s="11">
        <f t="shared" si="10"/>
        <v>1107005.668560192</v>
      </c>
      <c r="W71" s="23">
        <f t="shared" si="11"/>
        <v>9.3157024455155536E-3</v>
      </c>
      <c r="Y71" s="11"/>
      <c r="AA71" s="11"/>
      <c r="AB71" s="23"/>
    </row>
    <row r="72" spans="1:30" x14ac:dyDescent="0.2">
      <c r="A72" s="8">
        <f>'Monthly Data'!A72</f>
        <v>44866</v>
      </c>
      <c r="B72">
        <f t="shared" si="8"/>
        <v>2022</v>
      </c>
      <c r="C72">
        <f t="shared" si="9"/>
        <v>11</v>
      </c>
      <c r="D72" s="19">
        <f>'Monthly Data'!N72</f>
        <v>120344515.11801657</v>
      </c>
      <c r="E72" s="21">
        <f>'Monthly Data'!BJ72</f>
        <v>285.52916666666664</v>
      </c>
      <c r="F72" s="21">
        <f>'Monthly Data'!BK72</f>
        <v>4.2666666666666639</v>
      </c>
      <c r="G72" s="7">
        <f>'Monthly Data'!CV72</f>
        <v>0.25</v>
      </c>
      <c r="H72" s="7">
        <f>'Monthly Data'!CS72</f>
        <v>30</v>
      </c>
      <c r="I72" s="7">
        <f>'Monthly Data'!AO72</f>
        <v>856887</v>
      </c>
      <c r="J72" s="7">
        <f>'Monthly Data'!CF72</f>
        <v>1</v>
      </c>
      <c r="K72" s="7">
        <f>'Monthly Data'!BY72</f>
        <v>0</v>
      </c>
      <c r="M72" s="11">
        <f>'GS &gt; 50 Predicted Monthly'!$Z$10</f>
        <v>-1907163.1226077401</v>
      </c>
      <c r="N72" s="11">
        <f>E72*'GS &gt; 50 Predicted Monthly'!$Z$11</f>
        <v>6091250.8092126455</v>
      </c>
      <c r="O72" s="11">
        <f>F72*'GS &gt; 50 Predicted Monthly'!$Z$12</f>
        <v>505434.69361300446</v>
      </c>
      <c r="P72" s="11">
        <f>G72*'GS &gt; 50 Predicted Monthly'!$Z$13</f>
        <v>-2465853.8600442577</v>
      </c>
      <c r="Q72" s="11">
        <f>H72*'GS &gt; 50 Predicted Monthly'!$Z$14</f>
        <v>76960162.106093109</v>
      </c>
      <c r="R72" s="11">
        <f>I72*'GS &gt; 50 Predicted Monthly'!$Z$15</f>
        <v>37811214.075253554</v>
      </c>
      <c r="S72" s="11">
        <f>J72*'GS &gt; 50 Predicted Monthly'!$Z$16</f>
        <v>3497669.1063549998</v>
      </c>
      <c r="T72" s="11">
        <f>K72*'GS &gt; 50 Predicted Monthly'!$Z$17</f>
        <v>0</v>
      </c>
      <c r="U72" s="11">
        <f t="shared" si="12"/>
        <v>120492713.80787532</v>
      </c>
      <c r="V72" s="11">
        <f t="shared" si="10"/>
        <v>148198.68985874951</v>
      </c>
      <c r="W72" s="23">
        <f t="shared" si="11"/>
        <v>1.2314536288871793E-3</v>
      </c>
      <c r="Y72" s="11"/>
      <c r="Z72" s="11"/>
      <c r="AA72" s="11"/>
      <c r="AB72" s="23"/>
    </row>
    <row r="73" spans="1:30" x14ac:dyDescent="0.2">
      <c r="A73" s="8">
        <f>'Monthly Data'!A73</f>
        <v>44896</v>
      </c>
      <c r="B73">
        <f t="shared" si="8"/>
        <v>2022</v>
      </c>
      <c r="C73">
        <f t="shared" si="9"/>
        <v>12</v>
      </c>
      <c r="D73" s="19">
        <f>'Monthly Data'!N73</f>
        <v>122243171.67379358</v>
      </c>
      <c r="E73" s="21">
        <f>'Monthly Data'!BJ73</f>
        <v>469.42500000000007</v>
      </c>
      <c r="F73" s="21">
        <f>'Monthly Data'!BK73</f>
        <v>0</v>
      </c>
      <c r="G73" s="7">
        <f>'Monthly Data'!CV73</f>
        <v>0.25</v>
      </c>
      <c r="H73" s="7">
        <f>'Monthly Data'!CS73</f>
        <v>31</v>
      </c>
      <c r="I73" s="7">
        <f>'Monthly Data'!AO73</f>
        <v>856887</v>
      </c>
      <c r="J73" s="7">
        <f>'Monthly Data'!CF73</f>
        <v>0</v>
      </c>
      <c r="K73" s="7">
        <f>'Monthly Data'!BY73</f>
        <v>0</v>
      </c>
      <c r="M73" s="11">
        <f>'GS &gt; 50 Predicted Monthly'!$Z$10</f>
        <v>-1907163.1226077401</v>
      </c>
      <c r="N73" s="11">
        <f>E73*'GS &gt; 50 Predicted Monthly'!$Z$11</f>
        <v>10014337.395005111</v>
      </c>
      <c r="O73" s="11">
        <f>F73*'GS &gt; 50 Predicted Monthly'!$Z$12</f>
        <v>0</v>
      </c>
      <c r="P73" s="11">
        <f>G73*'GS &gt; 50 Predicted Monthly'!$Z$13</f>
        <v>-2465853.8600442577</v>
      </c>
      <c r="Q73" s="11">
        <f>H73*'GS &gt; 50 Predicted Monthly'!$Z$14</f>
        <v>79525500.842962876</v>
      </c>
      <c r="R73" s="11">
        <f>I73*'GS &gt; 50 Predicted Monthly'!$Z$15</f>
        <v>37811214.075253554</v>
      </c>
      <c r="S73" s="11">
        <f>J73*'GS &gt; 50 Predicted Monthly'!$Z$16</f>
        <v>0</v>
      </c>
      <c r="T73" s="11">
        <f>K73*'GS &gt; 50 Predicted Monthly'!$Z$17</f>
        <v>0</v>
      </c>
      <c r="U73" s="11">
        <f t="shared" si="12"/>
        <v>122978035.33056954</v>
      </c>
      <c r="V73" s="11">
        <f t="shared" si="10"/>
        <v>734863.65677595139</v>
      </c>
      <c r="W73" s="23">
        <f t="shared" si="11"/>
        <v>6.0114904310315026E-3</v>
      </c>
      <c r="Y73" s="11"/>
      <c r="Z73" s="11"/>
      <c r="AA73" s="11"/>
      <c r="AB73" s="23"/>
    </row>
    <row r="74" spans="1:30" x14ac:dyDescent="0.2">
      <c r="A74" s="8">
        <f>'Monthly Data'!A74</f>
        <v>44927</v>
      </c>
      <c r="B74">
        <f t="shared" si="8"/>
        <v>2023</v>
      </c>
      <c r="C74">
        <f t="shared" si="9"/>
        <v>1</v>
      </c>
      <c r="D74" s="19">
        <f>'Monthly Data'!N74</f>
        <v>125499058.84452012</v>
      </c>
      <c r="E74" s="21">
        <f>'Monthly Data'!BJ74</f>
        <v>465.55416666666667</v>
      </c>
      <c r="F74" s="21">
        <f>'Monthly Data'!BK74</f>
        <v>0</v>
      </c>
      <c r="G74" s="7">
        <f>'Monthly Data'!CV74</f>
        <v>0</v>
      </c>
      <c r="H74" s="7">
        <f>'Monthly Data'!CS74</f>
        <v>31</v>
      </c>
      <c r="I74" s="7">
        <f>'Monthly Data'!AO74</f>
        <v>867096</v>
      </c>
      <c r="J74" s="7">
        <f>'Monthly Data'!CF74</f>
        <v>0</v>
      </c>
      <c r="K74" s="7">
        <f>'Monthly Data'!BY74</f>
        <v>0</v>
      </c>
      <c r="M74" s="11">
        <f>'GS &gt; 50 Predicted Monthly'!$Z$10</f>
        <v>-1907163.1226077401</v>
      </c>
      <c r="N74" s="11">
        <f>E74*'GS &gt; 50 Predicted Monthly'!$Z$11</f>
        <v>9931760.13346209</v>
      </c>
      <c r="O74" s="11">
        <f>F74*'GS &gt; 50 Predicted Monthly'!$Z$12</f>
        <v>0</v>
      </c>
      <c r="P74" s="11">
        <f>G74*'GS &gt; 50 Predicted Monthly'!$Z$13</f>
        <v>0</v>
      </c>
      <c r="Q74" s="11">
        <f>H74*'GS &gt; 50 Predicted Monthly'!$Z$14</f>
        <v>79525500.842962876</v>
      </c>
      <c r="R74" s="11">
        <f>I74*'GS &gt; 50 Predicted Monthly'!$Z$15</f>
        <v>38261699.010249957</v>
      </c>
      <c r="S74" s="11">
        <f>J74*'GS &gt; 50 Predicted Monthly'!$Z$16</f>
        <v>0</v>
      </c>
      <c r="T74" s="11">
        <f>K74*'GS &gt; 50 Predicted Monthly'!$Z$17</f>
        <v>0</v>
      </c>
      <c r="U74" s="11">
        <f t="shared" si="12"/>
        <v>125811796.86406718</v>
      </c>
      <c r="V74" s="11">
        <f t="shared" si="10"/>
        <v>312738.01954706013</v>
      </c>
      <c r="W74" s="23">
        <f t="shared" si="11"/>
        <v>2.491955098519974E-3</v>
      </c>
      <c r="Y74" s="11"/>
      <c r="Z74" s="11"/>
      <c r="AA74" s="11"/>
      <c r="AB74" s="23"/>
    </row>
    <row r="75" spans="1:30" x14ac:dyDescent="0.2">
      <c r="A75" s="8">
        <f>'Monthly Data'!A75</f>
        <v>44958</v>
      </c>
      <c r="B75">
        <f t="shared" si="8"/>
        <v>2023</v>
      </c>
      <c r="C75">
        <f t="shared" si="9"/>
        <v>2</v>
      </c>
      <c r="D75" s="19">
        <f>'Monthly Data'!N75</f>
        <v>115607990.73071887</v>
      </c>
      <c r="E75" s="21">
        <f>'Monthly Data'!BJ75</f>
        <v>433.21666666666664</v>
      </c>
      <c r="F75" s="21">
        <f>'Monthly Data'!BK75</f>
        <v>0</v>
      </c>
      <c r="G75" s="7">
        <f>'Monthly Data'!CV75</f>
        <v>0</v>
      </c>
      <c r="H75" s="7">
        <f>'Monthly Data'!CS75</f>
        <v>28</v>
      </c>
      <c r="I75" s="7">
        <f>'Monthly Data'!AO75</f>
        <v>867096</v>
      </c>
      <c r="J75" s="7">
        <f>'Monthly Data'!CF75</f>
        <v>0</v>
      </c>
      <c r="K75" s="7">
        <f>'Monthly Data'!BY75</f>
        <v>0</v>
      </c>
      <c r="M75" s="11">
        <f>'GS &gt; 50 Predicted Monthly'!$Z$10</f>
        <v>-1907163.1226077401</v>
      </c>
      <c r="N75" s="11">
        <f>E75*'GS &gt; 50 Predicted Monthly'!$Z$11</f>
        <v>9241897.7794950493</v>
      </c>
      <c r="O75" s="11">
        <f>F75*'GS &gt; 50 Predicted Monthly'!$Z$12</f>
        <v>0</v>
      </c>
      <c r="P75" s="11">
        <f>G75*'GS &gt; 50 Predicted Monthly'!$Z$13</f>
        <v>0</v>
      </c>
      <c r="Q75" s="11">
        <f>H75*'GS &gt; 50 Predicted Monthly'!$Z$14</f>
        <v>71829484.632353559</v>
      </c>
      <c r="R75" s="11">
        <f>I75*'GS &gt; 50 Predicted Monthly'!$Z$15</f>
        <v>38261699.010249957</v>
      </c>
      <c r="S75" s="11">
        <f>J75*'GS &gt; 50 Predicted Monthly'!$Z$16</f>
        <v>0</v>
      </c>
      <c r="T75" s="11">
        <f>K75*'GS &gt; 50 Predicted Monthly'!$Z$17</f>
        <v>0</v>
      </c>
      <c r="U75" s="11">
        <f t="shared" si="12"/>
        <v>117425918.29949082</v>
      </c>
      <c r="V75" s="11">
        <f t="shared" si="10"/>
        <v>1817927.5687719584</v>
      </c>
      <c r="W75" s="23">
        <f t="shared" si="11"/>
        <v>1.5724930061334474E-2</v>
      </c>
      <c r="Y75" s="11"/>
      <c r="Z75" s="11"/>
      <c r="AA75" s="11"/>
      <c r="AB75" s="23"/>
    </row>
    <row r="76" spans="1:30" x14ac:dyDescent="0.2">
      <c r="A76" s="8">
        <f>'Monthly Data'!A76</f>
        <v>44986</v>
      </c>
      <c r="B76">
        <f t="shared" si="8"/>
        <v>2023</v>
      </c>
      <c r="C76">
        <f t="shared" si="9"/>
        <v>3</v>
      </c>
      <c r="D76" s="19">
        <f>'Monthly Data'!N76</f>
        <v>125466538.14647563</v>
      </c>
      <c r="E76" s="21">
        <f>'Monthly Data'!BJ76</f>
        <v>428.04583333333323</v>
      </c>
      <c r="F76" s="21">
        <f>'Monthly Data'!BK76</f>
        <v>0</v>
      </c>
      <c r="G76" s="7">
        <f>'Monthly Data'!CV76</f>
        <v>0</v>
      </c>
      <c r="H76" s="7">
        <f>'Monthly Data'!CS76</f>
        <v>31</v>
      </c>
      <c r="I76" s="7">
        <f>'Monthly Data'!AO76</f>
        <v>867096</v>
      </c>
      <c r="J76" s="7">
        <f>'Monthly Data'!CF76</f>
        <v>0</v>
      </c>
      <c r="K76" s="7">
        <f>'Monthly Data'!BY76</f>
        <v>0</v>
      </c>
      <c r="M76" s="11">
        <f>'GS &gt; 50 Predicted Monthly'!$Z$10</f>
        <v>-1907163.1226077401</v>
      </c>
      <c r="N76" s="11">
        <f>E76*'GS &gt; 50 Predicted Monthly'!$Z$11</f>
        <v>9131587.3579935525</v>
      </c>
      <c r="O76" s="11">
        <f>F76*'GS &gt; 50 Predicted Monthly'!$Z$12</f>
        <v>0</v>
      </c>
      <c r="P76" s="11">
        <f>G76*'GS &gt; 50 Predicted Monthly'!$Z$13</f>
        <v>0</v>
      </c>
      <c r="Q76" s="11">
        <f>H76*'GS &gt; 50 Predicted Monthly'!$Z$14</f>
        <v>79525500.842962876</v>
      </c>
      <c r="R76" s="11">
        <f>I76*'GS &gt; 50 Predicted Monthly'!$Z$15</f>
        <v>38261699.010249957</v>
      </c>
      <c r="S76" s="11">
        <f>J76*'GS &gt; 50 Predicted Monthly'!$Z$16</f>
        <v>0</v>
      </c>
      <c r="T76" s="11">
        <f>K76*'GS &gt; 50 Predicted Monthly'!$Z$17</f>
        <v>0</v>
      </c>
      <c r="U76" s="11">
        <f t="shared" si="12"/>
        <v>125011624.08859865</v>
      </c>
      <c r="V76" s="11">
        <f t="shared" si="10"/>
        <v>-454914.05787697434</v>
      </c>
      <c r="W76" s="23">
        <f t="shared" si="11"/>
        <v>3.6257799457723614E-3</v>
      </c>
      <c r="Z76" s="11"/>
      <c r="AA76" s="11"/>
      <c r="AB76" s="23"/>
    </row>
    <row r="77" spans="1:30" x14ac:dyDescent="0.2">
      <c r="A77" s="8">
        <f>'Monthly Data'!A77</f>
        <v>45017</v>
      </c>
      <c r="B77">
        <f t="shared" si="8"/>
        <v>2023</v>
      </c>
      <c r="C77">
        <f t="shared" si="9"/>
        <v>4</v>
      </c>
      <c r="D77" s="19">
        <f>'Monthly Data'!N77</f>
        <v>114391957.98950237</v>
      </c>
      <c r="E77" s="21">
        <f>'Monthly Data'!BJ77</f>
        <v>192.73750000000004</v>
      </c>
      <c r="F77" s="21">
        <f>'Monthly Data'!BK77</f>
        <v>22.516666666666687</v>
      </c>
      <c r="G77" s="7">
        <f>'Monthly Data'!CV77</f>
        <v>0</v>
      </c>
      <c r="H77" s="7">
        <f>'Monthly Data'!CS77</f>
        <v>30</v>
      </c>
      <c r="I77" s="7">
        <f>'Monthly Data'!AO77</f>
        <v>873385</v>
      </c>
      <c r="J77" s="7">
        <f>'Monthly Data'!CF77</f>
        <v>0</v>
      </c>
      <c r="K77" s="7">
        <f>'Monthly Data'!BY77</f>
        <v>0</v>
      </c>
      <c r="M77" s="11">
        <f>'GS &gt; 50 Predicted Monthly'!$Z$10</f>
        <v>-1907163.1226077401</v>
      </c>
      <c r="N77" s="11">
        <f>E77*'GS &gt; 50 Predicted Monthly'!$Z$11</f>
        <v>4111707.6288433676</v>
      </c>
      <c r="O77" s="11">
        <f>F77*'GS &gt; 50 Predicted Monthly'!$Z$12</f>
        <v>2667352.6213717582</v>
      </c>
      <c r="P77" s="11">
        <f>G77*'GS &gt; 50 Predicted Monthly'!$Z$13</f>
        <v>0</v>
      </c>
      <c r="Q77" s="11">
        <f>H77*'GS &gt; 50 Predicted Monthly'!$Z$14</f>
        <v>76960162.106093109</v>
      </c>
      <c r="R77" s="11">
        <f>I77*'GS &gt; 50 Predicted Monthly'!$Z$15</f>
        <v>38539209.026528962</v>
      </c>
      <c r="S77" s="11">
        <f>J77*'GS &gt; 50 Predicted Monthly'!$Z$16</f>
        <v>0</v>
      </c>
      <c r="T77" s="11">
        <f>K77*'GS &gt; 50 Predicted Monthly'!$Z$17</f>
        <v>0</v>
      </c>
      <c r="U77" s="11">
        <f t="shared" si="12"/>
        <v>120371268.26022947</v>
      </c>
      <c r="V77" s="11">
        <f t="shared" si="10"/>
        <v>5979310.270727098</v>
      </c>
      <c r="W77" s="23">
        <f t="shared" si="11"/>
        <v>5.227037263647339E-2</v>
      </c>
      <c r="Y77" s="11"/>
      <c r="Z77" s="11"/>
      <c r="AA77" s="11"/>
      <c r="AB77" s="23"/>
    </row>
    <row r="78" spans="1:30" x14ac:dyDescent="0.2">
      <c r="A78" s="8">
        <f>'Monthly Data'!A78</f>
        <v>45047</v>
      </c>
      <c r="B78">
        <f t="shared" si="8"/>
        <v>2023</v>
      </c>
      <c r="C78">
        <f t="shared" si="9"/>
        <v>5</v>
      </c>
      <c r="D78" s="19">
        <f>'Monthly Data'!N78</f>
        <v>123483481.6939701</v>
      </c>
      <c r="E78" s="21">
        <f>'Monthly Data'!BJ78</f>
        <v>62.808333333333323</v>
      </c>
      <c r="F78" s="21">
        <f>'Monthly Data'!BK78</f>
        <v>49.670833333333306</v>
      </c>
      <c r="G78" s="7">
        <f>'Monthly Data'!CV78</f>
        <v>0</v>
      </c>
      <c r="H78" s="7">
        <f>'Monthly Data'!CS78</f>
        <v>31</v>
      </c>
      <c r="I78" s="7">
        <f>'Monthly Data'!AO78</f>
        <v>873385</v>
      </c>
      <c r="J78" s="7">
        <f>'Monthly Data'!CF78</f>
        <v>0</v>
      </c>
      <c r="K78" s="7">
        <f>'Monthly Data'!BY78</f>
        <v>0</v>
      </c>
      <c r="M78" s="11">
        <f>'GS &gt; 50 Predicted Monthly'!$Z$10</f>
        <v>-1907163.1226077401</v>
      </c>
      <c r="N78" s="11">
        <f>E78*'GS &gt; 50 Predicted Monthly'!$Z$11</f>
        <v>1339902.7346603735</v>
      </c>
      <c r="O78" s="11">
        <f>F78*'GS &gt; 50 Predicted Monthly'!$Z$12</f>
        <v>5884069.3189068623</v>
      </c>
      <c r="P78" s="11">
        <f>G78*'GS &gt; 50 Predicted Monthly'!$Z$13</f>
        <v>0</v>
      </c>
      <c r="Q78" s="11">
        <f>H78*'GS &gt; 50 Predicted Monthly'!$Z$14</f>
        <v>79525500.842962876</v>
      </c>
      <c r="R78" s="11">
        <f>I78*'GS &gt; 50 Predicted Monthly'!$Z$15</f>
        <v>38539209.026528962</v>
      </c>
      <c r="S78" s="11">
        <f>J78*'GS &gt; 50 Predicted Monthly'!$Z$16</f>
        <v>0</v>
      </c>
      <c r="T78" s="11">
        <f>K78*'GS &gt; 50 Predicted Monthly'!$Z$17</f>
        <v>0</v>
      </c>
      <c r="U78" s="11">
        <f t="shared" si="12"/>
        <v>123381518.80045134</v>
      </c>
      <c r="V78" s="11">
        <f t="shared" si="10"/>
        <v>-101962.8935187608</v>
      </c>
      <c r="W78" s="23">
        <f t="shared" si="11"/>
        <v>8.2572091521889617E-4</v>
      </c>
      <c r="Y78" s="11"/>
      <c r="Z78" s="11"/>
      <c r="AA78" s="11"/>
      <c r="AB78" s="23"/>
      <c r="AC78" s="11"/>
      <c r="AD78" s="57"/>
    </row>
    <row r="79" spans="1:30" x14ac:dyDescent="0.2">
      <c r="A79" s="8">
        <f>'Monthly Data'!A79</f>
        <v>45078</v>
      </c>
      <c r="B79">
        <f t="shared" si="8"/>
        <v>2023</v>
      </c>
      <c r="C79">
        <f t="shared" si="9"/>
        <v>6</v>
      </c>
      <c r="D79" s="19">
        <f>'Monthly Data'!N79</f>
        <v>127247993.22335185</v>
      </c>
      <c r="E79" s="21">
        <f>'Monthly Data'!BJ79</f>
        <v>1.8374999999999932</v>
      </c>
      <c r="F79" s="21">
        <f>'Monthly Data'!BK79</f>
        <v>130.14166666666665</v>
      </c>
      <c r="G79" s="7">
        <f>'Monthly Data'!CV79</f>
        <v>0</v>
      </c>
      <c r="H79" s="7">
        <f>'Monthly Data'!CS79</f>
        <v>30</v>
      </c>
      <c r="I79" s="7">
        <f>'Monthly Data'!AO79</f>
        <v>873385</v>
      </c>
      <c r="J79" s="7">
        <f>'Monthly Data'!CF79</f>
        <v>0</v>
      </c>
      <c r="K79" s="7">
        <f>'Monthly Data'!BY79</f>
        <v>0</v>
      </c>
      <c r="M79" s="11">
        <f>'GS &gt; 50 Predicted Monthly'!$Z$10</f>
        <v>-1907163.1226077401</v>
      </c>
      <c r="N79" s="11">
        <f>E79*'GS &gt; 50 Predicted Monthly'!$Z$11</f>
        <v>39199.754941304411</v>
      </c>
      <c r="O79" s="11">
        <f>F79*'GS &gt; 50 Predicted Monthly'!$Z$12</f>
        <v>15416745.332332607</v>
      </c>
      <c r="P79" s="11">
        <f>G79*'GS &gt; 50 Predicted Monthly'!$Z$13</f>
        <v>0</v>
      </c>
      <c r="Q79" s="11">
        <f>H79*'GS &gt; 50 Predicted Monthly'!$Z$14</f>
        <v>76960162.106093109</v>
      </c>
      <c r="R79" s="11">
        <f>I79*'GS &gt; 50 Predicted Monthly'!$Z$15</f>
        <v>38539209.026528962</v>
      </c>
      <c r="S79" s="11">
        <f>J79*'GS &gt; 50 Predicted Monthly'!$Z$16</f>
        <v>0</v>
      </c>
      <c r="T79" s="11">
        <f>K79*'GS &gt; 50 Predicted Monthly'!$Z$17</f>
        <v>0</v>
      </c>
      <c r="U79" s="11">
        <f t="shared" si="12"/>
        <v>129048153.09728825</v>
      </c>
      <c r="V79" s="11">
        <f t="shared" si="10"/>
        <v>1800159.8739363998</v>
      </c>
      <c r="W79" s="23">
        <f t="shared" si="11"/>
        <v>1.4146862581767179E-2</v>
      </c>
      <c r="Y79" s="11"/>
      <c r="Z79" s="11"/>
      <c r="AA79" s="11"/>
      <c r="AB79" s="23"/>
      <c r="AC79" s="11"/>
      <c r="AD79" s="57"/>
    </row>
    <row r="80" spans="1:30" x14ac:dyDescent="0.2">
      <c r="A80" s="8">
        <f>'Monthly Data'!A80</f>
        <v>45108</v>
      </c>
      <c r="B80">
        <f t="shared" si="8"/>
        <v>2023</v>
      </c>
      <c r="C80">
        <f t="shared" si="9"/>
        <v>7</v>
      </c>
      <c r="D80" s="19">
        <f>'Monthly Data'!N80</f>
        <v>137496928.92038861</v>
      </c>
      <c r="E80" s="21">
        <f>'Monthly Data'!BJ80</f>
        <v>0</v>
      </c>
      <c r="F80" s="21">
        <f>'Monthly Data'!BK80</f>
        <v>203.20000000000002</v>
      </c>
      <c r="G80" s="7">
        <f>'Monthly Data'!CV80</f>
        <v>0</v>
      </c>
      <c r="H80" s="7">
        <f>'Monthly Data'!CS80</f>
        <v>31</v>
      </c>
      <c r="I80" s="7">
        <f>'Monthly Data'!AO80</f>
        <v>876964</v>
      </c>
      <c r="J80" s="7">
        <f>'Monthly Data'!CF80</f>
        <v>0</v>
      </c>
      <c r="K80" s="7">
        <f>'Monthly Data'!BY80</f>
        <v>0</v>
      </c>
      <c r="M80" s="11">
        <f>'GS &gt; 50 Predicted Monthly'!$Z$10</f>
        <v>-1907163.1226077401</v>
      </c>
      <c r="N80" s="11">
        <f>E80*'GS &gt; 50 Predicted Monthly'!$Z$11</f>
        <v>0</v>
      </c>
      <c r="O80" s="11">
        <f>F80*'GS &gt; 50 Predicted Monthly'!$Z$12</f>
        <v>24071327.283319358</v>
      </c>
      <c r="P80" s="11">
        <f>G80*'GS &gt; 50 Predicted Monthly'!$Z$13</f>
        <v>0</v>
      </c>
      <c r="Q80" s="11">
        <f>H80*'GS &gt; 50 Predicted Monthly'!$Z$14</f>
        <v>79525500.842962876</v>
      </c>
      <c r="R80" s="11">
        <f>I80*'GS &gt; 50 Predicted Monthly'!$Z$15</f>
        <v>38697136.892368138</v>
      </c>
      <c r="S80" s="11">
        <f>J80*'GS &gt; 50 Predicted Monthly'!$Z$16</f>
        <v>0</v>
      </c>
      <c r="T80" s="11">
        <f>K80*'GS &gt; 50 Predicted Monthly'!$Z$17</f>
        <v>0</v>
      </c>
      <c r="U80" s="11">
        <f t="shared" si="12"/>
        <v>140386801.89604264</v>
      </c>
      <c r="V80" s="11">
        <f t="shared" si="10"/>
        <v>2889872.9756540358</v>
      </c>
      <c r="W80" s="23">
        <f t="shared" si="11"/>
        <v>2.1017727438314541E-2</v>
      </c>
      <c r="Y80" s="11"/>
      <c r="Z80" s="11"/>
      <c r="AA80" s="11"/>
      <c r="AB80" s="23"/>
      <c r="AC80" s="11"/>
      <c r="AD80" s="57"/>
    </row>
    <row r="81" spans="1:30" x14ac:dyDescent="0.2">
      <c r="A81" s="8">
        <f>'Monthly Data'!A81</f>
        <v>45139</v>
      </c>
      <c r="B81">
        <f t="shared" si="8"/>
        <v>2023</v>
      </c>
      <c r="C81">
        <f t="shared" si="9"/>
        <v>8</v>
      </c>
      <c r="D81" s="19">
        <f>'Monthly Data'!N81</f>
        <v>133974170.58140434</v>
      </c>
      <c r="E81" s="21">
        <f>'Monthly Data'!BJ81</f>
        <v>4.1666666666646535E-3</v>
      </c>
      <c r="F81" s="21">
        <f>'Monthly Data'!BK81</f>
        <v>144.09583333333336</v>
      </c>
      <c r="G81" s="7">
        <f>'Monthly Data'!CV81</f>
        <v>0</v>
      </c>
      <c r="H81" s="7">
        <f>'Monthly Data'!CS81</f>
        <v>31</v>
      </c>
      <c r="I81" s="7">
        <f>'Monthly Data'!AO81</f>
        <v>876964</v>
      </c>
      <c r="J81" s="7">
        <f>'Monthly Data'!CF81</f>
        <v>0</v>
      </c>
      <c r="K81" s="7">
        <f>'Monthly Data'!BY81</f>
        <v>1</v>
      </c>
      <c r="M81" s="11">
        <f>'GS &gt; 50 Predicted Monthly'!$Z$10</f>
        <v>-1907163.1226077401</v>
      </c>
      <c r="N81" s="11">
        <f>E81*'GS &gt; 50 Predicted Monthly'!$Z$11</f>
        <v>88.888333200194126</v>
      </c>
      <c r="O81" s="11">
        <f>F81*'GS &gt; 50 Predicted Monthly'!$Z$12</f>
        <v>17069773.446502488</v>
      </c>
      <c r="P81" s="11">
        <f>G81*'GS &gt; 50 Predicted Monthly'!$Z$13</f>
        <v>0</v>
      </c>
      <c r="Q81" s="11">
        <f>H81*'GS &gt; 50 Predicted Monthly'!$Z$14</f>
        <v>79525500.842962876</v>
      </c>
      <c r="R81" s="11">
        <f>I81*'GS &gt; 50 Predicted Monthly'!$Z$15</f>
        <v>38697136.892368138</v>
      </c>
      <c r="S81" s="11">
        <f>J81*'GS &gt; 50 Predicted Monthly'!$Z$16</f>
        <v>0</v>
      </c>
      <c r="T81" s="11">
        <f>K81*'GS &gt; 50 Predicted Monthly'!$Z$17</f>
        <v>2800660.9376037801</v>
      </c>
      <c r="U81" s="11">
        <f t="shared" si="12"/>
        <v>136185997.88516274</v>
      </c>
      <c r="V81" s="11">
        <f t="shared" si="10"/>
        <v>2211827.3037583977</v>
      </c>
      <c r="W81" s="23">
        <f t="shared" si="11"/>
        <v>1.650935620022715E-2</v>
      </c>
      <c r="Y81" s="11"/>
      <c r="Z81" s="11"/>
      <c r="AA81" s="11"/>
      <c r="AB81" s="23"/>
      <c r="AC81" s="11"/>
      <c r="AD81" s="57"/>
    </row>
    <row r="82" spans="1:30" x14ac:dyDescent="0.2">
      <c r="A82" s="8">
        <f>'Monthly Data'!A82</f>
        <v>45170</v>
      </c>
      <c r="B82">
        <f t="shared" si="8"/>
        <v>2023</v>
      </c>
      <c r="C82">
        <f t="shared" si="9"/>
        <v>9</v>
      </c>
      <c r="D82" s="19">
        <f>'Monthly Data'!N82</f>
        <v>125628407.1768401</v>
      </c>
      <c r="E82" s="21">
        <f>'Monthly Data'!BJ82</f>
        <v>3.8624999999999901</v>
      </c>
      <c r="F82" s="21">
        <f>'Monthly Data'!BK82</f>
        <v>90.90416666666664</v>
      </c>
      <c r="G82" s="7">
        <f>'Monthly Data'!CV82</f>
        <v>0</v>
      </c>
      <c r="H82" s="7">
        <f>'Monthly Data'!CS82</f>
        <v>30</v>
      </c>
      <c r="I82" s="7">
        <f>'Monthly Data'!AO82</f>
        <v>876964</v>
      </c>
      <c r="J82" s="7">
        <f>'Monthly Data'!CF82</f>
        <v>1</v>
      </c>
      <c r="K82" s="7">
        <f>'Monthly Data'!BY82</f>
        <v>0</v>
      </c>
      <c r="M82" s="11">
        <f>'GS &gt; 50 Predicted Monthly'!$Z$10</f>
        <v>-1907163.1226077401</v>
      </c>
      <c r="N82" s="11">
        <f>E82*'GS &gt; 50 Predicted Monthly'!$Z$11</f>
        <v>82399.484876619565</v>
      </c>
      <c r="O82" s="11">
        <f>F82*'GS &gt; 50 Predicted Monthly'!$Z$12</f>
        <v>10768621.787651291</v>
      </c>
      <c r="P82" s="11">
        <f>G82*'GS &gt; 50 Predicted Monthly'!$Z$13</f>
        <v>0</v>
      </c>
      <c r="Q82" s="11">
        <f>H82*'GS &gt; 50 Predicted Monthly'!$Z$14</f>
        <v>76960162.106093109</v>
      </c>
      <c r="R82" s="11">
        <f>I82*'GS &gt; 50 Predicted Monthly'!$Z$15</f>
        <v>38697136.892368138</v>
      </c>
      <c r="S82" s="11">
        <f>J82*'GS &gt; 50 Predicted Monthly'!$Z$16</f>
        <v>3497669.1063549998</v>
      </c>
      <c r="T82" s="11">
        <f>K82*'GS &gt; 50 Predicted Monthly'!$Z$17</f>
        <v>0</v>
      </c>
      <c r="U82" s="11">
        <f t="shared" si="12"/>
        <v>128098826.25473641</v>
      </c>
      <c r="V82" s="11">
        <f t="shared" si="10"/>
        <v>2470419.0778963119</v>
      </c>
      <c r="W82" s="23">
        <f t="shared" si="11"/>
        <v>1.9664494149152435E-2</v>
      </c>
      <c r="Y82" s="11"/>
      <c r="AB82" s="11"/>
      <c r="AC82" s="11"/>
      <c r="AD82" s="57"/>
    </row>
    <row r="83" spans="1:30" x14ac:dyDescent="0.2">
      <c r="A83" s="8">
        <f>'Monthly Data'!A83</f>
        <v>45200</v>
      </c>
      <c r="B83">
        <f t="shared" si="8"/>
        <v>2023</v>
      </c>
      <c r="C83">
        <f t="shared" si="9"/>
        <v>10</v>
      </c>
      <c r="D83" s="19">
        <f>'Monthly Data'!N83</f>
        <v>122505184.85314384</v>
      </c>
      <c r="E83" s="21">
        <f>'Monthly Data'!BJ83</f>
        <v>126.92083333333335</v>
      </c>
      <c r="F83" s="21">
        <f>'Monthly Data'!BK83</f>
        <v>37.479166666666657</v>
      </c>
      <c r="G83" s="7">
        <f>'Monthly Data'!CV83</f>
        <v>0</v>
      </c>
      <c r="H83" s="7">
        <f>'Monthly Data'!CS83</f>
        <v>31</v>
      </c>
      <c r="I83" s="7">
        <f>'Monthly Data'!AO83</f>
        <v>880255</v>
      </c>
      <c r="J83" s="7">
        <f>'Monthly Data'!CF83</f>
        <v>1</v>
      </c>
      <c r="K83" s="7">
        <f>'Monthly Data'!BY83</f>
        <v>0</v>
      </c>
      <c r="M83" s="11">
        <f>'GS &gt; 50 Predicted Monthly'!$Z$10</f>
        <v>-1907163.1226077401</v>
      </c>
      <c r="N83" s="11">
        <f>E83*'GS &gt; 50 Predicted Monthly'!$Z$11</f>
        <v>2707627.5176124219</v>
      </c>
      <c r="O83" s="11">
        <f>F83*'GS &gt; 50 Predicted Monthly'!$Z$12</f>
        <v>4439829.1689931415</v>
      </c>
      <c r="P83" s="11">
        <f>G83*'GS &gt; 50 Predicted Monthly'!$Z$13</f>
        <v>0</v>
      </c>
      <c r="Q83" s="11">
        <f>H83*'GS &gt; 50 Predicted Monthly'!$Z$14</f>
        <v>79525500.842962876</v>
      </c>
      <c r="R83" s="11">
        <f>I83*'GS &gt; 50 Predicted Monthly'!$Z$15</f>
        <v>38842356.396832153</v>
      </c>
      <c r="S83" s="11">
        <f>J83*'GS &gt; 50 Predicted Monthly'!$Z$16</f>
        <v>3497669.1063549998</v>
      </c>
      <c r="T83" s="11">
        <f>K83*'GS &gt; 50 Predicted Monthly'!$Z$17</f>
        <v>0</v>
      </c>
      <c r="U83" s="11">
        <f t="shared" si="12"/>
        <v>127105819.91014785</v>
      </c>
      <c r="V83" s="11">
        <f t="shared" si="10"/>
        <v>4600635.0570040047</v>
      </c>
      <c r="W83" s="23">
        <f t="shared" si="11"/>
        <v>3.7554615035429978E-2</v>
      </c>
      <c r="Y83" s="11"/>
      <c r="AB83" s="11"/>
      <c r="AC83" s="11"/>
      <c r="AD83" s="57"/>
    </row>
    <row r="84" spans="1:30" x14ac:dyDescent="0.2">
      <c r="A84" s="8">
        <f>'Monthly Data'!A84</f>
        <v>45231</v>
      </c>
      <c r="B84">
        <f t="shared" si="8"/>
        <v>2023</v>
      </c>
      <c r="C84">
        <f t="shared" si="9"/>
        <v>11</v>
      </c>
      <c r="D84" s="19">
        <f>'Monthly Data'!N84</f>
        <v>120984971.18912058</v>
      </c>
      <c r="E84" s="21">
        <f>'Monthly Data'!BJ84</f>
        <v>323.11666666666673</v>
      </c>
      <c r="F84" s="21">
        <f>'Monthly Data'!BK84</f>
        <v>0</v>
      </c>
      <c r="G84" s="7">
        <f>'Monthly Data'!CV84</f>
        <v>0</v>
      </c>
      <c r="H84" s="7">
        <f>'Monthly Data'!CS84</f>
        <v>30</v>
      </c>
      <c r="I84" s="7">
        <f>'Monthly Data'!AO84</f>
        <v>880255</v>
      </c>
      <c r="J84" s="7">
        <f>'Monthly Data'!CF84</f>
        <v>1</v>
      </c>
      <c r="K84" s="7">
        <f>'Monthly Data'!BY84</f>
        <v>0</v>
      </c>
      <c r="M84" s="11">
        <f>'GS &gt; 50 Predicted Monthly'!$Z$10</f>
        <v>-1907163.1226077401</v>
      </c>
      <c r="N84" s="11">
        <f>E84*'GS &gt; 50 Predicted Monthly'!$Z$11</f>
        <v>6893112.4630119866</v>
      </c>
      <c r="O84" s="11">
        <f>F84*'GS &gt; 50 Predicted Monthly'!$Z$12</f>
        <v>0</v>
      </c>
      <c r="P84" s="11">
        <f>G84*'GS &gt; 50 Predicted Monthly'!$Z$13</f>
        <v>0</v>
      </c>
      <c r="Q84" s="11">
        <f>H84*'GS &gt; 50 Predicted Monthly'!$Z$14</f>
        <v>76960162.106093109</v>
      </c>
      <c r="R84" s="11">
        <f>I84*'GS &gt; 50 Predicted Monthly'!$Z$15</f>
        <v>38842356.396832153</v>
      </c>
      <c r="S84" s="11">
        <f>J84*'GS &gt; 50 Predicted Monthly'!$Z$16</f>
        <v>3497669.1063549998</v>
      </c>
      <c r="T84" s="11">
        <f>K84*'GS &gt; 50 Predicted Monthly'!$Z$17</f>
        <v>0</v>
      </c>
      <c r="U84" s="11">
        <f t="shared" si="12"/>
        <v>124286136.9496845</v>
      </c>
      <c r="V84" s="11">
        <f t="shared" si="10"/>
        <v>3301165.7605639249</v>
      </c>
      <c r="W84" s="23">
        <f t="shared" si="11"/>
        <v>2.7285750685542818E-2</v>
      </c>
      <c r="Y84" s="11"/>
      <c r="AB84" s="11"/>
      <c r="AC84" s="11"/>
      <c r="AD84" s="57"/>
    </row>
    <row r="85" spans="1:30" x14ac:dyDescent="0.2">
      <c r="A85" s="8">
        <f>'Monthly Data'!A85</f>
        <v>45261</v>
      </c>
      <c r="B85">
        <f t="shared" si="8"/>
        <v>2023</v>
      </c>
      <c r="C85">
        <f t="shared" si="9"/>
        <v>12</v>
      </c>
      <c r="D85" s="19">
        <f>'Monthly Data'!N85</f>
        <v>118768098.25409932</v>
      </c>
      <c r="E85" s="21">
        <f>'Monthly Data'!BJ85</f>
        <v>356.10416666666674</v>
      </c>
      <c r="F85" s="21">
        <f>'Monthly Data'!BK85</f>
        <v>0</v>
      </c>
      <c r="G85" s="7">
        <f>'Monthly Data'!CV85</f>
        <v>0</v>
      </c>
      <c r="H85" s="7">
        <f>'Monthly Data'!CS85</f>
        <v>31</v>
      </c>
      <c r="I85" s="7">
        <f>'Monthly Data'!AO85</f>
        <v>880255</v>
      </c>
      <c r="J85" s="7">
        <f>'Monthly Data'!CF85</f>
        <v>0</v>
      </c>
      <c r="K85" s="7">
        <f>'Monthly Data'!BY85</f>
        <v>0</v>
      </c>
      <c r="M85" s="11">
        <f>'GS &gt; 50 Predicted Monthly'!$Z$10</f>
        <v>-1907163.1226077401</v>
      </c>
      <c r="N85" s="11">
        <f>E85*'GS &gt; 50 Predicted Monthly'!$Z$11</f>
        <v>7596841.3969582636</v>
      </c>
      <c r="O85" s="11">
        <f>F85*'GS &gt; 50 Predicted Monthly'!$Z$12</f>
        <v>0</v>
      </c>
      <c r="P85" s="11">
        <f>G85*'GS &gt; 50 Predicted Monthly'!$Z$13</f>
        <v>0</v>
      </c>
      <c r="Q85" s="11">
        <f>H85*'GS &gt; 50 Predicted Monthly'!$Z$14</f>
        <v>79525500.842962876</v>
      </c>
      <c r="R85" s="11">
        <f>I85*'GS &gt; 50 Predicted Monthly'!$Z$15</f>
        <v>38842356.396832153</v>
      </c>
      <c r="S85" s="11">
        <f>J85*'GS &gt; 50 Predicted Monthly'!$Z$16</f>
        <v>0</v>
      </c>
      <c r="T85" s="11">
        <f>K85*'GS &gt; 50 Predicted Monthly'!$Z$17</f>
        <v>0</v>
      </c>
      <c r="U85" s="11">
        <f t="shared" si="12"/>
        <v>124057535.51414555</v>
      </c>
      <c r="V85" s="11">
        <f t="shared" si="10"/>
        <v>5289437.2600462288</v>
      </c>
      <c r="W85" s="23">
        <f t="shared" si="11"/>
        <v>4.4535842013144818E-2</v>
      </c>
      <c r="Y85" s="11"/>
      <c r="AB85" s="11"/>
      <c r="AC85" s="11"/>
      <c r="AD85" s="57"/>
    </row>
    <row r="86" spans="1:30" x14ac:dyDescent="0.2">
      <c r="A86" s="8">
        <f>'Monthly Data'!A86</f>
        <v>45292</v>
      </c>
      <c r="B86">
        <f t="shared" si="8"/>
        <v>2024</v>
      </c>
      <c r="C86">
        <f t="shared" si="9"/>
        <v>1</v>
      </c>
      <c r="D86" s="19">
        <f>'Monthly Data'!N86</f>
        <v>130159108.66703321</v>
      </c>
      <c r="E86" s="21">
        <f>'Monthly Data'!BJ86</f>
        <v>530.65208333333339</v>
      </c>
      <c r="F86" s="21">
        <f>'Monthly Data'!BK86</f>
        <v>0</v>
      </c>
      <c r="G86" s="7">
        <f>'Monthly Data'!CV86</f>
        <v>0</v>
      </c>
      <c r="H86" s="7">
        <f>'Monthly Data'!CS86</f>
        <v>31</v>
      </c>
      <c r="I86" s="7">
        <f>'Monthly Data'!AO86</f>
        <v>885802</v>
      </c>
      <c r="J86" s="7">
        <f>'Monthly Data'!CF86</f>
        <v>0</v>
      </c>
      <c r="K86" s="7">
        <f>'Monthly Data'!BY86</f>
        <v>0</v>
      </c>
      <c r="M86" s="11">
        <f>'GS &gt; 50 Predicted Monthly'!$Z$10</f>
        <v>-1907163.1226077401</v>
      </c>
      <c r="N86" s="11">
        <f>E86*'GS &gt; 50 Predicted Monthly'!$Z$11</f>
        <v>11320507.007215995</v>
      </c>
      <c r="O86" s="11">
        <f>F86*'GS &gt; 50 Predicted Monthly'!$Z$12</f>
        <v>0</v>
      </c>
      <c r="P86" s="11">
        <f>G86*'GS &gt; 50 Predicted Monthly'!$Z$13</f>
        <v>0</v>
      </c>
      <c r="Q86" s="11">
        <f>H86*'GS &gt; 50 Predicted Monthly'!$Z$14</f>
        <v>79525500.842962876</v>
      </c>
      <c r="R86" s="11">
        <f>I86*'GS &gt; 50 Predicted Monthly'!$Z$15</f>
        <v>39087124.732068226</v>
      </c>
      <c r="S86" s="11">
        <f>J86*'GS &gt; 50 Predicted Monthly'!$Z$16</f>
        <v>0</v>
      </c>
      <c r="T86" s="11">
        <f>K86*'GS &gt; 50 Predicted Monthly'!$Z$17</f>
        <v>0</v>
      </c>
      <c r="U86" s="11">
        <f t="shared" si="12"/>
        <v>128025969.45963936</v>
      </c>
      <c r="V86" s="11">
        <f t="shared" si="10"/>
        <v>-2133139.2073938549</v>
      </c>
      <c r="W86" s="23">
        <f t="shared" si="11"/>
        <v>1.6388704787851222E-2</v>
      </c>
      <c r="Y86" s="11"/>
      <c r="AB86" s="11"/>
      <c r="AC86" s="11"/>
      <c r="AD86" s="57"/>
    </row>
    <row r="87" spans="1:30" x14ac:dyDescent="0.2">
      <c r="A87" s="8">
        <f>'Monthly Data'!A87</f>
        <v>45323</v>
      </c>
      <c r="B87">
        <f t="shared" si="8"/>
        <v>2024</v>
      </c>
      <c r="C87">
        <f t="shared" si="9"/>
        <v>2</v>
      </c>
      <c r="D87" s="19">
        <f>'Monthly Data'!N87</f>
        <v>119840482.88393389</v>
      </c>
      <c r="E87" s="21">
        <f>'Monthly Data'!BJ87</f>
        <v>407.16041666666661</v>
      </c>
      <c r="F87" s="21">
        <f>'Monthly Data'!BK87</f>
        <v>0</v>
      </c>
      <c r="G87" s="7">
        <f>'Monthly Data'!CV87</f>
        <v>0</v>
      </c>
      <c r="H87" s="7">
        <f>'Monthly Data'!CS87</f>
        <v>29</v>
      </c>
      <c r="I87" s="7">
        <f>'Monthly Data'!AO87</f>
        <v>885802</v>
      </c>
      <c r="J87" s="7">
        <f>'Monthly Data'!CF87</f>
        <v>0</v>
      </c>
      <c r="K87" s="7">
        <f>'Monthly Data'!BY87</f>
        <v>0</v>
      </c>
      <c r="M87" s="11">
        <f>'GS &gt; 50 Predicted Monthly'!$Z$10</f>
        <v>-1907163.1226077401</v>
      </c>
      <c r="N87" s="11">
        <f>E87*'GS &gt; 50 Predicted Monthly'!$Z$11</f>
        <v>8686034.5878273658</v>
      </c>
      <c r="O87" s="11">
        <f>F87*'GS &gt; 50 Predicted Monthly'!$Z$12</f>
        <v>0</v>
      </c>
      <c r="P87" s="11">
        <f>G87*'GS &gt; 50 Predicted Monthly'!$Z$13</f>
        <v>0</v>
      </c>
      <c r="Q87" s="11">
        <f>H87*'GS &gt; 50 Predicted Monthly'!$Z$14</f>
        <v>74394823.369223326</v>
      </c>
      <c r="R87" s="11">
        <f>I87*'GS &gt; 50 Predicted Monthly'!$Z$15</f>
        <v>39087124.732068226</v>
      </c>
      <c r="S87" s="11">
        <f>J87*'GS &gt; 50 Predicted Monthly'!$Z$16</f>
        <v>0</v>
      </c>
      <c r="T87" s="11">
        <f>K87*'GS &gt; 50 Predicted Monthly'!$Z$17</f>
        <v>0</v>
      </c>
      <c r="U87" s="11">
        <f t="shared" si="12"/>
        <v>120260819.56651118</v>
      </c>
      <c r="V87" s="11">
        <f t="shared" si="10"/>
        <v>420336.68257729709</v>
      </c>
      <c r="W87" s="23">
        <f t="shared" si="11"/>
        <v>3.5074681982414516E-3</v>
      </c>
      <c r="Y87" s="11"/>
      <c r="AB87" s="11"/>
      <c r="AC87" s="11"/>
      <c r="AD87" s="57"/>
    </row>
    <row r="88" spans="1:30" x14ac:dyDescent="0.2">
      <c r="A88" s="8">
        <f>'Monthly Data'!A88</f>
        <v>45352</v>
      </c>
      <c r="B88">
        <f t="shared" si="8"/>
        <v>2024</v>
      </c>
      <c r="C88">
        <f t="shared" si="9"/>
        <v>3</v>
      </c>
      <c r="D88" s="19">
        <f>'Monthly Data'!N88</f>
        <v>123262071.17316654</v>
      </c>
      <c r="E88" s="21">
        <f>'Monthly Data'!BJ88</f>
        <v>332.44375000000008</v>
      </c>
      <c r="F88" s="21">
        <f>'Monthly Data'!BK88</f>
        <v>0</v>
      </c>
      <c r="G88" s="7">
        <f>'Monthly Data'!CV88</f>
        <v>0</v>
      </c>
      <c r="H88" s="7">
        <f>'Monthly Data'!CS88</f>
        <v>31</v>
      </c>
      <c r="I88" s="7">
        <f>'Monthly Data'!AO88</f>
        <v>885802</v>
      </c>
      <c r="J88" s="7">
        <f>'Monthly Data'!CF88</f>
        <v>0</v>
      </c>
      <c r="K88" s="7">
        <f>'Monthly Data'!BY88</f>
        <v>0</v>
      </c>
      <c r="M88" s="11">
        <f>'GS &gt; 50 Predicted Monthly'!$Z$10</f>
        <v>-1907163.1226077401</v>
      </c>
      <c r="N88" s="11">
        <f>E88*'GS &gt; 50 Predicted Monthly'!$Z$11</f>
        <v>7092088.9968807176</v>
      </c>
      <c r="O88" s="11">
        <f>F88*'GS &gt; 50 Predicted Monthly'!$Z$12</f>
        <v>0</v>
      </c>
      <c r="P88" s="11">
        <f>G88*'GS &gt; 50 Predicted Monthly'!$Z$13</f>
        <v>0</v>
      </c>
      <c r="Q88" s="11">
        <f>H88*'GS &gt; 50 Predicted Monthly'!$Z$14</f>
        <v>79525500.842962876</v>
      </c>
      <c r="R88" s="11">
        <f>I88*'GS &gt; 50 Predicted Monthly'!$Z$15</f>
        <v>39087124.732068226</v>
      </c>
      <c r="S88" s="11">
        <f>J88*'GS &gt; 50 Predicted Monthly'!$Z$16</f>
        <v>0</v>
      </c>
      <c r="T88" s="11">
        <f>K88*'GS &gt; 50 Predicted Monthly'!$Z$17</f>
        <v>0</v>
      </c>
      <c r="U88" s="11">
        <f t="shared" si="12"/>
        <v>123797551.44930407</v>
      </c>
      <c r="V88" s="11">
        <f t="shared" si="10"/>
        <v>535480.2761375308</v>
      </c>
      <c r="W88" s="23">
        <f t="shared" si="11"/>
        <v>4.3442420773966506E-3</v>
      </c>
      <c r="Y88" s="11"/>
    </row>
    <row r="89" spans="1:30" x14ac:dyDescent="0.2">
      <c r="A89" s="8">
        <f>'Monthly Data'!A89</f>
        <v>45383</v>
      </c>
      <c r="B89">
        <f t="shared" si="8"/>
        <v>2024</v>
      </c>
      <c r="C89">
        <f t="shared" si="9"/>
        <v>4</v>
      </c>
      <c r="D89" s="19">
        <f>'Monthly Data'!N89</f>
        <v>119205230.8035062</v>
      </c>
      <c r="E89" s="21">
        <f>'Monthly Data'!BJ89</f>
        <v>158.17500000000004</v>
      </c>
      <c r="F89" s="21">
        <f>'Monthly Data'!BK89</f>
        <v>8.4166666666666679</v>
      </c>
      <c r="G89" s="7">
        <f>'Monthly Data'!CV89</f>
        <v>0</v>
      </c>
      <c r="H89" s="7">
        <f>'Monthly Data'!CS89</f>
        <v>30</v>
      </c>
      <c r="I89" s="7">
        <f>'Monthly Data'!AO89</f>
        <v>888733</v>
      </c>
      <c r="J89" s="7">
        <f>'Monthly Data'!CF89</f>
        <v>0</v>
      </c>
      <c r="K89" s="7">
        <f>'Monthly Data'!BY89</f>
        <v>0</v>
      </c>
      <c r="M89" s="11">
        <f>'GS &gt; 50 Predicted Monthly'!$Z$10</f>
        <v>-1907163.1226077401</v>
      </c>
      <c r="N89" s="11">
        <f>E89*'GS &gt; 50 Predicted Monthly'!$Z$11</f>
        <v>3374378.904947401</v>
      </c>
      <c r="O89" s="11">
        <f>F89*'GS &gt; 50 Predicted Monthly'!$Z$12</f>
        <v>997048.90732252912</v>
      </c>
      <c r="P89" s="11">
        <f>G89*'GS &gt; 50 Predicted Monthly'!$Z$13</f>
        <v>0</v>
      </c>
      <c r="Q89" s="11">
        <f>H89*'GS &gt; 50 Predicted Monthly'!$Z$14</f>
        <v>76960162.106093109</v>
      </c>
      <c r="R89" s="11">
        <f>I89*'GS &gt; 50 Predicted Monthly'!$Z$15</f>
        <v>39216458.7848133</v>
      </c>
      <c r="S89" s="11">
        <f>J89*'GS &gt; 50 Predicted Monthly'!$Z$16</f>
        <v>0</v>
      </c>
      <c r="T89" s="11">
        <f>K89*'GS &gt; 50 Predicted Monthly'!$Z$17</f>
        <v>0</v>
      </c>
      <c r="U89" s="11">
        <f t="shared" si="12"/>
        <v>118640885.5805686</v>
      </c>
      <c r="V89" s="11">
        <f t="shared" si="10"/>
        <v>-564345.22293759882</v>
      </c>
      <c r="W89" s="23">
        <f t="shared" si="11"/>
        <v>4.7342320394299312E-3</v>
      </c>
      <c r="AD89" s="49"/>
    </row>
    <row r="90" spans="1:30" x14ac:dyDescent="0.2">
      <c r="A90" s="8">
        <f>'Monthly Data'!A90</f>
        <v>45413</v>
      </c>
      <c r="B90">
        <f t="shared" si="8"/>
        <v>2024</v>
      </c>
      <c r="C90">
        <f t="shared" si="9"/>
        <v>5</v>
      </c>
      <c r="D90" s="19">
        <f>'Monthly Data'!N90</f>
        <v>127838014.13567087</v>
      </c>
      <c r="E90" s="21">
        <f>'Monthly Data'!BJ90</f>
        <v>14.683333333333328</v>
      </c>
      <c r="F90" s="21">
        <f>'Monthly Data'!BK90</f>
        <v>73.216666666666654</v>
      </c>
      <c r="G90" s="7">
        <f>'Monthly Data'!CV90</f>
        <v>0</v>
      </c>
      <c r="H90" s="7">
        <f>'Monthly Data'!CS90</f>
        <v>31</v>
      </c>
      <c r="I90" s="7">
        <f>'Monthly Data'!AO90</f>
        <v>888733</v>
      </c>
      <c r="J90" s="7">
        <f>'Monthly Data'!CF90</f>
        <v>0</v>
      </c>
      <c r="K90" s="7">
        <f>'Monthly Data'!BY90</f>
        <v>0</v>
      </c>
      <c r="M90" s="11">
        <f>'GS &gt; 50 Predicted Monthly'!$Z$10</f>
        <v>-1907163.1226077401</v>
      </c>
      <c r="N90" s="11">
        <f>E90*'GS &gt; 50 Predicted Monthly'!$Z$11</f>
        <v>313242.48619763536</v>
      </c>
      <c r="O90" s="11">
        <f>F90*'GS &gt; 50 Predicted Monthly'!$Z$12</f>
        <v>8673338.316570038</v>
      </c>
      <c r="P90" s="11">
        <f>G90*'GS &gt; 50 Predicted Monthly'!$Z$13</f>
        <v>0</v>
      </c>
      <c r="Q90" s="11">
        <f>H90*'GS &gt; 50 Predicted Monthly'!$Z$14</f>
        <v>79525500.842962876</v>
      </c>
      <c r="R90" s="11">
        <f>I90*'GS &gt; 50 Predicted Monthly'!$Z$15</f>
        <v>39216458.7848133</v>
      </c>
      <c r="S90" s="11">
        <f>J90*'GS &gt; 50 Predicted Monthly'!$Z$16</f>
        <v>0</v>
      </c>
      <c r="T90" s="11">
        <f>K90*'GS &gt; 50 Predicted Monthly'!$Z$17</f>
        <v>0</v>
      </c>
      <c r="U90" s="11">
        <f t="shared" si="12"/>
        <v>125821377.3079361</v>
      </c>
      <c r="V90" s="11">
        <f t="shared" si="10"/>
        <v>-2016636.8277347684</v>
      </c>
      <c r="W90" s="23">
        <f t="shared" si="11"/>
        <v>1.5774938631278868E-2</v>
      </c>
    </row>
    <row r="91" spans="1:30" x14ac:dyDescent="0.2">
      <c r="A91" s="8">
        <f>'Monthly Data'!A91</f>
        <v>45444</v>
      </c>
      <c r="B91">
        <f t="shared" si="8"/>
        <v>2024</v>
      </c>
      <c r="C91">
        <f t="shared" si="9"/>
        <v>6</v>
      </c>
      <c r="D91" s="19">
        <f>'Monthly Data'!N91</f>
        <v>133833612.63178854</v>
      </c>
      <c r="E91" s="21">
        <f>'Monthly Data'!BJ91</f>
        <v>1.9666666666666686</v>
      </c>
      <c r="F91" s="21">
        <f>'Monthly Data'!BK91</f>
        <v>169.16458333333333</v>
      </c>
      <c r="G91" s="7">
        <f>'Monthly Data'!CV91</f>
        <v>0</v>
      </c>
      <c r="H91" s="7">
        <f>'Monthly Data'!CS91</f>
        <v>30</v>
      </c>
      <c r="I91" s="7">
        <f>'Monthly Data'!AO91</f>
        <v>888733</v>
      </c>
      <c r="J91" s="7">
        <f>'Monthly Data'!CF91</f>
        <v>0</v>
      </c>
      <c r="K91" s="7">
        <f>'Monthly Data'!BY91</f>
        <v>0</v>
      </c>
      <c r="M91" s="11">
        <f>'GS &gt; 50 Predicted Monthly'!$Z$10</f>
        <v>-1907163.1226077401</v>
      </c>
      <c r="N91" s="11">
        <f>E91*'GS &gt; 50 Predicted Monthly'!$Z$11</f>
        <v>41955.293270511938</v>
      </c>
      <c r="O91" s="11">
        <f>F91*'GS &gt; 50 Predicted Monthly'!$Z$12</f>
        <v>20039449.065762877</v>
      </c>
      <c r="P91" s="11">
        <f>G91*'GS &gt; 50 Predicted Monthly'!$Z$13</f>
        <v>0</v>
      </c>
      <c r="Q91" s="11">
        <f>H91*'GS &gt; 50 Predicted Monthly'!$Z$14</f>
        <v>76960162.106093109</v>
      </c>
      <c r="R91" s="11">
        <f>I91*'GS &gt; 50 Predicted Monthly'!$Z$15</f>
        <v>39216458.7848133</v>
      </c>
      <c r="S91" s="11">
        <f>J91*'GS &gt; 50 Predicted Monthly'!$Z$16</f>
        <v>0</v>
      </c>
      <c r="T91" s="11">
        <f>K91*'GS &gt; 50 Predicted Monthly'!$Z$17</f>
        <v>0</v>
      </c>
      <c r="U91" s="11">
        <f t="shared" si="12"/>
        <v>134350862.12733206</v>
      </c>
      <c r="V91" s="11">
        <f t="shared" si="10"/>
        <v>517249.49554352462</v>
      </c>
      <c r="W91" s="23">
        <f t="shared" si="11"/>
        <v>3.8648698587148956E-3</v>
      </c>
    </row>
    <row r="92" spans="1:30" x14ac:dyDescent="0.2">
      <c r="A92" s="8">
        <f>'Monthly Data'!A92</f>
        <v>45474</v>
      </c>
      <c r="B92">
        <f t="shared" si="8"/>
        <v>2024</v>
      </c>
      <c r="C92">
        <f t="shared" si="9"/>
        <v>7</v>
      </c>
      <c r="D92" s="19">
        <f>'Monthly Data'!N92</f>
        <v>144180020.06310722</v>
      </c>
      <c r="E92" s="21">
        <f>'Monthly Data'!BJ92</f>
        <v>0</v>
      </c>
      <c r="F92" s="21">
        <f>'Monthly Data'!BK92</f>
        <v>221.45416666666657</v>
      </c>
      <c r="G92" s="7">
        <f>'Monthly Data'!CV92</f>
        <v>0</v>
      </c>
      <c r="H92" s="7">
        <f>'Monthly Data'!CS92</f>
        <v>31</v>
      </c>
      <c r="I92" s="7">
        <f>'Monthly Data'!AO92</f>
        <v>890079</v>
      </c>
      <c r="J92" s="7">
        <f>'Monthly Data'!CF92</f>
        <v>0</v>
      </c>
      <c r="K92" s="7">
        <f>'Monthly Data'!BY92</f>
        <v>0</v>
      </c>
      <c r="M92" s="11">
        <f>'GS &gt; 50 Predicted Monthly'!$Z$10</f>
        <v>-1907163.1226077401</v>
      </c>
      <c r="N92" s="11">
        <f>E92*'GS &gt; 50 Predicted Monthly'!$Z$11</f>
        <v>0</v>
      </c>
      <c r="O92" s="11">
        <f>F92*'GS &gt; 50 Predicted Monthly'!$Z$12</f>
        <v>26233738.799646076</v>
      </c>
      <c r="P92" s="11">
        <f>G92*'GS &gt; 50 Predicted Monthly'!$Z$13</f>
        <v>0</v>
      </c>
      <c r="Q92" s="11">
        <f>H92*'GS &gt; 50 Predicted Monthly'!$Z$14</f>
        <v>79525500.842962876</v>
      </c>
      <c r="R92" s="11">
        <f>I92*'GS &gt; 50 Predicted Monthly'!$Z$15</f>
        <v>39275852.723740242</v>
      </c>
      <c r="S92" s="11">
        <f>J92*'GS &gt; 50 Predicted Monthly'!$Z$16</f>
        <v>0</v>
      </c>
      <c r="T92" s="11">
        <f>K92*'GS &gt; 50 Predicted Monthly'!$Z$17</f>
        <v>0</v>
      </c>
      <c r="U92" s="11">
        <f t="shared" si="12"/>
        <v>143127929.24374145</v>
      </c>
      <c r="V92" s="11">
        <f t="shared" si="10"/>
        <v>-1052090.8193657696</v>
      </c>
      <c r="W92" s="23">
        <f t="shared" si="11"/>
        <v>7.2970638990428232E-3</v>
      </c>
    </row>
    <row r="93" spans="1:30" x14ac:dyDescent="0.2">
      <c r="A93" s="8">
        <f>'Monthly Data'!A93</f>
        <v>45505</v>
      </c>
      <c r="B93">
        <f t="shared" si="8"/>
        <v>2024</v>
      </c>
      <c r="C93">
        <f t="shared" si="9"/>
        <v>8</v>
      </c>
      <c r="D93" s="19">
        <f>'Monthly Data'!N93</f>
        <v>140684717.14086288</v>
      </c>
      <c r="E93" s="21">
        <f>'Monthly Data'!BJ93</f>
        <v>0.30000000000000426</v>
      </c>
      <c r="F93" s="21">
        <f>'Monthly Data'!BK93</f>
        <v>183.15208333333334</v>
      </c>
      <c r="G93" s="7">
        <f>'Monthly Data'!CV93</f>
        <v>0</v>
      </c>
      <c r="H93" s="7">
        <f>'Monthly Data'!CS93</f>
        <v>31</v>
      </c>
      <c r="I93" s="7">
        <f>'Monthly Data'!AO93</f>
        <v>890079</v>
      </c>
      <c r="J93" s="7">
        <f>'Monthly Data'!CF93</f>
        <v>0</v>
      </c>
      <c r="K93" s="7">
        <f>'Monthly Data'!BY93</f>
        <v>1</v>
      </c>
      <c r="M93" s="11">
        <f>'GS &gt; 50 Predicted Monthly'!$Z$10</f>
        <v>-1907163.1226077401</v>
      </c>
      <c r="N93" s="11">
        <f>E93*'GS &gt; 50 Predicted Monthly'!$Z$11</f>
        <v>6399.959990417161</v>
      </c>
      <c r="O93" s="11">
        <f>F93*'GS &gt; 50 Predicted Monthly'!$Z$12</f>
        <v>21696425.888476606</v>
      </c>
      <c r="P93" s="11">
        <f>G93*'GS &gt; 50 Predicted Monthly'!$Z$13</f>
        <v>0</v>
      </c>
      <c r="Q93" s="11">
        <f>H93*'GS &gt; 50 Predicted Monthly'!$Z$14</f>
        <v>79525500.842962876</v>
      </c>
      <c r="R93" s="11">
        <f>I93*'GS &gt; 50 Predicted Monthly'!$Z$15</f>
        <v>39275852.723740242</v>
      </c>
      <c r="S93" s="11">
        <f>J93*'GS &gt; 50 Predicted Monthly'!$Z$16</f>
        <v>0</v>
      </c>
      <c r="T93" s="11">
        <f>K93*'GS &gt; 50 Predicted Monthly'!$Z$17</f>
        <v>2800660.9376037801</v>
      </c>
      <c r="U93" s="11">
        <f t="shared" si="12"/>
        <v>141397677.23016617</v>
      </c>
      <c r="V93" s="11">
        <f t="shared" si="10"/>
        <v>712960.08930328488</v>
      </c>
      <c r="W93" s="23">
        <f t="shared" si="11"/>
        <v>5.0677863508757802E-3</v>
      </c>
    </row>
    <row r="94" spans="1:30" x14ac:dyDescent="0.2">
      <c r="A94" s="8">
        <f>'Monthly Data'!A94</f>
        <v>45536</v>
      </c>
      <c r="B94">
        <f t="shared" si="8"/>
        <v>2024</v>
      </c>
      <c r="C94">
        <f t="shared" si="9"/>
        <v>9</v>
      </c>
      <c r="D94" s="19">
        <f>'Monthly Data'!N94</f>
        <v>131948874.08685753</v>
      </c>
      <c r="E94" s="21">
        <f>'Monthly Data'!BJ94</f>
        <v>4.2874999999999979</v>
      </c>
      <c r="F94" s="21">
        <f>'Monthly Data'!BK94</f>
        <v>120.08541666666667</v>
      </c>
      <c r="G94" s="7">
        <f>'Monthly Data'!CV94</f>
        <v>0</v>
      </c>
      <c r="H94" s="7">
        <f>'Monthly Data'!CS94</f>
        <v>30</v>
      </c>
      <c r="I94" s="7">
        <f>'Monthly Data'!AO94</f>
        <v>890079</v>
      </c>
      <c r="J94" s="7">
        <f>'Monthly Data'!CF94</f>
        <v>1</v>
      </c>
      <c r="K94" s="7">
        <f>'Monthly Data'!BY94</f>
        <v>0</v>
      </c>
      <c r="M94" s="11">
        <f>'GS &gt; 50 Predicted Monthly'!$Z$10</f>
        <v>-1907163.1226077401</v>
      </c>
      <c r="N94" s="11">
        <f>E94*'GS &gt; 50 Predicted Monthly'!$Z$11</f>
        <v>91466.094863043909</v>
      </c>
      <c r="O94" s="11">
        <f>F94*'GS &gt; 50 Predicted Monthly'!$Z$12</f>
        <v>14225469.32350938</v>
      </c>
      <c r="P94" s="11">
        <f>G94*'GS &gt; 50 Predicted Monthly'!$Z$13</f>
        <v>0</v>
      </c>
      <c r="Q94" s="11">
        <f>H94*'GS &gt; 50 Predicted Monthly'!$Z$14</f>
        <v>76960162.106093109</v>
      </c>
      <c r="R94" s="11">
        <f>I94*'GS &gt; 50 Predicted Monthly'!$Z$15</f>
        <v>39275852.723740242</v>
      </c>
      <c r="S94" s="11">
        <f>J94*'GS &gt; 50 Predicted Monthly'!$Z$16</f>
        <v>3497669.1063549998</v>
      </c>
      <c r="T94" s="11">
        <f>K94*'GS &gt; 50 Predicted Monthly'!$Z$17</f>
        <v>0</v>
      </c>
      <c r="U94" s="11">
        <f t="shared" si="12"/>
        <v>132143456.23195304</v>
      </c>
      <c r="V94" s="11">
        <f t="shared" si="10"/>
        <v>194582.14509551227</v>
      </c>
      <c r="W94" s="23">
        <f t="shared" si="11"/>
        <v>1.4746783285731211E-3</v>
      </c>
    </row>
    <row r="95" spans="1:30" x14ac:dyDescent="0.2">
      <c r="A95" s="8">
        <f>'Monthly Data'!A95</f>
        <v>45566</v>
      </c>
      <c r="B95">
        <f t="shared" si="8"/>
        <v>2024</v>
      </c>
      <c r="C95">
        <f t="shared" si="9"/>
        <v>10</v>
      </c>
      <c r="D95" s="19">
        <f>'Monthly Data'!N95</f>
        <v>126263744.87094221</v>
      </c>
      <c r="E95" s="21">
        <f>'Monthly Data'!BJ95</f>
        <v>109.52916666666667</v>
      </c>
      <c r="F95" s="21">
        <f>'Monthly Data'!BK95</f>
        <v>19.300000000000008</v>
      </c>
      <c r="G95" s="7">
        <f>'Monthly Data'!CV95</f>
        <v>0</v>
      </c>
      <c r="H95" s="7">
        <f>'Monthly Data'!CS95</f>
        <v>31</v>
      </c>
      <c r="I95" s="7">
        <f>'Monthly Data'!AO95</f>
        <v>893201</v>
      </c>
      <c r="J95" s="7">
        <f>'Monthly Data'!CF95</f>
        <v>1</v>
      </c>
      <c r="K95" s="7">
        <f>'Monthly Data'!BY95</f>
        <v>0</v>
      </c>
      <c r="M95" s="11">
        <f>'GS &gt; 50 Predicted Monthly'!$Z$10</f>
        <v>-1907163.1226077401</v>
      </c>
      <c r="N95" s="11">
        <f>E95*'GS &gt; 50 Predicted Monthly'!$Z$11</f>
        <v>2336607.6148346323</v>
      </c>
      <c r="O95" s="11">
        <f>F95*'GS &gt; 50 Predicted Monthly'!$Z$12</f>
        <v>2286302.2468900774</v>
      </c>
      <c r="P95" s="11">
        <f>G95*'GS &gt; 50 Predicted Monthly'!$Z$13</f>
        <v>0</v>
      </c>
      <c r="Q95" s="11">
        <f>H95*'GS &gt; 50 Predicted Monthly'!$Z$14</f>
        <v>79525500.842962876</v>
      </c>
      <c r="R95" s="11">
        <f>I95*'GS &gt; 50 Predicted Monthly'!$Z$15</f>
        <v>39413614.891147316</v>
      </c>
      <c r="S95" s="11">
        <f>J95*'GS &gt; 50 Predicted Monthly'!$Z$16</f>
        <v>3497669.1063549998</v>
      </c>
      <c r="T95" s="11">
        <f>K95*'GS &gt; 50 Predicted Monthly'!$Z$17</f>
        <v>0</v>
      </c>
      <c r="U95" s="11">
        <f t="shared" si="12"/>
        <v>125152531.57958215</v>
      </c>
      <c r="V95" s="11">
        <f t="shared" si="10"/>
        <v>-1111213.2913600504</v>
      </c>
      <c r="W95" s="23">
        <f t="shared" si="11"/>
        <v>8.8007312985675604E-3</v>
      </c>
    </row>
    <row r="96" spans="1:30" x14ac:dyDescent="0.2">
      <c r="A96" s="8">
        <f>'Monthly Data'!A96</f>
        <v>45597</v>
      </c>
      <c r="B96">
        <f t="shared" si="8"/>
        <v>2024</v>
      </c>
      <c r="C96">
        <f t="shared" si="9"/>
        <v>11</v>
      </c>
      <c r="D96" s="19">
        <f>'Monthly Data'!N96</f>
        <v>122175106.07708685</v>
      </c>
      <c r="E96" s="21">
        <f>'Monthly Data'!BJ96</f>
        <v>248.15208333333331</v>
      </c>
      <c r="F96" s="21">
        <f>'Monthly Data'!BK96</f>
        <v>7.3583333333333343</v>
      </c>
      <c r="G96" s="7">
        <f>'Monthly Data'!CV96</f>
        <v>0</v>
      </c>
      <c r="H96" s="7">
        <f>'Monthly Data'!CS96</f>
        <v>30</v>
      </c>
      <c r="I96" s="7">
        <f>'Monthly Data'!AO96</f>
        <v>893201</v>
      </c>
      <c r="J96" s="7">
        <f>'Monthly Data'!CF96</f>
        <v>1</v>
      </c>
      <c r="K96" s="7">
        <f>'Monthly Data'!BY96</f>
        <v>0</v>
      </c>
      <c r="M96" s="11">
        <f>'GS &gt; 50 Predicted Monthly'!$Z$10</f>
        <v>-1907163.1226077401</v>
      </c>
      <c r="N96" s="11">
        <f>E96*'GS &gt; 50 Predicted Monthly'!$Z$11</f>
        <v>5293878.0162399188</v>
      </c>
      <c r="O96" s="11">
        <f>F96*'GS &gt; 50 Predicted Monthly'!$Z$12</f>
        <v>871677.41105524078</v>
      </c>
      <c r="P96" s="11">
        <f>G96*'GS &gt; 50 Predicted Monthly'!$Z$13</f>
        <v>0</v>
      </c>
      <c r="Q96" s="11">
        <f>H96*'GS &gt; 50 Predicted Monthly'!$Z$14</f>
        <v>76960162.106093109</v>
      </c>
      <c r="R96" s="11">
        <f>I96*'GS &gt; 50 Predicted Monthly'!$Z$15</f>
        <v>39413614.891147316</v>
      </c>
      <c r="S96" s="11">
        <f>J96*'GS &gt; 50 Predicted Monthly'!$Z$16</f>
        <v>3497669.1063549998</v>
      </c>
      <c r="T96" s="11">
        <f>K96*'GS &gt; 50 Predicted Monthly'!$Z$17</f>
        <v>0</v>
      </c>
      <c r="U96" s="11">
        <f t="shared" si="12"/>
        <v>124129838.40828285</v>
      </c>
      <c r="V96" s="11">
        <f t="shared" si="10"/>
        <v>1954732.3311959952</v>
      </c>
      <c r="W96" s="23">
        <f t="shared" si="11"/>
        <v>1.5999432240825305E-2</v>
      </c>
    </row>
    <row r="97" spans="1:23" x14ac:dyDescent="0.2">
      <c r="A97" s="8">
        <f>'Monthly Data'!A97</f>
        <v>45627</v>
      </c>
      <c r="B97">
        <f t="shared" si="8"/>
        <v>2024</v>
      </c>
      <c r="C97">
        <f t="shared" si="9"/>
        <v>12</v>
      </c>
      <c r="D97" s="19">
        <f>'Monthly Data'!N97</f>
        <v>125238381.01410152</v>
      </c>
      <c r="E97" s="21">
        <f>'Monthly Data'!BJ97</f>
        <v>477.23749999999995</v>
      </c>
      <c r="F97" s="21">
        <f>'Monthly Data'!BK97</f>
        <v>0</v>
      </c>
      <c r="G97" s="7">
        <f>'Monthly Data'!CV97</f>
        <v>0</v>
      </c>
      <c r="H97" s="7">
        <f>'Monthly Data'!CS97</f>
        <v>31</v>
      </c>
      <c r="I97" s="7">
        <f>'Monthly Data'!AO97</f>
        <v>893201</v>
      </c>
      <c r="J97" s="7">
        <f>'Monthly Data'!CF97</f>
        <v>0</v>
      </c>
      <c r="K97" s="7">
        <f>'Monthly Data'!BY97</f>
        <v>0</v>
      </c>
      <c r="M97" s="11">
        <f>'GS &gt; 50 Predicted Monthly'!$Z$10</f>
        <v>-1907163.1226077401</v>
      </c>
      <c r="N97" s="11">
        <f>E97*'GS &gt; 50 Predicted Monthly'!$Z$11</f>
        <v>10181003.019755553</v>
      </c>
      <c r="O97" s="11">
        <f>F97*'GS &gt; 50 Predicted Monthly'!$Z$12</f>
        <v>0</v>
      </c>
      <c r="P97" s="11">
        <f>G97*'GS &gt; 50 Predicted Monthly'!$Z$13</f>
        <v>0</v>
      </c>
      <c r="Q97" s="11">
        <f>H97*'GS &gt; 50 Predicted Monthly'!$Z$14</f>
        <v>79525500.842962876</v>
      </c>
      <c r="R97" s="11">
        <f>I97*'GS &gt; 50 Predicted Monthly'!$Z$15</f>
        <v>39413614.891147316</v>
      </c>
      <c r="S97" s="11">
        <f>J97*'GS &gt; 50 Predicted Monthly'!$Z$16</f>
        <v>0</v>
      </c>
      <c r="T97" s="11">
        <f>K97*'GS &gt; 50 Predicted Monthly'!$Z$17</f>
        <v>0</v>
      </c>
      <c r="U97" s="11">
        <f t="shared" si="12"/>
        <v>127212955.63125801</v>
      </c>
      <c r="V97" s="11">
        <f t="shared" si="10"/>
        <v>1974574.6171564907</v>
      </c>
      <c r="W97" s="23">
        <f t="shared" si="11"/>
        <v>1.5766529407100518E-2</v>
      </c>
    </row>
    <row r="98" spans="1:23" x14ac:dyDescent="0.2">
      <c r="A98" s="8">
        <f>'Monthly Data'!A98</f>
        <v>45658</v>
      </c>
      <c r="B98">
        <f t="shared" ref="B98:B109" si="13">YEAR(A98)</f>
        <v>2025</v>
      </c>
      <c r="C98">
        <f t="shared" ref="C98:C109" si="14">MONTH(A98)</f>
        <v>1</v>
      </c>
      <c r="D98" s="19">
        <f>'Monthly Data'!N98</f>
        <v>137053466.26581526</v>
      </c>
      <c r="E98" s="21">
        <f>'Monthly Data'!BJ98</f>
        <v>631.72708333333333</v>
      </c>
      <c r="F98" s="21">
        <f>'Monthly Data'!BK98</f>
        <v>0</v>
      </c>
      <c r="G98" s="7">
        <f>'Monthly Data'!CV98</f>
        <v>0</v>
      </c>
      <c r="H98" s="7">
        <f>'Monthly Data'!CS98</f>
        <v>31</v>
      </c>
      <c r="I98" s="7">
        <f>'Monthly Data'!AO98</f>
        <v>898185</v>
      </c>
      <c r="J98" s="7">
        <f>'Monthly Data'!CF98</f>
        <v>0</v>
      </c>
      <c r="K98" s="7">
        <f>'Monthly Data'!BY98</f>
        <v>0</v>
      </c>
      <c r="M98" s="11">
        <f>'GS &gt; 50 Predicted Monthly'!$Z$10</f>
        <v>-1907163.1226077401</v>
      </c>
      <c r="N98" s="11">
        <f>E98*'GS &gt; 50 Predicted Monthly'!$Z$11</f>
        <v>13476760.193987343</v>
      </c>
      <c r="O98" s="11">
        <f>F98*'GS &gt; 50 Predicted Monthly'!$Z$12</f>
        <v>0</v>
      </c>
      <c r="P98" s="11">
        <f>G98*'GS &gt; 50 Predicted Monthly'!$Z$13</f>
        <v>0</v>
      </c>
      <c r="Q98" s="11">
        <f>H98*'GS &gt; 50 Predicted Monthly'!$Z$14</f>
        <v>79525500.842962876</v>
      </c>
      <c r="R98" s="11">
        <f>I98*'GS &gt; 50 Predicted Monthly'!$Z$15</f>
        <v>39633540.144945145</v>
      </c>
      <c r="S98" s="11">
        <f>J98*'GS &gt; 50 Predicted Monthly'!$Z$16</f>
        <v>0</v>
      </c>
      <c r="T98" s="11">
        <f>K98*'GS &gt; 50 Predicted Monthly'!$Z$17</f>
        <v>0</v>
      </c>
      <c r="U98" s="11">
        <f t="shared" ref="U98:U109" si="15">SUM(M98:T98)</f>
        <v>130728638.05928762</v>
      </c>
      <c r="V98" s="11">
        <f t="shared" ref="V98:V109" si="16">U98-D98</f>
        <v>-6324828.2065276355</v>
      </c>
      <c r="W98" s="23">
        <f t="shared" ref="W98:W109" si="17">ABS(V98/D98)</f>
        <v>4.6148619067106468E-2</v>
      </c>
    </row>
    <row r="99" spans="1:23" x14ac:dyDescent="0.2">
      <c r="A99" s="8">
        <f>'Monthly Data'!A99</f>
        <v>45689</v>
      </c>
      <c r="B99">
        <f t="shared" si="13"/>
        <v>2025</v>
      </c>
      <c r="C99">
        <f t="shared" si="14"/>
        <v>2</v>
      </c>
      <c r="D99" s="19">
        <f>'Monthly Data'!N99</f>
        <v>122760916.13489303</v>
      </c>
      <c r="E99" s="21">
        <f>'Monthly Data'!BJ99</f>
        <v>547.18750000000011</v>
      </c>
      <c r="F99" s="21">
        <f>'Monthly Data'!BK99</f>
        <v>0</v>
      </c>
      <c r="G99" s="7">
        <f>'Monthly Data'!CV99</f>
        <v>0</v>
      </c>
      <c r="H99" s="7">
        <f>'Monthly Data'!CS99</f>
        <v>28</v>
      </c>
      <c r="I99" s="7">
        <f>'Monthly Data'!AO99</f>
        <v>898185</v>
      </c>
      <c r="J99" s="7">
        <f>'Monthly Data'!CF99</f>
        <v>0</v>
      </c>
      <c r="K99" s="7">
        <f>'Monthly Data'!BY99</f>
        <v>0</v>
      </c>
      <c r="M99" s="11">
        <f>'GS &gt; 50 Predicted Monthly'!$Z$10</f>
        <v>-1907163.1226077401</v>
      </c>
      <c r="N99" s="11">
        <f>E99*'GS &gt; 50 Predicted Monthly'!$Z$11</f>
        <v>11673260.357521137</v>
      </c>
      <c r="O99" s="11">
        <f>F99*'GS &gt; 50 Predicted Monthly'!$Z$12</f>
        <v>0</v>
      </c>
      <c r="P99" s="11">
        <f>G99*'GS &gt; 50 Predicted Monthly'!$Z$13</f>
        <v>0</v>
      </c>
      <c r="Q99" s="11">
        <f>H99*'GS &gt; 50 Predicted Monthly'!$Z$14</f>
        <v>71829484.632353559</v>
      </c>
      <c r="R99" s="11">
        <f>I99*'GS &gt; 50 Predicted Monthly'!$Z$15</f>
        <v>39633540.144945145</v>
      </c>
      <c r="S99" s="11">
        <f>J99*'GS &gt; 50 Predicted Monthly'!$Z$16</f>
        <v>0</v>
      </c>
      <c r="T99" s="11">
        <f>K99*'GS &gt; 50 Predicted Monthly'!$Z$17</f>
        <v>0</v>
      </c>
      <c r="U99" s="11">
        <f t="shared" si="15"/>
        <v>121229122.0122121</v>
      </c>
      <c r="V99" s="11">
        <f t="shared" si="16"/>
        <v>-1531794.1226809323</v>
      </c>
      <c r="W99" s="23">
        <f t="shared" si="17"/>
        <v>1.247786486863421E-2</v>
      </c>
    </row>
    <row r="100" spans="1:23" x14ac:dyDescent="0.2">
      <c r="A100" s="8">
        <f>'Monthly Data'!A100</f>
        <v>45717</v>
      </c>
      <c r="B100">
        <f t="shared" si="13"/>
        <v>2025</v>
      </c>
      <c r="C100">
        <f t="shared" si="14"/>
        <v>3</v>
      </c>
      <c r="D100" s="19">
        <f>'Monthly Data'!N100</f>
        <v>128253078.95458482</v>
      </c>
      <c r="E100" s="21">
        <f>'Monthly Data'!BJ100</f>
        <v>350.71041666666673</v>
      </c>
      <c r="F100" s="21">
        <f>'Monthly Data'!BK100</f>
        <v>0</v>
      </c>
      <c r="G100" s="7">
        <f>'Monthly Data'!CV100</f>
        <v>0</v>
      </c>
      <c r="H100" s="7">
        <f>'Monthly Data'!CS100</f>
        <v>31</v>
      </c>
      <c r="I100" s="7">
        <f>'Monthly Data'!AO100</f>
        <v>898185</v>
      </c>
      <c r="J100" s="7">
        <f>'Monthly Data'!CF100</f>
        <v>0</v>
      </c>
      <c r="K100" s="7">
        <f>'Monthly Data'!BY100</f>
        <v>0</v>
      </c>
      <c r="M100" s="11">
        <f>'GS &gt; 50 Predicted Monthly'!$Z$10</f>
        <v>-1907163.1226077401</v>
      </c>
      <c r="N100" s="11">
        <f>E100*'GS &gt; 50 Predicted Monthly'!$Z$11</f>
        <v>7481775.4496305566</v>
      </c>
      <c r="O100" s="11">
        <f>F100*'GS &gt; 50 Predicted Monthly'!$Z$12</f>
        <v>0</v>
      </c>
      <c r="P100" s="11">
        <f>G100*'GS &gt; 50 Predicted Monthly'!$Z$13</f>
        <v>0</v>
      </c>
      <c r="Q100" s="11">
        <f>H100*'GS &gt; 50 Predicted Monthly'!$Z$14</f>
        <v>79525500.842962876</v>
      </c>
      <c r="R100" s="11">
        <f>I100*'GS &gt; 50 Predicted Monthly'!$Z$15</f>
        <v>39633540.144945145</v>
      </c>
      <c r="S100" s="11">
        <f>J100*'GS &gt; 50 Predicted Monthly'!$Z$16</f>
        <v>0</v>
      </c>
      <c r="T100" s="11">
        <f>K100*'GS &gt; 50 Predicted Monthly'!$Z$17</f>
        <v>0</v>
      </c>
      <c r="U100" s="11">
        <f t="shared" si="15"/>
        <v>124733653.31493084</v>
      </c>
      <c r="V100" s="11">
        <f t="shared" si="16"/>
        <v>-3519425.6396539807</v>
      </c>
      <c r="W100" s="23">
        <f t="shared" si="17"/>
        <v>2.7441256524533265E-2</v>
      </c>
    </row>
    <row r="101" spans="1:23" x14ac:dyDescent="0.2">
      <c r="A101" s="8">
        <f>'Monthly Data'!A101</f>
        <v>45748</v>
      </c>
      <c r="B101">
        <f t="shared" si="13"/>
        <v>2025</v>
      </c>
      <c r="C101">
        <f t="shared" si="14"/>
        <v>4</v>
      </c>
      <c r="D101" s="19">
        <f>'Monthly Data'!N101</f>
        <v>122182535.02156162</v>
      </c>
      <c r="E101" s="21">
        <f>'Monthly Data'!BJ101</f>
        <v>209.11249999999995</v>
      </c>
      <c r="F101" s="21">
        <f>'Monthly Data'!BK101</f>
        <v>9.0583333333333371</v>
      </c>
      <c r="G101" s="7">
        <f>'Monthly Data'!CV101</f>
        <v>0</v>
      </c>
      <c r="H101" s="7">
        <f>'Monthly Data'!CS101</f>
        <v>30</v>
      </c>
      <c r="I101" s="7">
        <f>'Monthly Data'!AO101</f>
        <v>895773</v>
      </c>
      <c r="J101" s="7">
        <f>'Monthly Data'!CF101</f>
        <v>0</v>
      </c>
      <c r="K101" s="7">
        <f>'Monthly Data'!BY101</f>
        <v>0</v>
      </c>
      <c r="M101" s="11">
        <f>'GS &gt; 50 Predicted Monthly'!$Z$10</f>
        <v>-1907163.1226077401</v>
      </c>
      <c r="N101" s="11">
        <f>E101*'GS &gt; 50 Predicted Monthly'!$Z$11</f>
        <v>4461038.7783202976</v>
      </c>
      <c r="O101" s="11">
        <f>F101*'GS &gt; 50 Predicted Monthly'!$Z$12</f>
        <v>1073061.5467916727</v>
      </c>
      <c r="P101" s="11">
        <f>G101*'GS &gt; 50 Predicted Monthly'!$Z$13</f>
        <v>0</v>
      </c>
      <c r="Q101" s="11">
        <f>H101*'GS &gt; 50 Predicted Monthly'!$Z$14</f>
        <v>76960162.106093109</v>
      </c>
      <c r="R101" s="11">
        <f>I101*'GS &gt; 50 Predicted Monthly'!$Z$15</f>
        <v>39527107.618428215</v>
      </c>
      <c r="S101" s="11">
        <f>J101*'GS &gt; 50 Predicted Monthly'!$Z$16</f>
        <v>0</v>
      </c>
      <c r="T101" s="11">
        <f>K101*'GS &gt; 50 Predicted Monthly'!$Z$17</f>
        <v>0</v>
      </c>
      <c r="U101" s="11">
        <f t="shared" si="15"/>
        <v>120114206.92702556</v>
      </c>
      <c r="V101" s="11">
        <f t="shared" si="16"/>
        <v>-2068328.0945360661</v>
      </c>
      <c r="W101" s="23">
        <f t="shared" si="17"/>
        <v>1.6928181218134549E-2</v>
      </c>
    </row>
    <row r="102" spans="1:23" x14ac:dyDescent="0.2">
      <c r="A102" s="8">
        <f>'Monthly Data'!A102</f>
        <v>45778</v>
      </c>
      <c r="B102">
        <f t="shared" si="13"/>
        <v>2025</v>
      </c>
      <c r="C102">
        <f t="shared" si="14"/>
        <v>5</v>
      </c>
      <c r="D102" s="19">
        <f>'Monthly Data'!N102</f>
        <v>125315316.3047014</v>
      </c>
      <c r="E102" s="21">
        <f>'Monthly Data'!BJ102</f>
        <v>73.445833333333326</v>
      </c>
      <c r="F102" s="21">
        <f>'Monthly Data'!BK102</f>
        <v>30.504166666666652</v>
      </c>
      <c r="G102" s="7">
        <f>'Monthly Data'!CV102</f>
        <v>0</v>
      </c>
      <c r="H102" s="7">
        <f>'Monthly Data'!CS102</f>
        <v>31</v>
      </c>
      <c r="I102" s="7">
        <f>'Monthly Data'!AO102</f>
        <v>895773</v>
      </c>
      <c r="J102" s="7">
        <f>'Monthly Data'!CF102</f>
        <v>0</v>
      </c>
      <c r="K102" s="7">
        <f>'Monthly Data'!BY102</f>
        <v>0</v>
      </c>
      <c r="M102" s="11">
        <f>'GS &gt; 50 Predicted Monthly'!$Z$10</f>
        <v>-1907163.1226077401</v>
      </c>
      <c r="N102" s="11">
        <f>E102*'GS &gt; 50 Predicted Monthly'!$Z$11</f>
        <v>1566834.6493205789</v>
      </c>
      <c r="O102" s="11">
        <f>F102*'GS &gt; 50 Predicted Monthly'!$Z$12</f>
        <v>3613561.9061921937</v>
      </c>
      <c r="P102" s="11">
        <f>G102*'GS &gt; 50 Predicted Monthly'!$Z$13</f>
        <v>0</v>
      </c>
      <c r="Q102" s="11">
        <f>H102*'GS &gt; 50 Predicted Monthly'!$Z$14</f>
        <v>79525500.842962876</v>
      </c>
      <c r="R102" s="11">
        <f>I102*'GS &gt; 50 Predicted Monthly'!$Z$15</f>
        <v>39527107.618428215</v>
      </c>
      <c r="S102" s="11">
        <f>J102*'GS &gt; 50 Predicted Monthly'!$Z$16</f>
        <v>0</v>
      </c>
      <c r="T102" s="11">
        <f>K102*'GS &gt; 50 Predicted Monthly'!$Z$17</f>
        <v>0</v>
      </c>
      <c r="U102" s="11">
        <f t="shared" si="15"/>
        <v>122325841.89429612</v>
      </c>
      <c r="V102" s="11">
        <f t="shared" si="16"/>
        <v>-2989474.4104052782</v>
      </c>
      <c r="W102" s="23">
        <f t="shared" si="17"/>
        <v>2.3855618758815065E-2</v>
      </c>
    </row>
    <row r="103" spans="1:23" x14ac:dyDescent="0.2">
      <c r="A103" s="8">
        <f>'Monthly Data'!A103</f>
        <v>45809</v>
      </c>
      <c r="B103">
        <f t="shared" si="13"/>
        <v>2025</v>
      </c>
      <c r="C103">
        <f t="shared" si="14"/>
        <v>6</v>
      </c>
      <c r="D103" s="19">
        <f>'Monthly Data'!N103</f>
        <v>138313000.13588518</v>
      </c>
      <c r="E103" s="21">
        <f>'Monthly Data'!BJ103</f>
        <v>4.3041666666666671</v>
      </c>
      <c r="F103" s="21">
        <f>'Monthly Data'!BK103</f>
        <v>188.56249999999997</v>
      </c>
      <c r="G103" s="7">
        <f>'Monthly Data'!CV103</f>
        <v>0</v>
      </c>
      <c r="H103" s="7">
        <f>'Monthly Data'!CS103</f>
        <v>30</v>
      </c>
      <c r="I103" s="7">
        <f>'Monthly Data'!AO103</f>
        <v>895773</v>
      </c>
      <c r="J103" s="7">
        <f>'Monthly Data'!CF103</f>
        <v>0</v>
      </c>
      <c r="K103" s="7">
        <f>'Monthly Data'!BY103</f>
        <v>0</v>
      </c>
      <c r="M103" s="11">
        <f>'GS &gt; 50 Predicted Monthly'!$Z$10</f>
        <v>-1907163.1226077401</v>
      </c>
      <c r="N103" s="11">
        <f>E103*'GS &gt; 50 Predicted Monthly'!$Z$11</f>
        <v>91821.648195844915</v>
      </c>
      <c r="O103" s="11">
        <f>F103*'GS &gt; 50 Predicted Monthly'!$Z$12</f>
        <v>22337350.644000515</v>
      </c>
      <c r="P103" s="11">
        <f>G103*'GS &gt; 50 Predicted Monthly'!$Z$13</f>
        <v>0</v>
      </c>
      <c r="Q103" s="11">
        <f>H103*'GS &gt; 50 Predicted Monthly'!$Z$14</f>
        <v>76960162.106093109</v>
      </c>
      <c r="R103" s="11">
        <f>I103*'GS &gt; 50 Predicted Monthly'!$Z$15</f>
        <v>39527107.618428215</v>
      </c>
      <c r="S103" s="11">
        <f>J103*'GS &gt; 50 Predicted Monthly'!$Z$16</f>
        <v>0</v>
      </c>
      <c r="T103" s="11">
        <f>K103*'GS &gt; 50 Predicted Monthly'!$Z$17</f>
        <v>0</v>
      </c>
      <c r="U103" s="11">
        <f t="shared" si="15"/>
        <v>137009278.89410996</v>
      </c>
      <c r="V103" s="11">
        <f t="shared" si="16"/>
        <v>-1303721.2417752147</v>
      </c>
      <c r="W103" s="23">
        <f t="shared" si="17"/>
        <v>9.4258763854039584E-3</v>
      </c>
    </row>
    <row r="104" spans="1:23" x14ac:dyDescent="0.2">
      <c r="A104" s="8">
        <f>'Monthly Data'!A104</f>
        <v>45839</v>
      </c>
      <c r="B104">
        <f t="shared" si="13"/>
        <v>2025</v>
      </c>
      <c r="C104">
        <f t="shared" si="14"/>
        <v>7</v>
      </c>
      <c r="D104" s="19">
        <f>'Monthly Data'!N104</f>
        <v>151365878.72756097</v>
      </c>
      <c r="E104" s="21">
        <f>'Monthly Data'!BJ104</f>
        <v>0</v>
      </c>
      <c r="F104" s="21">
        <f>'Monthly Data'!BK104</f>
        <v>255.57916666666662</v>
      </c>
      <c r="G104" s="7">
        <f>'Monthly Data'!CV104</f>
        <v>0</v>
      </c>
      <c r="H104" s="7">
        <f>'Monthly Data'!CS104</f>
        <v>31</v>
      </c>
      <c r="I104" s="7">
        <f>'Monthly Data'!AO104</f>
        <v>901842</v>
      </c>
      <c r="J104" s="7">
        <f>'Monthly Data'!CF104</f>
        <v>0</v>
      </c>
      <c r="K104" s="7">
        <f>'Monthly Data'!BY104</f>
        <v>0</v>
      </c>
      <c r="M104" s="11">
        <f>'GS &gt; 50 Predicted Monthly'!$Z$10</f>
        <v>-1907163.1226077401</v>
      </c>
      <c r="N104" s="11">
        <f>E104*'GS &gt; 50 Predicted Monthly'!$Z$11</f>
        <v>0</v>
      </c>
      <c r="O104" s="11">
        <f>F104*'GS &gt; 50 Predicted Monthly'!$Z$12</f>
        <v>30276229.171414156</v>
      </c>
      <c r="P104" s="11">
        <f>G104*'GS &gt; 50 Predicted Monthly'!$Z$13</f>
        <v>0</v>
      </c>
      <c r="Q104" s="11">
        <f>H104*'GS &gt; 50 Predicted Monthly'!$Z$14</f>
        <v>79525500.842962876</v>
      </c>
      <c r="R104" s="11">
        <f>I104*'GS &gt; 50 Predicted Monthly'!$Z$15</f>
        <v>39794909.858656757</v>
      </c>
      <c r="S104" s="11">
        <f>J104*'GS &gt; 50 Predicted Monthly'!$Z$16</f>
        <v>0</v>
      </c>
      <c r="T104" s="11">
        <f>K104*'GS &gt; 50 Predicted Monthly'!$Z$17</f>
        <v>0</v>
      </c>
      <c r="U104" s="11">
        <f t="shared" si="15"/>
        <v>147689476.75042605</v>
      </c>
      <c r="V104" s="11">
        <f t="shared" si="16"/>
        <v>-3676401.9771349132</v>
      </c>
      <c r="W104" s="23">
        <f t="shared" si="17"/>
        <v>2.4288181775444662E-2</v>
      </c>
    </row>
    <row r="105" spans="1:23" x14ac:dyDescent="0.2">
      <c r="A105" s="8">
        <f>'Monthly Data'!A105</f>
        <v>45870</v>
      </c>
      <c r="B105">
        <f t="shared" si="13"/>
        <v>2025</v>
      </c>
      <c r="C105">
        <f t="shared" si="14"/>
        <v>8</v>
      </c>
      <c r="D105" s="19">
        <f>'Monthly Data'!N105</f>
        <v>141417506.86826575</v>
      </c>
      <c r="E105" s="21">
        <f>'Monthly Data'!BJ105</f>
        <v>2.4833333333333378</v>
      </c>
      <c r="F105" s="21">
        <f>'Monthly Data'!BK105</f>
        <v>178.91250000000005</v>
      </c>
      <c r="G105" s="7">
        <f>'Monthly Data'!CV105</f>
        <v>0</v>
      </c>
      <c r="H105" s="7">
        <f>'Monthly Data'!CS105</f>
        <v>31</v>
      </c>
      <c r="I105" s="7">
        <f>'Monthly Data'!AO105</f>
        <v>901842</v>
      </c>
      <c r="J105" s="7">
        <f>'Monthly Data'!CF105</f>
        <v>0</v>
      </c>
      <c r="K105" s="7">
        <f>'Monthly Data'!BY105</f>
        <v>1</v>
      </c>
      <c r="M105" s="11">
        <f>'GS &gt; 50 Predicted Monthly'!$Z$10</f>
        <v>-1907163.1226077401</v>
      </c>
      <c r="N105" s="11">
        <f>E105*'GS &gt; 50 Predicted Monthly'!$Z$11</f>
        <v>52977.446587341394</v>
      </c>
      <c r="O105" s="11">
        <f>F105*'GS &gt; 50 Predicted Monthly'!$Z$12</f>
        <v>21194199.520555489</v>
      </c>
      <c r="P105" s="11">
        <f>G105*'GS &gt; 50 Predicted Monthly'!$Z$13</f>
        <v>0</v>
      </c>
      <c r="Q105" s="11">
        <f>H105*'GS &gt; 50 Predicted Monthly'!$Z$14</f>
        <v>79525500.842962876</v>
      </c>
      <c r="R105" s="11">
        <f>I105*'GS &gt; 50 Predicted Monthly'!$Z$15</f>
        <v>39794909.858656757</v>
      </c>
      <c r="S105" s="11">
        <f>J105*'GS &gt; 50 Predicted Monthly'!$Z$16</f>
        <v>0</v>
      </c>
      <c r="T105" s="11">
        <f>K105*'GS &gt; 50 Predicted Monthly'!$Z$17</f>
        <v>2800660.9376037801</v>
      </c>
      <c r="U105" s="11">
        <f t="shared" si="15"/>
        <v>141461085.48375851</v>
      </c>
      <c r="V105" s="11">
        <f t="shared" si="16"/>
        <v>43578.615492761135</v>
      </c>
      <c r="W105" s="23">
        <f t="shared" si="17"/>
        <v>3.0815573303350483E-4</v>
      </c>
    </row>
    <row r="106" spans="1:23" x14ac:dyDescent="0.2">
      <c r="A106" s="8">
        <f>'Monthly Data'!A106</f>
        <v>45901</v>
      </c>
      <c r="B106">
        <f t="shared" si="13"/>
        <v>2025</v>
      </c>
      <c r="C106">
        <f t="shared" si="14"/>
        <v>9</v>
      </c>
      <c r="D106" s="19">
        <f>'Monthly Data'!N106</f>
        <v>131475262.87223354</v>
      </c>
      <c r="E106" s="21">
        <f>'Monthly Data'!BJ106</f>
        <v>3.1125000000000025</v>
      </c>
      <c r="F106" s="21">
        <f>'Monthly Data'!BK106</f>
        <v>102.07916666666665</v>
      </c>
      <c r="G106" s="7">
        <f>'Monthly Data'!CV106</f>
        <v>0</v>
      </c>
      <c r="H106" s="7">
        <f>'Monthly Data'!CS106</f>
        <v>30</v>
      </c>
      <c r="I106" s="7">
        <f>'Monthly Data'!AO106</f>
        <v>901842</v>
      </c>
      <c r="J106" s="7">
        <f>'Monthly Data'!CF106</f>
        <v>1</v>
      </c>
      <c r="K106" s="7">
        <f>'Monthly Data'!BY106</f>
        <v>0</v>
      </c>
      <c r="M106" s="11">
        <f>'GS &gt; 50 Predicted Monthly'!$Z$10</f>
        <v>-1907163.1226077401</v>
      </c>
      <c r="N106" s="11">
        <f>E106*'GS &gt; 50 Predicted Monthly'!$Z$11</f>
        <v>66399.584900577145</v>
      </c>
      <c r="O106" s="11">
        <f>F106*'GS &gt; 50 Predicted Monthly'!$Z$12</f>
        <v>12092426.326977542</v>
      </c>
      <c r="P106" s="11">
        <f>G106*'GS &gt; 50 Predicted Monthly'!$Z$13</f>
        <v>0</v>
      </c>
      <c r="Q106" s="11">
        <f>H106*'GS &gt; 50 Predicted Monthly'!$Z$14</f>
        <v>76960162.106093109</v>
      </c>
      <c r="R106" s="11">
        <f>I106*'GS &gt; 50 Predicted Monthly'!$Z$15</f>
        <v>39794909.858656757</v>
      </c>
      <c r="S106" s="11">
        <f>J106*'GS &gt; 50 Predicted Monthly'!$Z$16</f>
        <v>3497669.1063549998</v>
      </c>
      <c r="T106" s="11">
        <f>K106*'GS &gt; 50 Predicted Monthly'!$Z$17</f>
        <v>0</v>
      </c>
      <c r="U106" s="11">
        <f t="shared" si="15"/>
        <v>130504403.86037524</v>
      </c>
      <c r="V106" s="11">
        <f t="shared" si="16"/>
        <v>-970859.01185829937</v>
      </c>
      <c r="W106" s="23">
        <f t="shared" si="17"/>
        <v>7.3843473718837229E-3</v>
      </c>
    </row>
    <row r="107" spans="1:23" x14ac:dyDescent="0.2">
      <c r="A107" s="8">
        <f>'Monthly Data'!A107</f>
        <v>45931</v>
      </c>
      <c r="B107">
        <f t="shared" si="13"/>
        <v>2025</v>
      </c>
      <c r="C107">
        <f t="shared" si="14"/>
        <v>10</v>
      </c>
      <c r="D107" s="19">
        <f>'Monthly Data'!N107</f>
        <v>127953842.89877133</v>
      </c>
      <c r="E107" s="21">
        <f>'Monthly Data'!BJ107</f>
        <v>119.57916666666667</v>
      </c>
      <c r="F107" s="21">
        <f>'Monthly Data'!BK107</f>
        <v>29.312500000000004</v>
      </c>
      <c r="G107" s="7">
        <f>'Monthly Data'!CV107</f>
        <v>0</v>
      </c>
      <c r="H107" s="7">
        <f>'Monthly Data'!CS107</f>
        <v>31</v>
      </c>
      <c r="I107" s="7">
        <f>'Monthly Data'!AO107</f>
        <v>900059</v>
      </c>
      <c r="J107" s="7">
        <f>'Monthly Data'!CF107</f>
        <v>1</v>
      </c>
      <c r="K107" s="7">
        <f>'Monthly Data'!BY107</f>
        <v>0</v>
      </c>
      <c r="M107" s="11">
        <f>'GS &gt; 50 Predicted Monthly'!$Z$10</f>
        <v>-1907163.1226077401</v>
      </c>
      <c r="N107" s="11">
        <f>E107*'GS &gt; 50 Predicted Monthly'!$Z$11</f>
        <v>2551006.2745136041</v>
      </c>
      <c r="O107" s="11">
        <f>F107*'GS &gt; 50 Predicted Monthly'!$Z$12</f>
        <v>3472395.5757495011</v>
      </c>
      <c r="P107" s="11">
        <f>G107*'GS &gt; 50 Predicted Monthly'!$Z$13</f>
        <v>0</v>
      </c>
      <c r="Q107" s="11">
        <f>H107*'GS &gt; 50 Predicted Monthly'!$Z$14</f>
        <v>79525500.842962876</v>
      </c>
      <c r="R107" s="11">
        <f>I107*'GS &gt; 50 Predicted Monthly'!$Z$15</f>
        <v>39716232.746393211</v>
      </c>
      <c r="S107" s="11">
        <f>J107*'GS &gt; 50 Predicted Monthly'!$Z$16</f>
        <v>3497669.1063549998</v>
      </c>
      <c r="T107" s="11">
        <f>K107*'GS &gt; 50 Predicted Monthly'!$Z$17</f>
        <v>0</v>
      </c>
      <c r="U107" s="11">
        <f t="shared" si="15"/>
        <v>126855641.42336644</v>
      </c>
      <c r="V107" s="11">
        <f t="shared" si="16"/>
        <v>-1098201.4754048884</v>
      </c>
      <c r="W107" s="23">
        <f t="shared" si="17"/>
        <v>8.5827940023162352E-3</v>
      </c>
    </row>
    <row r="108" spans="1:23" x14ac:dyDescent="0.2">
      <c r="A108" s="8">
        <f>'Monthly Data'!A108</f>
        <v>45962</v>
      </c>
      <c r="B108">
        <f t="shared" si="13"/>
        <v>2025</v>
      </c>
      <c r="C108">
        <f t="shared" si="14"/>
        <v>11</v>
      </c>
      <c r="D108" s="19">
        <f>'Monthly Data'!N108</f>
        <v>123873467.5177781</v>
      </c>
      <c r="E108" s="21">
        <f>'Monthly Data'!BJ108</f>
        <v>326.6229166666667</v>
      </c>
      <c r="F108" s="21">
        <f>'Monthly Data'!BK108</f>
        <v>0</v>
      </c>
      <c r="G108" s="7">
        <f>'Monthly Data'!CV108</f>
        <v>0</v>
      </c>
      <c r="H108" s="7">
        <f>'Monthly Data'!CS108</f>
        <v>30</v>
      </c>
      <c r="I108" s="7">
        <f>'Monthly Data'!AO108</f>
        <v>900059</v>
      </c>
      <c r="J108" s="7">
        <f>'Monthly Data'!CF108</f>
        <v>1</v>
      </c>
      <c r="K108" s="7">
        <f>'Monthly Data'!BY108</f>
        <v>0</v>
      </c>
      <c r="M108" s="11">
        <f>'GS &gt; 50 Predicted Monthly'!$Z$10</f>
        <v>-1907163.1226077401</v>
      </c>
      <c r="N108" s="11">
        <f>E108*'GS &gt; 50 Predicted Monthly'!$Z$11</f>
        <v>6967911.9953999855</v>
      </c>
      <c r="O108" s="11">
        <f>F108*'GS &gt; 50 Predicted Monthly'!$Z$12</f>
        <v>0</v>
      </c>
      <c r="P108" s="11">
        <f>G108*'GS &gt; 50 Predicted Monthly'!$Z$13</f>
        <v>0</v>
      </c>
      <c r="Q108" s="11">
        <f>H108*'GS &gt; 50 Predicted Monthly'!$Z$14</f>
        <v>76960162.106093109</v>
      </c>
      <c r="R108" s="11">
        <f>I108*'GS &gt; 50 Predicted Monthly'!$Z$15</f>
        <v>39716232.746393211</v>
      </c>
      <c r="S108" s="11">
        <f>J108*'GS &gt; 50 Predicted Monthly'!$Z$16</f>
        <v>3497669.1063549998</v>
      </c>
      <c r="T108" s="11">
        <f>K108*'GS &gt; 50 Predicted Monthly'!$Z$17</f>
        <v>0</v>
      </c>
      <c r="U108" s="11">
        <f t="shared" si="15"/>
        <v>125234812.83163355</v>
      </c>
      <c r="V108" s="11">
        <f t="shared" si="16"/>
        <v>1361345.3138554543</v>
      </c>
      <c r="W108" s="23">
        <f t="shared" si="17"/>
        <v>1.0989805493739622E-2</v>
      </c>
    </row>
    <row r="109" spans="1:23" x14ac:dyDescent="0.2">
      <c r="A109" s="8">
        <f>'Monthly Data'!A109</f>
        <v>45992</v>
      </c>
      <c r="B109">
        <f t="shared" si="13"/>
        <v>2025</v>
      </c>
      <c r="C109">
        <f t="shared" si="14"/>
        <v>12</v>
      </c>
      <c r="D109" s="19">
        <f>'Monthly Data'!N109</f>
        <v>129128541.23771989</v>
      </c>
      <c r="E109" s="21">
        <f>'Monthly Data'!BJ109</f>
        <v>565.42916666666667</v>
      </c>
      <c r="F109" s="21">
        <f>'Monthly Data'!BK109</f>
        <v>0</v>
      </c>
      <c r="G109" s="7">
        <f>'Monthly Data'!CV109</f>
        <v>0</v>
      </c>
      <c r="H109" s="7">
        <f>'Monthly Data'!CS109</f>
        <v>31</v>
      </c>
      <c r="I109" s="7">
        <f>'Monthly Data'!AO109</f>
        <v>900059</v>
      </c>
      <c r="J109" s="7">
        <f>'Monthly Data'!CF109</f>
        <v>0</v>
      </c>
      <c r="K109" s="7">
        <f>'Monthly Data'!BY109</f>
        <v>0</v>
      </c>
      <c r="M109" s="11">
        <f>'GS &gt; 50 Predicted Monthly'!$Z$10</f>
        <v>-1907163.1226077401</v>
      </c>
      <c r="N109" s="11">
        <f>E109*'GS &gt; 50 Predicted Monthly'!$Z$11</f>
        <v>12062413.480271772</v>
      </c>
      <c r="O109" s="11">
        <f>F109*'GS &gt; 50 Predicted Monthly'!$Z$12</f>
        <v>0</v>
      </c>
      <c r="P109" s="11">
        <f>G109*'GS &gt; 50 Predicted Monthly'!$Z$13</f>
        <v>0</v>
      </c>
      <c r="Q109" s="11">
        <f>H109*'GS &gt; 50 Predicted Monthly'!$Z$14</f>
        <v>79525500.842962876</v>
      </c>
      <c r="R109" s="11">
        <f>I109*'GS &gt; 50 Predicted Monthly'!$Z$15</f>
        <v>39716232.746393211</v>
      </c>
      <c r="S109" s="11">
        <f>J109*'GS &gt; 50 Predicted Monthly'!$Z$16</f>
        <v>0</v>
      </c>
      <c r="T109" s="11">
        <f>K109*'GS &gt; 50 Predicted Monthly'!$Z$17</f>
        <v>0</v>
      </c>
      <c r="U109" s="11">
        <f t="shared" si="15"/>
        <v>129396983.94702011</v>
      </c>
      <c r="V109" s="11">
        <f t="shared" si="16"/>
        <v>268442.70930022001</v>
      </c>
      <c r="W109" s="23">
        <f t="shared" si="17"/>
        <v>2.0788797482504582E-3</v>
      </c>
    </row>
    <row r="110" spans="1:23" x14ac:dyDescent="0.2">
      <c r="A110" s="8"/>
      <c r="W110" s="24">
        <f>AVERAGE(W2:W109)</f>
        <v>1.6321937786054803E-2</v>
      </c>
    </row>
    <row r="111" spans="1:23" x14ac:dyDescent="0.2">
      <c r="A111" s="8"/>
    </row>
    <row r="112" spans="1:23" x14ac:dyDescent="0.2">
      <c r="A112" s="8"/>
    </row>
    <row r="113" spans="1:1" x14ac:dyDescent="0.2">
      <c r="A113" s="8"/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8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7"/>
  <dimension ref="A1:W129"/>
  <sheetViews>
    <sheetView topLeftCell="A91" workbookViewId="0">
      <selection activeCell="K120" sqref="K120"/>
    </sheetView>
  </sheetViews>
  <sheetFormatPr defaultColWidth="9.33203125" defaultRowHeight="12.75" x14ac:dyDescent="0.2"/>
  <cols>
    <col min="1" max="1" width="10.5" bestFit="1" customWidth="1"/>
    <col min="4" max="4" width="20.1640625" bestFit="1" customWidth="1"/>
    <col min="9" max="9" width="14.6640625" bestFit="1" customWidth="1"/>
    <col min="10" max="10" width="13.83203125" bestFit="1" customWidth="1"/>
    <col min="11" max="12" width="13.83203125" customWidth="1"/>
    <col min="13" max="13" width="18.1640625" customWidth="1"/>
    <col min="14" max="14" width="13.83203125" customWidth="1"/>
    <col min="17" max="17" width="13.83203125" bestFit="1" customWidth="1"/>
    <col min="18" max="18" width="13.5" customWidth="1"/>
    <col min="19" max="19" width="13.83203125" bestFit="1" customWidth="1"/>
    <col min="20" max="20" width="12.83203125" bestFit="1" customWidth="1"/>
    <col min="21" max="21" width="12.6640625" bestFit="1" customWidth="1"/>
    <col min="22" max="22" width="18" bestFit="1" customWidth="1"/>
    <col min="23" max="23" width="12.83203125" bestFit="1" customWidth="1"/>
  </cols>
  <sheetData>
    <row r="1" spans="1:23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Data'!S1</f>
        <v>GS_gt_50_CoGen_NoCDM</v>
      </c>
      <c r="E1" s="181" t="str">
        <f>'Monthly Data'!BK1</f>
        <v>CDD14</v>
      </c>
      <c r="F1" s="181" t="str">
        <f>'Monthly Data'!CT1</f>
        <v>Peak Days</v>
      </c>
      <c r="G1" s="181" t="str">
        <f>'Monthly Data'!CL1</f>
        <v>Summer2</v>
      </c>
      <c r="I1" s="171" t="s">
        <v>65</v>
      </c>
      <c r="J1" s="181" t="str">
        <f>E1</f>
        <v>CDD14</v>
      </c>
      <c r="K1" s="181" t="str">
        <f>F1</f>
        <v>Peak Days</v>
      </c>
      <c r="L1" s="181" t="str">
        <f>G1</f>
        <v>Summer2</v>
      </c>
      <c r="M1" s="171" t="s">
        <v>75</v>
      </c>
      <c r="N1" s="171" t="s">
        <v>76</v>
      </c>
    </row>
    <row r="2" spans="1:23" x14ac:dyDescent="0.2">
      <c r="A2" s="8">
        <f>'Monthly Data'!A2</f>
        <v>42736</v>
      </c>
      <c r="B2">
        <f t="shared" ref="B2:B62" si="0">YEAR(A2)</f>
        <v>2017</v>
      </c>
      <c r="C2">
        <f t="shared" ref="C2:C62" si="1">MONTH(A2)</f>
        <v>1</v>
      </c>
      <c r="D2" s="19">
        <f>'Monthly Data'!S2</f>
        <v>1975229.7103848916</v>
      </c>
      <c r="E2" s="21">
        <f>'Monthly Data'!BK2</f>
        <v>0</v>
      </c>
      <c r="F2" s="21">
        <f>'Monthly Data'!CT2</f>
        <v>22</v>
      </c>
      <c r="G2" s="21">
        <f>'Monthly Data'!CL2</f>
        <v>0</v>
      </c>
      <c r="I2" s="11">
        <f>'GS Co Gen Predicted Monthly'!$R$10</f>
        <v>-1091818.61931381</v>
      </c>
      <c r="J2" s="11">
        <f>E2*$R$11</f>
        <v>0</v>
      </c>
      <c r="K2" s="11">
        <f>F2*$R$12</f>
        <v>3657114.3606755342</v>
      </c>
      <c r="L2" s="11">
        <f>G2*$R$13</f>
        <v>0</v>
      </c>
      <c r="M2" s="11">
        <f>SUM(I2:L2)</f>
        <v>2565295.7413617242</v>
      </c>
      <c r="N2" s="11">
        <f t="shared" ref="N2:N33" si="2">M2-D2</f>
        <v>590066.03097683261</v>
      </c>
      <c r="O2" s="23">
        <f t="shared" ref="O2:O33" si="3">ABS(N2/D2)</f>
        <v>0.29873286528373089</v>
      </c>
    </row>
    <row r="3" spans="1:23" x14ac:dyDescent="0.2">
      <c r="A3" s="8">
        <f>'Monthly Data'!A3</f>
        <v>42767</v>
      </c>
      <c r="B3">
        <f t="shared" si="0"/>
        <v>2017</v>
      </c>
      <c r="C3">
        <f t="shared" si="1"/>
        <v>2</v>
      </c>
      <c r="D3" s="19">
        <f>'Monthly Data'!S3</f>
        <v>2202382.3384362105</v>
      </c>
      <c r="E3" s="21">
        <f>'Monthly Data'!BK3</f>
        <v>0</v>
      </c>
      <c r="F3" s="21">
        <f>'Monthly Data'!CT3</f>
        <v>19</v>
      </c>
      <c r="G3" s="21">
        <f>'Monthly Data'!CL3</f>
        <v>0</v>
      </c>
      <c r="I3" s="11">
        <f>'GS Co Gen Predicted Monthly'!$R$10</f>
        <v>-1091818.61931381</v>
      </c>
      <c r="J3" s="11">
        <f t="shared" ref="J3:J66" si="4">E3*$R$11</f>
        <v>0</v>
      </c>
      <c r="K3" s="11">
        <f t="shared" ref="K3:K66" si="5">F3*$R$12</f>
        <v>3158416.9478561431</v>
      </c>
      <c r="L3" s="11">
        <f t="shared" ref="L3:L66" si="6">G3*$R$13</f>
        <v>0</v>
      </c>
      <c r="M3" s="11">
        <f t="shared" ref="M3:M66" si="7">SUM(I3:L3)</f>
        <v>2066598.3285423331</v>
      </c>
      <c r="N3" s="11">
        <f t="shared" si="2"/>
        <v>-135784.00989387743</v>
      </c>
      <c r="O3" s="23">
        <f t="shared" si="3"/>
        <v>6.1653241366932739E-2</v>
      </c>
    </row>
    <row r="4" spans="1:23" x14ac:dyDescent="0.2">
      <c r="A4" s="8">
        <f>'Monthly Data'!A4</f>
        <v>42795</v>
      </c>
      <c r="B4">
        <f t="shared" si="0"/>
        <v>2017</v>
      </c>
      <c r="C4">
        <f t="shared" si="1"/>
        <v>3</v>
      </c>
      <c r="D4" s="19">
        <f>'Monthly Data'!S4</f>
        <v>3298889.9664875292</v>
      </c>
      <c r="E4" s="21">
        <f>'Monthly Data'!BK4</f>
        <v>0</v>
      </c>
      <c r="F4" s="21">
        <f>'Monthly Data'!CT4</f>
        <v>23</v>
      </c>
      <c r="G4" s="21">
        <f>'Monthly Data'!CL4</f>
        <v>0</v>
      </c>
      <c r="I4" s="11">
        <f>'GS Co Gen Predicted Monthly'!$R$10</f>
        <v>-1091818.61931381</v>
      </c>
      <c r="J4" s="11">
        <f t="shared" si="4"/>
        <v>0</v>
      </c>
      <c r="K4" s="11">
        <f t="shared" si="5"/>
        <v>3823346.8316153311</v>
      </c>
      <c r="L4" s="11">
        <f t="shared" si="6"/>
        <v>0</v>
      </c>
      <c r="M4" s="11">
        <f t="shared" si="7"/>
        <v>2731528.2123015211</v>
      </c>
      <c r="N4" s="11">
        <f t="shared" si="2"/>
        <v>-567361.75418600813</v>
      </c>
      <c r="O4" s="23">
        <f t="shared" si="3"/>
        <v>0.17198565576593108</v>
      </c>
    </row>
    <row r="5" spans="1:23" x14ac:dyDescent="0.2">
      <c r="A5" s="8">
        <f>'Monthly Data'!A5</f>
        <v>42826</v>
      </c>
      <c r="B5">
        <f t="shared" si="0"/>
        <v>2017</v>
      </c>
      <c r="C5">
        <f t="shared" si="1"/>
        <v>4</v>
      </c>
      <c r="D5" s="19">
        <f>'Monthly Data'!S5</f>
        <v>3834797.5945388479</v>
      </c>
      <c r="E5" s="21">
        <f>'Monthly Data'!BK5</f>
        <v>11.354166666666671</v>
      </c>
      <c r="F5" s="21">
        <f>'Monthly Data'!CT5</f>
        <v>19</v>
      </c>
      <c r="G5" s="21">
        <f>'Monthly Data'!CL5</f>
        <v>0</v>
      </c>
      <c r="I5" s="11">
        <f>'GS Co Gen Predicted Monthly'!$R$10</f>
        <v>-1091818.61931381</v>
      </c>
      <c r="J5" s="11">
        <f t="shared" si="4"/>
        <v>193069.02429868246</v>
      </c>
      <c r="K5" s="11">
        <f t="shared" si="5"/>
        <v>3158416.9478561431</v>
      </c>
      <c r="L5" s="11">
        <f t="shared" si="6"/>
        <v>0</v>
      </c>
      <c r="M5" s="11">
        <f t="shared" si="7"/>
        <v>2259667.3528410154</v>
      </c>
      <c r="N5" s="11">
        <f t="shared" si="2"/>
        <v>-1575130.2416978325</v>
      </c>
      <c r="O5" s="23">
        <f t="shared" si="3"/>
        <v>0.41074664382312703</v>
      </c>
      <c r="Q5" t="s">
        <v>549</v>
      </c>
    </row>
    <row r="6" spans="1:23" x14ac:dyDescent="0.2">
      <c r="A6" s="8">
        <f>'Monthly Data'!A6</f>
        <v>42856</v>
      </c>
      <c r="B6">
        <f t="shared" si="0"/>
        <v>2017</v>
      </c>
      <c r="C6">
        <f t="shared" si="1"/>
        <v>5</v>
      </c>
      <c r="D6" s="19">
        <f>'Monthly Data'!S6</f>
        <v>4110768.2225901671</v>
      </c>
      <c r="E6" s="21">
        <f>'Monthly Data'!BK6</f>
        <v>37.183333333333337</v>
      </c>
      <c r="F6" s="21">
        <f>'Monthly Data'!CT6</f>
        <v>22</v>
      </c>
      <c r="G6" s="21">
        <f>'Monthly Data'!CL6</f>
        <v>0</v>
      </c>
      <c r="I6" s="11">
        <f>'GS Co Gen Predicted Monthly'!$R$10</f>
        <v>-1091818.61931381</v>
      </c>
      <c r="J6" s="11">
        <f t="shared" si="4"/>
        <v>632274.48544640059</v>
      </c>
      <c r="K6" s="11">
        <f t="shared" si="5"/>
        <v>3657114.3606755342</v>
      </c>
      <c r="L6" s="11">
        <f t="shared" si="6"/>
        <v>0</v>
      </c>
      <c r="M6" s="11">
        <f t="shared" si="7"/>
        <v>3197570.2268081247</v>
      </c>
      <c r="N6" s="11">
        <f t="shared" si="2"/>
        <v>-913197.99578204239</v>
      </c>
      <c r="O6" s="23">
        <f t="shared" si="3"/>
        <v>0.22214777052223161</v>
      </c>
      <c r="Q6" t="s">
        <v>505</v>
      </c>
    </row>
    <row r="7" spans="1:23" x14ac:dyDescent="0.2">
      <c r="A7" s="8">
        <f>'Monthly Data'!A7</f>
        <v>42887</v>
      </c>
      <c r="B7">
        <f t="shared" si="0"/>
        <v>2017</v>
      </c>
      <c r="C7">
        <f t="shared" si="1"/>
        <v>6</v>
      </c>
      <c r="D7" s="19">
        <f>'Monthly Data'!S7</f>
        <v>5743560.8506414862</v>
      </c>
      <c r="E7" s="21">
        <f>'Monthly Data'!BK7</f>
        <v>147.1333333333333</v>
      </c>
      <c r="F7" s="21">
        <f>'Monthly Data'!CT7</f>
        <v>22</v>
      </c>
      <c r="G7" s="21">
        <f>'Monthly Data'!CL7</f>
        <v>0</v>
      </c>
      <c r="I7" s="11">
        <f>'GS Co Gen Predicted Monthly'!$R$10</f>
        <v>-1091818.61931381</v>
      </c>
      <c r="J7" s="11">
        <f t="shared" si="4"/>
        <v>2501891.1508385576</v>
      </c>
      <c r="K7" s="11">
        <f t="shared" si="5"/>
        <v>3657114.3606755342</v>
      </c>
      <c r="L7" s="11">
        <f t="shared" si="6"/>
        <v>0</v>
      </c>
      <c r="M7" s="11">
        <f t="shared" si="7"/>
        <v>5067186.8922002818</v>
      </c>
      <c r="N7" s="11">
        <f t="shared" si="2"/>
        <v>-676373.95844120439</v>
      </c>
      <c r="O7" s="23">
        <f t="shared" si="3"/>
        <v>0.11776212980587845</v>
      </c>
      <c r="Q7" t="s">
        <v>550</v>
      </c>
    </row>
    <row r="8" spans="1:23" x14ac:dyDescent="0.2">
      <c r="A8" s="8">
        <f>'Monthly Data'!A8</f>
        <v>42917</v>
      </c>
      <c r="B8">
        <f t="shared" si="0"/>
        <v>2017</v>
      </c>
      <c r="C8">
        <f t="shared" si="1"/>
        <v>7</v>
      </c>
      <c r="D8" s="19">
        <f>'Monthly Data'!S8</f>
        <v>5624575.4786928045</v>
      </c>
      <c r="E8" s="21">
        <f>'Monthly Data'!BK8</f>
        <v>206.83541666666665</v>
      </c>
      <c r="F8" s="21">
        <f>'Monthly Data'!CT8</f>
        <v>20</v>
      </c>
      <c r="G8" s="21">
        <f>'Monthly Data'!CL8</f>
        <v>1</v>
      </c>
      <c r="I8" s="11">
        <f>'GS Co Gen Predicted Monthly'!$R$10</f>
        <v>-1091818.61931381</v>
      </c>
      <c r="J8" s="11">
        <f t="shared" si="4"/>
        <v>3517079.9635591712</v>
      </c>
      <c r="K8" s="11">
        <f t="shared" si="5"/>
        <v>3324649.41879594</v>
      </c>
      <c r="L8" s="11">
        <f t="shared" si="6"/>
        <v>-689077.09586613998</v>
      </c>
      <c r="M8" s="11">
        <f t="shared" si="7"/>
        <v>5060833.6671751607</v>
      </c>
      <c r="N8" s="11">
        <f t="shared" si="2"/>
        <v>-563741.81151764374</v>
      </c>
      <c r="O8" s="23">
        <f t="shared" si="3"/>
        <v>0.1002283307697138</v>
      </c>
    </row>
    <row r="9" spans="1:23" x14ac:dyDescent="0.2">
      <c r="A9" s="8">
        <f>'Monthly Data'!A9</f>
        <v>42948</v>
      </c>
      <c r="B9">
        <f t="shared" si="0"/>
        <v>2017</v>
      </c>
      <c r="C9">
        <f t="shared" si="1"/>
        <v>8</v>
      </c>
      <c r="D9" s="19">
        <f>'Monthly Data'!S9</f>
        <v>4805886.1067441236</v>
      </c>
      <c r="E9" s="21">
        <f>'Monthly Data'!BK9</f>
        <v>149.20833333333331</v>
      </c>
      <c r="F9" s="21">
        <f>'Monthly Data'!CT9</f>
        <v>22</v>
      </c>
      <c r="G9" s="21">
        <f>'Monthly Data'!CL9</f>
        <v>1</v>
      </c>
      <c r="I9" s="11">
        <f>'GS Co Gen Predicted Monthly'!$R$10</f>
        <v>-1091818.61931381</v>
      </c>
      <c r="J9" s="11">
        <f t="shared" si="4"/>
        <v>2537174.9578480055</v>
      </c>
      <c r="K9" s="11">
        <f t="shared" si="5"/>
        <v>3657114.3606755342</v>
      </c>
      <c r="L9" s="11">
        <f t="shared" si="6"/>
        <v>-689077.09586613998</v>
      </c>
      <c r="M9" s="11">
        <f t="shared" si="7"/>
        <v>4413393.6033435892</v>
      </c>
      <c r="N9" s="11">
        <f t="shared" si="2"/>
        <v>-392492.50340053439</v>
      </c>
      <c r="O9" s="23">
        <f t="shared" si="3"/>
        <v>8.1669122963556648E-2</v>
      </c>
      <c r="R9" t="s">
        <v>61</v>
      </c>
      <c r="S9" t="s">
        <v>62</v>
      </c>
      <c r="T9" t="s">
        <v>63</v>
      </c>
      <c r="U9" t="s">
        <v>64</v>
      </c>
    </row>
    <row r="10" spans="1:23" x14ac:dyDescent="0.2">
      <c r="A10" s="8">
        <f>'Monthly Data'!A10</f>
        <v>42979</v>
      </c>
      <c r="B10">
        <f t="shared" si="0"/>
        <v>2017</v>
      </c>
      <c r="C10">
        <f t="shared" si="1"/>
        <v>9</v>
      </c>
      <c r="D10" s="19">
        <f>'Monthly Data'!S10</f>
        <v>3970931.7347954423</v>
      </c>
      <c r="E10" s="21">
        <f>'Monthly Data'!BK10</f>
        <v>112.60833333333332</v>
      </c>
      <c r="F10" s="21">
        <f>'Monthly Data'!CT10</f>
        <v>20</v>
      </c>
      <c r="G10" s="21">
        <f>'Monthly Data'!CL10</f>
        <v>0</v>
      </c>
      <c r="I10" s="11">
        <f>'GS Co Gen Predicted Monthly'!$R$10</f>
        <v>-1091818.61931381</v>
      </c>
      <c r="J10" s="11">
        <f t="shared" si="4"/>
        <v>1914819.6149343813</v>
      </c>
      <c r="K10" s="11">
        <f t="shared" si="5"/>
        <v>3324649.41879594</v>
      </c>
      <c r="L10" s="11">
        <f t="shared" si="6"/>
        <v>0</v>
      </c>
      <c r="M10" s="11">
        <f t="shared" si="7"/>
        <v>4147650.4144165115</v>
      </c>
      <c r="N10" s="11">
        <f t="shared" si="2"/>
        <v>176718.67962106923</v>
      </c>
      <c r="O10" s="23">
        <f t="shared" si="3"/>
        <v>4.4503076714355223E-2</v>
      </c>
      <c r="Q10" t="s">
        <v>65</v>
      </c>
      <c r="R10" s="13">
        <v>-1091818.61931381</v>
      </c>
      <c r="S10" s="13">
        <v>1156131.3181046899</v>
      </c>
      <c r="T10" s="211">
        <v>-0.94437249663272804</v>
      </c>
      <c r="U10" s="212">
        <v>0.34716814189256001</v>
      </c>
    </row>
    <row r="11" spans="1:23" x14ac:dyDescent="0.2">
      <c r="A11" s="8">
        <f>'Monthly Data'!A11</f>
        <v>43009</v>
      </c>
      <c r="B11">
        <f t="shared" si="0"/>
        <v>2017</v>
      </c>
      <c r="C11">
        <f t="shared" si="1"/>
        <v>10</v>
      </c>
      <c r="D11" s="19">
        <f>'Monthly Data'!S11</f>
        <v>5177643.362846761</v>
      </c>
      <c r="E11" s="21">
        <f>'Monthly Data'!BK11</f>
        <v>36.987500000000026</v>
      </c>
      <c r="F11" s="21">
        <f>'Monthly Data'!CT11</f>
        <v>21</v>
      </c>
      <c r="G11" s="21">
        <f>'Monthly Data'!CL11</f>
        <v>0</v>
      </c>
      <c r="I11" s="11">
        <f>'GS Co Gen Predicted Monthly'!$R$10</f>
        <v>-1091818.61931381</v>
      </c>
      <c r="J11" s="11">
        <f t="shared" si="4"/>
        <v>628944.48759611172</v>
      </c>
      <c r="K11" s="11">
        <f t="shared" si="5"/>
        <v>3490881.8897357369</v>
      </c>
      <c r="L11" s="11">
        <f t="shared" si="6"/>
        <v>0</v>
      </c>
      <c r="M11" s="11">
        <f t="shared" si="7"/>
        <v>3028007.7580180387</v>
      </c>
      <c r="N11" s="11">
        <f t="shared" si="2"/>
        <v>-2149635.6048287223</v>
      </c>
      <c r="O11" s="23">
        <f t="shared" si="3"/>
        <v>0.41517645271860015</v>
      </c>
      <c r="Q11" t="s">
        <v>31</v>
      </c>
      <c r="R11" s="13">
        <v>17004.2443419023</v>
      </c>
      <c r="S11" s="13">
        <v>1966.26857071328</v>
      </c>
      <c r="T11" s="211">
        <v>8.6479764744110401</v>
      </c>
      <c r="U11" s="212">
        <v>6.9232563398690994E-14</v>
      </c>
    </row>
    <row r="12" spans="1:23" x14ac:dyDescent="0.2">
      <c r="A12" s="8">
        <f>'Monthly Data'!A12</f>
        <v>43040</v>
      </c>
      <c r="B12">
        <f t="shared" si="0"/>
        <v>2017</v>
      </c>
      <c r="C12">
        <f t="shared" si="1"/>
        <v>11</v>
      </c>
      <c r="D12" s="19">
        <f>'Monthly Data'!S12</f>
        <v>3296588.9908980802</v>
      </c>
      <c r="E12" s="21">
        <f>'Monthly Data'!BK12</f>
        <v>0</v>
      </c>
      <c r="F12" s="21">
        <f>'Monthly Data'!CT12</f>
        <v>22</v>
      </c>
      <c r="G12" s="21">
        <f>'Monthly Data'!CL12</f>
        <v>0</v>
      </c>
      <c r="I12" s="11">
        <f>'GS Co Gen Predicted Monthly'!$R$10</f>
        <v>-1091818.61931381</v>
      </c>
      <c r="J12" s="11">
        <f t="shared" si="4"/>
        <v>0</v>
      </c>
      <c r="K12" s="11">
        <f t="shared" si="5"/>
        <v>3657114.3606755342</v>
      </c>
      <c r="L12" s="11">
        <f t="shared" si="6"/>
        <v>0</v>
      </c>
      <c r="M12" s="11">
        <f t="shared" si="7"/>
        <v>2565295.7413617242</v>
      </c>
      <c r="N12" s="11">
        <f t="shared" si="2"/>
        <v>-731293.24953635596</v>
      </c>
      <c r="O12" s="23">
        <f t="shared" si="3"/>
        <v>0.22183331059936953</v>
      </c>
      <c r="Q12" t="s">
        <v>521</v>
      </c>
      <c r="R12" s="13">
        <v>166232.470939797</v>
      </c>
      <c r="S12" s="13">
        <v>53670.667232564403</v>
      </c>
      <c r="T12" s="211">
        <v>3.0972685735297998</v>
      </c>
      <c r="U12" s="212">
        <v>2.5112152346747599E-3</v>
      </c>
    </row>
    <row r="13" spans="1:23" x14ac:dyDescent="0.2">
      <c r="A13" s="8">
        <f>'Monthly Data'!A13</f>
        <v>43070</v>
      </c>
      <c r="B13">
        <f t="shared" si="0"/>
        <v>2017</v>
      </c>
      <c r="C13">
        <f t="shared" si="1"/>
        <v>12</v>
      </c>
      <c r="D13" s="19">
        <f>'Monthly Data'!S13</f>
        <v>3331855.6189493993</v>
      </c>
      <c r="E13" s="21">
        <f>'Monthly Data'!BK13</f>
        <v>0</v>
      </c>
      <c r="F13" s="21">
        <f>'Monthly Data'!CT13</f>
        <v>19</v>
      </c>
      <c r="G13" s="21">
        <f>'Monthly Data'!CL13</f>
        <v>0</v>
      </c>
      <c r="I13" s="11">
        <f>'GS Co Gen Predicted Monthly'!$R$10</f>
        <v>-1091818.61931381</v>
      </c>
      <c r="J13" s="11">
        <f t="shared" si="4"/>
        <v>0</v>
      </c>
      <c r="K13" s="11">
        <f t="shared" si="5"/>
        <v>3158416.9478561431</v>
      </c>
      <c r="L13" s="11">
        <f t="shared" si="6"/>
        <v>0</v>
      </c>
      <c r="M13" s="11">
        <f t="shared" si="7"/>
        <v>2066598.3285423331</v>
      </c>
      <c r="N13" s="11">
        <f t="shared" si="2"/>
        <v>-1265257.2904070662</v>
      </c>
      <c r="O13" s="23">
        <f t="shared" si="3"/>
        <v>0.37974553375335846</v>
      </c>
      <c r="Q13" t="s">
        <v>534</v>
      </c>
      <c r="R13" s="13">
        <v>-689077.09586613998</v>
      </c>
      <c r="S13" s="13">
        <v>303898.58810144098</v>
      </c>
      <c r="T13" s="211">
        <v>-2.2674573783677099</v>
      </c>
      <c r="U13" s="212">
        <v>2.54302615570541E-2</v>
      </c>
      <c r="W13" s="187"/>
    </row>
    <row r="14" spans="1:23" x14ac:dyDescent="0.2">
      <c r="A14" s="8">
        <f>'Monthly Data'!A14</f>
        <v>43101</v>
      </c>
      <c r="B14">
        <f t="shared" si="0"/>
        <v>2018</v>
      </c>
      <c r="C14">
        <f t="shared" si="1"/>
        <v>1</v>
      </c>
      <c r="D14" s="19">
        <f>'Monthly Data'!S14</f>
        <v>3880776.3635845515</v>
      </c>
      <c r="E14" s="21">
        <f>'Monthly Data'!BK14</f>
        <v>0</v>
      </c>
      <c r="F14" s="21">
        <f>'Monthly Data'!CT14</f>
        <v>22</v>
      </c>
      <c r="G14" s="21">
        <f>'Monthly Data'!CL14</f>
        <v>0</v>
      </c>
      <c r="I14" s="11">
        <f>'GS Co Gen Predicted Monthly'!$R$10</f>
        <v>-1091818.61931381</v>
      </c>
      <c r="J14" s="11">
        <f t="shared" si="4"/>
        <v>0</v>
      </c>
      <c r="K14" s="11">
        <f t="shared" si="5"/>
        <v>3657114.3606755342</v>
      </c>
      <c r="L14" s="11">
        <f t="shared" si="6"/>
        <v>0</v>
      </c>
      <c r="M14" s="11">
        <f t="shared" si="7"/>
        <v>2565295.7413617242</v>
      </c>
      <c r="N14" s="11">
        <f t="shared" si="2"/>
        <v>-1315480.6222228273</v>
      </c>
      <c r="O14" s="23">
        <f t="shared" si="3"/>
        <v>0.33897357100159181</v>
      </c>
      <c r="R14" s="13"/>
      <c r="S14" s="13"/>
      <c r="T14" s="211"/>
      <c r="U14" s="212"/>
      <c r="W14" s="187"/>
    </row>
    <row r="15" spans="1:23" x14ac:dyDescent="0.2">
      <c r="A15" s="8">
        <f>'Monthly Data'!A15</f>
        <v>43132</v>
      </c>
      <c r="B15">
        <f t="shared" si="0"/>
        <v>2018</v>
      </c>
      <c r="C15">
        <f t="shared" si="1"/>
        <v>2</v>
      </c>
      <c r="D15" s="19">
        <f>'Monthly Data'!S15</f>
        <v>2504493.9234402059</v>
      </c>
      <c r="E15" s="21">
        <f>'Monthly Data'!BK15</f>
        <v>0</v>
      </c>
      <c r="F15" s="21">
        <f>'Monthly Data'!CT15</f>
        <v>19</v>
      </c>
      <c r="G15" s="21">
        <f>'Monthly Data'!CL15</f>
        <v>0</v>
      </c>
      <c r="I15" s="11">
        <f>'GS Co Gen Predicted Monthly'!$R$10</f>
        <v>-1091818.61931381</v>
      </c>
      <c r="J15" s="11">
        <f t="shared" si="4"/>
        <v>0</v>
      </c>
      <c r="K15" s="11">
        <f t="shared" si="5"/>
        <v>3158416.9478561431</v>
      </c>
      <c r="L15" s="11">
        <f t="shared" si="6"/>
        <v>0</v>
      </c>
      <c r="M15" s="11">
        <f t="shared" si="7"/>
        <v>2066598.3285423331</v>
      </c>
      <c r="N15" s="11">
        <f t="shared" si="2"/>
        <v>-437895.59489787277</v>
      </c>
      <c r="O15" s="23">
        <f t="shared" si="3"/>
        <v>0.17484394384010868</v>
      </c>
      <c r="Q15" t="s">
        <v>152</v>
      </c>
      <c r="R15" s="13"/>
      <c r="S15" s="13"/>
      <c r="T15" s="211"/>
      <c r="U15" s="212"/>
    </row>
    <row r="16" spans="1:23" x14ac:dyDescent="0.2">
      <c r="A16" s="8">
        <f>'Monthly Data'!A16</f>
        <v>43160</v>
      </c>
      <c r="B16">
        <f t="shared" si="0"/>
        <v>2018</v>
      </c>
      <c r="C16">
        <f t="shared" si="1"/>
        <v>3</v>
      </c>
      <c r="D16" s="19">
        <f>'Monthly Data'!S16</f>
        <v>2696023.4832958602</v>
      </c>
      <c r="E16" s="21">
        <f>'Monthly Data'!BK16</f>
        <v>0</v>
      </c>
      <c r="F16" s="21">
        <f>'Monthly Data'!CT16</f>
        <v>21</v>
      </c>
      <c r="G16" s="21">
        <f>'Monthly Data'!CL16</f>
        <v>0</v>
      </c>
      <c r="I16" s="11">
        <f>'GS Co Gen Predicted Monthly'!$R$10</f>
        <v>-1091818.61931381</v>
      </c>
      <c r="J16" s="11">
        <f t="shared" si="4"/>
        <v>0</v>
      </c>
      <c r="K16" s="11">
        <f t="shared" si="5"/>
        <v>3490881.8897357369</v>
      </c>
      <c r="L16" s="11">
        <f t="shared" si="6"/>
        <v>0</v>
      </c>
      <c r="M16" s="11">
        <f t="shared" si="7"/>
        <v>2399063.2704219269</v>
      </c>
      <c r="N16" s="11">
        <f t="shared" si="2"/>
        <v>-296960.21287393337</v>
      </c>
      <c r="O16" s="23">
        <f t="shared" si="3"/>
        <v>0.11014748748067381</v>
      </c>
      <c r="Q16" t="s">
        <v>68</v>
      </c>
      <c r="R16" s="13">
        <v>85333378222022.5</v>
      </c>
      <c r="S16" s="13" t="s">
        <v>69</v>
      </c>
      <c r="T16" s="211">
        <v>905821.86556454503</v>
      </c>
      <c r="U16" s="212"/>
    </row>
    <row r="17" spans="1:20" x14ac:dyDescent="0.2">
      <c r="A17" s="8">
        <f>'Monthly Data'!A17</f>
        <v>43191</v>
      </c>
      <c r="B17">
        <f t="shared" si="0"/>
        <v>2018</v>
      </c>
      <c r="C17">
        <f t="shared" si="1"/>
        <v>4</v>
      </c>
      <c r="D17" s="19">
        <f>'Monthly Data'!S17</f>
        <v>2447627.0431515141</v>
      </c>
      <c r="E17" s="21">
        <f>'Monthly Data'!BK17</f>
        <v>0</v>
      </c>
      <c r="F17" s="21">
        <f>'Monthly Data'!CT17</f>
        <v>21</v>
      </c>
      <c r="G17" s="21">
        <f>'Monthly Data'!CL17</f>
        <v>0</v>
      </c>
      <c r="I17" s="11">
        <f>'GS Co Gen Predicted Monthly'!$R$10</f>
        <v>-1091818.61931381</v>
      </c>
      <c r="J17" s="11">
        <f t="shared" si="4"/>
        <v>0</v>
      </c>
      <c r="K17" s="11">
        <f t="shared" si="5"/>
        <v>3490881.8897357369</v>
      </c>
      <c r="L17" s="11">
        <f t="shared" si="6"/>
        <v>0</v>
      </c>
      <c r="M17" s="11">
        <f t="shared" si="7"/>
        <v>2399063.2704219269</v>
      </c>
      <c r="N17" s="11">
        <f t="shared" si="2"/>
        <v>-48563.772729587276</v>
      </c>
      <c r="O17" s="23">
        <f t="shared" si="3"/>
        <v>1.9841165289241763E-2</v>
      </c>
      <c r="Q17" t="s">
        <v>70</v>
      </c>
      <c r="R17">
        <v>0.753483314382275</v>
      </c>
      <c r="S17" t="s">
        <v>71</v>
      </c>
      <c r="T17">
        <v>0.74637225614330205</v>
      </c>
    </row>
    <row r="18" spans="1:20" x14ac:dyDescent="0.2">
      <c r="A18" s="8">
        <f>'Monthly Data'!A18</f>
        <v>43221</v>
      </c>
      <c r="B18">
        <f t="shared" si="0"/>
        <v>2018</v>
      </c>
      <c r="C18">
        <f t="shared" si="1"/>
        <v>5</v>
      </c>
      <c r="D18" s="19">
        <f>'Monthly Data'!S18</f>
        <v>4551338.6030071685</v>
      </c>
      <c r="E18" s="21">
        <f>'Monthly Data'!BK18</f>
        <v>107.17916666666667</v>
      </c>
      <c r="F18" s="21">
        <f>'Monthly Data'!CT18</f>
        <v>22</v>
      </c>
      <c r="G18" s="21">
        <f>'Monthly Data'!CL18</f>
        <v>0</v>
      </c>
      <c r="I18" s="11">
        <f>'GS Co Gen Predicted Monthly'!$R$10</f>
        <v>-1091818.61931381</v>
      </c>
      <c r="J18" s="11">
        <f t="shared" si="4"/>
        <v>1822500.7383614704</v>
      </c>
      <c r="K18" s="11">
        <f t="shared" si="5"/>
        <v>3657114.3606755342</v>
      </c>
      <c r="L18" s="11">
        <f t="shared" si="6"/>
        <v>0</v>
      </c>
      <c r="M18" s="11">
        <f t="shared" si="7"/>
        <v>4387796.4797231946</v>
      </c>
      <c r="N18" s="11">
        <f t="shared" si="2"/>
        <v>-163542.1232839739</v>
      </c>
      <c r="O18" s="23">
        <f t="shared" si="3"/>
        <v>3.5932752438132827E-2</v>
      </c>
      <c r="Q18" t="s">
        <v>539</v>
      </c>
      <c r="R18">
        <v>32.183668894027903</v>
      </c>
      <c r="S18" t="s">
        <v>72</v>
      </c>
      <c r="T18">
        <v>8.4962040596497792E-15</v>
      </c>
    </row>
    <row r="19" spans="1:20" x14ac:dyDescent="0.2">
      <c r="A19" s="8">
        <f>'Monthly Data'!A19</f>
        <v>43252</v>
      </c>
      <c r="B19">
        <f t="shared" si="0"/>
        <v>2018</v>
      </c>
      <c r="C19">
        <f t="shared" si="1"/>
        <v>6</v>
      </c>
      <c r="D19" s="19">
        <f>'Monthly Data'!S19</f>
        <v>6710847.1628628224</v>
      </c>
      <c r="E19" s="21">
        <f>'Monthly Data'!BK19</f>
        <v>155.0625</v>
      </c>
      <c r="F19" s="21">
        <f>'Monthly Data'!CT19</f>
        <v>21</v>
      </c>
      <c r="G19" s="21">
        <f>'Monthly Data'!CL19</f>
        <v>0</v>
      </c>
      <c r="I19" s="11">
        <f>'GS Co Gen Predicted Monthly'!$R$10</f>
        <v>-1091818.61931381</v>
      </c>
      <c r="J19" s="11">
        <f t="shared" si="4"/>
        <v>2636720.6382662253</v>
      </c>
      <c r="K19" s="11">
        <f t="shared" si="5"/>
        <v>3490881.8897357369</v>
      </c>
      <c r="L19" s="11">
        <f t="shared" si="6"/>
        <v>0</v>
      </c>
      <c r="M19" s="11">
        <f t="shared" si="7"/>
        <v>5035783.9086881522</v>
      </c>
      <c r="N19" s="11">
        <f t="shared" si="2"/>
        <v>-1675063.2541746702</v>
      </c>
      <c r="O19" s="23">
        <f t="shared" si="3"/>
        <v>0.24960533499321932</v>
      </c>
      <c r="Q19" t="s">
        <v>73</v>
      </c>
      <c r="R19" s="214">
        <v>-7.7975013624769704E-2</v>
      </c>
      <c r="S19" t="s">
        <v>74</v>
      </c>
      <c r="T19" s="211">
        <v>2.1520926619125902</v>
      </c>
    </row>
    <row r="20" spans="1:20" x14ac:dyDescent="0.2">
      <c r="A20" s="8">
        <f>'Monthly Data'!A20</f>
        <v>43282</v>
      </c>
      <c r="B20">
        <f t="shared" si="0"/>
        <v>2018</v>
      </c>
      <c r="C20">
        <f t="shared" si="1"/>
        <v>7</v>
      </c>
      <c r="D20" s="19">
        <f>'Monthly Data'!S20</f>
        <v>7368543.7227184772</v>
      </c>
      <c r="E20" s="21">
        <f>'Monthly Data'!BK20</f>
        <v>224.81458333333336</v>
      </c>
      <c r="F20" s="21">
        <f>'Monthly Data'!CT20</f>
        <v>21</v>
      </c>
      <c r="G20" s="21">
        <f>'Monthly Data'!CL20</f>
        <v>1</v>
      </c>
      <c r="I20" s="11">
        <f>'GS Co Gen Predicted Monthly'!$R$10</f>
        <v>-1091818.61931381</v>
      </c>
      <c r="J20" s="11">
        <f t="shared" si="4"/>
        <v>3822802.1066229572</v>
      </c>
      <c r="K20" s="11">
        <f t="shared" si="5"/>
        <v>3490881.8897357369</v>
      </c>
      <c r="L20" s="11">
        <f t="shared" si="6"/>
        <v>-689077.09586613998</v>
      </c>
      <c r="M20" s="11">
        <f t="shared" si="7"/>
        <v>5532788.2811787445</v>
      </c>
      <c r="N20" s="11">
        <f t="shared" si="2"/>
        <v>-1835755.4415397327</v>
      </c>
      <c r="O20" s="23">
        <f t="shared" si="3"/>
        <v>0.24913409088959948</v>
      </c>
      <c r="R20" s="212"/>
      <c r="T20" s="212"/>
    </row>
    <row r="21" spans="1:20" x14ac:dyDescent="0.2">
      <c r="A21" s="8">
        <f>'Monthly Data'!A21</f>
        <v>43313</v>
      </c>
      <c r="B21">
        <f t="shared" si="0"/>
        <v>2018</v>
      </c>
      <c r="C21">
        <f t="shared" si="1"/>
        <v>8</v>
      </c>
      <c r="D21" s="19">
        <f>'Monthly Data'!S21</f>
        <v>6976940.2825741312</v>
      </c>
      <c r="E21" s="21">
        <f>'Monthly Data'!BK21</f>
        <v>230.90833333333327</v>
      </c>
      <c r="F21" s="21">
        <f>'Monthly Data'!CT21</f>
        <v>22</v>
      </c>
      <c r="G21" s="21">
        <f>'Monthly Data'!CL21</f>
        <v>1</v>
      </c>
      <c r="I21" s="11">
        <f>'GS Co Gen Predicted Monthly'!$R$10</f>
        <v>-1091818.61931381</v>
      </c>
      <c r="J21" s="11">
        <f t="shared" si="4"/>
        <v>3926421.7205814226</v>
      </c>
      <c r="K21" s="11">
        <f t="shared" si="5"/>
        <v>3657114.3606755342</v>
      </c>
      <c r="L21" s="11">
        <f t="shared" si="6"/>
        <v>-689077.09586613998</v>
      </c>
      <c r="M21" s="11">
        <f t="shared" si="7"/>
        <v>5802640.3660770068</v>
      </c>
      <c r="N21" s="11">
        <f t="shared" si="2"/>
        <v>-1174299.9164971244</v>
      </c>
      <c r="O21" s="23">
        <f t="shared" si="3"/>
        <v>0.16831159060227305</v>
      </c>
      <c r="Q21" t="s">
        <v>361</v>
      </c>
      <c r="R21" s="211"/>
      <c r="T21" s="212"/>
    </row>
    <row r="22" spans="1:20" x14ac:dyDescent="0.2">
      <c r="A22" s="8">
        <f>'Monthly Data'!A22</f>
        <v>43344</v>
      </c>
      <c r="B22">
        <f t="shared" si="0"/>
        <v>2018</v>
      </c>
      <c r="C22">
        <f t="shared" si="1"/>
        <v>9</v>
      </c>
      <c r="D22" s="19">
        <f>'Monthly Data'!S22</f>
        <v>5331752.8424297851</v>
      </c>
      <c r="E22" s="21">
        <f>'Monthly Data'!BK22</f>
        <v>130.34583333333333</v>
      </c>
      <c r="F22" s="21">
        <f>'Monthly Data'!CT22</f>
        <v>19</v>
      </c>
      <c r="G22" s="21">
        <f>'Monthly Data'!CL22</f>
        <v>0</v>
      </c>
      <c r="I22" s="11">
        <f>'GS Co Gen Predicted Monthly'!$R$10</f>
        <v>-1091818.61931381</v>
      </c>
      <c r="J22" s="11">
        <f t="shared" si="4"/>
        <v>2216432.3989488734</v>
      </c>
      <c r="K22" s="11">
        <f t="shared" si="5"/>
        <v>3158416.9478561431</v>
      </c>
      <c r="L22" s="11">
        <f t="shared" si="6"/>
        <v>0</v>
      </c>
      <c r="M22" s="11">
        <f t="shared" si="7"/>
        <v>4283030.7274912065</v>
      </c>
      <c r="N22" s="11">
        <f t="shared" si="2"/>
        <v>-1048722.1149385786</v>
      </c>
      <c r="O22" s="23">
        <f t="shared" si="3"/>
        <v>0.19669368515976732</v>
      </c>
      <c r="Q22" t="s">
        <v>66</v>
      </c>
      <c r="R22" s="212">
        <v>3393258.4463100699</v>
      </c>
      <c r="S22" t="s">
        <v>67</v>
      </c>
      <c r="T22" s="212">
        <v>1796407.0498519</v>
      </c>
    </row>
    <row r="23" spans="1:20" x14ac:dyDescent="0.2">
      <c r="A23" s="8">
        <f>'Monthly Data'!A23</f>
        <v>43374</v>
      </c>
      <c r="B23">
        <f t="shared" si="0"/>
        <v>2018</v>
      </c>
      <c r="C23">
        <f t="shared" si="1"/>
        <v>10</v>
      </c>
      <c r="D23" s="19">
        <f>'Monthly Data'!S23</f>
        <v>2940054.4022854394</v>
      </c>
      <c r="E23" s="21">
        <f>'Monthly Data'!BK23</f>
        <v>22.829166666666666</v>
      </c>
      <c r="F23" s="21">
        <f>'Monthly Data'!CT23</f>
        <v>22</v>
      </c>
      <c r="G23" s="21">
        <f>'Monthly Data'!CL23</f>
        <v>0</v>
      </c>
      <c r="I23" s="11">
        <f>'GS Co Gen Predicted Monthly'!$R$10</f>
        <v>-1091818.61931381</v>
      </c>
      <c r="J23" s="11">
        <f t="shared" si="4"/>
        <v>388192.72812201123</v>
      </c>
      <c r="K23" s="11">
        <f t="shared" si="5"/>
        <v>3657114.3606755342</v>
      </c>
      <c r="L23" s="11">
        <f t="shared" si="6"/>
        <v>0</v>
      </c>
      <c r="M23" s="11">
        <f t="shared" si="7"/>
        <v>2953488.4694837355</v>
      </c>
      <c r="N23" s="11">
        <f t="shared" si="2"/>
        <v>13434.067198296078</v>
      </c>
      <c r="O23" s="23">
        <f t="shared" si="3"/>
        <v>4.5693260600392837E-3</v>
      </c>
    </row>
    <row r="24" spans="1:20" x14ac:dyDescent="0.2">
      <c r="A24" s="8">
        <f>'Monthly Data'!A24</f>
        <v>43405</v>
      </c>
      <c r="B24">
        <f t="shared" si="0"/>
        <v>2018</v>
      </c>
      <c r="C24">
        <f t="shared" si="1"/>
        <v>11</v>
      </c>
      <c r="D24" s="19">
        <f>'Monthly Data'!S24</f>
        <v>1832037.9621410936</v>
      </c>
      <c r="E24" s="21">
        <f>'Monthly Data'!BK24</f>
        <v>0</v>
      </c>
      <c r="F24" s="21">
        <f>'Monthly Data'!CT24</f>
        <v>22</v>
      </c>
      <c r="G24" s="21">
        <f>'Monthly Data'!CL24</f>
        <v>0</v>
      </c>
      <c r="I24" s="11">
        <f>'GS Co Gen Predicted Monthly'!$R$10</f>
        <v>-1091818.61931381</v>
      </c>
      <c r="J24" s="11">
        <f t="shared" si="4"/>
        <v>0</v>
      </c>
      <c r="K24" s="11">
        <f t="shared" si="5"/>
        <v>3657114.3606755342</v>
      </c>
      <c r="L24" s="11">
        <f t="shared" si="6"/>
        <v>0</v>
      </c>
      <c r="M24" s="11">
        <f t="shared" si="7"/>
        <v>2565295.7413617242</v>
      </c>
      <c r="N24" s="11">
        <f t="shared" si="2"/>
        <v>733257.77922063065</v>
      </c>
      <c r="O24" s="23">
        <f t="shared" si="3"/>
        <v>0.40024158580408231</v>
      </c>
    </row>
    <row r="25" spans="1:20" x14ac:dyDescent="0.2">
      <c r="A25" s="8">
        <f>'Monthly Data'!A25</f>
        <v>43435</v>
      </c>
      <c r="B25">
        <f t="shared" si="0"/>
        <v>2018</v>
      </c>
      <c r="C25">
        <f t="shared" si="1"/>
        <v>12</v>
      </c>
      <c r="D25" s="19">
        <f>'Monthly Data'!S25</f>
        <v>1067103.5219967477</v>
      </c>
      <c r="E25" s="21">
        <f>'Monthly Data'!BK25</f>
        <v>0</v>
      </c>
      <c r="F25" s="21">
        <f>'Monthly Data'!CT25</f>
        <v>19</v>
      </c>
      <c r="G25" s="21">
        <f>'Monthly Data'!CL25</f>
        <v>0</v>
      </c>
      <c r="I25" s="11">
        <f>'GS Co Gen Predicted Monthly'!$R$10</f>
        <v>-1091818.61931381</v>
      </c>
      <c r="J25" s="11">
        <f t="shared" si="4"/>
        <v>0</v>
      </c>
      <c r="K25" s="11">
        <f t="shared" si="5"/>
        <v>3158416.9478561431</v>
      </c>
      <c r="L25" s="11">
        <f t="shared" si="6"/>
        <v>0</v>
      </c>
      <c r="M25" s="11">
        <f t="shared" si="7"/>
        <v>2066598.3285423331</v>
      </c>
      <c r="N25" s="11">
        <f t="shared" si="2"/>
        <v>999494.80654558539</v>
      </c>
      <c r="O25" s="23">
        <f t="shared" si="3"/>
        <v>0.93664277733367995</v>
      </c>
      <c r="R25" s="11"/>
      <c r="T25" s="11"/>
    </row>
    <row r="26" spans="1:20" x14ac:dyDescent="0.2">
      <c r="A26" s="8">
        <f>'Monthly Data'!A26</f>
        <v>43466</v>
      </c>
      <c r="B26">
        <f t="shared" si="0"/>
        <v>2019</v>
      </c>
      <c r="C26">
        <f t="shared" si="1"/>
        <v>1</v>
      </c>
      <c r="D26" s="19">
        <f>'Monthly Data'!S26</f>
        <v>974399.68585805758</v>
      </c>
      <c r="E26" s="21">
        <f>'Monthly Data'!BK26</f>
        <v>0</v>
      </c>
      <c r="F26" s="21">
        <f>'Monthly Data'!CT26</f>
        <v>22</v>
      </c>
      <c r="G26" s="21">
        <f>'Monthly Data'!CL26</f>
        <v>0</v>
      </c>
      <c r="I26" s="11">
        <f>'GS Co Gen Predicted Monthly'!$R$10</f>
        <v>-1091818.61931381</v>
      </c>
      <c r="J26" s="11">
        <f t="shared" si="4"/>
        <v>0</v>
      </c>
      <c r="K26" s="11">
        <f t="shared" si="5"/>
        <v>3657114.3606755342</v>
      </c>
      <c r="L26" s="11">
        <f t="shared" si="6"/>
        <v>0</v>
      </c>
      <c r="M26" s="11">
        <f t="shared" si="7"/>
        <v>2565295.7413617242</v>
      </c>
      <c r="N26" s="11">
        <f t="shared" si="2"/>
        <v>1590896.0555036666</v>
      </c>
      <c r="O26" s="23">
        <f t="shared" si="3"/>
        <v>1.632693522579209</v>
      </c>
    </row>
    <row r="27" spans="1:20" x14ac:dyDescent="0.2">
      <c r="A27" s="8">
        <f>'Monthly Data'!A27</f>
        <v>43497</v>
      </c>
      <c r="B27">
        <f t="shared" si="0"/>
        <v>2019</v>
      </c>
      <c r="C27">
        <f t="shared" si="1"/>
        <v>2</v>
      </c>
      <c r="D27" s="19">
        <f>'Monthly Data'!S27</f>
        <v>1021148.6465925851</v>
      </c>
      <c r="E27" s="21">
        <f>'Monthly Data'!BK27</f>
        <v>0</v>
      </c>
      <c r="F27" s="21">
        <f>'Monthly Data'!CT27</f>
        <v>19</v>
      </c>
      <c r="G27" s="21">
        <f>'Monthly Data'!CL27</f>
        <v>0</v>
      </c>
      <c r="I27" s="11">
        <f>'GS Co Gen Predicted Monthly'!$R$10</f>
        <v>-1091818.61931381</v>
      </c>
      <c r="J27" s="11">
        <f t="shared" si="4"/>
        <v>0</v>
      </c>
      <c r="K27" s="11">
        <f t="shared" si="5"/>
        <v>3158416.9478561431</v>
      </c>
      <c r="L27" s="11">
        <f t="shared" si="6"/>
        <v>0</v>
      </c>
      <c r="M27" s="11">
        <f t="shared" si="7"/>
        <v>2066598.3285423331</v>
      </c>
      <c r="N27" s="11">
        <f t="shared" si="2"/>
        <v>1045449.681949748</v>
      </c>
      <c r="O27" s="23">
        <f t="shared" si="3"/>
        <v>1.0237977452531046</v>
      </c>
    </row>
    <row r="28" spans="1:20" x14ac:dyDescent="0.2">
      <c r="A28" s="8">
        <f>'Monthly Data'!A28</f>
        <v>43525</v>
      </c>
      <c r="B28">
        <f t="shared" si="0"/>
        <v>2019</v>
      </c>
      <c r="C28">
        <f t="shared" si="1"/>
        <v>3</v>
      </c>
      <c r="D28" s="19">
        <f>'Monthly Data'!S28</f>
        <v>1585107.5608721885</v>
      </c>
      <c r="E28" s="21">
        <f>'Monthly Data'!BK28</f>
        <v>0</v>
      </c>
      <c r="F28" s="21">
        <f>'Monthly Data'!CT28</f>
        <v>22</v>
      </c>
      <c r="G28" s="21">
        <f>'Monthly Data'!CL28</f>
        <v>0</v>
      </c>
      <c r="I28" s="11">
        <f>'GS Co Gen Predicted Monthly'!$R$10</f>
        <v>-1091818.61931381</v>
      </c>
      <c r="J28" s="11">
        <f t="shared" si="4"/>
        <v>0</v>
      </c>
      <c r="K28" s="11">
        <f t="shared" si="5"/>
        <v>3657114.3606755342</v>
      </c>
      <c r="L28" s="11">
        <f t="shared" si="6"/>
        <v>0</v>
      </c>
      <c r="M28" s="11">
        <f t="shared" si="7"/>
        <v>2565295.7413617242</v>
      </c>
      <c r="N28" s="11">
        <f t="shared" si="2"/>
        <v>980188.18048953568</v>
      </c>
      <c r="O28" s="23">
        <f t="shared" si="3"/>
        <v>0.61837329193622514</v>
      </c>
    </row>
    <row r="29" spans="1:20" x14ac:dyDescent="0.2">
      <c r="A29" s="8">
        <f>'Monthly Data'!A29</f>
        <v>43556</v>
      </c>
      <c r="B29">
        <f t="shared" si="0"/>
        <v>2019</v>
      </c>
      <c r="C29">
        <f t="shared" si="1"/>
        <v>4</v>
      </c>
      <c r="D29" s="19">
        <f>'Monthly Data'!S29</f>
        <v>1359530.64393672</v>
      </c>
      <c r="E29" s="21">
        <f>'Monthly Data'!BK29</f>
        <v>0</v>
      </c>
      <c r="F29" s="21">
        <f>'Monthly Data'!CT29</f>
        <v>21</v>
      </c>
      <c r="G29" s="21">
        <f>'Monthly Data'!CL29</f>
        <v>0</v>
      </c>
      <c r="I29" s="11">
        <f>'GS Co Gen Predicted Monthly'!$R$10</f>
        <v>-1091818.61931381</v>
      </c>
      <c r="J29" s="11">
        <f t="shared" si="4"/>
        <v>0</v>
      </c>
      <c r="K29" s="11">
        <f t="shared" si="5"/>
        <v>3490881.8897357369</v>
      </c>
      <c r="L29" s="11">
        <f t="shared" si="6"/>
        <v>0</v>
      </c>
      <c r="M29" s="11">
        <f t="shared" si="7"/>
        <v>2399063.2704219269</v>
      </c>
      <c r="N29" s="11">
        <f t="shared" si="2"/>
        <v>1039532.6264852069</v>
      </c>
      <c r="O29" s="23">
        <f t="shared" si="3"/>
        <v>0.76462610910710183</v>
      </c>
    </row>
    <row r="30" spans="1:20" x14ac:dyDescent="0.2">
      <c r="A30" s="8">
        <f>'Monthly Data'!A30</f>
        <v>43586</v>
      </c>
      <c r="B30">
        <f t="shared" si="0"/>
        <v>2019</v>
      </c>
      <c r="C30">
        <f t="shared" si="1"/>
        <v>5</v>
      </c>
      <c r="D30" s="19">
        <f>'Monthly Data'!S30</f>
        <v>3085749.3748756615</v>
      </c>
      <c r="E30" s="21">
        <f>'Monthly Data'!BK30</f>
        <v>20.48749999999999</v>
      </c>
      <c r="F30" s="21">
        <f>'Monthly Data'!CT30</f>
        <v>20</v>
      </c>
      <c r="G30" s="21">
        <f>'Monthly Data'!CL30</f>
        <v>0</v>
      </c>
      <c r="I30" s="11">
        <f>'GS Co Gen Predicted Monthly'!$R$10</f>
        <v>-1091818.61931381</v>
      </c>
      <c r="J30" s="11">
        <f t="shared" si="4"/>
        <v>348374.45595472323</v>
      </c>
      <c r="K30" s="11">
        <f t="shared" si="5"/>
        <v>3324649.41879594</v>
      </c>
      <c r="L30" s="11">
        <f t="shared" si="6"/>
        <v>0</v>
      </c>
      <c r="M30" s="11">
        <f t="shared" si="7"/>
        <v>2581205.2554368535</v>
      </c>
      <c r="N30" s="11">
        <f t="shared" si="2"/>
        <v>-504544.11943880795</v>
      </c>
      <c r="O30" s="23">
        <f t="shared" si="3"/>
        <v>0.1635078090096472</v>
      </c>
    </row>
    <row r="31" spans="1:20" x14ac:dyDescent="0.2">
      <c r="A31" s="8">
        <f>'Monthly Data'!A31</f>
        <v>43617</v>
      </c>
      <c r="B31">
        <f t="shared" si="0"/>
        <v>2019</v>
      </c>
      <c r="C31">
        <f t="shared" si="1"/>
        <v>6</v>
      </c>
      <c r="D31" s="19">
        <f>'Monthly Data'!S31</f>
        <v>5783735.5531390533</v>
      </c>
      <c r="E31" s="21">
        <f>'Monthly Data'!BK31</f>
        <v>127.21041666666667</v>
      </c>
      <c r="F31" s="21">
        <f>'Monthly Data'!CT31</f>
        <v>22</v>
      </c>
      <c r="G31" s="21">
        <f>'Monthly Data'!CL31</f>
        <v>0</v>
      </c>
      <c r="I31" s="11">
        <f>'GS Co Gen Predicted Monthly'!$R$10</f>
        <v>-1091818.61931381</v>
      </c>
      <c r="J31" s="11">
        <f t="shared" si="4"/>
        <v>2163117.007835201</v>
      </c>
      <c r="K31" s="11">
        <f t="shared" si="5"/>
        <v>3657114.3606755342</v>
      </c>
      <c r="L31" s="11">
        <f t="shared" si="6"/>
        <v>0</v>
      </c>
      <c r="M31" s="11">
        <f t="shared" si="7"/>
        <v>4728412.7491969252</v>
      </c>
      <c r="N31" s="11">
        <f t="shared" si="2"/>
        <v>-1055322.8039421281</v>
      </c>
      <c r="O31" s="23">
        <f t="shared" si="3"/>
        <v>0.18246387550851356</v>
      </c>
    </row>
    <row r="32" spans="1:20" x14ac:dyDescent="0.2">
      <c r="A32" s="8">
        <f>'Monthly Data'!A32</f>
        <v>43647</v>
      </c>
      <c r="B32">
        <f t="shared" si="0"/>
        <v>2019</v>
      </c>
      <c r="C32">
        <f t="shared" si="1"/>
        <v>7</v>
      </c>
      <c r="D32" s="19">
        <f>'Monthly Data'!S32</f>
        <v>6779873.4461094243</v>
      </c>
      <c r="E32" s="21">
        <f>'Monthly Data'!BK32</f>
        <v>252.07500000000005</v>
      </c>
      <c r="F32" s="21">
        <f>'Monthly Data'!CT32</f>
        <v>22</v>
      </c>
      <c r="G32" s="21">
        <f>'Monthly Data'!CL32</f>
        <v>1</v>
      </c>
      <c r="I32" s="11">
        <f>'GS Co Gen Predicted Monthly'!$R$10</f>
        <v>-1091818.61931381</v>
      </c>
      <c r="J32" s="11">
        <f t="shared" si="4"/>
        <v>4286344.8924850235</v>
      </c>
      <c r="K32" s="11">
        <f t="shared" si="5"/>
        <v>3657114.3606755342</v>
      </c>
      <c r="L32" s="11">
        <f t="shared" si="6"/>
        <v>-689077.09586613998</v>
      </c>
      <c r="M32" s="11">
        <f t="shared" si="7"/>
        <v>6162563.5379806077</v>
      </c>
      <c r="N32" s="11">
        <f t="shared" si="2"/>
        <v>-617309.90812881663</v>
      </c>
      <c r="O32" s="23">
        <f t="shared" si="3"/>
        <v>9.1050358540697388E-2</v>
      </c>
    </row>
    <row r="33" spans="1:15" x14ac:dyDescent="0.2">
      <c r="A33" s="8">
        <f>'Monthly Data'!A33</f>
        <v>43678</v>
      </c>
      <c r="B33">
        <f t="shared" si="0"/>
        <v>2019</v>
      </c>
      <c r="C33">
        <f t="shared" si="1"/>
        <v>8</v>
      </c>
      <c r="D33" s="19">
        <f>'Monthly Data'!S33</f>
        <v>4268866.6845833659</v>
      </c>
      <c r="E33" s="21">
        <f>'Monthly Data'!BK33</f>
        <v>182.71666666666661</v>
      </c>
      <c r="F33" s="21">
        <f>'Monthly Data'!CT33</f>
        <v>20</v>
      </c>
      <c r="G33" s="21">
        <f>'Monthly Data'!CL33</f>
        <v>1</v>
      </c>
      <c r="I33" s="11">
        <f>'GS Co Gen Predicted Monthly'!$R$10</f>
        <v>-1091818.61931381</v>
      </c>
      <c r="J33" s="11">
        <f t="shared" si="4"/>
        <v>3106958.8453379143</v>
      </c>
      <c r="K33" s="11">
        <f t="shared" si="5"/>
        <v>3324649.41879594</v>
      </c>
      <c r="L33" s="11">
        <f t="shared" si="6"/>
        <v>-689077.09586613998</v>
      </c>
      <c r="M33" s="11">
        <f t="shared" si="7"/>
        <v>4650712.5489539038</v>
      </c>
      <c r="N33" s="11">
        <f t="shared" si="2"/>
        <v>381845.86437053792</v>
      </c>
      <c r="O33" s="23">
        <f t="shared" si="3"/>
        <v>8.9449001944600537E-2</v>
      </c>
    </row>
    <row r="34" spans="1:15" x14ac:dyDescent="0.2">
      <c r="A34" s="8">
        <f>'Monthly Data'!A34</f>
        <v>43709</v>
      </c>
      <c r="B34">
        <f t="shared" si="0"/>
        <v>2019</v>
      </c>
      <c r="C34">
        <f t="shared" si="1"/>
        <v>9</v>
      </c>
      <c r="D34" s="19">
        <f>'Monthly Data'!S34</f>
        <v>5664547.3962547369</v>
      </c>
      <c r="E34" s="21">
        <f>'Monthly Data'!BK34</f>
        <v>103.38124999999999</v>
      </c>
      <c r="F34" s="21">
        <f>'Monthly Data'!CT34</f>
        <v>21</v>
      </c>
      <c r="G34" s="21">
        <f>'Monthly Data'!CL34</f>
        <v>0</v>
      </c>
      <c r="I34" s="11">
        <f>'GS Co Gen Predicted Monthly'!$R$10</f>
        <v>-1091818.61931381</v>
      </c>
      <c r="J34" s="11">
        <f t="shared" si="4"/>
        <v>1757920.035371287</v>
      </c>
      <c r="K34" s="11">
        <f t="shared" si="5"/>
        <v>3490881.8897357369</v>
      </c>
      <c r="L34" s="11">
        <f t="shared" si="6"/>
        <v>0</v>
      </c>
      <c r="M34" s="11">
        <f t="shared" si="7"/>
        <v>4156983.3057932137</v>
      </c>
      <c r="N34" s="11">
        <f t="shared" ref="N34:N65" si="8">M34-D34</f>
        <v>-1507564.0904615233</v>
      </c>
      <c r="O34" s="23">
        <f t="shared" ref="O34:O65" si="9">ABS(N34/D34)</f>
        <v>0.26614025534648866</v>
      </c>
    </row>
    <row r="35" spans="1:15" x14ac:dyDescent="0.2">
      <c r="A35" s="8">
        <f>'Monthly Data'!A35</f>
        <v>43739</v>
      </c>
      <c r="B35">
        <f t="shared" si="0"/>
        <v>2019</v>
      </c>
      <c r="C35">
        <f t="shared" si="1"/>
        <v>10</v>
      </c>
      <c r="D35" s="19">
        <f>'Monthly Data'!S35</f>
        <v>3090561.7950364789</v>
      </c>
      <c r="E35" s="21">
        <f>'Monthly Data'!BK35</f>
        <v>10.866666666666669</v>
      </c>
      <c r="F35" s="21">
        <f>'Monthly Data'!CT35</f>
        <v>21</v>
      </c>
      <c r="G35" s="21">
        <f>'Monthly Data'!CL35</f>
        <v>0</v>
      </c>
      <c r="I35" s="11">
        <f>'GS Co Gen Predicted Monthly'!$R$10</f>
        <v>-1091818.61931381</v>
      </c>
      <c r="J35" s="11">
        <f t="shared" si="4"/>
        <v>184779.45518200504</v>
      </c>
      <c r="K35" s="11">
        <f t="shared" si="5"/>
        <v>3490881.8897357369</v>
      </c>
      <c r="L35" s="11">
        <f t="shared" si="6"/>
        <v>0</v>
      </c>
      <c r="M35" s="11">
        <f t="shared" si="7"/>
        <v>2583842.725603932</v>
      </c>
      <c r="N35" s="11">
        <f t="shared" si="8"/>
        <v>-506719.06943254685</v>
      </c>
      <c r="O35" s="23">
        <f t="shared" si="9"/>
        <v>0.16395694473618053</v>
      </c>
    </row>
    <row r="36" spans="1:15" x14ac:dyDescent="0.2">
      <c r="A36" s="8">
        <f>'Monthly Data'!A36</f>
        <v>43770</v>
      </c>
      <c r="B36">
        <f t="shared" si="0"/>
        <v>2019</v>
      </c>
      <c r="C36">
        <f t="shared" si="1"/>
        <v>11</v>
      </c>
      <c r="D36" s="19">
        <f>'Monthly Data'!S36</f>
        <v>1482477.7429550102</v>
      </c>
      <c r="E36" s="21">
        <f>'Monthly Data'!BK36</f>
        <v>0</v>
      </c>
      <c r="F36" s="21">
        <f>'Monthly Data'!CT36</f>
        <v>21</v>
      </c>
      <c r="G36" s="21">
        <f>'Monthly Data'!CL36</f>
        <v>0</v>
      </c>
      <c r="I36" s="11">
        <f>'GS Co Gen Predicted Monthly'!$R$10</f>
        <v>-1091818.61931381</v>
      </c>
      <c r="J36" s="11">
        <f t="shared" si="4"/>
        <v>0</v>
      </c>
      <c r="K36" s="11">
        <f t="shared" si="5"/>
        <v>3490881.8897357369</v>
      </c>
      <c r="L36" s="11">
        <f t="shared" si="6"/>
        <v>0</v>
      </c>
      <c r="M36" s="11">
        <f t="shared" si="7"/>
        <v>2399063.2704219269</v>
      </c>
      <c r="N36" s="11">
        <f t="shared" si="8"/>
        <v>916585.52746691671</v>
      </c>
      <c r="O36" s="23">
        <f t="shared" si="9"/>
        <v>0.6182794526411538</v>
      </c>
    </row>
    <row r="37" spans="1:15" x14ac:dyDescent="0.2">
      <c r="A37" s="8">
        <f>'Monthly Data'!A37</f>
        <v>43800</v>
      </c>
      <c r="B37">
        <f t="shared" si="0"/>
        <v>2019</v>
      </c>
      <c r="C37">
        <f t="shared" si="1"/>
        <v>12</v>
      </c>
      <c r="D37" s="19">
        <f>'Monthly Data'!S37</f>
        <v>1009435.6612457265</v>
      </c>
      <c r="E37" s="21">
        <f>'Monthly Data'!BK37</f>
        <v>0</v>
      </c>
      <c r="F37" s="21">
        <f>'Monthly Data'!CT37</f>
        <v>21</v>
      </c>
      <c r="G37" s="21">
        <f>'Monthly Data'!CL37</f>
        <v>0</v>
      </c>
      <c r="I37" s="11">
        <f>'GS Co Gen Predicted Monthly'!$R$10</f>
        <v>-1091818.61931381</v>
      </c>
      <c r="J37" s="11">
        <f t="shared" si="4"/>
        <v>0</v>
      </c>
      <c r="K37" s="11">
        <f t="shared" si="5"/>
        <v>3490881.8897357369</v>
      </c>
      <c r="L37" s="11">
        <f t="shared" si="6"/>
        <v>0</v>
      </c>
      <c r="M37" s="11">
        <f t="shared" si="7"/>
        <v>2399063.2704219269</v>
      </c>
      <c r="N37" s="11">
        <f t="shared" si="8"/>
        <v>1389627.6091762003</v>
      </c>
      <c r="O37" s="23">
        <f t="shared" si="9"/>
        <v>1.3766381182345844</v>
      </c>
    </row>
    <row r="38" spans="1:15" x14ac:dyDescent="0.2">
      <c r="A38" s="8">
        <f>'Monthly Data'!A38</f>
        <v>43831</v>
      </c>
      <c r="B38">
        <f t="shared" si="0"/>
        <v>2020</v>
      </c>
      <c r="C38">
        <f t="shared" si="1"/>
        <v>1</v>
      </c>
      <c r="D38" s="19">
        <f>'Monthly Data'!S38</f>
        <v>998532.39409482549</v>
      </c>
      <c r="E38" s="21">
        <f>'Monthly Data'!BK38</f>
        <v>0</v>
      </c>
      <c r="F38" s="21">
        <f>'Monthly Data'!CT38</f>
        <v>22</v>
      </c>
      <c r="G38" s="21">
        <f>'Monthly Data'!CL38</f>
        <v>0</v>
      </c>
      <c r="I38" s="11">
        <f>'GS Co Gen Predicted Monthly'!$R$10</f>
        <v>-1091818.61931381</v>
      </c>
      <c r="J38" s="11">
        <f t="shared" si="4"/>
        <v>0</v>
      </c>
      <c r="K38" s="11">
        <f t="shared" si="5"/>
        <v>3657114.3606755342</v>
      </c>
      <c r="L38" s="11">
        <f t="shared" si="6"/>
        <v>0</v>
      </c>
      <c r="M38" s="11">
        <f t="shared" si="7"/>
        <v>2565295.7413617242</v>
      </c>
      <c r="N38" s="11">
        <f t="shared" si="8"/>
        <v>1566763.3472668987</v>
      </c>
      <c r="O38" s="23">
        <f t="shared" si="9"/>
        <v>1.5690661179672367</v>
      </c>
    </row>
    <row r="39" spans="1:15" x14ac:dyDescent="0.2">
      <c r="A39" s="8">
        <f>'Monthly Data'!A39</f>
        <v>43862</v>
      </c>
      <c r="B39">
        <f t="shared" si="0"/>
        <v>2020</v>
      </c>
      <c r="C39">
        <f t="shared" si="1"/>
        <v>2</v>
      </c>
      <c r="D39" s="19">
        <f>'Monthly Data'!S39</f>
        <v>1252939.9736270586</v>
      </c>
      <c r="E39" s="21">
        <f>'Monthly Data'!BK39</f>
        <v>0</v>
      </c>
      <c r="F39" s="21">
        <f>'Monthly Data'!CT39</f>
        <v>19</v>
      </c>
      <c r="G39" s="21">
        <f>'Monthly Data'!CL39</f>
        <v>0</v>
      </c>
      <c r="I39" s="11">
        <f>'GS Co Gen Predicted Monthly'!$R$10</f>
        <v>-1091818.61931381</v>
      </c>
      <c r="J39" s="11">
        <f t="shared" si="4"/>
        <v>0</v>
      </c>
      <c r="K39" s="11">
        <f t="shared" si="5"/>
        <v>3158416.9478561431</v>
      </c>
      <c r="L39" s="11">
        <f t="shared" si="6"/>
        <v>0</v>
      </c>
      <c r="M39" s="11">
        <f t="shared" si="7"/>
        <v>2066598.3285423331</v>
      </c>
      <c r="N39" s="11">
        <f t="shared" si="8"/>
        <v>813658.35491527454</v>
      </c>
      <c r="O39" s="23">
        <f t="shared" si="9"/>
        <v>0.64939931045528476</v>
      </c>
    </row>
    <row r="40" spans="1:15" x14ac:dyDescent="0.2">
      <c r="A40" s="8">
        <f>'Monthly Data'!A40</f>
        <v>43891</v>
      </c>
      <c r="B40">
        <f t="shared" si="0"/>
        <v>2020</v>
      </c>
      <c r="C40">
        <f t="shared" si="1"/>
        <v>3</v>
      </c>
      <c r="D40" s="19">
        <f>'Monthly Data'!S40</f>
        <v>1164437.6812405386</v>
      </c>
      <c r="E40" s="21">
        <f>'Monthly Data'!BK40</f>
        <v>0</v>
      </c>
      <c r="F40" s="21">
        <f>'Monthly Data'!CT40</f>
        <v>22</v>
      </c>
      <c r="G40" s="21">
        <f>'Monthly Data'!CL40</f>
        <v>0</v>
      </c>
      <c r="I40" s="11">
        <f>'GS Co Gen Predicted Monthly'!$R$10</f>
        <v>-1091818.61931381</v>
      </c>
      <c r="J40" s="11">
        <f t="shared" si="4"/>
        <v>0</v>
      </c>
      <c r="K40" s="11">
        <f t="shared" si="5"/>
        <v>3657114.3606755342</v>
      </c>
      <c r="L40" s="11">
        <f t="shared" si="6"/>
        <v>0</v>
      </c>
      <c r="M40" s="11">
        <f t="shared" si="7"/>
        <v>2565295.7413617242</v>
      </c>
      <c r="N40" s="11">
        <f t="shared" si="8"/>
        <v>1400858.0601211856</v>
      </c>
      <c r="O40" s="23">
        <f t="shared" si="9"/>
        <v>1.2030339473631388</v>
      </c>
    </row>
    <row r="41" spans="1:15" x14ac:dyDescent="0.2">
      <c r="A41" s="8">
        <f>'Monthly Data'!A41</f>
        <v>43922</v>
      </c>
      <c r="B41">
        <f t="shared" si="0"/>
        <v>2020</v>
      </c>
      <c r="C41">
        <f t="shared" si="1"/>
        <v>4</v>
      </c>
      <c r="D41" s="19">
        <f>'Monthly Data'!S41</f>
        <v>1121055.5596983887</v>
      </c>
      <c r="E41" s="21">
        <f>'Monthly Data'!BK41</f>
        <v>0</v>
      </c>
      <c r="F41" s="21">
        <f>'Monthly Data'!CT41</f>
        <v>21</v>
      </c>
      <c r="G41" s="21">
        <f>'Monthly Data'!CL41</f>
        <v>0</v>
      </c>
      <c r="I41" s="11">
        <f>'GS Co Gen Predicted Monthly'!$R$10</f>
        <v>-1091818.61931381</v>
      </c>
      <c r="J41" s="11">
        <f t="shared" si="4"/>
        <v>0</v>
      </c>
      <c r="K41" s="11">
        <f t="shared" si="5"/>
        <v>3490881.8897357369</v>
      </c>
      <c r="L41" s="11">
        <f t="shared" si="6"/>
        <v>0</v>
      </c>
      <c r="M41" s="11">
        <f t="shared" si="7"/>
        <v>2399063.2704219269</v>
      </c>
      <c r="N41" s="11">
        <f t="shared" si="8"/>
        <v>1278007.7107235382</v>
      </c>
      <c r="O41" s="23">
        <f t="shared" si="9"/>
        <v>1.1400039004912266</v>
      </c>
    </row>
    <row r="42" spans="1:15" x14ac:dyDescent="0.2">
      <c r="A42" s="8">
        <f>'Monthly Data'!A42</f>
        <v>43952</v>
      </c>
      <c r="B42">
        <f t="shared" si="0"/>
        <v>2020</v>
      </c>
      <c r="C42">
        <f t="shared" si="1"/>
        <v>5</v>
      </c>
      <c r="D42" s="19">
        <f>'Monthly Data'!S42</f>
        <v>2424185.9781487486</v>
      </c>
      <c r="E42" s="21">
        <f>'Monthly Data'!BK42</f>
        <v>55.616666666666646</v>
      </c>
      <c r="F42" s="21">
        <f>'Monthly Data'!CT42</f>
        <v>20</v>
      </c>
      <c r="G42" s="21">
        <f>'Monthly Data'!CL42</f>
        <v>0</v>
      </c>
      <c r="I42" s="11">
        <f>'GS Co Gen Predicted Monthly'!$R$10</f>
        <v>-1091818.61931381</v>
      </c>
      <c r="J42" s="11">
        <f t="shared" si="4"/>
        <v>945719.38948213262</v>
      </c>
      <c r="K42" s="11">
        <f t="shared" si="5"/>
        <v>3324649.41879594</v>
      </c>
      <c r="L42" s="11">
        <f t="shared" si="6"/>
        <v>0</v>
      </c>
      <c r="M42" s="11">
        <f t="shared" si="7"/>
        <v>3178550.1889642626</v>
      </c>
      <c r="N42" s="11">
        <f t="shared" si="8"/>
        <v>754364.21081551397</v>
      </c>
      <c r="O42" s="23">
        <f t="shared" si="9"/>
        <v>0.31118248253856784</v>
      </c>
    </row>
    <row r="43" spans="1:15" x14ac:dyDescent="0.2">
      <c r="A43" s="8">
        <f>'Monthly Data'!A43</f>
        <v>43983</v>
      </c>
      <c r="B43">
        <f t="shared" si="0"/>
        <v>2020</v>
      </c>
      <c r="C43">
        <f t="shared" si="1"/>
        <v>6</v>
      </c>
      <c r="D43" s="19">
        <f>'Monthly Data'!S43</f>
        <v>4259731.9798160084</v>
      </c>
      <c r="E43" s="21">
        <f>'Monthly Data'!BK43</f>
        <v>167.22499999999997</v>
      </c>
      <c r="F43" s="21">
        <f>'Monthly Data'!CT43</f>
        <v>22</v>
      </c>
      <c r="G43" s="21">
        <f>'Monthly Data'!CL43</f>
        <v>0</v>
      </c>
      <c r="I43" s="11">
        <f>'GS Co Gen Predicted Monthly'!$R$10</f>
        <v>-1091818.61931381</v>
      </c>
      <c r="J43" s="11">
        <f t="shared" si="4"/>
        <v>2843534.7600746118</v>
      </c>
      <c r="K43" s="11">
        <f t="shared" si="5"/>
        <v>3657114.3606755342</v>
      </c>
      <c r="L43" s="11">
        <f t="shared" si="6"/>
        <v>0</v>
      </c>
      <c r="M43" s="11">
        <f t="shared" si="7"/>
        <v>5408830.501436336</v>
      </c>
      <c r="N43" s="11">
        <f t="shared" si="8"/>
        <v>1149098.5216203276</v>
      </c>
      <c r="O43" s="23">
        <f t="shared" si="9"/>
        <v>0.2697584089950093</v>
      </c>
    </row>
    <row r="44" spans="1:15" x14ac:dyDescent="0.2">
      <c r="A44" s="8">
        <f>'Monthly Data'!A44</f>
        <v>44013</v>
      </c>
      <c r="B44">
        <f t="shared" si="0"/>
        <v>2020</v>
      </c>
      <c r="C44">
        <f t="shared" si="1"/>
        <v>7</v>
      </c>
      <c r="D44" s="19">
        <f>'Monthly Data'!S44</f>
        <v>7280535.8722648388</v>
      </c>
      <c r="E44" s="21">
        <f>'Monthly Data'!BK44</f>
        <v>285.85000000000008</v>
      </c>
      <c r="F44" s="21">
        <f>'Monthly Data'!CT44</f>
        <v>22</v>
      </c>
      <c r="G44" s="21">
        <f>'Monthly Data'!CL44</f>
        <v>1</v>
      </c>
      <c r="I44" s="11">
        <f>'GS Co Gen Predicted Monthly'!$R$10</f>
        <v>-1091818.61931381</v>
      </c>
      <c r="J44" s="11">
        <f t="shared" si="4"/>
        <v>4860663.2451327741</v>
      </c>
      <c r="K44" s="11">
        <f t="shared" si="5"/>
        <v>3657114.3606755342</v>
      </c>
      <c r="L44" s="11">
        <f t="shared" si="6"/>
        <v>-689077.09586613998</v>
      </c>
      <c r="M44" s="11">
        <f t="shared" si="7"/>
        <v>6736881.8906283583</v>
      </c>
      <c r="N44" s="11">
        <f t="shared" si="8"/>
        <v>-543653.98163648043</v>
      </c>
      <c r="O44" s="23">
        <f t="shared" si="9"/>
        <v>7.4672248193642904E-2</v>
      </c>
    </row>
    <row r="45" spans="1:15" x14ac:dyDescent="0.2">
      <c r="A45" s="8">
        <f>'Monthly Data'!A45</f>
        <v>44044</v>
      </c>
      <c r="B45">
        <f t="shared" si="0"/>
        <v>2020</v>
      </c>
      <c r="C45">
        <f t="shared" si="1"/>
        <v>8</v>
      </c>
      <c r="D45" s="19">
        <f>'Monthly Data'!S45</f>
        <v>6309964.7820981592</v>
      </c>
      <c r="E45" s="21">
        <f>'Monthly Data'!BK45</f>
        <v>199.54583333333341</v>
      </c>
      <c r="F45" s="21">
        <f>'Monthly Data'!CT45</f>
        <v>20</v>
      </c>
      <c r="G45" s="21">
        <f>'Monthly Data'!CL45</f>
        <v>1</v>
      </c>
      <c r="I45" s="11">
        <f>'GS Co Gen Predicted Monthly'!$R$10</f>
        <v>-1091818.61931381</v>
      </c>
      <c r="J45" s="11">
        <f t="shared" si="4"/>
        <v>3393126.1074085138</v>
      </c>
      <c r="K45" s="11">
        <f t="shared" si="5"/>
        <v>3324649.41879594</v>
      </c>
      <c r="L45" s="11">
        <f t="shared" si="6"/>
        <v>-689077.09586613998</v>
      </c>
      <c r="M45" s="11">
        <f t="shared" si="7"/>
        <v>4936879.8110245038</v>
      </c>
      <c r="N45" s="11">
        <f t="shared" si="8"/>
        <v>-1373084.9710736554</v>
      </c>
      <c r="O45" s="23">
        <f t="shared" si="9"/>
        <v>0.21760580581514494</v>
      </c>
    </row>
    <row r="46" spans="1:15" x14ac:dyDescent="0.2">
      <c r="A46" s="8">
        <f>'Monthly Data'!A46</f>
        <v>44075</v>
      </c>
      <c r="B46">
        <f t="shared" si="0"/>
        <v>2020</v>
      </c>
      <c r="C46">
        <f t="shared" si="1"/>
        <v>9</v>
      </c>
      <c r="D46" s="19">
        <f>'Monthly Data'!S46</f>
        <v>4783504.4640561193</v>
      </c>
      <c r="E46" s="21">
        <f>'Monthly Data'!BK46</f>
        <v>71.695833333333354</v>
      </c>
      <c r="F46" s="21">
        <f>'Monthly Data'!CT46</f>
        <v>21</v>
      </c>
      <c r="G46" s="21">
        <f>'Monthly Data'!CL46</f>
        <v>0</v>
      </c>
      <c r="I46" s="11">
        <f>'GS Co Gen Predicted Monthly'!$R$10</f>
        <v>-1091818.61931381</v>
      </c>
      <c r="J46" s="11">
        <f t="shared" si="4"/>
        <v>1219133.4682963041</v>
      </c>
      <c r="K46" s="11">
        <f t="shared" si="5"/>
        <v>3490881.8897357369</v>
      </c>
      <c r="L46" s="11">
        <f t="shared" si="6"/>
        <v>0</v>
      </c>
      <c r="M46" s="11">
        <f t="shared" si="7"/>
        <v>3618196.7387182312</v>
      </c>
      <c r="N46" s="11">
        <f t="shared" si="8"/>
        <v>-1165307.7253378881</v>
      </c>
      <c r="O46" s="23">
        <f t="shared" si="9"/>
        <v>0.24360962430246766</v>
      </c>
    </row>
    <row r="47" spans="1:15" x14ac:dyDescent="0.2">
      <c r="A47" s="8">
        <f>'Monthly Data'!A47</f>
        <v>44105</v>
      </c>
      <c r="B47">
        <f t="shared" si="0"/>
        <v>2020</v>
      </c>
      <c r="C47">
        <f t="shared" si="1"/>
        <v>10</v>
      </c>
      <c r="D47" s="19">
        <f>'Monthly Data'!S47</f>
        <v>3658910.8829854284</v>
      </c>
      <c r="E47" s="21">
        <f>'Monthly Data'!BK47</f>
        <v>4.0104166666666714</v>
      </c>
      <c r="F47" s="21">
        <f>'Monthly Data'!CT47</f>
        <v>21</v>
      </c>
      <c r="G47" s="21">
        <f>'Monthly Data'!CL47</f>
        <v>0</v>
      </c>
      <c r="I47" s="11">
        <f>'GS Co Gen Predicted Monthly'!$R$10</f>
        <v>-1091818.61931381</v>
      </c>
      <c r="J47" s="11">
        <f t="shared" si="4"/>
        <v>68194.104912837429</v>
      </c>
      <c r="K47" s="11">
        <f t="shared" si="5"/>
        <v>3490881.8897357369</v>
      </c>
      <c r="L47" s="11">
        <f t="shared" si="6"/>
        <v>0</v>
      </c>
      <c r="M47" s="11">
        <f t="shared" si="7"/>
        <v>2467257.3753347644</v>
      </c>
      <c r="N47" s="11">
        <f t="shared" si="8"/>
        <v>-1191653.5076506641</v>
      </c>
      <c r="O47" s="23">
        <f t="shared" si="9"/>
        <v>0.32568530520709316</v>
      </c>
    </row>
    <row r="48" spans="1:15" x14ac:dyDescent="0.2">
      <c r="A48" s="8">
        <f>'Monthly Data'!A48</f>
        <v>44136</v>
      </c>
      <c r="B48">
        <f t="shared" si="0"/>
        <v>2020</v>
      </c>
      <c r="C48">
        <f t="shared" si="1"/>
        <v>11</v>
      </c>
      <c r="D48" s="19">
        <f>'Monthly Data'!S48</f>
        <v>2825236.0058438084</v>
      </c>
      <c r="E48" s="21">
        <f>'Monthly Data'!BK48</f>
        <v>3.091666666666665</v>
      </c>
      <c r="F48" s="21">
        <f>'Monthly Data'!CT48</f>
        <v>21</v>
      </c>
      <c r="G48" s="21">
        <f>'Monthly Data'!CL48</f>
        <v>0</v>
      </c>
      <c r="I48" s="11">
        <f>'GS Co Gen Predicted Monthly'!$R$10</f>
        <v>-1091818.61931381</v>
      </c>
      <c r="J48" s="11">
        <f t="shared" si="4"/>
        <v>52571.455423714586</v>
      </c>
      <c r="K48" s="11">
        <f t="shared" si="5"/>
        <v>3490881.8897357369</v>
      </c>
      <c r="L48" s="11">
        <f t="shared" si="6"/>
        <v>0</v>
      </c>
      <c r="M48" s="11">
        <f t="shared" si="7"/>
        <v>2451634.7258456415</v>
      </c>
      <c r="N48" s="11">
        <f t="shared" si="8"/>
        <v>-373601.27999816695</v>
      </c>
      <c r="O48" s="23">
        <f t="shared" si="9"/>
        <v>0.13223719336204059</v>
      </c>
    </row>
    <row r="49" spans="1:19" x14ac:dyDescent="0.2">
      <c r="A49" s="8">
        <f>'Monthly Data'!A49</f>
        <v>44166</v>
      </c>
      <c r="B49">
        <f t="shared" si="0"/>
        <v>2020</v>
      </c>
      <c r="C49">
        <f t="shared" si="1"/>
        <v>12</v>
      </c>
      <c r="D49" s="19">
        <f>'Monthly Data'!S49</f>
        <v>1601972.2623421687</v>
      </c>
      <c r="E49" s="21">
        <f>'Monthly Data'!BK49</f>
        <v>0</v>
      </c>
      <c r="F49" s="21">
        <f>'Monthly Data'!CT49</f>
        <v>21</v>
      </c>
      <c r="G49" s="21">
        <f>'Monthly Data'!CL49</f>
        <v>0</v>
      </c>
      <c r="I49" s="11">
        <f>'GS Co Gen Predicted Monthly'!$R$10</f>
        <v>-1091818.61931381</v>
      </c>
      <c r="J49" s="11">
        <f t="shared" si="4"/>
        <v>0</v>
      </c>
      <c r="K49" s="11">
        <f t="shared" si="5"/>
        <v>3490881.8897357369</v>
      </c>
      <c r="L49" s="11">
        <f t="shared" si="6"/>
        <v>0</v>
      </c>
      <c r="M49" s="11">
        <f t="shared" si="7"/>
        <v>2399063.2704219269</v>
      </c>
      <c r="N49" s="11">
        <f t="shared" si="8"/>
        <v>797091.00807975815</v>
      </c>
      <c r="O49" s="23">
        <f t="shared" si="9"/>
        <v>0.49756854523459021</v>
      </c>
    </row>
    <row r="50" spans="1:19" x14ac:dyDescent="0.2">
      <c r="A50" s="8">
        <f>'Monthly Data'!A50</f>
        <v>44197</v>
      </c>
      <c r="B50">
        <f t="shared" si="0"/>
        <v>2021</v>
      </c>
      <c r="C50">
        <f t="shared" si="1"/>
        <v>1</v>
      </c>
      <c r="D50" s="19">
        <f>'Monthly Data'!S50</f>
        <v>1171515.8824397286</v>
      </c>
      <c r="E50" s="21">
        <f>'Monthly Data'!BK50</f>
        <v>0</v>
      </c>
      <c r="F50" s="21">
        <f>'Monthly Data'!CT50</f>
        <v>20</v>
      </c>
      <c r="G50" s="21">
        <f>'Monthly Data'!CL50</f>
        <v>0</v>
      </c>
      <c r="I50" s="11">
        <f>'GS Co Gen Predicted Monthly'!$R$10</f>
        <v>-1091818.61931381</v>
      </c>
      <c r="J50" s="11">
        <f t="shared" si="4"/>
        <v>0</v>
      </c>
      <c r="K50" s="11">
        <f t="shared" si="5"/>
        <v>3324649.41879594</v>
      </c>
      <c r="L50" s="11">
        <f t="shared" si="6"/>
        <v>0</v>
      </c>
      <c r="M50" s="11">
        <f t="shared" si="7"/>
        <v>2232830.79948213</v>
      </c>
      <c r="N50" s="11">
        <f t="shared" si="8"/>
        <v>1061314.9170424014</v>
      </c>
      <c r="O50" s="23">
        <f t="shared" si="9"/>
        <v>0.90593301631743195</v>
      </c>
    </row>
    <row r="51" spans="1:19" x14ac:dyDescent="0.2">
      <c r="A51" s="8">
        <f>'Monthly Data'!A51</f>
        <v>44228</v>
      </c>
      <c r="B51">
        <f t="shared" si="0"/>
        <v>2021</v>
      </c>
      <c r="C51">
        <f t="shared" si="1"/>
        <v>2</v>
      </c>
      <c r="D51" s="19">
        <f>'Monthly Data'!S51</f>
        <v>1176631.0139222587</v>
      </c>
      <c r="E51" s="21">
        <f>'Monthly Data'!BK51</f>
        <v>0</v>
      </c>
      <c r="F51" s="21">
        <f>'Monthly Data'!CT51</f>
        <v>19</v>
      </c>
      <c r="G51" s="21">
        <f>'Monthly Data'!CL51</f>
        <v>0</v>
      </c>
      <c r="I51" s="11">
        <f>'GS Co Gen Predicted Monthly'!$R$10</f>
        <v>-1091818.61931381</v>
      </c>
      <c r="J51" s="11">
        <f t="shared" si="4"/>
        <v>0</v>
      </c>
      <c r="K51" s="11">
        <f t="shared" si="5"/>
        <v>3158416.9478561431</v>
      </c>
      <c r="L51" s="11">
        <f t="shared" si="6"/>
        <v>0</v>
      </c>
      <c r="M51" s="11">
        <f t="shared" si="7"/>
        <v>2066598.3285423331</v>
      </c>
      <c r="N51" s="11">
        <f t="shared" si="8"/>
        <v>889967.31462007435</v>
      </c>
      <c r="O51" s="23">
        <f t="shared" si="9"/>
        <v>0.7563690775525278</v>
      </c>
    </row>
    <row r="52" spans="1:19" x14ac:dyDescent="0.2">
      <c r="A52" s="8">
        <f>'Monthly Data'!A52</f>
        <v>44256</v>
      </c>
      <c r="B52">
        <f t="shared" si="0"/>
        <v>2021</v>
      </c>
      <c r="C52">
        <f t="shared" si="1"/>
        <v>3</v>
      </c>
      <c r="D52" s="19">
        <f>'Monthly Data'!S52</f>
        <v>929052.76174393552</v>
      </c>
      <c r="E52" s="21">
        <f>'Monthly Data'!BK52</f>
        <v>0</v>
      </c>
      <c r="F52" s="21">
        <f>'Monthly Data'!CT52</f>
        <v>23</v>
      </c>
      <c r="G52" s="21">
        <f>'Monthly Data'!CL52</f>
        <v>0</v>
      </c>
      <c r="I52" s="11">
        <f>'GS Co Gen Predicted Monthly'!$R$10</f>
        <v>-1091818.61931381</v>
      </c>
      <c r="J52" s="11">
        <f t="shared" si="4"/>
        <v>0</v>
      </c>
      <c r="K52" s="11">
        <f t="shared" si="5"/>
        <v>3823346.8316153311</v>
      </c>
      <c r="L52" s="11">
        <f t="shared" si="6"/>
        <v>0</v>
      </c>
      <c r="M52" s="11">
        <f t="shared" si="7"/>
        <v>2731528.2123015211</v>
      </c>
      <c r="N52" s="11">
        <f t="shared" si="8"/>
        <v>1802475.4505575856</v>
      </c>
      <c r="O52" s="23">
        <f t="shared" si="9"/>
        <v>1.9401217291191712</v>
      </c>
    </row>
    <row r="53" spans="1:19" x14ac:dyDescent="0.2">
      <c r="A53" s="8">
        <f>'Monthly Data'!A53</f>
        <v>44287</v>
      </c>
      <c r="B53">
        <f t="shared" si="0"/>
        <v>2021</v>
      </c>
      <c r="C53">
        <f t="shared" si="1"/>
        <v>4</v>
      </c>
      <c r="D53" s="19">
        <f>'Monthly Data'!S53</f>
        <v>1370379.1031432985</v>
      </c>
      <c r="E53" s="21">
        <f>'Monthly Data'!BK53</f>
        <v>8.0499999999999954</v>
      </c>
      <c r="F53" s="21">
        <f>'Monthly Data'!CT53</f>
        <v>21</v>
      </c>
      <c r="G53" s="21">
        <f>'Monthly Data'!CL53</f>
        <v>0</v>
      </c>
      <c r="I53" s="11">
        <f>'GS Co Gen Predicted Monthly'!$R$10</f>
        <v>-1091818.61931381</v>
      </c>
      <c r="J53" s="11">
        <f t="shared" si="4"/>
        <v>136884.16695231345</v>
      </c>
      <c r="K53" s="11">
        <f t="shared" si="5"/>
        <v>3490881.8897357369</v>
      </c>
      <c r="L53" s="11">
        <f t="shared" si="6"/>
        <v>0</v>
      </c>
      <c r="M53" s="11">
        <f t="shared" si="7"/>
        <v>2535947.4373742403</v>
      </c>
      <c r="N53" s="11">
        <f t="shared" si="8"/>
        <v>1165568.3342309417</v>
      </c>
      <c r="O53" s="23">
        <f t="shared" si="9"/>
        <v>0.8505444453709391</v>
      </c>
    </row>
    <row r="54" spans="1:19" x14ac:dyDescent="0.2">
      <c r="A54" s="8">
        <f>'Monthly Data'!A54</f>
        <v>44317</v>
      </c>
      <c r="B54">
        <f t="shared" si="0"/>
        <v>2021</v>
      </c>
      <c r="C54">
        <f t="shared" si="1"/>
        <v>5</v>
      </c>
      <c r="D54" s="19">
        <f>'Monthly Data'!S54</f>
        <v>1835106.5363508987</v>
      </c>
      <c r="E54" s="21">
        <f>'Monthly Data'!BK54</f>
        <v>66.793749999999989</v>
      </c>
      <c r="F54" s="21">
        <f>'Monthly Data'!CT54</f>
        <v>20</v>
      </c>
      <c r="G54" s="21">
        <f>'Monthly Data'!CL54</f>
        <v>0</v>
      </c>
      <c r="I54" s="11">
        <f>'GS Co Gen Predicted Monthly'!$R$10</f>
        <v>-1091818.61931381</v>
      </c>
      <c r="J54" s="11">
        <f t="shared" si="4"/>
        <v>1135777.2455119365</v>
      </c>
      <c r="K54" s="11">
        <f t="shared" si="5"/>
        <v>3324649.41879594</v>
      </c>
      <c r="L54" s="11">
        <f t="shared" si="6"/>
        <v>0</v>
      </c>
      <c r="M54" s="11">
        <f t="shared" si="7"/>
        <v>3368608.0449940665</v>
      </c>
      <c r="N54" s="11">
        <f t="shared" si="8"/>
        <v>1533501.5086431678</v>
      </c>
      <c r="O54" s="23">
        <f t="shared" si="9"/>
        <v>0.83564712907215122</v>
      </c>
    </row>
    <row r="55" spans="1:19" x14ac:dyDescent="0.2">
      <c r="A55" s="8">
        <f>'Monthly Data'!A55</f>
        <v>44348</v>
      </c>
      <c r="B55">
        <f t="shared" si="0"/>
        <v>2021</v>
      </c>
      <c r="C55">
        <f t="shared" si="1"/>
        <v>6</v>
      </c>
      <c r="D55" s="19">
        <f>'Monthly Data'!S55</f>
        <v>3942469.7375949784</v>
      </c>
      <c r="E55" s="21">
        <f>'Monthly Data'!BK55</f>
        <v>198.83750000000006</v>
      </c>
      <c r="F55" s="21">
        <f>'Monthly Data'!CT55</f>
        <v>22</v>
      </c>
      <c r="G55" s="21">
        <f>'Monthly Data'!CL55</f>
        <v>0</v>
      </c>
      <c r="I55" s="11">
        <f>'GS Co Gen Predicted Monthly'!$R$10</f>
        <v>-1091818.61931381</v>
      </c>
      <c r="J55" s="11">
        <f t="shared" si="4"/>
        <v>3381081.4343329999</v>
      </c>
      <c r="K55" s="11">
        <f t="shared" si="5"/>
        <v>3657114.3606755342</v>
      </c>
      <c r="L55" s="11">
        <f t="shared" si="6"/>
        <v>0</v>
      </c>
      <c r="M55" s="11">
        <f t="shared" si="7"/>
        <v>5946377.1756947245</v>
      </c>
      <c r="N55" s="11">
        <f t="shared" si="8"/>
        <v>2003907.4380997461</v>
      </c>
      <c r="O55" s="23">
        <f t="shared" si="9"/>
        <v>0.50828733547164473</v>
      </c>
    </row>
    <row r="56" spans="1:19" x14ac:dyDescent="0.2">
      <c r="A56" s="8">
        <f>'Monthly Data'!A56</f>
        <v>44378</v>
      </c>
      <c r="B56">
        <f t="shared" si="0"/>
        <v>2021</v>
      </c>
      <c r="C56">
        <f t="shared" si="1"/>
        <v>7</v>
      </c>
      <c r="D56" s="19">
        <f>'Monthly Data'!S56</f>
        <v>3408979.3014047383</v>
      </c>
      <c r="E56" s="21">
        <f>'Monthly Data'!BK56</f>
        <v>193.42708333333331</v>
      </c>
      <c r="F56" s="21">
        <f>'Monthly Data'!CT56</f>
        <v>21</v>
      </c>
      <c r="G56" s="21">
        <f>'Monthly Data'!CL56</f>
        <v>1</v>
      </c>
      <c r="I56" s="11">
        <f>'GS Co Gen Predicted Monthly'!$R$10</f>
        <v>-1091818.61931381</v>
      </c>
      <c r="J56" s="11">
        <f t="shared" si="4"/>
        <v>3289081.3873414979</v>
      </c>
      <c r="K56" s="11">
        <f t="shared" si="5"/>
        <v>3490881.8897357369</v>
      </c>
      <c r="L56" s="11">
        <f t="shared" si="6"/>
        <v>-689077.09586613998</v>
      </c>
      <c r="M56" s="11">
        <f t="shared" si="7"/>
        <v>4999067.5618972853</v>
      </c>
      <c r="N56" s="11">
        <f t="shared" si="8"/>
        <v>1590088.2604925469</v>
      </c>
      <c r="O56" s="23">
        <f t="shared" si="9"/>
        <v>0.46644116021394416</v>
      </c>
    </row>
    <row r="57" spans="1:19" x14ac:dyDescent="0.2">
      <c r="A57" s="8">
        <f>'Monthly Data'!A57</f>
        <v>44409</v>
      </c>
      <c r="B57">
        <f t="shared" si="0"/>
        <v>2021</v>
      </c>
      <c r="C57">
        <f t="shared" si="1"/>
        <v>8</v>
      </c>
      <c r="D57" s="19">
        <f>'Monthly Data'!S57</f>
        <v>4426996.8036107589</v>
      </c>
      <c r="E57" s="21">
        <f>'Monthly Data'!BK57</f>
        <v>234.19791666666669</v>
      </c>
      <c r="F57" s="21">
        <f>'Monthly Data'!CT57</f>
        <v>20</v>
      </c>
      <c r="G57" s="21">
        <f>'Monthly Data'!CL57</f>
        <v>1</v>
      </c>
      <c r="I57" s="11">
        <f>'GS Co Gen Predicted Monthly'!$R$10</f>
        <v>-1091818.61931381</v>
      </c>
      <c r="J57" s="11">
        <f t="shared" si="4"/>
        <v>3982358.5993644735</v>
      </c>
      <c r="K57" s="11">
        <f t="shared" si="5"/>
        <v>3324649.41879594</v>
      </c>
      <c r="L57" s="11">
        <f t="shared" si="6"/>
        <v>-689077.09586613998</v>
      </c>
      <c r="M57" s="11">
        <f t="shared" si="7"/>
        <v>5526112.302980464</v>
      </c>
      <c r="N57" s="11">
        <f t="shared" si="8"/>
        <v>1099115.4993697051</v>
      </c>
      <c r="O57" s="23">
        <f t="shared" si="9"/>
        <v>0.2482756478326891</v>
      </c>
      <c r="R57" s="11"/>
      <c r="S57" s="23"/>
    </row>
    <row r="58" spans="1:19" x14ac:dyDescent="0.2">
      <c r="A58" s="8">
        <f>'Monthly Data'!A58</f>
        <v>44440</v>
      </c>
      <c r="B58">
        <f t="shared" si="0"/>
        <v>2021</v>
      </c>
      <c r="C58">
        <f t="shared" si="1"/>
        <v>9</v>
      </c>
      <c r="D58" s="19">
        <f>'Monthly Data'!S58</f>
        <v>2726526.6582645886</v>
      </c>
      <c r="E58" s="21">
        <f>'Monthly Data'!BK58</f>
        <v>86.675000000000011</v>
      </c>
      <c r="F58" s="21">
        <f>'Monthly Data'!CT58</f>
        <v>20</v>
      </c>
      <c r="G58" s="21">
        <f>'Monthly Data'!CL58</f>
        <v>0</v>
      </c>
      <c r="I58" s="11">
        <f>'GS Co Gen Predicted Monthly'!$R$10</f>
        <v>-1091818.61931381</v>
      </c>
      <c r="J58" s="11">
        <f t="shared" si="4"/>
        <v>1473842.8783343821</v>
      </c>
      <c r="K58" s="11">
        <f t="shared" si="5"/>
        <v>3324649.41879594</v>
      </c>
      <c r="L58" s="11">
        <f t="shared" si="6"/>
        <v>0</v>
      </c>
      <c r="M58" s="11">
        <f t="shared" si="7"/>
        <v>3706673.6778165121</v>
      </c>
      <c r="N58" s="11">
        <f t="shared" si="8"/>
        <v>980147.0195519235</v>
      </c>
      <c r="O58" s="23">
        <f t="shared" si="9"/>
        <v>0.35948558088765536</v>
      </c>
      <c r="R58" s="11"/>
      <c r="S58" s="23"/>
    </row>
    <row r="59" spans="1:19" x14ac:dyDescent="0.2">
      <c r="A59" s="8">
        <f>'Monthly Data'!A59</f>
        <v>44470</v>
      </c>
      <c r="B59">
        <f t="shared" si="0"/>
        <v>2021</v>
      </c>
      <c r="C59">
        <f t="shared" si="1"/>
        <v>10</v>
      </c>
      <c r="D59" s="19">
        <f>'Monthly Data'!S59</f>
        <v>2613160.4865051284</v>
      </c>
      <c r="E59" s="21">
        <f>'Monthly Data'!BK59</f>
        <v>50.395833333333336</v>
      </c>
      <c r="F59" s="21">
        <f>'Monthly Data'!CT59</f>
        <v>20</v>
      </c>
      <c r="G59" s="21">
        <f>'Monthly Data'!CL59</f>
        <v>0</v>
      </c>
      <c r="I59" s="11">
        <f>'GS Co Gen Predicted Monthly'!$R$10</f>
        <v>-1091818.61931381</v>
      </c>
      <c r="J59" s="11">
        <f t="shared" si="4"/>
        <v>856943.06381378474</v>
      </c>
      <c r="K59" s="11">
        <f t="shared" si="5"/>
        <v>3324649.41879594</v>
      </c>
      <c r="L59" s="11">
        <f t="shared" si="6"/>
        <v>0</v>
      </c>
      <c r="M59" s="11">
        <f t="shared" si="7"/>
        <v>3089773.8632959146</v>
      </c>
      <c r="N59" s="11">
        <f t="shared" si="8"/>
        <v>476613.37679078616</v>
      </c>
      <c r="O59" s="23">
        <f t="shared" si="9"/>
        <v>0.1823896309668353</v>
      </c>
      <c r="R59" s="11"/>
      <c r="S59" s="23"/>
    </row>
    <row r="60" spans="1:19" x14ac:dyDescent="0.2">
      <c r="A60" s="8">
        <f>'Monthly Data'!A60</f>
        <v>44501</v>
      </c>
      <c r="B60">
        <f t="shared" si="0"/>
        <v>2021</v>
      </c>
      <c r="C60">
        <f t="shared" si="1"/>
        <v>11</v>
      </c>
      <c r="D60" s="19">
        <f>'Monthly Data'!S60</f>
        <v>3086375.0493431385</v>
      </c>
      <c r="E60" s="21">
        <f>'Monthly Data'!BK60</f>
        <v>0</v>
      </c>
      <c r="F60" s="21">
        <f>'Monthly Data'!CT60</f>
        <v>22</v>
      </c>
      <c r="G60" s="21">
        <f>'Monthly Data'!CL60</f>
        <v>0</v>
      </c>
      <c r="I60" s="11">
        <f>'GS Co Gen Predicted Monthly'!$R$10</f>
        <v>-1091818.61931381</v>
      </c>
      <c r="J60" s="11">
        <f t="shared" si="4"/>
        <v>0</v>
      </c>
      <c r="K60" s="11">
        <f t="shared" si="5"/>
        <v>3657114.3606755342</v>
      </c>
      <c r="L60" s="11">
        <f t="shared" si="6"/>
        <v>0</v>
      </c>
      <c r="M60" s="11">
        <f t="shared" si="7"/>
        <v>2565295.7413617242</v>
      </c>
      <c r="N60" s="11">
        <f t="shared" si="8"/>
        <v>-521079.30798141425</v>
      </c>
      <c r="O60" s="23">
        <f t="shared" si="9"/>
        <v>0.16883214115287565</v>
      </c>
      <c r="R60" s="11"/>
      <c r="S60" s="23"/>
    </row>
    <row r="61" spans="1:19" x14ac:dyDescent="0.2">
      <c r="A61" s="8">
        <f>'Monthly Data'!A61</f>
        <v>44531</v>
      </c>
      <c r="B61">
        <f t="shared" si="0"/>
        <v>2021</v>
      </c>
      <c r="C61">
        <f t="shared" si="1"/>
        <v>12</v>
      </c>
      <c r="D61" s="19">
        <f>'Monthly Data'!S61</f>
        <v>2523914.5382058783</v>
      </c>
      <c r="E61" s="21">
        <f>'Monthly Data'!BK61</f>
        <v>0</v>
      </c>
      <c r="F61" s="21">
        <f>'Monthly Data'!CT61</f>
        <v>21</v>
      </c>
      <c r="G61" s="21">
        <f>'Monthly Data'!CL61</f>
        <v>0</v>
      </c>
      <c r="I61" s="11">
        <f>'GS Co Gen Predicted Monthly'!$R$10</f>
        <v>-1091818.61931381</v>
      </c>
      <c r="J61" s="11">
        <f t="shared" si="4"/>
        <v>0</v>
      </c>
      <c r="K61" s="11">
        <f t="shared" si="5"/>
        <v>3490881.8897357369</v>
      </c>
      <c r="L61" s="11">
        <f t="shared" si="6"/>
        <v>0</v>
      </c>
      <c r="M61" s="11">
        <f t="shared" si="7"/>
        <v>2399063.2704219269</v>
      </c>
      <c r="N61" s="11">
        <f t="shared" si="8"/>
        <v>-124851.26778395148</v>
      </c>
      <c r="O61" s="23">
        <f t="shared" si="9"/>
        <v>4.9467311945000265E-2</v>
      </c>
      <c r="R61" s="11"/>
      <c r="S61" s="23"/>
    </row>
    <row r="62" spans="1:19" x14ac:dyDescent="0.2">
      <c r="A62" s="8">
        <f>'Monthly Data'!A62</f>
        <v>44562</v>
      </c>
      <c r="B62">
        <f t="shared" si="0"/>
        <v>2022</v>
      </c>
      <c r="C62">
        <f t="shared" si="1"/>
        <v>1</v>
      </c>
      <c r="D62" s="19">
        <f>'Monthly Data'!S62</f>
        <v>1022059.6169857765</v>
      </c>
      <c r="E62" s="21">
        <f>'Monthly Data'!BK62</f>
        <v>0</v>
      </c>
      <c r="F62" s="21">
        <f>'Monthly Data'!CT62</f>
        <v>20</v>
      </c>
      <c r="G62" s="21">
        <f>'Monthly Data'!CL62</f>
        <v>0</v>
      </c>
      <c r="I62" s="11">
        <f>'GS Co Gen Predicted Monthly'!$R$10</f>
        <v>-1091818.61931381</v>
      </c>
      <c r="J62" s="11">
        <f t="shared" si="4"/>
        <v>0</v>
      </c>
      <c r="K62" s="11">
        <f t="shared" si="5"/>
        <v>3324649.41879594</v>
      </c>
      <c r="L62" s="11">
        <f t="shared" si="6"/>
        <v>0</v>
      </c>
      <c r="M62" s="11">
        <f t="shared" si="7"/>
        <v>2232830.79948213</v>
      </c>
      <c r="N62" s="11">
        <f t="shared" si="8"/>
        <v>1210771.1824963535</v>
      </c>
      <c r="O62" s="23">
        <f t="shared" si="9"/>
        <v>1.1846385106840625</v>
      </c>
      <c r="R62" s="11"/>
      <c r="S62" s="23"/>
    </row>
    <row r="63" spans="1:19" x14ac:dyDescent="0.2">
      <c r="A63" s="8">
        <f>'Monthly Data'!A63</f>
        <v>44593</v>
      </c>
      <c r="B63">
        <f t="shared" ref="B63:B97" si="10">YEAR(A63)</f>
        <v>2022</v>
      </c>
      <c r="C63">
        <f t="shared" ref="C63:C97" si="11">MONTH(A63)</f>
        <v>2</v>
      </c>
      <c r="D63" s="19">
        <f>'Monthly Data'!S63</f>
        <v>1744892.6852793817</v>
      </c>
      <c r="E63" s="21">
        <f>'Monthly Data'!BK63</f>
        <v>0</v>
      </c>
      <c r="F63" s="21">
        <f>'Monthly Data'!CT63</f>
        <v>19</v>
      </c>
      <c r="G63" s="21">
        <f>'Monthly Data'!CL63</f>
        <v>0</v>
      </c>
      <c r="I63" s="11">
        <f>'GS Co Gen Predicted Monthly'!$R$10</f>
        <v>-1091818.61931381</v>
      </c>
      <c r="J63" s="11">
        <f t="shared" si="4"/>
        <v>0</v>
      </c>
      <c r="K63" s="11">
        <f t="shared" si="5"/>
        <v>3158416.9478561431</v>
      </c>
      <c r="L63" s="11">
        <f t="shared" si="6"/>
        <v>0</v>
      </c>
      <c r="M63" s="11">
        <f t="shared" si="7"/>
        <v>2066598.3285423331</v>
      </c>
      <c r="N63" s="11">
        <f t="shared" si="8"/>
        <v>321705.6432629514</v>
      </c>
      <c r="O63" s="23">
        <f t="shared" si="9"/>
        <v>0.1843698732747234</v>
      </c>
      <c r="R63" s="11"/>
      <c r="S63" s="23"/>
    </row>
    <row r="64" spans="1:19" x14ac:dyDescent="0.2">
      <c r="A64" s="8">
        <f>'Monthly Data'!A64</f>
        <v>44621</v>
      </c>
      <c r="B64">
        <f t="shared" si="10"/>
        <v>2022</v>
      </c>
      <c r="C64">
        <f t="shared" si="11"/>
        <v>3</v>
      </c>
      <c r="D64" s="19">
        <f>'Monthly Data'!S64</f>
        <v>1190079.078040208</v>
      </c>
      <c r="E64" s="21">
        <f>'Monthly Data'!BK64</f>
        <v>0</v>
      </c>
      <c r="F64" s="21">
        <f>'Monthly Data'!CT64</f>
        <v>23</v>
      </c>
      <c r="G64" s="21">
        <f>'Monthly Data'!CL64</f>
        <v>0</v>
      </c>
      <c r="I64" s="11">
        <f>'GS Co Gen Predicted Monthly'!$R$10</f>
        <v>-1091818.61931381</v>
      </c>
      <c r="J64" s="11">
        <f t="shared" si="4"/>
        <v>0</v>
      </c>
      <c r="K64" s="11">
        <f t="shared" si="5"/>
        <v>3823346.8316153311</v>
      </c>
      <c r="L64" s="11">
        <f t="shared" si="6"/>
        <v>0</v>
      </c>
      <c r="M64" s="11">
        <f t="shared" si="7"/>
        <v>2731528.2123015211</v>
      </c>
      <c r="N64" s="11">
        <f t="shared" si="8"/>
        <v>1541449.1342613131</v>
      </c>
      <c r="O64" s="23">
        <f t="shared" si="9"/>
        <v>1.2952493348591023</v>
      </c>
      <c r="R64" s="11"/>
      <c r="S64" s="23"/>
    </row>
    <row r="65" spans="1:22" x14ac:dyDescent="0.2">
      <c r="A65" s="8">
        <f>'Monthly Data'!A65</f>
        <v>44652</v>
      </c>
      <c r="B65">
        <f t="shared" si="10"/>
        <v>2022</v>
      </c>
      <c r="C65">
        <f t="shared" si="11"/>
        <v>4</v>
      </c>
      <c r="D65" s="19">
        <f>'Monthly Data'!S65</f>
        <v>1361343.5260930443</v>
      </c>
      <c r="E65" s="21">
        <f>'Monthly Data'!BK65</f>
        <v>2.5416666666666696</v>
      </c>
      <c r="F65" s="21">
        <f>'Monthly Data'!CT65</f>
        <v>20</v>
      </c>
      <c r="G65" s="21">
        <f>'Monthly Data'!CL65</f>
        <v>0</v>
      </c>
      <c r="I65" s="11">
        <f>'GS Co Gen Predicted Monthly'!$R$10</f>
        <v>-1091818.61931381</v>
      </c>
      <c r="J65" s="11">
        <f t="shared" si="4"/>
        <v>43219.121035668395</v>
      </c>
      <c r="K65" s="11">
        <f t="shared" si="5"/>
        <v>3324649.41879594</v>
      </c>
      <c r="L65" s="11">
        <f t="shared" si="6"/>
        <v>0</v>
      </c>
      <c r="M65" s="11">
        <f t="shared" si="7"/>
        <v>2276049.9205177985</v>
      </c>
      <c r="N65" s="11">
        <f t="shared" si="8"/>
        <v>914706.39442475419</v>
      </c>
      <c r="O65" s="23">
        <f t="shared" si="9"/>
        <v>0.6719144557508524</v>
      </c>
      <c r="R65" s="11"/>
      <c r="S65" s="23"/>
    </row>
    <row r="66" spans="1:22" x14ac:dyDescent="0.2">
      <c r="A66" s="8">
        <f>'Monthly Data'!A66</f>
        <v>44682</v>
      </c>
      <c r="B66">
        <f t="shared" si="10"/>
        <v>2022</v>
      </c>
      <c r="C66">
        <f t="shared" si="11"/>
        <v>5</v>
      </c>
      <c r="D66" s="19">
        <f>'Monthly Data'!S66</f>
        <v>5350720.1149436207</v>
      </c>
      <c r="E66" s="21">
        <f>'Monthly Data'!BK66</f>
        <v>80.722916666666649</v>
      </c>
      <c r="F66" s="21">
        <f>'Monthly Data'!CT66</f>
        <v>21</v>
      </c>
      <c r="G66" s="21">
        <f>'Monthly Data'!CL66</f>
        <v>0</v>
      </c>
      <c r="I66" s="11">
        <f>'GS Co Gen Predicted Monthly'!$R$10</f>
        <v>-1091818.61931381</v>
      </c>
      <c r="J66" s="11">
        <f t="shared" si="4"/>
        <v>1372632.1989910172</v>
      </c>
      <c r="K66" s="11">
        <f t="shared" si="5"/>
        <v>3490881.8897357369</v>
      </c>
      <c r="L66" s="11">
        <f t="shared" si="6"/>
        <v>0</v>
      </c>
      <c r="M66" s="11">
        <f t="shared" si="7"/>
        <v>3771695.4694129443</v>
      </c>
      <c r="N66" s="11">
        <f t="shared" ref="N66:N97" si="12">M66-D66</f>
        <v>-1579024.6455306765</v>
      </c>
      <c r="O66" s="23">
        <f t="shared" ref="O66:O97" si="13">ABS(N66/D66)</f>
        <v>0.29510507214173626</v>
      </c>
      <c r="R66" s="11"/>
      <c r="S66" s="23"/>
    </row>
    <row r="67" spans="1:22" x14ac:dyDescent="0.2">
      <c r="A67" s="8">
        <f>'Monthly Data'!A67</f>
        <v>44713</v>
      </c>
      <c r="B67">
        <f t="shared" si="10"/>
        <v>2022</v>
      </c>
      <c r="C67">
        <f t="shared" si="11"/>
        <v>6</v>
      </c>
      <c r="D67" s="19">
        <f>'Monthly Data'!S67</f>
        <v>4689316.800036367</v>
      </c>
      <c r="E67" s="21">
        <f>'Monthly Data'!BK67</f>
        <v>142.82500000000002</v>
      </c>
      <c r="F67" s="21">
        <f>'Monthly Data'!CT67</f>
        <v>22</v>
      </c>
      <c r="G67" s="21">
        <f>'Monthly Data'!CL67</f>
        <v>0</v>
      </c>
      <c r="I67" s="11">
        <f>'GS Co Gen Predicted Monthly'!$R$10</f>
        <v>-1091818.61931381</v>
      </c>
      <c r="J67" s="11">
        <f t="shared" ref="J67:J97" si="14">E67*$R$11</f>
        <v>2428631.1981321964</v>
      </c>
      <c r="K67" s="11">
        <f t="shared" ref="K67:K97" si="15">F67*$R$12</f>
        <v>3657114.3606755342</v>
      </c>
      <c r="L67" s="11">
        <f t="shared" ref="L67:L109" si="16">G67*$R$13</f>
        <v>0</v>
      </c>
      <c r="M67" s="11">
        <f t="shared" ref="M67:M109" si="17">SUM(I67:L67)</f>
        <v>4993926.9394939207</v>
      </c>
      <c r="N67" s="11">
        <f t="shared" si="12"/>
        <v>304610.13945755363</v>
      </c>
      <c r="O67" s="23">
        <f t="shared" si="13"/>
        <v>6.4958319611759074E-2</v>
      </c>
      <c r="R67" s="11"/>
      <c r="S67" s="23"/>
    </row>
    <row r="68" spans="1:22" x14ac:dyDescent="0.2">
      <c r="A68" s="8">
        <f>'Monthly Data'!A68</f>
        <v>44743</v>
      </c>
      <c r="B68">
        <f t="shared" si="10"/>
        <v>2022</v>
      </c>
      <c r="C68">
        <f t="shared" si="11"/>
        <v>7</v>
      </c>
      <c r="D68" s="19">
        <f>'Monthly Data'!S68</f>
        <v>5115119.137130823</v>
      </c>
      <c r="E68" s="21">
        <f>'Monthly Data'!BK68</f>
        <v>224.93333333333328</v>
      </c>
      <c r="F68" s="21">
        <f>'Monthly Data'!CT68</f>
        <v>20</v>
      </c>
      <c r="G68" s="21">
        <f>'Monthly Data'!CL68</f>
        <v>1</v>
      </c>
      <c r="I68" s="11">
        <f>'GS Co Gen Predicted Monthly'!$R$10</f>
        <v>-1091818.61931381</v>
      </c>
      <c r="J68" s="11">
        <f t="shared" si="14"/>
        <v>3824821.3606385565</v>
      </c>
      <c r="K68" s="11">
        <f t="shared" si="15"/>
        <v>3324649.41879594</v>
      </c>
      <c r="L68" s="11">
        <f t="shared" si="16"/>
        <v>-689077.09586613998</v>
      </c>
      <c r="M68" s="11">
        <f t="shared" si="17"/>
        <v>5368575.0642545465</v>
      </c>
      <c r="N68" s="11">
        <f t="shared" si="12"/>
        <v>253455.92712372355</v>
      </c>
      <c r="O68" s="23">
        <f t="shared" si="13"/>
        <v>4.955034679131487E-2</v>
      </c>
      <c r="R68" s="11"/>
      <c r="S68" s="23"/>
    </row>
    <row r="69" spans="1:22" x14ac:dyDescent="0.2">
      <c r="A69" s="8">
        <f>'Monthly Data'!A69</f>
        <v>44774</v>
      </c>
      <c r="B69">
        <f t="shared" si="10"/>
        <v>2022</v>
      </c>
      <c r="C69">
        <f t="shared" si="11"/>
        <v>8</v>
      </c>
      <c r="D69" s="19">
        <f>'Monthly Data'!S69</f>
        <v>7061111.8252039393</v>
      </c>
      <c r="E69" s="21">
        <f>'Monthly Data'!BK69</f>
        <v>208.27916666666667</v>
      </c>
      <c r="F69" s="21">
        <f>'Monthly Data'!CT69</f>
        <v>22</v>
      </c>
      <c r="G69" s="21">
        <f>'Monthly Data'!CL69</f>
        <v>1</v>
      </c>
      <c r="I69" s="11">
        <f>'GS Co Gen Predicted Monthly'!$R$10</f>
        <v>-1091818.61931381</v>
      </c>
      <c r="J69" s="11">
        <f t="shared" si="14"/>
        <v>3541629.841327793</v>
      </c>
      <c r="K69" s="11">
        <f t="shared" si="15"/>
        <v>3657114.3606755342</v>
      </c>
      <c r="L69" s="11">
        <f t="shared" si="16"/>
        <v>-689077.09586613998</v>
      </c>
      <c r="M69" s="11">
        <f t="shared" si="17"/>
        <v>5417848.4868233772</v>
      </c>
      <c r="N69" s="11">
        <f t="shared" si="12"/>
        <v>-1643263.3383805621</v>
      </c>
      <c r="O69" s="23">
        <f t="shared" si="13"/>
        <v>0.23272019747868833</v>
      </c>
      <c r="R69" s="11"/>
      <c r="S69" s="23"/>
    </row>
    <row r="70" spans="1:22" x14ac:dyDescent="0.2">
      <c r="A70" s="8">
        <f>'Monthly Data'!A70</f>
        <v>44805</v>
      </c>
      <c r="B70">
        <f t="shared" si="10"/>
        <v>2022</v>
      </c>
      <c r="C70">
        <f t="shared" si="11"/>
        <v>9</v>
      </c>
      <c r="D70" s="19">
        <f>'Monthly Data'!S70</f>
        <v>5290385.8347192556</v>
      </c>
      <c r="E70" s="21">
        <f>'Monthly Data'!BK70</f>
        <v>101.75833333333333</v>
      </c>
      <c r="F70" s="21">
        <f>'Monthly Data'!CT70</f>
        <v>20</v>
      </c>
      <c r="G70" s="21">
        <f>'Monthly Data'!CL70</f>
        <v>0</v>
      </c>
      <c r="I70" s="11">
        <f>'GS Co Gen Predicted Monthly'!$R$10</f>
        <v>-1091818.61931381</v>
      </c>
      <c r="J70" s="11">
        <f t="shared" si="14"/>
        <v>1730323.5638247414</v>
      </c>
      <c r="K70" s="11">
        <f t="shared" si="15"/>
        <v>3324649.41879594</v>
      </c>
      <c r="L70" s="11">
        <f t="shared" si="16"/>
        <v>0</v>
      </c>
      <c r="M70" s="11">
        <f t="shared" si="17"/>
        <v>3963154.3633068716</v>
      </c>
      <c r="N70" s="11">
        <f t="shared" si="12"/>
        <v>-1327231.471412384</v>
      </c>
      <c r="O70" s="23">
        <f t="shared" si="13"/>
        <v>0.25087611998016324</v>
      </c>
      <c r="R70" s="11"/>
      <c r="S70" s="23"/>
    </row>
    <row r="71" spans="1:22" x14ac:dyDescent="0.2">
      <c r="A71" s="8">
        <f>'Monthly Data'!A71</f>
        <v>44835</v>
      </c>
      <c r="B71">
        <f t="shared" si="10"/>
        <v>2022</v>
      </c>
      <c r="C71">
        <f t="shared" si="11"/>
        <v>10</v>
      </c>
      <c r="D71" s="19">
        <f>'Monthly Data'!S71</f>
        <v>4236739.3971533719</v>
      </c>
      <c r="E71" s="21">
        <f>'Monthly Data'!BK71</f>
        <v>4.3500000000000014</v>
      </c>
      <c r="F71" s="21">
        <f>'Monthly Data'!CT71</f>
        <v>20</v>
      </c>
      <c r="G71" s="21">
        <f>'Monthly Data'!CL71</f>
        <v>0</v>
      </c>
      <c r="I71" s="11">
        <f>'GS Co Gen Predicted Monthly'!$R$10</f>
        <v>-1091818.61931381</v>
      </c>
      <c r="J71" s="11">
        <f t="shared" si="14"/>
        <v>73968.462887275033</v>
      </c>
      <c r="K71" s="11">
        <f t="shared" si="15"/>
        <v>3324649.41879594</v>
      </c>
      <c r="L71" s="11">
        <f t="shared" si="16"/>
        <v>0</v>
      </c>
      <c r="M71" s="11">
        <f t="shared" si="17"/>
        <v>2306799.262369405</v>
      </c>
      <c r="N71" s="11">
        <f t="shared" si="12"/>
        <v>-1929940.1347839669</v>
      </c>
      <c r="O71" s="23">
        <f t="shared" si="13"/>
        <v>0.45552486331367864</v>
      </c>
      <c r="R71" s="11"/>
      <c r="S71" s="23"/>
    </row>
    <row r="72" spans="1:22" x14ac:dyDescent="0.2">
      <c r="A72" s="8">
        <f>'Monthly Data'!A72</f>
        <v>44866</v>
      </c>
      <c r="B72">
        <f t="shared" si="10"/>
        <v>2022</v>
      </c>
      <c r="C72">
        <f t="shared" si="11"/>
        <v>11</v>
      </c>
      <c r="D72" s="19">
        <f>'Monthly Data'!S72</f>
        <v>5119153.7080734884</v>
      </c>
      <c r="E72" s="21">
        <f>'Monthly Data'!BK72</f>
        <v>4.2666666666666639</v>
      </c>
      <c r="F72" s="21">
        <f>'Monthly Data'!CT72</f>
        <v>22</v>
      </c>
      <c r="G72" s="21">
        <f>'Monthly Data'!CL72</f>
        <v>0</v>
      </c>
      <c r="I72" s="11">
        <f>'GS Co Gen Predicted Monthly'!$R$10</f>
        <v>-1091818.61931381</v>
      </c>
      <c r="J72" s="11">
        <f t="shared" si="14"/>
        <v>72551.442525449762</v>
      </c>
      <c r="K72" s="11">
        <f t="shared" si="15"/>
        <v>3657114.3606755342</v>
      </c>
      <c r="L72" s="11">
        <f t="shared" si="16"/>
        <v>0</v>
      </c>
      <c r="M72" s="11">
        <f t="shared" si="17"/>
        <v>2637847.1838871739</v>
      </c>
      <c r="N72" s="11">
        <f t="shared" si="12"/>
        <v>-2481306.5241863145</v>
      </c>
      <c r="O72" s="23">
        <f t="shared" si="13"/>
        <v>0.48471029894511891</v>
      </c>
      <c r="Q72" s="11"/>
      <c r="R72" s="11"/>
      <c r="S72" s="23"/>
    </row>
    <row r="73" spans="1:22" x14ac:dyDescent="0.2">
      <c r="A73" s="8">
        <f>'Monthly Data'!A73</f>
        <v>44896</v>
      </c>
      <c r="B73">
        <f t="shared" si="10"/>
        <v>2022</v>
      </c>
      <c r="C73">
        <f t="shared" si="11"/>
        <v>12</v>
      </c>
      <c r="D73" s="19">
        <f>'Monthly Data'!S73</f>
        <v>2153000.0512014646</v>
      </c>
      <c r="E73" s="21">
        <f>'Monthly Data'!BK73</f>
        <v>0</v>
      </c>
      <c r="F73" s="21">
        <f>'Monthly Data'!CT73</f>
        <v>20</v>
      </c>
      <c r="G73" s="21">
        <f>'Monthly Data'!CL73</f>
        <v>0</v>
      </c>
      <c r="I73" s="11">
        <f>'GS Co Gen Predicted Monthly'!$R$10</f>
        <v>-1091818.61931381</v>
      </c>
      <c r="J73" s="11">
        <f t="shared" si="14"/>
        <v>0</v>
      </c>
      <c r="K73" s="11">
        <f t="shared" si="15"/>
        <v>3324649.41879594</v>
      </c>
      <c r="L73" s="11">
        <f t="shared" si="16"/>
        <v>0</v>
      </c>
      <c r="M73" s="11">
        <f t="shared" si="17"/>
        <v>2232830.79948213</v>
      </c>
      <c r="N73" s="11">
        <f t="shared" si="12"/>
        <v>79830.748280665372</v>
      </c>
      <c r="O73" s="23">
        <f t="shared" si="13"/>
        <v>3.7078841793857113E-2</v>
      </c>
      <c r="Q73" s="11"/>
      <c r="R73" s="11"/>
      <c r="S73" s="23"/>
    </row>
    <row r="74" spans="1:22" x14ac:dyDescent="0.2">
      <c r="A74" s="8">
        <f>'Monthly Data'!A74</f>
        <v>44927</v>
      </c>
      <c r="B74">
        <f t="shared" si="10"/>
        <v>2023</v>
      </c>
      <c r="C74">
        <f t="shared" si="11"/>
        <v>1</v>
      </c>
      <c r="D74" s="19">
        <f>'Monthly Data'!S74</f>
        <v>2475906.2124542031</v>
      </c>
      <c r="E74" s="21">
        <f>'Monthly Data'!BK74</f>
        <v>0</v>
      </c>
      <c r="F74" s="21">
        <f>'Monthly Data'!CT74</f>
        <v>21</v>
      </c>
      <c r="G74" s="21">
        <f>'Monthly Data'!CL74</f>
        <v>0</v>
      </c>
      <c r="I74" s="11">
        <f>'GS Co Gen Predicted Monthly'!$R$10</f>
        <v>-1091818.61931381</v>
      </c>
      <c r="J74" s="11">
        <f t="shared" si="14"/>
        <v>0</v>
      </c>
      <c r="K74" s="11">
        <f t="shared" si="15"/>
        <v>3490881.8897357369</v>
      </c>
      <c r="L74" s="11">
        <f t="shared" si="16"/>
        <v>0</v>
      </c>
      <c r="M74" s="11">
        <f t="shared" si="17"/>
        <v>2399063.2704219269</v>
      </c>
      <c r="N74" s="11">
        <f t="shared" si="12"/>
        <v>-76842.942032276187</v>
      </c>
      <c r="O74" s="23">
        <f t="shared" si="13"/>
        <v>3.1036289519265285E-2</v>
      </c>
      <c r="Q74" s="11"/>
      <c r="R74" s="11"/>
      <c r="S74" s="23"/>
    </row>
    <row r="75" spans="1:22" x14ac:dyDescent="0.2">
      <c r="A75" s="8">
        <f>'Monthly Data'!A75</f>
        <v>44958</v>
      </c>
      <c r="B75">
        <f t="shared" si="10"/>
        <v>2023</v>
      </c>
      <c r="C75">
        <f t="shared" si="11"/>
        <v>2</v>
      </c>
      <c r="D75" s="19">
        <f>'Monthly Data'!S75</f>
        <v>3051393.3752032155</v>
      </c>
      <c r="E75" s="21">
        <f>'Monthly Data'!BK75</f>
        <v>0</v>
      </c>
      <c r="F75" s="21">
        <f>'Monthly Data'!CT75</f>
        <v>19</v>
      </c>
      <c r="G75" s="21">
        <f>'Monthly Data'!CL75</f>
        <v>0</v>
      </c>
      <c r="I75" s="11">
        <f>'GS Co Gen Predicted Monthly'!$R$10</f>
        <v>-1091818.61931381</v>
      </c>
      <c r="J75" s="11">
        <f t="shared" si="14"/>
        <v>0</v>
      </c>
      <c r="K75" s="11">
        <f t="shared" si="15"/>
        <v>3158416.9478561431</v>
      </c>
      <c r="L75" s="11">
        <f t="shared" si="16"/>
        <v>0</v>
      </c>
      <c r="M75" s="11">
        <f t="shared" si="17"/>
        <v>2066598.3285423331</v>
      </c>
      <c r="N75" s="11">
        <f t="shared" si="12"/>
        <v>-984795.04666088242</v>
      </c>
      <c r="O75" s="23">
        <f t="shared" si="13"/>
        <v>0.3227361816616966</v>
      </c>
      <c r="Q75" s="11"/>
      <c r="R75" s="11"/>
      <c r="S75" s="23"/>
    </row>
    <row r="76" spans="1:22" x14ac:dyDescent="0.2">
      <c r="A76" s="8">
        <f>'Monthly Data'!A76</f>
        <v>44986</v>
      </c>
      <c r="B76">
        <f t="shared" si="10"/>
        <v>2023</v>
      </c>
      <c r="C76">
        <f t="shared" si="11"/>
        <v>3</v>
      </c>
      <c r="D76" s="19">
        <f>'Monthly Data'!S76</f>
        <v>4360884.6742221788</v>
      </c>
      <c r="E76" s="21">
        <f>'Monthly Data'!BK76</f>
        <v>0</v>
      </c>
      <c r="F76" s="21">
        <f>'Monthly Data'!CT76</f>
        <v>23</v>
      </c>
      <c r="G76" s="21">
        <f>'Monthly Data'!CL76</f>
        <v>0</v>
      </c>
      <c r="I76" s="11">
        <f>'GS Co Gen Predicted Monthly'!$R$10</f>
        <v>-1091818.61931381</v>
      </c>
      <c r="J76" s="11">
        <f t="shared" si="14"/>
        <v>0</v>
      </c>
      <c r="K76" s="11">
        <f t="shared" si="15"/>
        <v>3823346.8316153311</v>
      </c>
      <c r="L76" s="11">
        <f t="shared" si="16"/>
        <v>0</v>
      </c>
      <c r="M76" s="11">
        <f t="shared" si="17"/>
        <v>2731528.2123015211</v>
      </c>
      <c r="N76" s="11">
        <f t="shared" si="12"/>
        <v>-1629356.4619206577</v>
      </c>
      <c r="O76" s="23">
        <f t="shared" si="13"/>
        <v>0.37362979845626731</v>
      </c>
      <c r="Q76" s="11"/>
      <c r="R76" s="11"/>
      <c r="S76" s="23"/>
    </row>
    <row r="77" spans="1:22" x14ac:dyDescent="0.2">
      <c r="A77" s="8">
        <f>'Monthly Data'!A77</f>
        <v>45017</v>
      </c>
      <c r="B77">
        <f t="shared" si="10"/>
        <v>2023</v>
      </c>
      <c r="C77">
        <f t="shared" si="11"/>
        <v>4</v>
      </c>
      <c r="D77" s="19">
        <f>'Monthly Data'!S77</f>
        <v>1982541.2606718806</v>
      </c>
      <c r="E77" s="21">
        <f>'Monthly Data'!BK77</f>
        <v>22.516666666666687</v>
      </c>
      <c r="F77" s="21">
        <f>'Monthly Data'!CT77</f>
        <v>19</v>
      </c>
      <c r="G77" s="21">
        <f>'Monthly Data'!CL77</f>
        <v>0</v>
      </c>
      <c r="I77" s="11">
        <f>'GS Co Gen Predicted Monthly'!$R$10</f>
        <v>-1091818.61931381</v>
      </c>
      <c r="J77" s="11">
        <f t="shared" si="14"/>
        <v>382878.90176516713</v>
      </c>
      <c r="K77" s="11">
        <f t="shared" si="15"/>
        <v>3158416.9478561431</v>
      </c>
      <c r="L77" s="11">
        <f t="shared" si="16"/>
        <v>0</v>
      </c>
      <c r="M77" s="11">
        <f t="shared" si="17"/>
        <v>2449477.2303075003</v>
      </c>
      <c r="N77" s="11">
        <f t="shared" si="12"/>
        <v>466935.96963561978</v>
      </c>
      <c r="O77" s="23">
        <f t="shared" si="13"/>
        <v>0.23552396053405508</v>
      </c>
      <c r="Q77" s="11"/>
      <c r="R77" s="11"/>
      <c r="S77" s="23"/>
    </row>
    <row r="78" spans="1:22" x14ac:dyDescent="0.2">
      <c r="A78" s="8">
        <f>'Monthly Data'!A78</f>
        <v>45047</v>
      </c>
      <c r="B78">
        <f t="shared" si="10"/>
        <v>2023</v>
      </c>
      <c r="C78">
        <f t="shared" si="11"/>
        <v>5</v>
      </c>
      <c r="D78" s="19">
        <f>'Monthly Data'!S78</f>
        <v>5249179.5430356627</v>
      </c>
      <c r="E78" s="21">
        <f>'Monthly Data'!BK78</f>
        <v>49.670833333333306</v>
      </c>
      <c r="F78" s="21">
        <f>'Monthly Data'!CT78</f>
        <v>22</v>
      </c>
      <c r="G78" s="21">
        <f>'Monthly Data'!CL78</f>
        <v>0</v>
      </c>
      <c r="I78" s="11">
        <f>'GS Co Gen Predicted Monthly'!$R$10</f>
        <v>-1091818.61931381</v>
      </c>
      <c r="J78" s="11">
        <f t="shared" si="14"/>
        <v>844614.98666590499</v>
      </c>
      <c r="K78" s="11">
        <f t="shared" si="15"/>
        <v>3657114.3606755342</v>
      </c>
      <c r="L78" s="11">
        <f t="shared" si="16"/>
        <v>0</v>
      </c>
      <c r="M78" s="11">
        <f t="shared" si="17"/>
        <v>3409910.7280276292</v>
      </c>
      <c r="N78" s="11">
        <f t="shared" si="12"/>
        <v>-1839268.8150080335</v>
      </c>
      <c r="O78" s="23">
        <f t="shared" si="13"/>
        <v>0.3503916754854155</v>
      </c>
      <c r="Q78" s="11"/>
      <c r="R78" s="11"/>
      <c r="S78" s="23"/>
      <c r="T78" s="11"/>
      <c r="U78" s="11"/>
      <c r="V78" s="57"/>
    </row>
    <row r="79" spans="1:22" x14ac:dyDescent="0.2">
      <c r="A79" s="8">
        <f>'Monthly Data'!A79</f>
        <v>45078</v>
      </c>
      <c r="B79">
        <f t="shared" si="10"/>
        <v>2023</v>
      </c>
      <c r="C79">
        <f t="shared" si="11"/>
        <v>6</v>
      </c>
      <c r="D79" s="19">
        <f>'Monthly Data'!S79</f>
        <v>5648220.3218985656</v>
      </c>
      <c r="E79" s="21">
        <f>'Monthly Data'!BK79</f>
        <v>130.14166666666665</v>
      </c>
      <c r="F79" s="21">
        <f>'Monthly Data'!CT79</f>
        <v>22</v>
      </c>
      <c r="G79" s="21">
        <f>'Monthly Data'!CL79</f>
        <v>0</v>
      </c>
      <c r="I79" s="11">
        <f>'GS Co Gen Predicted Monthly'!$R$10</f>
        <v>-1091818.61931381</v>
      </c>
      <c r="J79" s="11">
        <f t="shared" si="14"/>
        <v>2212960.6990624014</v>
      </c>
      <c r="K79" s="11">
        <f t="shared" si="15"/>
        <v>3657114.3606755342</v>
      </c>
      <c r="L79" s="11">
        <f t="shared" si="16"/>
        <v>0</v>
      </c>
      <c r="M79" s="11">
        <f t="shared" si="17"/>
        <v>4778256.4404241256</v>
      </c>
      <c r="N79" s="11">
        <f t="shared" si="12"/>
        <v>-869963.88147443999</v>
      </c>
      <c r="O79" s="23">
        <f t="shared" si="13"/>
        <v>0.1540244239590878</v>
      </c>
      <c r="Q79" s="11"/>
      <c r="R79" s="11"/>
      <c r="S79" s="23"/>
      <c r="T79" s="11"/>
      <c r="U79" s="11"/>
      <c r="V79" s="57"/>
    </row>
    <row r="80" spans="1:22" x14ac:dyDescent="0.2">
      <c r="A80" s="8">
        <f>'Monthly Data'!A80</f>
        <v>45108</v>
      </c>
      <c r="B80">
        <f t="shared" si="10"/>
        <v>2023</v>
      </c>
      <c r="C80">
        <f t="shared" si="11"/>
        <v>7</v>
      </c>
      <c r="D80" s="19">
        <f>'Monthly Data'!S80</f>
        <v>6322903.5001553874</v>
      </c>
      <c r="E80" s="21">
        <f>'Monthly Data'!BK80</f>
        <v>203.20000000000002</v>
      </c>
      <c r="F80" s="21">
        <f>'Monthly Data'!CT80</f>
        <v>20</v>
      </c>
      <c r="G80" s="21">
        <f>'Monthly Data'!CL80</f>
        <v>1</v>
      </c>
      <c r="I80" s="11">
        <f>'GS Co Gen Predicted Monthly'!$R$10</f>
        <v>-1091818.61931381</v>
      </c>
      <c r="J80" s="11">
        <f t="shared" si="14"/>
        <v>3455262.4502745476</v>
      </c>
      <c r="K80" s="11">
        <f t="shared" si="15"/>
        <v>3324649.41879594</v>
      </c>
      <c r="L80" s="11">
        <f t="shared" si="16"/>
        <v>-689077.09586613998</v>
      </c>
      <c r="M80" s="11">
        <f t="shared" si="17"/>
        <v>4999016.1538905371</v>
      </c>
      <c r="N80" s="11">
        <f t="shared" si="12"/>
        <v>-1323887.3462648503</v>
      </c>
      <c r="O80" s="23">
        <f t="shared" si="13"/>
        <v>0.20937965386191887</v>
      </c>
      <c r="Q80" s="11"/>
      <c r="R80" s="11"/>
      <c r="S80" s="23"/>
      <c r="T80" s="11"/>
      <c r="U80" s="11"/>
      <c r="V80" s="57"/>
    </row>
    <row r="81" spans="1:22" x14ac:dyDescent="0.2">
      <c r="A81" s="8">
        <f>'Monthly Data'!A81</f>
        <v>45139</v>
      </c>
      <c r="B81">
        <f t="shared" si="10"/>
        <v>2023</v>
      </c>
      <c r="C81">
        <f t="shared" si="11"/>
        <v>8</v>
      </c>
      <c r="D81" s="19">
        <f>'Monthly Data'!S81</f>
        <v>6992371.2423237106</v>
      </c>
      <c r="E81" s="21">
        <f>'Monthly Data'!BK81</f>
        <v>144.09583333333336</v>
      </c>
      <c r="F81" s="21">
        <f>'Monthly Data'!CT81</f>
        <v>22</v>
      </c>
      <c r="G81" s="21">
        <f>'Monthly Data'!CL81</f>
        <v>1</v>
      </c>
      <c r="I81" s="11">
        <f>'GS Co Gen Predicted Monthly'!$R$10</f>
        <v>-1091818.61931381</v>
      </c>
      <c r="J81" s="11">
        <f t="shared" si="14"/>
        <v>2450240.7586500305</v>
      </c>
      <c r="K81" s="11">
        <f t="shared" si="15"/>
        <v>3657114.3606755342</v>
      </c>
      <c r="L81" s="11">
        <f t="shared" si="16"/>
        <v>-689077.09586613998</v>
      </c>
      <c r="M81" s="11">
        <f t="shared" si="17"/>
        <v>4326459.4041456152</v>
      </c>
      <c r="N81" s="11">
        <f t="shared" si="12"/>
        <v>-2665911.8381780954</v>
      </c>
      <c r="O81" s="23">
        <f t="shared" si="13"/>
        <v>0.38126005410607422</v>
      </c>
      <c r="Q81" s="11"/>
      <c r="R81" s="11"/>
      <c r="S81" s="23"/>
      <c r="T81" s="11"/>
      <c r="U81" s="11"/>
      <c r="V81" s="57"/>
    </row>
    <row r="82" spans="1:22" x14ac:dyDescent="0.2">
      <c r="A82" s="8">
        <f>'Monthly Data'!A82</f>
        <v>45170</v>
      </c>
      <c r="B82">
        <f t="shared" si="10"/>
        <v>2023</v>
      </c>
      <c r="C82">
        <f t="shared" si="11"/>
        <v>9</v>
      </c>
      <c r="D82" s="19">
        <f>'Monthly Data'!S82</f>
        <v>5494894.0473569827</v>
      </c>
      <c r="E82" s="21">
        <f>'Monthly Data'!BK82</f>
        <v>90.90416666666664</v>
      </c>
      <c r="F82" s="21">
        <f>'Monthly Data'!CT82</f>
        <v>20</v>
      </c>
      <c r="G82" s="21">
        <f>'Monthly Data'!CL82</f>
        <v>0</v>
      </c>
      <c r="I82" s="11">
        <f>'GS Co Gen Predicted Monthly'!$R$10</f>
        <v>-1091818.61931381</v>
      </c>
      <c r="J82" s="11">
        <f t="shared" si="14"/>
        <v>1545756.6616970098</v>
      </c>
      <c r="K82" s="11">
        <f t="shared" si="15"/>
        <v>3324649.41879594</v>
      </c>
      <c r="L82" s="11">
        <f t="shared" si="16"/>
        <v>0</v>
      </c>
      <c r="M82" s="11">
        <f t="shared" si="17"/>
        <v>3778587.46117914</v>
      </c>
      <c r="N82" s="11">
        <f t="shared" si="12"/>
        <v>-1716306.5861778427</v>
      </c>
      <c r="O82" s="23">
        <f t="shared" si="13"/>
        <v>0.31234571065176003</v>
      </c>
      <c r="Q82" s="11"/>
      <c r="T82" s="11"/>
      <c r="U82" s="11"/>
      <c r="V82" s="57"/>
    </row>
    <row r="83" spans="1:22" x14ac:dyDescent="0.2">
      <c r="A83" s="8">
        <f>'Monthly Data'!A83</f>
        <v>45200</v>
      </c>
      <c r="B83">
        <f t="shared" si="10"/>
        <v>2023</v>
      </c>
      <c r="C83">
        <f t="shared" si="11"/>
        <v>10</v>
      </c>
      <c r="D83" s="19">
        <f>'Monthly Data'!S83</f>
        <v>4240327.1673253356</v>
      </c>
      <c r="E83" s="21">
        <f>'Monthly Data'!BK83</f>
        <v>37.479166666666657</v>
      </c>
      <c r="F83" s="21">
        <f>'Monthly Data'!CT83</f>
        <v>21</v>
      </c>
      <c r="G83" s="21">
        <f>'Monthly Data'!CL83</f>
        <v>0</v>
      </c>
      <c r="I83" s="11">
        <f>'GS Co Gen Predicted Monthly'!$R$10</f>
        <v>-1091818.61931381</v>
      </c>
      <c r="J83" s="11">
        <f t="shared" si="14"/>
        <v>637304.90773087984</v>
      </c>
      <c r="K83" s="11">
        <f t="shared" si="15"/>
        <v>3490881.8897357369</v>
      </c>
      <c r="L83" s="11">
        <f t="shared" si="16"/>
        <v>0</v>
      </c>
      <c r="M83" s="11">
        <f t="shared" si="17"/>
        <v>3036368.1781528066</v>
      </c>
      <c r="N83" s="11">
        <f t="shared" si="12"/>
        <v>-1203958.989172529</v>
      </c>
      <c r="O83" s="23">
        <f t="shared" si="13"/>
        <v>0.28393068309678288</v>
      </c>
      <c r="Q83" s="11"/>
      <c r="T83" s="11"/>
      <c r="U83" s="11"/>
      <c r="V83" s="57"/>
    </row>
    <row r="84" spans="1:22" x14ac:dyDescent="0.2">
      <c r="A84" s="8">
        <f>'Monthly Data'!A84</f>
        <v>45231</v>
      </c>
      <c r="B84">
        <f t="shared" si="10"/>
        <v>2023</v>
      </c>
      <c r="C84">
        <f t="shared" si="11"/>
        <v>11</v>
      </c>
      <c r="D84" s="19">
        <f>'Monthly Data'!S84</f>
        <v>3874440.0590346674</v>
      </c>
      <c r="E84" s="21">
        <f>'Monthly Data'!BK84</f>
        <v>0</v>
      </c>
      <c r="F84" s="21">
        <f>'Monthly Data'!CT84</f>
        <v>22</v>
      </c>
      <c r="G84" s="21">
        <f>'Monthly Data'!CL84</f>
        <v>0</v>
      </c>
      <c r="I84" s="11">
        <f>'GS Co Gen Predicted Monthly'!$R$10</f>
        <v>-1091818.61931381</v>
      </c>
      <c r="J84" s="11">
        <f t="shared" si="14"/>
        <v>0</v>
      </c>
      <c r="K84" s="11">
        <f t="shared" si="15"/>
        <v>3657114.3606755342</v>
      </c>
      <c r="L84" s="11">
        <f t="shared" si="16"/>
        <v>0</v>
      </c>
      <c r="M84" s="11">
        <f t="shared" si="17"/>
        <v>2565295.7413617242</v>
      </c>
      <c r="N84" s="11">
        <f t="shared" si="12"/>
        <v>-1309144.3176729432</v>
      </c>
      <c r="O84" s="23">
        <f t="shared" si="13"/>
        <v>0.33789252065474512</v>
      </c>
      <c r="Q84" s="11"/>
      <c r="T84" s="11"/>
      <c r="U84" s="11"/>
      <c r="V84" s="57"/>
    </row>
    <row r="85" spans="1:22" x14ac:dyDescent="0.2">
      <c r="A85" s="8">
        <f>'Monthly Data'!A85</f>
        <v>45261</v>
      </c>
      <c r="B85">
        <f t="shared" si="10"/>
        <v>2023</v>
      </c>
      <c r="C85">
        <f t="shared" si="11"/>
        <v>12</v>
      </c>
      <c r="D85" s="19">
        <f>'Monthly Data'!S85</f>
        <v>3620292.7286042501</v>
      </c>
      <c r="E85" s="21">
        <f>'Monthly Data'!BK85</f>
        <v>0</v>
      </c>
      <c r="F85" s="21">
        <f>'Monthly Data'!CT85</f>
        <v>19</v>
      </c>
      <c r="G85" s="21">
        <f>'Monthly Data'!CL85</f>
        <v>0</v>
      </c>
      <c r="I85" s="11">
        <f>'GS Co Gen Predicted Monthly'!$R$10</f>
        <v>-1091818.61931381</v>
      </c>
      <c r="J85" s="11">
        <f t="shared" si="14"/>
        <v>0</v>
      </c>
      <c r="K85" s="11">
        <f t="shared" si="15"/>
        <v>3158416.9478561431</v>
      </c>
      <c r="L85" s="11">
        <f t="shared" si="16"/>
        <v>0</v>
      </c>
      <c r="M85" s="11">
        <f t="shared" si="17"/>
        <v>2066598.3285423331</v>
      </c>
      <c r="N85" s="11">
        <f t="shared" si="12"/>
        <v>-1553694.400061917</v>
      </c>
      <c r="O85" s="23">
        <f t="shared" si="13"/>
        <v>0.42916264416577182</v>
      </c>
      <c r="Q85" s="11"/>
      <c r="T85" s="11"/>
      <c r="U85" s="11"/>
      <c r="V85" s="57"/>
    </row>
    <row r="86" spans="1:22" x14ac:dyDescent="0.2">
      <c r="A86" s="8">
        <f>'Monthly Data'!A86</f>
        <v>45292</v>
      </c>
      <c r="B86">
        <f t="shared" si="10"/>
        <v>2024</v>
      </c>
      <c r="C86">
        <f t="shared" si="11"/>
        <v>1</v>
      </c>
      <c r="D86" s="19">
        <f>'Monthly Data'!S86</f>
        <v>4134836.494755582</v>
      </c>
      <c r="E86" s="21">
        <f>'Monthly Data'!BK86</f>
        <v>0</v>
      </c>
      <c r="F86" s="21">
        <f>'Monthly Data'!CT86</f>
        <v>22</v>
      </c>
      <c r="G86" s="21">
        <f>'Monthly Data'!CL86</f>
        <v>0</v>
      </c>
      <c r="I86" s="11">
        <f>'GS Co Gen Predicted Monthly'!$R$10</f>
        <v>-1091818.61931381</v>
      </c>
      <c r="J86" s="11">
        <f t="shared" si="14"/>
        <v>0</v>
      </c>
      <c r="K86" s="11">
        <f t="shared" si="15"/>
        <v>3657114.3606755342</v>
      </c>
      <c r="L86" s="11">
        <f t="shared" si="16"/>
        <v>0</v>
      </c>
      <c r="M86" s="11">
        <f t="shared" si="17"/>
        <v>2565295.7413617242</v>
      </c>
      <c r="N86" s="11">
        <f t="shared" si="12"/>
        <v>-1569540.7533938577</v>
      </c>
      <c r="O86" s="23">
        <f t="shared" si="13"/>
        <v>0.37958955701986863</v>
      </c>
      <c r="Q86" s="11"/>
      <c r="T86" s="11"/>
      <c r="U86" s="11"/>
      <c r="V86" s="57"/>
    </row>
    <row r="87" spans="1:22" x14ac:dyDescent="0.2">
      <c r="A87" s="8">
        <f>'Monthly Data'!A87</f>
        <v>45323</v>
      </c>
      <c r="B87">
        <f t="shared" si="10"/>
        <v>2024</v>
      </c>
      <c r="C87">
        <f t="shared" si="11"/>
        <v>2</v>
      </c>
      <c r="D87" s="19">
        <f>'Monthly Data'!S87</f>
        <v>3340371.8788483315</v>
      </c>
      <c r="E87" s="21">
        <f>'Monthly Data'!BK87</f>
        <v>0</v>
      </c>
      <c r="F87" s="21">
        <f>'Monthly Data'!CT87</f>
        <v>20</v>
      </c>
      <c r="G87" s="21">
        <f>'Monthly Data'!CL87</f>
        <v>0</v>
      </c>
      <c r="I87" s="11">
        <f>'GS Co Gen Predicted Monthly'!$R$10</f>
        <v>-1091818.61931381</v>
      </c>
      <c r="J87" s="11">
        <f t="shared" si="14"/>
        <v>0</v>
      </c>
      <c r="K87" s="11">
        <f t="shared" si="15"/>
        <v>3324649.41879594</v>
      </c>
      <c r="L87" s="11">
        <f t="shared" si="16"/>
        <v>0</v>
      </c>
      <c r="M87" s="11">
        <f t="shared" si="17"/>
        <v>2232830.79948213</v>
      </c>
      <c r="N87" s="11">
        <f t="shared" si="12"/>
        <v>-1107541.0793662015</v>
      </c>
      <c r="O87" s="23">
        <f t="shared" si="13"/>
        <v>0.33156220909991951</v>
      </c>
      <c r="Q87" s="11"/>
      <c r="T87" s="11"/>
      <c r="U87" s="11"/>
      <c r="V87" s="57"/>
    </row>
    <row r="88" spans="1:22" x14ac:dyDescent="0.2">
      <c r="A88" s="8">
        <f>'Monthly Data'!A88</f>
        <v>45352</v>
      </c>
      <c r="B88">
        <f t="shared" si="10"/>
        <v>2024</v>
      </c>
      <c r="C88">
        <f t="shared" si="11"/>
        <v>3</v>
      </c>
      <c r="D88" s="19">
        <f>'Monthly Data'!S88</f>
        <v>3571437.4403881808</v>
      </c>
      <c r="E88" s="21">
        <f>'Monthly Data'!BK88</f>
        <v>0</v>
      </c>
      <c r="F88" s="21">
        <f>'Monthly Data'!CT88</f>
        <v>20</v>
      </c>
      <c r="G88" s="21">
        <f>'Monthly Data'!CL88</f>
        <v>0</v>
      </c>
      <c r="I88" s="11">
        <f>'GS Co Gen Predicted Monthly'!$R$10</f>
        <v>-1091818.61931381</v>
      </c>
      <c r="J88" s="11">
        <f t="shared" si="14"/>
        <v>0</v>
      </c>
      <c r="K88" s="11">
        <f t="shared" si="15"/>
        <v>3324649.41879594</v>
      </c>
      <c r="L88" s="11">
        <f t="shared" si="16"/>
        <v>0</v>
      </c>
      <c r="M88" s="11">
        <f t="shared" si="17"/>
        <v>2232830.79948213</v>
      </c>
      <c r="N88" s="11">
        <f t="shared" si="12"/>
        <v>-1338606.6409060508</v>
      </c>
      <c r="O88" s="23">
        <f t="shared" si="13"/>
        <v>0.37480892868742427</v>
      </c>
      <c r="Q88" s="11"/>
    </row>
    <row r="89" spans="1:22" x14ac:dyDescent="0.2">
      <c r="A89" s="8">
        <f>'Monthly Data'!A89</f>
        <v>45383</v>
      </c>
      <c r="B89">
        <f t="shared" si="10"/>
        <v>2024</v>
      </c>
      <c r="C89">
        <f t="shared" si="11"/>
        <v>4</v>
      </c>
      <c r="D89" s="19">
        <f>'Monthly Data'!S89</f>
        <v>3559296.6426970703</v>
      </c>
      <c r="E89" s="21">
        <f>'Monthly Data'!BK89</f>
        <v>8.4166666666666679</v>
      </c>
      <c r="F89" s="21">
        <f>'Monthly Data'!CT89</f>
        <v>22</v>
      </c>
      <c r="G89" s="21">
        <f>'Monthly Data'!CL89</f>
        <v>0</v>
      </c>
      <c r="I89" s="11">
        <f>'GS Co Gen Predicted Monthly'!$R$10</f>
        <v>-1091818.61931381</v>
      </c>
      <c r="J89" s="11">
        <f t="shared" si="14"/>
        <v>143119.05654434438</v>
      </c>
      <c r="K89" s="11">
        <f t="shared" si="15"/>
        <v>3657114.3606755342</v>
      </c>
      <c r="L89" s="11">
        <f t="shared" si="16"/>
        <v>0</v>
      </c>
      <c r="M89" s="11">
        <f t="shared" si="17"/>
        <v>2708414.7979060686</v>
      </c>
      <c r="N89" s="11">
        <f t="shared" si="12"/>
        <v>-850881.84479100164</v>
      </c>
      <c r="O89" s="23">
        <f t="shared" si="13"/>
        <v>0.23905898558268038</v>
      </c>
      <c r="V89" s="49"/>
    </row>
    <row r="90" spans="1:22" x14ac:dyDescent="0.2">
      <c r="A90" s="8">
        <f>'Monthly Data'!A90</f>
        <v>45413</v>
      </c>
      <c r="B90">
        <f t="shared" si="10"/>
        <v>2024</v>
      </c>
      <c r="C90">
        <f t="shared" si="11"/>
        <v>5</v>
      </c>
      <c r="D90" s="19">
        <f>'Monthly Data'!S90</f>
        <v>3685994.6039710096</v>
      </c>
      <c r="E90" s="21">
        <f>'Monthly Data'!BK90</f>
        <v>73.216666666666654</v>
      </c>
      <c r="F90" s="21">
        <f>'Monthly Data'!CT90</f>
        <v>22</v>
      </c>
      <c r="G90" s="21">
        <f>'Monthly Data'!CL90</f>
        <v>0</v>
      </c>
      <c r="I90" s="11">
        <f>'GS Co Gen Predicted Monthly'!$R$10</f>
        <v>-1091818.61931381</v>
      </c>
      <c r="J90" s="11">
        <f t="shared" si="14"/>
        <v>1244994.0898996133</v>
      </c>
      <c r="K90" s="11">
        <f t="shared" si="15"/>
        <v>3657114.3606755342</v>
      </c>
      <c r="L90" s="11">
        <f t="shared" si="16"/>
        <v>0</v>
      </c>
      <c r="M90" s="11">
        <f t="shared" si="17"/>
        <v>3810289.8312613377</v>
      </c>
      <c r="N90" s="11">
        <f t="shared" si="12"/>
        <v>124295.22729032813</v>
      </c>
      <c r="O90" s="23">
        <f t="shared" si="13"/>
        <v>3.3720946622228347E-2</v>
      </c>
    </row>
    <row r="91" spans="1:22" x14ac:dyDescent="0.2">
      <c r="A91" s="8">
        <f>'Monthly Data'!A91</f>
        <v>45444</v>
      </c>
      <c r="B91">
        <f t="shared" si="10"/>
        <v>2024</v>
      </c>
      <c r="C91">
        <f t="shared" si="11"/>
        <v>6</v>
      </c>
      <c r="D91" s="19">
        <f>'Monthly Data'!S91</f>
        <v>4407100.2006814191</v>
      </c>
      <c r="E91" s="21">
        <f>'Monthly Data'!BK91</f>
        <v>169.16458333333333</v>
      </c>
      <c r="F91" s="21">
        <f>'Monthly Data'!CT91</f>
        <v>20</v>
      </c>
      <c r="G91" s="21">
        <f>'Monthly Data'!CL91</f>
        <v>0</v>
      </c>
      <c r="I91" s="11">
        <f>'GS Co Gen Predicted Monthly'!$R$10</f>
        <v>-1091818.61931381</v>
      </c>
      <c r="J91" s="11">
        <f t="shared" si="14"/>
        <v>2876515.9089960936</v>
      </c>
      <c r="K91" s="11">
        <f t="shared" si="15"/>
        <v>3324649.41879594</v>
      </c>
      <c r="L91" s="11">
        <f t="shared" si="16"/>
        <v>0</v>
      </c>
      <c r="M91" s="11">
        <f t="shared" si="17"/>
        <v>5109346.7084782235</v>
      </c>
      <c r="N91" s="11">
        <f t="shared" si="12"/>
        <v>702246.50779680442</v>
      </c>
      <c r="O91" s="23">
        <f t="shared" si="13"/>
        <v>0.15934434794294536</v>
      </c>
    </row>
    <row r="92" spans="1:22" x14ac:dyDescent="0.2">
      <c r="A92" s="8">
        <f>'Monthly Data'!A92</f>
        <v>45474</v>
      </c>
      <c r="B92">
        <f t="shared" si="10"/>
        <v>2024</v>
      </c>
      <c r="C92">
        <f t="shared" si="11"/>
        <v>7</v>
      </c>
      <c r="D92" s="19">
        <f>'Monthly Data'!S92</f>
        <v>2729070.3712969488</v>
      </c>
      <c r="E92" s="21">
        <f>'Monthly Data'!BK92</f>
        <v>221.45416666666657</v>
      </c>
      <c r="F92" s="21">
        <f>'Monthly Data'!CT92</f>
        <v>22</v>
      </c>
      <c r="G92" s="21">
        <f>'Monthly Data'!CL92</f>
        <v>1</v>
      </c>
      <c r="I92" s="11">
        <f>'GS Co Gen Predicted Monthly'!$R$10</f>
        <v>-1091818.61931381</v>
      </c>
      <c r="J92" s="11">
        <f t="shared" si="14"/>
        <v>3765660.760532354</v>
      </c>
      <c r="K92" s="11">
        <f t="shared" si="15"/>
        <v>3657114.3606755342</v>
      </c>
      <c r="L92" s="11">
        <f t="shared" si="16"/>
        <v>-689077.09586613998</v>
      </c>
      <c r="M92" s="11">
        <f t="shared" si="17"/>
        <v>5641879.4060279382</v>
      </c>
      <c r="N92" s="11">
        <f t="shared" si="12"/>
        <v>2912809.0347309895</v>
      </c>
      <c r="O92" s="23">
        <f t="shared" si="13"/>
        <v>1.0673264659521116</v>
      </c>
    </row>
    <row r="93" spans="1:22" x14ac:dyDescent="0.2">
      <c r="A93" s="8">
        <f>'Monthly Data'!A93</f>
        <v>45505</v>
      </c>
      <c r="B93">
        <f t="shared" si="10"/>
        <v>2024</v>
      </c>
      <c r="C93">
        <f t="shared" si="11"/>
        <v>8</v>
      </c>
      <c r="D93" s="19">
        <f>'Monthly Data'!S93</f>
        <v>2759475.7435549381</v>
      </c>
      <c r="E93" s="21">
        <f>'Monthly Data'!BK93</f>
        <v>183.15208333333334</v>
      </c>
      <c r="F93" s="21">
        <f>'Monthly Data'!CT93</f>
        <v>22</v>
      </c>
      <c r="G93" s="21">
        <f>'Monthly Data'!CL93</f>
        <v>1</v>
      </c>
      <c r="I93" s="11">
        <f>'GS Co Gen Predicted Monthly'!$R$10</f>
        <v>-1091818.61931381</v>
      </c>
      <c r="J93" s="11">
        <f t="shared" si="14"/>
        <v>3114362.7767284522</v>
      </c>
      <c r="K93" s="11">
        <f t="shared" si="15"/>
        <v>3657114.3606755342</v>
      </c>
      <c r="L93" s="11">
        <f t="shared" si="16"/>
        <v>-689077.09586613998</v>
      </c>
      <c r="M93" s="11">
        <f t="shared" si="17"/>
        <v>4990581.4222240364</v>
      </c>
      <c r="N93" s="11">
        <f t="shared" si="12"/>
        <v>2231105.6786690983</v>
      </c>
      <c r="O93" s="23">
        <f t="shared" si="13"/>
        <v>0.80852520044073339</v>
      </c>
    </row>
    <row r="94" spans="1:22" x14ac:dyDescent="0.2">
      <c r="A94" s="8">
        <f>'Monthly Data'!A94</f>
        <v>45536</v>
      </c>
      <c r="B94">
        <f t="shared" si="10"/>
        <v>2024</v>
      </c>
      <c r="C94">
        <f t="shared" si="11"/>
        <v>9</v>
      </c>
      <c r="D94" s="19">
        <f>'Monthly Data'!S94</f>
        <v>2325797.1800787374</v>
      </c>
      <c r="E94" s="21">
        <f>'Monthly Data'!BK94</f>
        <v>120.08541666666667</v>
      </c>
      <c r="F94" s="21">
        <f>'Monthly Data'!CT94</f>
        <v>20</v>
      </c>
      <c r="G94" s="21">
        <f>'Monthly Data'!CL94</f>
        <v>0</v>
      </c>
      <c r="I94" s="11">
        <f>'GS Co Gen Predicted Monthly'!$R$10</f>
        <v>-1091818.61931381</v>
      </c>
      <c r="J94" s="11">
        <f t="shared" si="14"/>
        <v>2041961.7668991471</v>
      </c>
      <c r="K94" s="11">
        <f t="shared" si="15"/>
        <v>3324649.41879594</v>
      </c>
      <c r="L94" s="11">
        <f t="shared" si="16"/>
        <v>0</v>
      </c>
      <c r="M94" s="11">
        <f t="shared" si="17"/>
        <v>4274792.5663812775</v>
      </c>
      <c r="N94" s="11">
        <f t="shared" si="12"/>
        <v>1948995.3863025401</v>
      </c>
      <c r="O94" s="23">
        <f t="shared" si="13"/>
        <v>0.83799026114416342</v>
      </c>
    </row>
    <row r="95" spans="1:22" x14ac:dyDescent="0.2">
      <c r="A95" s="8">
        <f>'Monthly Data'!A95</f>
        <v>45566</v>
      </c>
      <c r="B95">
        <f t="shared" si="10"/>
        <v>2024</v>
      </c>
      <c r="C95">
        <f t="shared" si="11"/>
        <v>10</v>
      </c>
      <c r="D95" s="19">
        <f>'Monthly Data'!S95</f>
        <v>1986048.5879870269</v>
      </c>
      <c r="E95" s="21">
        <f>'Monthly Data'!BK95</f>
        <v>19.300000000000008</v>
      </c>
      <c r="F95" s="21">
        <f>'Monthly Data'!CT95</f>
        <v>22</v>
      </c>
      <c r="G95" s="21">
        <f>'Monthly Data'!CL95</f>
        <v>0</v>
      </c>
      <c r="I95" s="11">
        <f>'GS Co Gen Predicted Monthly'!$R$10</f>
        <v>-1091818.61931381</v>
      </c>
      <c r="J95" s="11">
        <f t="shared" si="14"/>
        <v>328181.9157987145</v>
      </c>
      <c r="K95" s="11">
        <f t="shared" si="15"/>
        <v>3657114.3606755342</v>
      </c>
      <c r="L95" s="11">
        <f t="shared" si="16"/>
        <v>0</v>
      </c>
      <c r="M95" s="11">
        <f t="shared" si="17"/>
        <v>2893477.6571604386</v>
      </c>
      <c r="N95" s="11">
        <f t="shared" si="12"/>
        <v>907429.0691734117</v>
      </c>
      <c r="O95" s="23">
        <f t="shared" si="13"/>
        <v>0.4569017468465576</v>
      </c>
    </row>
    <row r="96" spans="1:22" x14ac:dyDescent="0.2">
      <c r="A96" s="8">
        <f>'Monthly Data'!A96</f>
        <v>45597</v>
      </c>
      <c r="B96">
        <f t="shared" si="10"/>
        <v>2024</v>
      </c>
      <c r="C96">
        <f t="shared" si="11"/>
        <v>11</v>
      </c>
      <c r="D96" s="19">
        <f>'Monthly Data'!S96</f>
        <v>2700816.8671933762</v>
      </c>
      <c r="E96" s="21">
        <f>'Monthly Data'!BK96</f>
        <v>7.3583333333333343</v>
      </c>
      <c r="F96" s="21">
        <f>'Monthly Data'!CT96</f>
        <v>21</v>
      </c>
      <c r="G96" s="21">
        <f>'Monthly Data'!CL96</f>
        <v>0</v>
      </c>
      <c r="I96" s="11">
        <f>'GS Co Gen Predicted Monthly'!$R$10</f>
        <v>-1091818.61931381</v>
      </c>
      <c r="J96" s="11">
        <f t="shared" si="14"/>
        <v>125122.89794916444</v>
      </c>
      <c r="K96" s="11">
        <f t="shared" si="15"/>
        <v>3490881.8897357369</v>
      </c>
      <c r="L96" s="11">
        <f t="shared" si="16"/>
        <v>0</v>
      </c>
      <c r="M96" s="11">
        <f t="shared" si="17"/>
        <v>2524186.1683710916</v>
      </c>
      <c r="N96" s="11">
        <f t="shared" si="12"/>
        <v>-176630.69882228458</v>
      </c>
      <c r="O96" s="23">
        <f t="shared" si="13"/>
        <v>6.5398991308075971E-2</v>
      </c>
    </row>
    <row r="97" spans="1:15" x14ac:dyDescent="0.2">
      <c r="A97" s="8">
        <f>'Monthly Data'!A97</f>
        <v>45627</v>
      </c>
      <c r="B97">
        <f t="shared" si="10"/>
        <v>2024</v>
      </c>
      <c r="C97">
        <f t="shared" si="11"/>
        <v>12</v>
      </c>
      <c r="D97" s="19">
        <f>'Monthly Data'!S97</f>
        <v>1434683.3089578557</v>
      </c>
      <c r="E97" s="21">
        <f>'Monthly Data'!BK97</f>
        <v>0</v>
      </c>
      <c r="F97" s="21">
        <f>'Monthly Data'!CT97</f>
        <v>20</v>
      </c>
      <c r="G97" s="21">
        <f>'Monthly Data'!CL97</f>
        <v>0</v>
      </c>
      <c r="I97" s="11">
        <f>'GS Co Gen Predicted Monthly'!$R$10</f>
        <v>-1091818.61931381</v>
      </c>
      <c r="J97" s="11">
        <f t="shared" si="14"/>
        <v>0</v>
      </c>
      <c r="K97" s="11">
        <f t="shared" si="15"/>
        <v>3324649.41879594</v>
      </c>
      <c r="L97" s="11">
        <f t="shared" si="16"/>
        <v>0</v>
      </c>
      <c r="M97" s="11">
        <f t="shared" si="17"/>
        <v>2232830.79948213</v>
      </c>
      <c r="N97" s="11">
        <f t="shared" si="12"/>
        <v>798147.4905242743</v>
      </c>
      <c r="O97" s="23">
        <f t="shared" si="13"/>
        <v>0.55632311712334848</v>
      </c>
    </row>
    <row r="98" spans="1:15" x14ac:dyDescent="0.2">
      <c r="A98" s="8">
        <f>'Monthly Data'!A98</f>
        <v>45658</v>
      </c>
      <c r="B98">
        <f t="shared" ref="B98:B109" si="18">YEAR(A98)</f>
        <v>2025</v>
      </c>
      <c r="C98">
        <f t="shared" ref="C98:C109" si="19">MONTH(A98)</f>
        <v>1</v>
      </c>
      <c r="D98" s="19">
        <f>'Monthly Data'!S98</f>
        <v>744626.86911603797</v>
      </c>
      <c r="E98" s="21">
        <f>'Monthly Data'!BK98</f>
        <v>0</v>
      </c>
      <c r="F98" s="21">
        <f>'Monthly Data'!CT98</f>
        <v>22</v>
      </c>
      <c r="G98" s="21">
        <f>'Monthly Data'!CL98</f>
        <v>0</v>
      </c>
      <c r="I98" s="11">
        <f>'GS Co Gen Predicted Monthly'!$R$10</f>
        <v>-1091818.61931381</v>
      </c>
      <c r="J98" s="11">
        <f t="shared" ref="J98:J109" si="20">E98*$R$11</f>
        <v>0</v>
      </c>
      <c r="K98" s="11">
        <f t="shared" ref="K98:K109" si="21">F98*$R$12</f>
        <v>3657114.3606755342</v>
      </c>
      <c r="L98" s="11">
        <f t="shared" si="16"/>
        <v>0</v>
      </c>
      <c r="M98" s="11">
        <f t="shared" si="17"/>
        <v>2565295.7413617242</v>
      </c>
      <c r="N98" s="11">
        <f t="shared" ref="N98:N109" si="22">M98-D98</f>
        <v>1820668.8722456861</v>
      </c>
      <c r="O98" s="23">
        <f t="shared" ref="O98:O109" si="23">ABS(N98/D98)</f>
        <v>2.4450754434996953</v>
      </c>
    </row>
    <row r="99" spans="1:15" x14ac:dyDescent="0.2">
      <c r="A99" s="8">
        <f>'Monthly Data'!A99</f>
        <v>45689</v>
      </c>
      <c r="B99">
        <f t="shared" si="18"/>
        <v>2025</v>
      </c>
      <c r="C99">
        <f t="shared" si="19"/>
        <v>2</v>
      </c>
      <c r="D99" s="19">
        <f>'Monthly Data'!S99</f>
        <v>934363.69084218494</v>
      </c>
      <c r="E99" s="21">
        <f>'Monthly Data'!BK99</f>
        <v>0</v>
      </c>
      <c r="F99" s="21">
        <f>'Monthly Data'!CT99</f>
        <v>19</v>
      </c>
      <c r="G99" s="21">
        <f>'Monthly Data'!CL99</f>
        <v>0</v>
      </c>
      <c r="I99" s="11">
        <f>'GS Co Gen Predicted Monthly'!$R$10</f>
        <v>-1091818.61931381</v>
      </c>
      <c r="J99" s="11">
        <f t="shared" si="20"/>
        <v>0</v>
      </c>
      <c r="K99" s="11">
        <f t="shared" si="21"/>
        <v>3158416.9478561431</v>
      </c>
      <c r="L99" s="11">
        <f t="shared" si="16"/>
        <v>0</v>
      </c>
      <c r="M99" s="11">
        <f t="shared" si="17"/>
        <v>2066598.3285423331</v>
      </c>
      <c r="N99" s="11">
        <f t="shared" si="22"/>
        <v>1132234.6377001482</v>
      </c>
      <c r="O99" s="23">
        <f t="shared" si="23"/>
        <v>1.211770800596514</v>
      </c>
    </row>
    <row r="100" spans="1:15" x14ac:dyDescent="0.2">
      <c r="A100" s="8">
        <f>'Monthly Data'!A100</f>
        <v>45717</v>
      </c>
      <c r="B100">
        <f t="shared" si="18"/>
        <v>2025</v>
      </c>
      <c r="C100">
        <f t="shared" si="19"/>
        <v>3</v>
      </c>
      <c r="D100" s="19">
        <f>'Monthly Data'!S100</f>
        <v>1463704.6201513631</v>
      </c>
      <c r="E100" s="21">
        <f>'Monthly Data'!BK100</f>
        <v>0</v>
      </c>
      <c r="F100" s="21">
        <f>'Monthly Data'!CT100</f>
        <v>21</v>
      </c>
      <c r="G100" s="21">
        <f>'Monthly Data'!CL100</f>
        <v>0</v>
      </c>
      <c r="I100" s="11">
        <f>'GS Co Gen Predicted Monthly'!$R$10</f>
        <v>-1091818.61931381</v>
      </c>
      <c r="J100" s="11">
        <f t="shared" si="20"/>
        <v>0</v>
      </c>
      <c r="K100" s="11">
        <f t="shared" si="21"/>
        <v>3490881.8897357369</v>
      </c>
      <c r="L100" s="11">
        <f t="shared" si="16"/>
        <v>0</v>
      </c>
      <c r="M100" s="11">
        <f t="shared" si="17"/>
        <v>2399063.2704219269</v>
      </c>
      <c r="N100" s="11">
        <f t="shared" si="22"/>
        <v>935358.65027056378</v>
      </c>
      <c r="O100" s="23">
        <f t="shared" si="23"/>
        <v>0.63903511500417176</v>
      </c>
    </row>
    <row r="101" spans="1:15" x14ac:dyDescent="0.2">
      <c r="A101" s="8">
        <f>'Monthly Data'!A101</f>
        <v>45748</v>
      </c>
      <c r="B101">
        <f t="shared" si="18"/>
        <v>2025</v>
      </c>
      <c r="C101">
        <f t="shared" si="19"/>
        <v>4</v>
      </c>
      <c r="D101" s="19">
        <f>'Monthly Data'!S101</f>
        <v>3015672.0979135549</v>
      </c>
      <c r="E101" s="21">
        <f>'Monthly Data'!BK101</f>
        <v>9.0583333333333371</v>
      </c>
      <c r="F101" s="21">
        <f>'Monthly Data'!CT101</f>
        <v>21</v>
      </c>
      <c r="G101" s="21">
        <f>'Monthly Data'!CL101</f>
        <v>0</v>
      </c>
      <c r="I101" s="11">
        <f>'GS Co Gen Predicted Monthly'!$R$10</f>
        <v>-1091818.61931381</v>
      </c>
      <c r="J101" s="11">
        <f t="shared" si="20"/>
        <v>154030.1133303984</v>
      </c>
      <c r="K101" s="11">
        <f t="shared" si="21"/>
        <v>3490881.8897357369</v>
      </c>
      <c r="L101" s="11">
        <f t="shared" si="16"/>
        <v>0</v>
      </c>
      <c r="M101" s="11">
        <f t="shared" si="17"/>
        <v>2553093.3837523255</v>
      </c>
      <c r="N101" s="11">
        <f t="shared" si="22"/>
        <v>-462578.71416122932</v>
      </c>
      <c r="O101" s="23">
        <f t="shared" si="23"/>
        <v>0.15339158208920409</v>
      </c>
    </row>
    <row r="102" spans="1:15" x14ac:dyDescent="0.2">
      <c r="A102" s="8">
        <f>'Monthly Data'!A102</f>
        <v>45778</v>
      </c>
      <c r="B102">
        <f t="shared" si="18"/>
        <v>2025</v>
      </c>
      <c r="C102">
        <f t="shared" si="19"/>
        <v>5</v>
      </c>
      <c r="D102" s="19">
        <f>'Monthly Data'!S102</f>
        <v>2717419.6950709871</v>
      </c>
      <c r="E102" s="21">
        <f>'Monthly Data'!BK102</f>
        <v>30.504166666666652</v>
      </c>
      <c r="F102" s="21">
        <f>'Monthly Data'!CT102</f>
        <v>21</v>
      </c>
      <c r="G102" s="21">
        <f>'Monthly Data'!CL102</f>
        <v>0</v>
      </c>
      <c r="I102" s="11">
        <f>'GS Co Gen Predicted Monthly'!$R$10</f>
        <v>-1091818.61931381</v>
      </c>
      <c r="J102" s="11">
        <f t="shared" si="20"/>
        <v>518700.30344611115</v>
      </c>
      <c r="K102" s="11">
        <f t="shared" si="21"/>
        <v>3490881.8897357369</v>
      </c>
      <c r="L102" s="11">
        <f t="shared" si="16"/>
        <v>0</v>
      </c>
      <c r="M102" s="11">
        <f t="shared" si="17"/>
        <v>2917763.5738680381</v>
      </c>
      <c r="N102" s="11">
        <f t="shared" si="22"/>
        <v>200343.87879705103</v>
      </c>
      <c r="O102" s="23">
        <f t="shared" si="23"/>
        <v>7.37257771261636E-2</v>
      </c>
    </row>
    <row r="103" spans="1:15" x14ac:dyDescent="0.2">
      <c r="A103" s="8">
        <f>'Monthly Data'!A103</f>
        <v>45809</v>
      </c>
      <c r="B103">
        <f t="shared" si="18"/>
        <v>2025</v>
      </c>
      <c r="C103">
        <f t="shared" si="19"/>
        <v>6</v>
      </c>
      <c r="D103" s="19">
        <f>'Monthly Data'!S103</f>
        <v>6664300.3948202198</v>
      </c>
      <c r="E103" s="21">
        <f>'Monthly Data'!BK103</f>
        <v>188.56249999999997</v>
      </c>
      <c r="F103" s="21">
        <f>'Monthly Data'!CT103</f>
        <v>21</v>
      </c>
      <c r="G103" s="21">
        <f>'Monthly Data'!CL103</f>
        <v>0</v>
      </c>
      <c r="I103" s="11">
        <f>'GS Co Gen Predicted Monthly'!$R$10</f>
        <v>-1091818.61931381</v>
      </c>
      <c r="J103" s="11">
        <f t="shared" si="20"/>
        <v>3206362.8237199518</v>
      </c>
      <c r="K103" s="11">
        <f t="shared" si="21"/>
        <v>3490881.8897357369</v>
      </c>
      <c r="L103" s="11">
        <f t="shared" si="16"/>
        <v>0</v>
      </c>
      <c r="M103" s="11">
        <f t="shared" si="17"/>
        <v>5605426.0941418782</v>
      </c>
      <c r="N103" s="11">
        <f t="shared" si="22"/>
        <v>-1058874.3006783416</v>
      </c>
      <c r="O103" s="23">
        <f t="shared" si="23"/>
        <v>0.15888754076892214</v>
      </c>
    </row>
    <row r="104" spans="1:15" x14ac:dyDescent="0.2">
      <c r="A104" s="8">
        <f>'Monthly Data'!A104</f>
        <v>45839</v>
      </c>
      <c r="B104">
        <f t="shared" si="18"/>
        <v>2025</v>
      </c>
      <c r="C104">
        <f t="shared" si="19"/>
        <v>7</v>
      </c>
      <c r="D104" s="19">
        <f>'Monthly Data'!S104</f>
        <v>5559636.5173280817</v>
      </c>
      <c r="E104" s="21">
        <f>'Monthly Data'!BK104</f>
        <v>255.57916666666662</v>
      </c>
      <c r="F104" s="21">
        <f>'Monthly Data'!CT104</f>
        <v>22</v>
      </c>
      <c r="G104" s="21">
        <f>'Monthly Data'!CL104</f>
        <v>1</v>
      </c>
      <c r="I104" s="11">
        <f>'GS Co Gen Predicted Monthly'!$R$10</f>
        <v>-1091818.61931381</v>
      </c>
      <c r="J104" s="11">
        <f t="shared" si="20"/>
        <v>4345930.5986997709</v>
      </c>
      <c r="K104" s="11">
        <f t="shared" si="21"/>
        <v>3657114.3606755342</v>
      </c>
      <c r="L104" s="11">
        <f t="shared" si="16"/>
        <v>-689077.09586613998</v>
      </c>
      <c r="M104" s="11">
        <f t="shared" si="17"/>
        <v>6222149.2441953551</v>
      </c>
      <c r="N104" s="11">
        <f t="shared" si="22"/>
        <v>662512.72686727345</v>
      </c>
      <c r="O104" s="23">
        <f t="shared" si="23"/>
        <v>0.11916475560989946</v>
      </c>
    </row>
    <row r="105" spans="1:15" x14ac:dyDescent="0.2">
      <c r="A105" s="8">
        <f>'Monthly Data'!A105</f>
        <v>45870</v>
      </c>
      <c r="B105">
        <f t="shared" si="18"/>
        <v>2025</v>
      </c>
      <c r="C105">
        <f t="shared" si="19"/>
        <v>8</v>
      </c>
      <c r="D105" s="19">
        <f>'Monthly Data'!S105</f>
        <v>4475437.8092067335</v>
      </c>
      <c r="E105" s="21">
        <f>'Monthly Data'!BK105</f>
        <v>178.91250000000005</v>
      </c>
      <c r="F105" s="21">
        <f>'Monthly Data'!CT105</f>
        <v>21</v>
      </c>
      <c r="G105" s="21">
        <f>'Monthly Data'!CL105</f>
        <v>1</v>
      </c>
      <c r="I105" s="11">
        <f>'GS Co Gen Predicted Monthly'!$R$10</f>
        <v>-1091818.61931381</v>
      </c>
      <c r="J105" s="11">
        <f t="shared" si="20"/>
        <v>3042271.865820596</v>
      </c>
      <c r="K105" s="11">
        <f t="shared" si="21"/>
        <v>3490881.8897357369</v>
      </c>
      <c r="L105" s="11">
        <f t="shared" si="16"/>
        <v>-689077.09586613998</v>
      </c>
      <c r="M105" s="11">
        <f t="shared" si="17"/>
        <v>4752258.0403763829</v>
      </c>
      <c r="N105" s="11">
        <f t="shared" si="22"/>
        <v>276820.2311696494</v>
      </c>
      <c r="O105" s="23">
        <f t="shared" si="23"/>
        <v>6.1853218158943755E-2</v>
      </c>
    </row>
    <row r="106" spans="1:15" x14ac:dyDescent="0.2">
      <c r="A106" s="8">
        <f>'Monthly Data'!A106</f>
        <v>45901</v>
      </c>
      <c r="B106">
        <f t="shared" si="18"/>
        <v>2025</v>
      </c>
      <c r="C106">
        <f t="shared" si="19"/>
        <v>9</v>
      </c>
      <c r="D106" s="19">
        <f>'Monthly Data'!S106</f>
        <v>2469394.5411401149</v>
      </c>
      <c r="E106" s="21">
        <f>'Monthly Data'!BK106</f>
        <v>102.07916666666665</v>
      </c>
      <c r="F106" s="21">
        <f>'Monthly Data'!CT106</f>
        <v>21</v>
      </c>
      <c r="G106" s="21">
        <f>'Monthly Data'!CL106</f>
        <v>0</v>
      </c>
      <c r="I106" s="11">
        <f>'GS Co Gen Predicted Monthly'!$R$10</f>
        <v>-1091818.61931381</v>
      </c>
      <c r="J106" s="11">
        <f t="shared" si="20"/>
        <v>1735779.0922177683</v>
      </c>
      <c r="K106" s="11">
        <f t="shared" si="21"/>
        <v>3490881.8897357369</v>
      </c>
      <c r="L106" s="11">
        <f t="shared" si="16"/>
        <v>0</v>
      </c>
      <c r="M106" s="11">
        <f t="shared" si="17"/>
        <v>4134842.3626396954</v>
      </c>
      <c r="N106" s="11">
        <f t="shared" si="22"/>
        <v>1665447.8214995805</v>
      </c>
      <c r="O106" s="23">
        <f t="shared" si="23"/>
        <v>0.67443569415628757</v>
      </c>
    </row>
    <row r="107" spans="1:15" x14ac:dyDescent="0.2">
      <c r="A107" s="8">
        <f>'Monthly Data'!A107</f>
        <v>45931</v>
      </c>
      <c r="B107">
        <f t="shared" si="18"/>
        <v>2025</v>
      </c>
      <c r="C107">
        <f t="shared" si="19"/>
        <v>10</v>
      </c>
      <c r="D107" s="19">
        <f>'Monthly Data'!S107</f>
        <v>2893984.997376537</v>
      </c>
      <c r="E107" s="21">
        <f>'Monthly Data'!BK107</f>
        <v>29.312500000000004</v>
      </c>
      <c r="F107" s="21">
        <f>'Monthly Data'!CT107</f>
        <v>22</v>
      </c>
      <c r="G107" s="21">
        <f>'Monthly Data'!CL107</f>
        <v>0</v>
      </c>
      <c r="I107" s="11">
        <f>'GS Co Gen Predicted Monthly'!$R$10</f>
        <v>-1091818.61931381</v>
      </c>
      <c r="J107" s="11">
        <f t="shared" si="20"/>
        <v>498436.91227201122</v>
      </c>
      <c r="K107" s="11">
        <f t="shared" si="21"/>
        <v>3657114.3606755342</v>
      </c>
      <c r="L107" s="11">
        <f t="shared" si="16"/>
        <v>0</v>
      </c>
      <c r="M107" s="11">
        <f t="shared" si="17"/>
        <v>3063732.6536337351</v>
      </c>
      <c r="N107" s="11">
        <f t="shared" si="22"/>
        <v>169747.65625719819</v>
      </c>
      <c r="O107" s="23">
        <f t="shared" si="23"/>
        <v>5.8655333877362284E-2</v>
      </c>
    </row>
    <row r="108" spans="1:15" x14ac:dyDescent="0.2">
      <c r="A108" s="8">
        <f>'Monthly Data'!A108</f>
        <v>45962</v>
      </c>
      <c r="B108">
        <f t="shared" si="18"/>
        <v>2025</v>
      </c>
      <c r="C108">
        <f t="shared" si="19"/>
        <v>11</v>
      </c>
      <c r="D108" s="19">
        <f>'Monthly Data'!S108</f>
        <v>1206040.1878856791</v>
      </c>
      <c r="E108" s="21">
        <f>'Monthly Data'!BK108</f>
        <v>0</v>
      </c>
      <c r="F108" s="21">
        <f>'Monthly Data'!CT108</f>
        <v>20</v>
      </c>
      <c r="G108" s="21">
        <f>'Monthly Data'!CL108</f>
        <v>0</v>
      </c>
      <c r="I108" s="11">
        <f>'GS Co Gen Predicted Monthly'!$R$10</f>
        <v>-1091818.61931381</v>
      </c>
      <c r="J108" s="11">
        <f t="shared" si="20"/>
        <v>0</v>
      </c>
      <c r="K108" s="11">
        <f t="shared" si="21"/>
        <v>3324649.41879594</v>
      </c>
      <c r="L108" s="11">
        <f t="shared" si="16"/>
        <v>0</v>
      </c>
      <c r="M108" s="11">
        <f t="shared" si="17"/>
        <v>2232830.79948213</v>
      </c>
      <c r="N108" s="11">
        <f t="shared" si="22"/>
        <v>1026790.6115964509</v>
      </c>
      <c r="O108" s="23">
        <f t="shared" si="23"/>
        <v>0.85137346326454311</v>
      </c>
    </row>
    <row r="109" spans="1:15" x14ac:dyDescent="0.2">
      <c r="A109" s="8">
        <f>'Monthly Data'!A109</f>
        <v>45992</v>
      </c>
      <c r="B109">
        <f t="shared" si="18"/>
        <v>2025</v>
      </c>
      <c r="C109">
        <f t="shared" si="19"/>
        <v>12</v>
      </c>
      <c r="D109" s="19">
        <f>'Monthly Data'!S109</f>
        <v>1366926.3633808512</v>
      </c>
      <c r="E109" s="21">
        <f>'Monthly Data'!BK109</f>
        <v>0</v>
      </c>
      <c r="F109" s="21">
        <f>'Monthly Data'!CT109</f>
        <v>21</v>
      </c>
      <c r="G109" s="21">
        <f>'Monthly Data'!CL109</f>
        <v>0</v>
      </c>
      <c r="I109" s="11">
        <f>'GS Co Gen Predicted Monthly'!$R$10</f>
        <v>-1091818.61931381</v>
      </c>
      <c r="J109" s="11">
        <f t="shared" si="20"/>
        <v>0</v>
      </c>
      <c r="K109" s="11">
        <f t="shared" si="21"/>
        <v>3490881.8897357369</v>
      </c>
      <c r="L109" s="11">
        <f t="shared" si="16"/>
        <v>0</v>
      </c>
      <c r="M109" s="11">
        <f t="shared" si="17"/>
        <v>2399063.2704219269</v>
      </c>
      <c r="N109" s="11">
        <f t="shared" si="22"/>
        <v>1032136.9070410756</v>
      </c>
      <c r="O109" s="23">
        <f t="shared" si="23"/>
        <v>0.75507864555941917</v>
      </c>
    </row>
    <row r="110" spans="1:15" x14ac:dyDescent="0.2">
      <c r="A110" s="8"/>
      <c r="O110" s="24">
        <f>AVERAGE(O2:O109)</f>
        <v>0.43934002762874153</v>
      </c>
    </row>
    <row r="111" spans="1:15" x14ac:dyDescent="0.2">
      <c r="A111" s="8"/>
    </row>
    <row r="112" spans="1:15" x14ac:dyDescent="0.2">
      <c r="A112" s="8"/>
    </row>
    <row r="113" spans="1:1" x14ac:dyDescent="0.2">
      <c r="A113" s="8"/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8"/>
    </row>
    <row r="118" spans="1:1" x14ac:dyDescent="0.2">
      <c r="A118" s="8"/>
    </row>
    <row r="119" spans="1:1" x14ac:dyDescent="0.2">
      <c r="A119" s="8"/>
    </row>
    <row r="120" spans="1:1" x14ac:dyDescent="0.2">
      <c r="A120" s="8"/>
    </row>
    <row r="121" spans="1:1" x14ac:dyDescent="0.2">
      <c r="A121" s="8"/>
    </row>
    <row r="122" spans="1:1" x14ac:dyDescent="0.2">
      <c r="A122" s="8"/>
    </row>
    <row r="123" spans="1:1" x14ac:dyDescent="0.2">
      <c r="A123" s="8"/>
    </row>
    <row r="124" spans="1:1" x14ac:dyDescent="0.2">
      <c r="A124" s="8"/>
    </row>
    <row r="125" spans="1:1" x14ac:dyDescent="0.2">
      <c r="A125" s="8"/>
    </row>
    <row r="126" spans="1:1" x14ac:dyDescent="0.2">
      <c r="A126" s="8"/>
    </row>
    <row r="127" spans="1:1" x14ac:dyDescent="0.2">
      <c r="A127" s="8"/>
    </row>
    <row r="128" spans="1:1" x14ac:dyDescent="0.2">
      <c r="A128" s="8"/>
    </row>
    <row r="129" spans="1:1" x14ac:dyDescent="0.2">
      <c r="A129" s="8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C676C-2D9D-4013-9BC1-49DBC6D0751C}">
  <dimension ref="A1:W129"/>
  <sheetViews>
    <sheetView topLeftCell="M52" workbookViewId="0">
      <selection activeCell="Q78" sqref="Q78:S83"/>
    </sheetView>
  </sheetViews>
  <sheetFormatPr defaultColWidth="9.33203125" defaultRowHeight="12.75" x14ac:dyDescent="0.2"/>
  <cols>
    <col min="1" max="1" width="10.5" bestFit="1" customWidth="1"/>
    <col min="4" max="4" width="20.1640625" bestFit="1" customWidth="1"/>
    <col min="5" max="5" width="9.83203125" customWidth="1"/>
    <col min="9" max="9" width="14.6640625" bestFit="1" customWidth="1"/>
    <col min="10" max="10" width="14.6640625" customWidth="1"/>
    <col min="11" max="11" width="13.83203125" bestFit="1" customWidth="1"/>
    <col min="12" max="12" width="13.83203125" customWidth="1"/>
    <col min="13" max="13" width="18.1640625" customWidth="1"/>
    <col min="14" max="14" width="13.83203125" customWidth="1"/>
    <col min="17" max="17" width="13.83203125" bestFit="1" customWidth="1"/>
    <col min="18" max="18" width="13.5" customWidth="1"/>
    <col min="19" max="19" width="13.83203125" bestFit="1" customWidth="1"/>
    <col min="20" max="20" width="12.83203125" bestFit="1" customWidth="1"/>
    <col min="21" max="21" width="12.6640625" bestFit="1" customWidth="1"/>
    <col min="22" max="22" width="18" bestFit="1" customWidth="1"/>
    <col min="23" max="23" width="12.83203125" bestFit="1" customWidth="1"/>
  </cols>
  <sheetData>
    <row r="1" spans="1:23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Data'!S1</f>
        <v>GS_gt_50_CoGen_NoCDM</v>
      </c>
      <c r="E1" s="181" t="str">
        <f>'Monthly Data'!BJ1</f>
        <v>HDD14</v>
      </c>
      <c r="F1" s="181" t="str">
        <f>'Monthly Data'!BK1</f>
        <v>CDD14</v>
      </c>
      <c r="G1" s="181" t="str">
        <f>'Monthly Data'!CT1</f>
        <v>Peak Days</v>
      </c>
      <c r="I1" s="171" t="s">
        <v>65</v>
      </c>
      <c r="J1" s="181" t="str">
        <f>E1</f>
        <v>HDD14</v>
      </c>
      <c r="K1" s="181" t="str">
        <f>F1</f>
        <v>CDD14</v>
      </c>
      <c r="L1" s="181" t="str">
        <f>G1</f>
        <v>Peak Days</v>
      </c>
      <c r="M1" s="171" t="s">
        <v>75</v>
      </c>
      <c r="N1" s="171" t="s">
        <v>76</v>
      </c>
    </row>
    <row r="2" spans="1:23" x14ac:dyDescent="0.2">
      <c r="A2" s="8">
        <f>'Monthly Data'!A2</f>
        <v>42736</v>
      </c>
      <c r="B2">
        <f t="shared" ref="B2:B65" si="0">YEAR(A2)</f>
        <v>2017</v>
      </c>
      <c r="C2">
        <f t="shared" ref="C2:C65" si="1">MONTH(A2)</f>
        <v>1</v>
      </c>
      <c r="D2" s="19">
        <f>'Monthly Data'!S2</f>
        <v>1975229.7103848916</v>
      </c>
      <c r="E2" s="21">
        <f>'Monthly Data'!BJ2</f>
        <v>507.0916666666667</v>
      </c>
      <c r="F2" s="21">
        <f>'Monthly Data'!BK2</f>
        <v>0</v>
      </c>
      <c r="G2" s="21">
        <f>'Monthly Data'!CT2</f>
        <v>22</v>
      </c>
      <c r="I2" s="11">
        <f>'GS Co Gen Predicted (-HDD)'!$R$10</f>
        <v>-487307.14543792501</v>
      </c>
      <c r="J2" s="11">
        <f>E2*$R$11</f>
        <v>-1145167.5331505556</v>
      </c>
      <c r="K2" s="11">
        <f>F2*$R$12</f>
        <v>0</v>
      </c>
      <c r="L2" s="11">
        <f>G2*$R$13</f>
        <v>3801874.941465436</v>
      </c>
      <c r="M2" s="11">
        <f>SUM(I2:L2)</f>
        <v>2169400.2628769553</v>
      </c>
      <c r="N2" s="11">
        <f t="shared" ref="N2:N65" si="2">M2-D2</f>
        <v>194170.55249206373</v>
      </c>
      <c r="O2" s="23">
        <f t="shared" ref="O2:O65" si="3">ABS(N2/D2)</f>
        <v>9.8302770291070513E-2</v>
      </c>
    </row>
    <row r="3" spans="1:23" x14ac:dyDescent="0.2">
      <c r="A3" s="8">
        <f>'Monthly Data'!A3</f>
        <v>42767</v>
      </c>
      <c r="B3">
        <f t="shared" si="0"/>
        <v>2017</v>
      </c>
      <c r="C3">
        <f t="shared" si="1"/>
        <v>2</v>
      </c>
      <c r="D3" s="19">
        <f>'Monthly Data'!S3</f>
        <v>2202382.3384362105</v>
      </c>
      <c r="E3" s="21">
        <f>'Monthly Data'!BJ3</f>
        <v>393.97916666666669</v>
      </c>
      <c r="F3" s="21">
        <f>'Monthly Data'!BK3</f>
        <v>0</v>
      </c>
      <c r="G3" s="21">
        <f>'Monthly Data'!CT3</f>
        <v>19</v>
      </c>
      <c r="I3" s="11">
        <f>'GS Co Gen Predicted (-HDD)'!$R$10</f>
        <v>-487307.14543792501</v>
      </c>
      <c r="J3" s="11">
        <f t="shared" ref="J3:J66" si="4">E3*$R$11</f>
        <v>-889725.03407545295</v>
      </c>
      <c r="K3" s="11">
        <f>F3*$R$12</f>
        <v>0</v>
      </c>
      <c r="L3" s="11">
        <f>G3*$R$13</f>
        <v>3283437.4494474223</v>
      </c>
      <c r="M3" s="11">
        <f t="shared" ref="M3:M66" si="5">SUM(I3:L3)</f>
        <v>1906405.2699340442</v>
      </c>
      <c r="N3" s="11">
        <f t="shared" si="2"/>
        <v>-295977.06850216631</v>
      </c>
      <c r="O3" s="23">
        <f t="shared" si="3"/>
        <v>0.13438950328321431</v>
      </c>
    </row>
    <row r="4" spans="1:23" x14ac:dyDescent="0.2">
      <c r="A4" s="8">
        <f>'Monthly Data'!A4</f>
        <v>42795</v>
      </c>
      <c r="B4">
        <f t="shared" si="0"/>
        <v>2017</v>
      </c>
      <c r="C4">
        <f t="shared" si="1"/>
        <v>3</v>
      </c>
      <c r="D4" s="19">
        <f>'Monthly Data'!S4</f>
        <v>3298889.9664875292</v>
      </c>
      <c r="E4" s="21">
        <f>'Monthly Data'!BJ4</f>
        <v>439.39166666666665</v>
      </c>
      <c r="F4" s="21">
        <f>'Monthly Data'!BK4</f>
        <v>0</v>
      </c>
      <c r="G4" s="21">
        <f>'Monthly Data'!CT4</f>
        <v>23</v>
      </c>
      <c r="I4" s="11">
        <f>'GS Co Gen Predicted (-HDD)'!$R$10</f>
        <v>-487307.14543792501</v>
      </c>
      <c r="J4" s="11">
        <f t="shared" si="4"/>
        <v>-992280.2997556217</v>
      </c>
      <c r="K4" s="11">
        <f>F4*$R$12</f>
        <v>0</v>
      </c>
      <c r="L4" s="11">
        <f>G4*$R$13</f>
        <v>3974687.4388047741</v>
      </c>
      <c r="M4" s="11">
        <f t="shared" si="5"/>
        <v>2495099.9936112273</v>
      </c>
      <c r="N4" s="11">
        <f t="shared" si="2"/>
        <v>-803789.97287630197</v>
      </c>
      <c r="O4" s="23">
        <f t="shared" si="3"/>
        <v>0.24365467810135297</v>
      </c>
    </row>
    <row r="5" spans="1:23" x14ac:dyDescent="0.2">
      <c r="A5" s="8">
        <f>'Monthly Data'!A5</f>
        <v>42826</v>
      </c>
      <c r="B5">
        <f t="shared" si="0"/>
        <v>2017</v>
      </c>
      <c r="C5">
        <f t="shared" si="1"/>
        <v>4</v>
      </c>
      <c r="D5" s="19">
        <f>'Monthly Data'!S5</f>
        <v>3834797.5945388479</v>
      </c>
      <c r="E5" s="21">
        <f>'Monthly Data'!BJ5</f>
        <v>150.22500000000002</v>
      </c>
      <c r="F5" s="21">
        <f>'Monthly Data'!BK5</f>
        <v>11.354166666666671</v>
      </c>
      <c r="G5" s="21">
        <f>'Monthly Data'!CT5</f>
        <v>19</v>
      </c>
      <c r="I5" s="11">
        <f>'GS Co Gen Predicted (-HDD)'!$R$10</f>
        <v>-487307.14543792501</v>
      </c>
      <c r="J5" s="11">
        <f t="shared" si="4"/>
        <v>-339253.83510714804</v>
      </c>
      <c r="K5" s="11">
        <f>F5*$R$12</f>
        <v>133555.08061251737</v>
      </c>
      <c r="L5" s="11">
        <f>G5*$R$13</f>
        <v>3283437.4494474223</v>
      </c>
      <c r="M5" s="11">
        <f>SUM(I5:L5)</f>
        <v>2590431.5495148664</v>
      </c>
      <c r="N5" s="11">
        <f t="shared" si="2"/>
        <v>-1244366.0450239815</v>
      </c>
      <c r="O5" s="23">
        <f t="shared" si="3"/>
        <v>0.32449327880983564</v>
      </c>
      <c r="Q5" t="s">
        <v>540</v>
      </c>
    </row>
    <row r="6" spans="1:23" x14ac:dyDescent="0.2">
      <c r="A6" s="8">
        <f>'Monthly Data'!A6</f>
        <v>42856</v>
      </c>
      <c r="B6">
        <f t="shared" si="0"/>
        <v>2017</v>
      </c>
      <c r="C6">
        <f t="shared" si="1"/>
        <v>5</v>
      </c>
      <c r="D6" s="19">
        <f>'Monthly Data'!S6</f>
        <v>4110768.2225901671</v>
      </c>
      <c r="E6" s="21">
        <f>'Monthly Data'!BJ6</f>
        <v>92.170833333333348</v>
      </c>
      <c r="F6" s="21">
        <f>'Monthly Data'!BK6</f>
        <v>37.183333333333337</v>
      </c>
      <c r="G6" s="21">
        <f>'Monthly Data'!CT6</f>
        <v>22</v>
      </c>
      <c r="I6" s="11">
        <f>'GS Co Gen Predicted (-HDD)'!$R$10</f>
        <v>-487307.14543792501</v>
      </c>
      <c r="J6" s="11">
        <f t="shared" si="4"/>
        <v>-208149.83320589177</v>
      </c>
      <c r="K6" s="11">
        <f t="shared" ref="K6:K69" si="6">F6*$R$12</f>
        <v>437374.5098664604</v>
      </c>
      <c r="L6" s="11">
        <f t="shared" ref="L6:L69" si="7">G6*$R$13</f>
        <v>3801874.941465436</v>
      </c>
      <c r="M6" s="11">
        <f t="shared" si="5"/>
        <v>3543792.4726880798</v>
      </c>
      <c r="N6" s="11">
        <f t="shared" si="2"/>
        <v>-566975.74990208726</v>
      </c>
      <c r="O6" s="23">
        <f t="shared" si="3"/>
        <v>0.13792452388493937</v>
      </c>
      <c r="Q6" t="s">
        <v>505</v>
      </c>
    </row>
    <row r="7" spans="1:23" x14ac:dyDescent="0.2">
      <c r="A7" s="8">
        <f>'Monthly Data'!A7</f>
        <v>42887</v>
      </c>
      <c r="B7">
        <f t="shared" si="0"/>
        <v>2017</v>
      </c>
      <c r="C7">
        <f t="shared" si="1"/>
        <v>6</v>
      </c>
      <c r="D7" s="19">
        <f>'Monthly Data'!S7</f>
        <v>5743560.8506414862</v>
      </c>
      <c r="E7" s="21">
        <f>'Monthly Data'!BJ7</f>
        <v>0.98333333333333428</v>
      </c>
      <c r="F7" s="21">
        <f>'Monthly Data'!BK7</f>
        <v>147.1333333333333</v>
      </c>
      <c r="G7" s="21">
        <f>'Monthly Data'!CT7</f>
        <v>22</v>
      </c>
      <c r="I7" s="11">
        <f>'GS Co Gen Predicted (-HDD)'!$R$10</f>
        <v>-487307.14543792501</v>
      </c>
      <c r="J7" s="11">
        <f t="shared" si="4"/>
        <v>-2220.6663639342933</v>
      </c>
      <c r="K7" s="11">
        <f t="shared" si="6"/>
        <v>1730677.8005831963</v>
      </c>
      <c r="L7" s="11">
        <f t="shared" si="7"/>
        <v>3801874.941465436</v>
      </c>
      <c r="M7" s="11">
        <f t="shared" si="5"/>
        <v>5043024.9302467732</v>
      </c>
      <c r="N7" s="11">
        <f t="shared" si="2"/>
        <v>-700535.92039471306</v>
      </c>
      <c r="O7" s="23">
        <f t="shared" si="3"/>
        <v>0.1219689211295588</v>
      </c>
      <c r="Q7" t="s">
        <v>541</v>
      </c>
    </row>
    <row r="8" spans="1:23" x14ac:dyDescent="0.2">
      <c r="A8" s="8">
        <f>'Monthly Data'!A8</f>
        <v>42917</v>
      </c>
      <c r="B8">
        <f t="shared" si="0"/>
        <v>2017</v>
      </c>
      <c r="C8">
        <f t="shared" si="1"/>
        <v>7</v>
      </c>
      <c r="D8" s="19">
        <f>'Monthly Data'!S8</f>
        <v>5624575.4786928045</v>
      </c>
      <c r="E8" s="21">
        <f>'Monthly Data'!BJ8</f>
        <v>0</v>
      </c>
      <c r="F8" s="21">
        <f>'Monthly Data'!BK8</f>
        <v>206.83541666666665</v>
      </c>
      <c r="G8" s="21">
        <f>'Monthly Data'!CT8</f>
        <v>20</v>
      </c>
      <c r="I8" s="11">
        <f>'GS Co Gen Predicted (-HDD)'!$R$10</f>
        <v>-487307.14543792501</v>
      </c>
      <c r="J8" s="11">
        <f t="shared" si="4"/>
        <v>0</v>
      </c>
      <c r="K8" s="11">
        <f t="shared" si="6"/>
        <v>2432932.469411253</v>
      </c>
      <c r="L8" s="11">
        <f t="shared" si="7"/>
        <v>3456249.9467867604</v>
      </c>
      <c r="M8" s="11">
        <f t="shared" si="5"/>
        <v>5401875.2707600882</v>
      </c>
      <c r="N8" s="11">
        <f t="shared" si="2"/>
        <v>-222700.20793271624</v>
      </c>
      <c r="O8" s="23">
        <f t="shared" si="3"/>
        <v>3.9594136264391198E-2</v>
      </c>
    </row>
    <row r="9" spans="1:23" x14ac:dyDescent="0.2">
      <c r="A9" s="8">
        <f>'Monthly Data'!A9</f>
        <v>42948</v>
      </c>
      <c r="B9">
        <f t="shared" si="0"/>
        <v>2017</v>
      </c>
      <c r="C9">
        <f t="shared" si="1"/>
        <v>8</v>
      </c>
      <c r="D9" s="19">
        <f>'Monthly Data'!S9</f>
        <v>4805886.1067441236</v>
      </c>
      <c r="E9" s="21">
        <f>'Monthly Data'!BJ9</f>
        <v>0</v>
      </c>
      <c r="F9" s="21">
        <f>'Monthly Data'!BK9</f>
        <v>149.20833333333331</v>
      </c>
      <c r="G9" s="21">
        <f>'Monthly Data'!CT9</f>
        <v>22</v>
      </c>
      <c r="I9" s="11">
        <f>'GS Co Gen Predicted (-HDD)'!$R$10</f>
        <v>-487307.14543792501</v>
      </c>
      <c r="J9" s="11">
        <f t="shared" si="4"/>
        <v>0</v>
      </c>
      <c r="K9" s="11">
        <f t="shared" si="6"/>
        <v>1755085.2978841262</v>
      </c>
      <c r="L9" s="11">
        <f t="shared" si="7"/>
        <v>3801874.941465436</v>
      </c>
      <c r="M9" s="11">
        <f t="shared" si="5"/>
        <v>5069653.0939116366</v>
      </c>
      <c r="N9" s="11">
        <f t="shared" si="2"/>
        <v>263766.987167513</v>
      </c>
      <c r="O9" s="23">
        <f t="shared" si="3"/>
        <v>5.4884152747058962E-2</v>
      </c>
      <c r="R9" t="s">
        <v>61</v>
      </c>
      <c r="S9" t="s">
        <v>62</v>
      </c>
      <c r="T9" t="s">
        <v>63</v>
      </c>
      <c r="U9" t="s">
        <v>64</v>
      </c>
    </row>
    <row r="10" spans="1:23" x14ac:dyDescent="0.2">
      <c r="A10" s="8">
        <f>'Monthly Data'!A10</f>
        <v>42979</v>
      </c>
      <c r="B10">
        <f t="shared" si="0"/>
        <v>2017</v>
      </c>
      <c r="C10">
        <f t="shared" si="1"/>
        <v>9</v>
      </c>
      <c r="D10" s="19">
        <f>'Monthly Data'!S10</f>
        <v>3970931.7347954423</v>
      </c>
      <c r="E10" s="21">
        <f>'Monthly Data'!BJ10</f>
        <v>20.80416666666666</v>
      </c>
      <c r="F10" s="21">
        <f>'Monthly Data'!BK10</f>
        <v>112.60833333333332</v>
      </c>
      <c r="G10" s="21">
        <f>'Monthly Data'!CT10</f>
        <v>20</v>
      </c>
      <c r="I10" s="11">
        <f>'GS Co Gen Predicted (-HDD)'!$R$10</f>
        <v>-487307.14543792501</v>
      </c>
      <c r="J10" s="11">
        <f t="shared" si="4"/>
        <v>-46982.148962389452</v>
      </c>
      <c r="K10" s="11">
        <f t="shared" si="6"/>
        <v>1324572.3334436303</v>
      </c>
      <c r="L10" s="11">
        <f t="shared" si="7"/>
        <v>3456249.9467867604</v>
      </c>
      <c r="M10" s="11">
        <f t="shared" si="5"/>
        <v>4246532.985830076</v>
      </c>
      <c r="N10" s="11">
        <f t="shared" si="2"/>
        <v>275601.25103463372</v>
      </c>
      <c r="O10" s="23">
        <f t="shared" si="3"/>
        <v>6.9404681178391242E-2</v>
      </c>
      <c r="Q10" t="s">
        <v>65</v>
      </c>
      <c r="R10" s="13">
        <v>-487307.14543792501</v>
      </c>
      <c r="S10" s="13">
        <v>1151355.9230305301</v>
      </c>
      <c r="T10" s="211">
        <v>-0.42324630958189402</v>
      </c>
      <c r="U10" s="212">
        <v>0.67298952702625803</v>
      </c>
    </row>
    <row r="11" spans="1:23" x14ac:dyDescent="0.2">
      <c r="A11" s="8">
        <f>'Monthly Data'!A11</f>
        <v>43009</v>
      </c>
      <c r="B11">
        <f t="shared" si="0"/>
        <v>2017</v>
      </c>
      <c r="C11">
        <f t="shared" si="1"/>
        <v>10</v>
      </c>
      <c r="D11" s="19">
        <f>'Monthly Data'!S11</f>
        <v>5177643.362846761</v>
      </c>
      <c r="E11" s="21">
        <f>'Monthly Data'!BJ11</f>
        <v>90.324999999999989</v>
      </c>
      <c r="F11" s="21">
        <f>'Monthly Data'!BK11</f>
        <v>36.987500000000026</v>
      </c>
      <c r="G11" s="21">
        <f>'Monthly Data'!CT11</f>
        <v>21</v>
      </c>
      <c r="I11" s="11">
        <f>'GS Co Gen Predicted (-HDD)'!$R$10</f>
        <v>-487307.14543792501</v>
      </c>
      <c r="J11" s="11">
        <f t="shared" si="4"/>
        <v>-203981.37897189643</v>
      </c>
      <c r="K11" s="11">
        <f t="shared" si="6"/>
        <v>435070.99104488693</v>
      </c>
      <c r="L11" s="11">
        <f t="shared" si="7"/>
        <v>3629062.444126098</v>
      </c>
      <c r="M11" s="11">
        <f t="shared" si="5"/>
        <v>3372844.9107611636</v>
      </c>
      <c r="N11" s="11">
        <f t="shared" si="2"/>
        <v>-1804798.4520855974</v>
      </c>
      <c r="O11" s="23">
        <f t="shared" si="3"/>
        <v>0.34857527365370466</v>
      </c>
      <c r="Q11" t="s">
        <v>30</v>
      </c>
      <c r="R11" s="13">
        <v>-2258.3047768823299</v>
      </c>
      <c r="S11" s="13">
        <v>762.51761009667302</v>
      </c>
      <c r="T11" s="211">
        <v>-2.9616427830381702</v>
      </c>
      <c r="U11" s="212">
        <v>3.7918617351418299E-3</v>
      </c>
    </row>
    <row r="12" spans="1:23" x14ac:dyDescent="0.2">
      <c r="A12" s="8">
        <f>'Monthly Data'!A12</f>
        <v>43040</v>
      </c>
      <c r="B12">
        <f t="shared" si="0"/>
        <v>2017</v>
      </c>
      <c r="C12">
        <f t="shared" si="1"/>
        <v>11</v>
      </c>
      <c r="D12" s="19">
        <f>'Monthly Data'!S12</f>
        <v>3296588.9908980802</v>
      </c>
      <c r="E12" s="21">
        <f>'Monthly Data'!BJ12</f>
        <v>331.08124999999995</v>
      </c>
      <c r="F12" s="21">
        <f>'Monthly Data'!BK12</f>
        <v>0</v>
      </c>
      <c r="G12" s="21">
        <f>'Monthly Data'!CT12</f>
        <v>22</v>
      </c>
      <c r="I12" s="11">
        <f>'GS Co Gen Predicted (-HDD)'!$R$10</f>
        <v>-487307.14543792501</v>
      </c>
      <c r="J12" s="11">
        <f t="shared" si="4"/>
        <v>-747682.36841117276</v>
      </c>
      <c r="K12" s="11">
        <f t="shared" si="6"/>
        <v>0</v>
      </c>
      <c r="L12" s="11">
        <f t="shared" si="7"/>
        <v>3801874.941465436</v>
      </c>
      <c r="M12" s="11">
        <f t="shared" si="5"/>
        <v>2566885.4276163382</v>
      </c>
      <c r="N12" s="11">
        <f t="shared" si="2"/>
        <v>-729703.56328174192</v>
      </c>
      <c r="O12" s="23">
        <f t="shared" si="3"/>
        <v>0.22135108904885073</v>
      </c>
      <c r="Q12" t="s">
        <v>31</v>
      </c>
      <c r="R12" s="13">
        <v>11762.6493016529</v>
      </c>
      <c r="S12" s="13">
        <v>1793.9450746631501</v>
      </c>
      <c r="T12" s="211">
        <v>6.5568614489836197</v>
      </c>
      <c r="U12" s="212">
        <v>2.16928017342959E-9</v>
      </c>
    </row>
    <row r="13" spans="1:23" x14ac:dyDescent="0.2">
      <c r="A13" s="8">
        <f>'Monthly Data'!A13</f>
        <v>43070</v>
      </c>
      <c r="B13">
        <f t="shared" si="0"/>
        <v>2017</v>
      </c>
      <c r="C13">
        <f t="shared" si="1"/>
        <v>12</v>
      </c>
      <c r="D13" s="19">
        <f>'Monthly Data'!S13</f>
        <v>3331855.6189493993</v>
      </c>
      <c r="E13" s="21">
        <f>'Monthly Data'!BJ13</f>
        <v>592.54583333333346</v>
      </c>
      <c r="F13" s="21">
        <f>'Monthly Data'!BK13</f>
        <v>0</v>
      </c>
      <c r="G13" s="21">
        <f>'Monthly Data'!CT13</f>
        <v>19</v>
      </c>
      <c r="I13" s="11">
        <f>'GS Co Gen Predicted (-HDD)'!$R$10</f>
        <v>-487307.14543792501</v>
      </c>
      <c r="J13" s="11">
        <f t="shared" si="4"/>
        <v>-1338149.0859383878</v>
      </c>
      <c r="K13" s="11">
        <f t="shared" si="6"/>
        <v>0</v>
      </c>
      <c r="L13" s="11">
        <f t="shared" si="7"/>
        <v>3283437.4494474223</v>
      </c>
      <c r="M13" s="11">
        <f t="shared" si="5"/>
        <v>1457981.2180711096</v>
      </c>
      <c r="N13" s="11">
        <f t="shared" si="2"/>
        <v>-1873874.4008782897</v>
      </c>
      <c r="O13" s="23">
        <f t="shared" si="3"/>
        <v>0.56241164539691546</v>
      </c>
      <c r="Q13" t="s">
        <v>521</v>
      </c>
      <c r="R13" s="13">
        <v>172812.49733933801</v>
      </c>
      <c r="S13" s="13">
        <v>53483.846846823202</v>
      </c>
      <c r="T13" s="211">
        <v>3.23111570179816</v>
      </c>
      <c r="U13" s="212">
        <v>1.6515477626603901E-3</v>
      </c>
      <c r="W13" s="187"/>
    </row>
    <row r="14" spans="1:23" x14ac:dyDescent="0.2">
      <c r="A14" s="8">
        <f>'Monthly Data'!A14</f>
        <v>43101</v>
      </c>
      <c r="B14">
        <f t="shared" si="0"/>
        <v>2018</v>
      </c>
      <c r="C14">
        <f t="shared" si="1"/>
        <v>1</v>
      </c>
      <c r="D14" s="19">
        <f>'Monthly Data'!S14</f>
        <v>3880776.3635845515</v>
      </c>
      <c r="E14" s="21">
        <f>'Monthly Data'!BJ14</f>
        <v>626.29583333333323</v>
      </c>
      <c r="F14" s="21">
        <f>'Monthly Data'!BK14</f>
        <v>0</v>
      </c>
      <c r="G14" s="21">
        <f>'Monthly Data'!CT14</f>
        <v>22</v>
      </c>
      <c r="I14" s="11">
        <f>'GS Co Gen Predicted (-HDD)'!$R$10</f>
        <v>-487307.14543792501</v>
      </c>
      <c r="J14" s="11">
        <f t="shared" si="4"/>
        <v>-1414366.872158166</v>
      </c>
      <c r="K14" s="11">
        <f t="shared" si="6"/>
        <v>0</v>
      </c>
      <c r="L14" s="11">
        <f t="shared" si="7"/>
        <v>3801874.941465436</v>
      </c>
      <c r="M14" s="11">
        <f t="shared" si="5"/>
        <v>1900200.9238693449</v>
      </c>
      <c r="N14" s="11">
        <f t="shared" si="2"/>
        <v>-1980575.4397152066</v>
      </c>
      <c r="O14" s="23">
        <f t="shared" si="3"/>
        <v>0.51035546863767511</v>
      </c>
      <c r="R14" s="13"/>
      <c r="S14" s="13"/>
      <c r="T14" s="211"/>
      <c r="U14" s="212"/>
      <c r="W14" s="187"/>
    </row>
    <row r="15" spans="1:23" x14ac:dyDescent="0.2">
      <c r="A15" s="8">
        <f>'Monthly Data'!A15</f>
        <v>43132</v>
      </c>
      <c r="B15">
        <f t="shared" si="0"/>
        <v>2018</v>
      </c>
      <c r="C15">
        <f t="shared" si="1"/>
        <v>2</v>
      </c>
      <c r="D15" s="19">
        <f>'Monthly Data'!S15</f>
        <v>2504493.9234402059</v>
      </c>
      <c r="E15" s="21">
        <f>'Monthly Data'!BJ15</f>
        <v>462.37083333333339</v>
      </c>
      <c r="F15" s="21">
        <f>'Monthly Data'!BK15</f>
        <v>0</v>
      </c>
      <c r="G15" s="21">
        <f>'Monthly Data'!CT15</f>
        <v>19</v>
      </c>
      <c r="I15" s="11">
        <f>'GS Co Gen Predicted (-HDD)'!$R$10</f>
        <v>-487307.14543792501</v>
      </c>
      <c r="J15" s="11">
        <f t="shared" si="4"/>
        <v>-1044174.2616077304</v>
      </c>
      <c r="K15" s="11">
        <f t="shared" si="6"/>
        <v>0</v>
      </c>
      <c r="L15" s="11">
        <f t="shared" si="7"/>
        <v>3283437.4494474223</v>
      </c>
      <c r="M15" s="11">
        <f t="shared" si="5"/>
        <v>1751956.0424017669</v>
      </c>
      <c r="N15" s="11">
        <f t="shared" si="2"/>
        <v>-752537.88103843899</v>
      </c>
      <c r="O15" s="23">
        <f t="shared" si="3"/>
        <v>0.30047502770729145</v>
      </c>
      <c r="Q15" t="s">
        <v>152</v>
      </c>
      <c r="R15" s="13"/>
      <c r="S15" s="13"/>
      <c r="T15" s="211"/>
      <c r="U15" s="212"/>
    </row>
    <row r="16" spans="1:23" x14ac:dyDescent="0.2">
      <c r="A16" s="8">
        <f>'Monthly Data'!A16</f>
        <v>43160</v>
      </c>
      <c r="B16">
        <f t="shared" si="0"/>
        <v>2018</v>
      </c>
      <c r="C16">
        <f t="shared" si="1"/>
        <v>3</v>
      </c>
      <c r="D16" s="19">
        <f>'Monthly Data'!S16</f>
        <v>2696023.4832958602</v>
      </c>
      <c r="E16" s="21">
        <f>'Monthly Data'!BJ16</f>
        <v>471.81666666666666</v>
      </c>
      <c r="F16" s="21">
        <f>'Monthly Data'!BK16</f>
        <v>0</v>
      </c>
      <c r="G16" s="21">
        <f>'Monthly Data'!CT16</f>
        <v>21</v>
      </c>
      <c r="I16" s="11">
        <f>'GS Co Gen Predicted (-HDD)'!$R$10</f>
        <v>-487307.14543792501</v>
      </c>
      <c r="J16" s="11">
        <f t="shared" si="4"/>
        <v>-1065505.8321460313</v>
      </c>
      <c r="K16" s="11">
        <f t="shared" si="6"/>
        <v>0</v>
      </c>
      <c r="L16" s="11">
        <f t="shared" si="7"/>
        <v>3629062.444126098</v>
      </c>
      <c r="M16" s="11">
        <f t="shared" si="5"/>
        <v>2076249.4665421415</v>
      </c>
      <c r="N16" s="11">
        <f t="shared" si="2"/>
        <v>-619774.01675371872</v>
      </c>
      <c r="O16" s="23">
        <f t="shared" si="3"/>
        <v>0.22988450233973909</v>
      </c>
      <c r="Q16" t="s">
        <v>68</v>
      </c>
      <c r="R16" s="13">
        <v>82600001119158.5</v>
      </c>
      <c r="S16" s="13" t="s">
        <v>69</v>
      </c>
      <c r="T16" s="211">
        <v>891196.26345261803</v>
      </c>
      <c r="U16" s="212"/>
    </row>
    <row r="17" spans="1:20" x14ac:dyDescent="0.2">
      <c r="A17" s="8">
        <f>'Monthly Data'!A17</f>
        <v>43191</v>
      </c>
      <c r="B17">
        <f t="shared" si="0"/>
        <v>2018</v>
      </c>
      <c r="C17">
        <f t="shared" si="1"/>
        <v>4</v>
      </c>
      <c r="D17" s="19">
        <f>'Monthly Data'!S17</f>
        <v>2447627.0431515141</v>
      </c>
      <c r="E17" s="21">
        <f>'Monthly Data'!BJ17</f>
        <v>340.9</v>
      </c>
      <c r="F17" s="21">
        <f>'Monthly Data'!BK17</f>
        <v>0</v>
      </c>
      <c r="G17" s="21">
        <f>'Monthly Data'!CT17</f>
        <v>21</v>
      </c>
      <c r="I17" s="11">
        <f>'GS Co Gen Predicted (-HDD)'!$R$10</f>
        <v>-487307.14543792501</v>
      </c>
      <c r="J17" s="11">
        <f t="shared" si="4"/>
        <v>-769856.09843918623</v>
      </c>
      <c r="K17" s="11">
        <f t="shared" si="6"/>
        <v>0</v>
      </c>
      <c r="L17" s="11">
        <f t="shared" si="7"/>
        <v>3629062.444126098</v>
      </c>
      <c r="M17" s="11">
        <f t="shared" si="5"/>
        <v>2371899.2002489865</v>
      </c>
      <c r="N17" s="11">
        <f t="shared" si="2"/>
        <v>-75727.842902527656</v>
      </c>
      <c r="O17" s="23">
        <f t="shared" si="3"/>
        <v>3.0939290001070607E-2</v>
      </c>
      <c r="Q17" t="s">
        <v>70</v>
      </c>
      <c r="R17">
        <v>0.76085474192216096</v>
      </c>
      <c r="S17" t="s">
        <v>71</v>
      </c>
      <c r="T17">
        <v>0.75395632101606902</v>
      </c>
    </row>
    <row r="18" spans="1:20" x14ac:dyDescent="0.2">
      <c r="A18" s="8">
        <f>'Monthly Data'!A18</f>
        <v>43221</v>
      </c>
      <c r="B18">
        <f t="shared" si="0"/>
        <v>2018</v>
      </c>
      <c r="C18">
        <f t="shared" si="1"/>
        <v>5</v>
      </c>
      <c r="D18" s="19">
        <f>'Monthly Data'!S18</f>
        <v>4551338.6030071685</v>
      </c>
      <c r="E18" s="21">
        <f>'Monthly Data'!BJ18</f>
        <v>15.375000000000002</v>
      </c>
      <c r="F18" s="21">
        <f>'Monthly Data'!BK18</f>
        <v>107.17916666666667</v>
      </c>
      <c r="G18" s="21">
        <f>'Monthly Data'!CT18</f>
        <v>22</v>
      </c>
      <c r="I18" s="11">
        <f>'GS Co Gen Predicted (-HDD)'!$R$10</f>
        <v>-487307.14543792501</v>
      </c>
      <c r="J18" s="11">
        <f t="shared" si="4"/>
        <v>-34721.435944565827</v>
      </c>
      <c r="K18" s="11">
        <f t="shared" si="6"/>
        <v>1260710.9499434065</v>
      </c>
      <c r="L18" s="11">
        <f t="shared" si="7"/>
        <v>3801874.941465436</v>
      </c>
      <c r="M18" s="11">
        <f t="shared" si="5"/>
        <v>4540557.3100263514</v>
      </c>
      <c r="N18" s="11">
        <f t="shared" si="2"/>
        <v>-10781.292980817147</v>
      </c>
      <c r="O18" s="23">
        <f t="shared" si="3"/>
        <v>2.3688180382126947E-3</v>
      </c>
      <c r="Q18" t="s">
        <v>539</v>
      </c>
      <c r="R18">
        <v>34.757162916372998</v>
      </c>
      <c r="S18" t="s">
        <v>72</v>
      </c>
      <c r="T18">
        <v>1.2143684221739401E-15</v>
      </c>
    </row>
    <row r="19" spans="1:20" x14ac:dyDescent="0.2">
      <c r="A19" s="8">
        <f>'Monthly Data'!A19</f>
        <v>43252</v>
      </c>
      <c r="B19">
        <f t="shared" si="0"/>
        <v>2018</v>
      </c>
      <c r="C19">
        <f t="shared" si="1"/>
        <v>6</v>
      </c>
      <c r="D19" s="19">
        <f>'Monthly Data'!S19</f>
        <v>6710847.1628628224</v>
      </c>
      <c r="E19" s="21">
        <f>'Monthly Data'!BJ19</f>
        <v>4.6208333333333336</v>
      </c>
      <c r="F19" s="21">
        <f>'Monthly Data'!BK19</f>
        <v>155.0625</v>
      </c>
      <c r="G19" s="21">
        <f>'Monthly Data'!CT19</f>
        <v>21</v>
      </c>
      <c r="I19" s="11">
        <f>'GS Co Gen Predicted (-HDD)'!$R$10</f>
        <v>-487307.14543792501</v>
      </c>
      <c r="J19" s="11">
        <f t="shared" si="4"/>
        <v>-10435.249989843767</v>
      </c>
      <c r="K19" s="11">
        <f t="shared" si="6"/>
        <v>1823945.8073375528</v>
      </c>
      <c r="L19" s="11">
        <f t="shared" si="7"/>
        <v>3629062.444126098</v>
      </c>
      <c r="M19" s="11">
        <f t="shared" si="5"/>
        <v>4955265.8560358817</v>
      </c>
      <c r="N19" s="11">
        <f t="shared" si="2"/>
        <v>-1755581.3068269407</v>
      </c>
      <c r="O19" s="23">
        <f t="shared" si="3"/>
        <v>0.26160352995999631</v>
      </c>
      <c r="Q19" t="s">
        <v>73</v>
      </c>
      <c r="R19" s="214">
        <v>-0.106623176160167</v>
      </c>
      <c r="S19" t="s">
        <v>74</v>
      </c>
      <c r="T19" s="211">
        <v>2.2125712212028201</v>
      </c>
    </row>
    <row r="20" spans="1:20" x14ac:dyDescent="0.2">
      <c r="A20" s="8">
        <f>'Monthly Data'!A20</f>
        <v>43282</v>
      </c>
      <c r="B20">
        <f t="shared" si="0"/>
        <v>2018</v>
      </c>
      <c r="C20">
        <f t="shared" si="1"/>
        <v>7</v>
      </c>
      <c r="D20" s="19">
        <f>'Monthly Data'!S20</f>
        <v>7368543.7227184772</v>
      </c>
      <c r="E20" s="21">
        <f>'Monthly Data'!BJ20</f>
        <v>0</v>
      </c>
      <c r="F20" s="21">
        <f>'Monthly Data'!BK20</f>
        <v>224.81458333333336</v>
      </c>
      <c r="G20" s="21">
        <f>'Monthly Data'!CT20</f>
        <v>21</v>
      </c>
      <c r="I20" s="11">
        <f>'GS Co Gen Predicted (-HDD)'!$R$10</f>
        <v>-487307.14543792501</v>
      </c>
      <c r="J20" s="11">
        <f t="shared" si="4"/>
        <v>0</v>
      </c>
      <c r="K20" s="11">
        <f t="shared" si="6"/>
        <v>2644415.1016472215</v>
      </c>
      <c r="L20" s="11">
        <f t="shared" si="7"/>
        <v>3629062.444126098</v>
      </c>
      <c r="M20" s="11">
        <f t="shared" si="5"/>
        <v>5786170.4003353938</v>
      </c>
      <c r="N20" s="11">
        <f t="shared" si="2"/>
        <v>-1582373.3223830834</v>
      </c>
      <c r="O20" s="23">
        <f t="shared" si="3"/>
        <v>0.21474709005313444</v>
      </c>
      <c r="R20" s="212"/>
      <c r="T20" s="212"/>
    </row>
    <row r="21" spans="1:20" x14ac:dyDescent="0.2">
      <c r="A21" s="8">
        <f>'Monthly Data'!A21</f>
        <v>43313</v>
      </c>
      <c r="B21">
        <f t="shared" si="0"/>
        <v>2018</v>
      </c>
      <c r="C21">
        <f t="shared" si="1"/>
        <v>8</v>
      </c>
      <c r="D21" s="19">
        <f>'Monthly Data'!S21</f>
        <v>6976940.2825741312</v>
      </c>
      <c r="E21" s="21">
        <f>'Monthly Data'!BJ21</f>
        <v>0</v>
      </c>
      <c r="F21" s="21">
        <f>'Monthly Data'!BK21</f>
        <v>230.90833333333327</v>
      </c>
      <c r="G21" s="21">
        <f>'Monthly Data'!CT21</f>
        <v>22</v>
      </c>
      <c r="I21" s="11">
        <f>'GS Co Gen Predicted (-HDD)'!$R$10</f>
        <v>-487307.14543792501</v>
      </c>
      <c r="J21" s="11">
        <f t="shared" si="4"/>
        <v>0</v>
      </c>
      <c r="K21" s="11">
        <f t="shared" si="6"/>
        <v>2716093.7458291678</v>
      </c>
      <c r="L21" s="11">
        <f t="shared" si="7"/>
        <v>3801874.941465436</v>
      </c>
      <c r="M21" s="11">
        <f t="shared" si="5"/>
        <v>6030661.5418566782</v>
      </c>
      <c r="N21" s="11">
        <f t="shared" si="2"/>
        <v>-946278.74071745295</v>
      </c>
      <c r="O21" s="23">
        <f t="shared" si="3"/>
        <v>0.13562947400895983</v>
      </c>
      <c r="Q21" t="s">
        <v>361</v>
      </c>
      <c r="R21" s="211"/>
      <c r="T21" s="212"/>
    </row>
    <row r="22" spans="1:20" x14ac:dyDescent="0.2">
      <c r="A22" s="8">
        <f>'Monthly Data'!A22</f>
        <v>43344</v>
      </c>
      <c r="B22">
        <f t="shared" si="0"/>
        <v>2018</v>
      </c>
      <c r="C22">
        <f t="shared" si="1"/>
        <v>9</v>
      </c>
      <c r="D22" s="19">
        <f>'Monthly Data'!S22</f>
        <v>5331752.8424297851</v>
      </c>
      <c r="E22" s="21">
        <f>'Monthly Data'!BJ22</f>
        <v>20.0625</v>
      </c>
      <c r="F22" s="21">
        <f>'Monthly Data'!BK22</f>
        <v>130.34583333333333</v>
      </c>
      <c r="G22" s="21">
        <f>'Monthly Data'!CT22</f>
        <v>19</v>
      </c>
      <c r="I22" s="11">
        <f>'GS Co Gen Predicted (-HDD)'!$R$10</f>
        <v>-487307.14543792501</v>
      </c>
      <c r="J22" s="11">
        <f t="shared" si="4"/>
        <v>-45307.239586201744</v>
      </c>
      <c r="K22" s="11">
        <f t="shared" si="6"/>
        <v>1533212.3254316987</v>
      </c>
      <c r="L22" s="11">
        <f t="shared" si="7"/>
        <v>3283437.4494474223</v>
      </c>
      <c r="M22" s="11">
        <f t="shared" si="5"/>
        <v>4284035.3898549946</v>
      </c>
      <c r="N22" s="11">
        <f t="shared" si="2"/>
        <v>-1047717.4525747905</v>
      </c>
      <c r="O22" s="23">
        <f t="shared" si="3"/>
        <v>0.19650525512681585</v>
      </c>
      <c r="Q22" t="s">
        <v>66</v>
      </c>
      <c r="R22" s="212">
        <v>3392696.7047464699</v>
      </c>
      <c r="S22" t="s">
        <v>67</v>
      </c>
      <c r="T22" s="212">
        <v>1796581.7323717601</v>
      </c>
    </row>
    <row r="23" spans="1:20" x14ac:dyDescent="0.2">
      <c r="A23" s="8">
        <f>'Monthly Data'!A23</f>
        <v>43374</v>
      </c>
      <c r="B23">
        <f t="shared" si="0"/>
        <v>2018</v>
      </c>
      <c r="C23">
        <f t="shared" si="1"/>
        <v>10</v>
      </c>
      <c r="D23" s="19">
        <f>'Monthly Data'!S23</f>
        <v>2940054.4022854394</v>
      </c>
      <c r="E23" s="21">
        <f>'Monthly Data'!BJ23</f>
        <v>181.64999999999998</v>
      </c>
      <c r="F23" s="21">
        <f>'Monthly Data'!BK23</f>
        <v>22.829166666666666</v>
      </c>
      <c r="G23" s="21">
        <f>'Monthly Data'!CT23</f>
        <v>22</v>
      </c>
      <c r="I23" s="11">
        <f>'GS Co Gen Predicted (-HDD)'!$R$10</f>
        <v>-487307.14543792501</v>
      </c>
      <c r="J23" s="11">
        <f t="shared" si="4"/>
        <v>-410221.0627206752</v>
      </c>
      <c r="K23" s="11">
        <f t="shared" si="6"/>
        <v>268531.48134898435</v>
      </c>
      <c r="L23" s="11">
        <f t="shared" si="7"/>
        <v>3801874.941465436</v>
      </c>
      <c r="M23" s="11">
        <f t="shared" si="5"/>
        <v>3172878.2146558203</v>
      </c>
      <c r="N23" s="11">
        <f t="shared" si="2"/>
        <v>232823.81237038085</v>
      </c>
      <c r="O23" s="23">
        <f t="shared" si="3"/>
        <v>7.9190307563491408E-2</v>
      </c>
    </row>
    <row r="24" spans="1:20" x14ac:dyDescent="0.2">
      <c r="A24" s="8">
        <f>'Monthly Data'!A24</f>
        <v>43405</v>
      </c>
      <c r="B24">
        <f t="shared" si="0"/>
        <v>2018</v>
      </c>
      <c r="C24">
        <f t="shared" si="1"/>
        <v>11</v>
      </c>
      <c r="D24" s="19">
        <f>'Monthly Data'!S24</f>
        <v>1832037.9621410936</v>
      </c>
      <c r="E24" s="21">
        <f>'Monthly Data'!BJ24</f>
        <v>398.42499999999995</v>
      </c>
      <c r="F24" s="21">
        <f>'Monthly Data'!BK24</f>
        <v>0</v>
      </c>
      <c r="G24" s="21">
        <f>'Monthly Data'!CT24</f>
        <v>22</v>
      </c>
      <c r="I24" s="11">
        <f>'GS Co Gen Predicted (-HDD)'!$R$10</f>
        <v>-487307.14543792501</v>
      </c>
      <c r="J24" s="11">
        <f t="shared" si="4"/>
        <v>-899765.08072934218</v>
      </c>
      <c r="K24" s="11">
        <f t="shared" si="6"/>
        <v>0</v>
      </c>
      <c r="L24" s="11">
        <f t="shared" si="7"/>
        <v>3801874.941465436</v>
      </c>
      <c r="M24" s="11">
        <f t="shared" si="5"/>
        <v>2414802.7152981688</v>
      </c>
      <c r="N24" s="11">
        <f t="shared" si="2"/>
        <v>582764.75315707526</v>
      </c>
      <c r="O24" s="23">
        <f t="shared" si="3"/>
        <v>0.31809643970259277</v>
      </c>
    </row>
    <row r="25" spans="1:20" x14ac:dyDescent="0.2">
      <c r="A25" s="8">
        <f>'Monthly Data'!A25</f>
        <v>43435</v>
      </c>
      <c r="B25">
        <f t="shared" si="0"/>
        <v>2018</v>
      </c>
      <c r="C25">
        <f t="shared" si="1"/>
        <v>12</v>
      </c>
      <c r="D25" s="19">
        <f>'Monthly Data'!S25</f>
        <v>1067103.5219967477</v>
      </c>
      <c r="E25" s="21">
        <f>'Monthly Data'!BJ25</f>
        <v>449.47083333333325</v>
      </c>
      <c r="F25" s="21">
        <f>'Monthly Data'!BK25</f>
        <v>0</v>
      </c>
      <c r="G25" s="21">
        <f>'Monthly Data'!CT25</f>
        <v>19</v>
      </c>
      <c r="I25" s="11">
        <f>'GS Co Gen Predicted (-HDD)'!$R$10</f>
        <v>-487307.14543792501</v>
      </c>
      <c r="J25" s="11">
        <f t="shared" si="4"/>
        <v>-1015042.129985948</v>
      </c>
      <c r="K25" s="11">
        <f t="shared" si="6"/>
        <v>0</v>
      </c>
      <c r="L25" s="11">
        <f t="shared" si="7"/>
        <v>3283437.4494474223</v>
      </c>
      <c r="M25" s="11">
        <f t="shared" si="5"/>
        <v>1781088.1740235493</v>
      </c>
      <c r="N25" s="11">
        <f t="shared" si="2"/>
        <v>713984.6520268016</v>
      </c>
      <c r="O25" s="23">
        <f t="shared" si="3"/>
        <v>0.66908658561149204</v>
      </c>
      <c r="R25" s="11"/>
      <c r="T25" s="11"/>
    </row>
    <row r="26" spans="1:20" x14ac:dyDescent="0.2">
      <c r="A26" s="8">
        <f>'Monthly Data'!A26</f>
        <v>43466</v>
      </c>
      <c r="B26">
        <f t="shared" si="0"/>
        <v>2019</v>
      </c>
      <c r="C26">
        <f t="shared" si="1"/>
        <v>1</v>
      </c>
      <c r="D26" s="19">
        <f>'Monthly Data'!S26</f>
        <v>974399.68585805758</v>
      </c>
      <c r="E26" s="21">
        <f>'Monthly Data'!BJ26</f>
        <v>654.33749999999986</v>
      </c>
      <c r="F26" s="21">
        <f>'Monthly Data'!BK26</f>
        <v>0</v>
      </c>
      <c r="G26" s="21">
        <f>'Monthly Data'!CT26</f>
        <v>22</v>
      </c>
      <c r="I26" s="11">
        <f>'GS Co Gen Predicted (-HDD)'!$R$10</f>
        <v>-487307.14543792501</v>
      </c>
      <c r="J26" s="11">
        <f t="shared" si="4"/>
        <v>-1477693.5019432411</v>
      </c>
      <c r="K26" s="11">
        <f t="shared" si="6"/>
        <v>0</v>
      </c>
      <c r="L26" s="11">
        <f t="shared" si="7"/>
        <v>3801874.941465436</v>
      </c>
      <c r="M26" s="11">
        <f t="shared" si="5"/>
        <v>1836874.29408427</v>
      </c>
      <c r="N26" s="11">
        <f t="shared" si="2"/>
        <v>862474.60822621244</v>
      </c>
      <c r="O26" s="23">
        <f t="shared" si="3"/>
        <v>0.88513432500413447</v>
      </c>
    </row>
    <row r="27" spans="1:20" x14ac:dyDescent="0.2">
      <c r="A27" s="8">
        <f>'Monthly Data'!A27</f>
        <v>43497</v>
      </c>
      <c r="B27">
        <f t="shared" si="0"/>
        <v>2019</v>
      </c>
      <c r="C27">
        <f t="shared" si="1"/>
        <v>2</v>
      </c>
      <c r="D27" s="19">
        <f>'Monthly Data'!S27</f>
        <v>1021148.6465925851</v>
      </c>
      <c r="E27" s="21">
        <f>'Monthly Data'!BJ27</f>
        <v>517.91250000000002</v>
      </c>
      <c r="F27" s="21">
        <f>'Monthly Data'!BK27</f>
        <v>0</v>
      </c>
      <c r="G27" s="21">
        <f>'Monthly Data'!CT27</f>
        <v>19</v>
      </c>
      <c r="I27" s="11">
        <f>'GS Co Gen Predicted (-HDD)'!$R$10</f>
        <v>-487307.14543792501</v>
      </c>
      <c r="J27" s="11">
        <f t="shared" si="4"/>
        <v>-1169604.2727570697</v>
      </c>
      <c r="K27" s="11">
        <f t="shared" si="6"/>
        <v>0</v>
      </c>
      <c r="L27" s="11">
        <f t="shared" si="7"/>
        <v>3283437.4494474223</v>
      </c>
      <c r="M27" s="11">
        <f t="shared" si="5"/>
        <v>1626526.0312524275</v>
      </c>
      <c r="N27" s="11">
        <f t="shared" si="2"/>
        <v>605377.38465984236</v>
      </c>
      <c r="O27" s="23">
        <f t="shared" si="3"/>
        <v>0.59283962886294073</v>
      </c>
    </row>
    <row r="28" spans="1:20" x14ac:dyDescent="0.2">
      <c r="A28" s="8">
        <f>'Monthly Data'!A28</f>
        <v>43525</v>
      </c>
      <c r="B28">
        <f t="shared" si="0"/>
        <v>2019</v>
      </c>
      <c r="C28">
        <f t="shared" si="1"/>
        <v>3</v>
      </c>
      <c r="D28" s="19">
        <f>'Monthly Data'!S28</f>
        <v>1585107.5608721885</v>
      </c>
      <c r="E28" s="21">
        <f>'Monthly Data'!BJ28</f>
        <v>488.37083333333339</v>
      </c>
      <c r="F28" s="21">
        <f>'Monthly Data'!BK28</f>
        <v>0</v>
      </c>
      <c r="G28" s="21">
        <f>'Monthly Data'!CT28</f>
        <v>22</v>
      </c>
      <c r="I28" s="11">
        <f>'GS Co Gen Predicted (-HDD)'!$R$10</f>
        <v>-487307.14543792501</v>
      </c>
      <c r="J28" s="11">
        <f t="shared" si="4"/>
        <v>-1102890.1858066709</v>
      </c>
      <c r="K28" s="11">
        <f t="shared" si="6"/>
        <v>0</v>
      </c>
      <c r="L28" s="11">
        <f t="shared" si="7"/>
        <v>3801874.941465436</v>
      </c>
      <c r="M28" s="11">
        <f t="shared" si="5"/>
        <v>2211677.6102208402</v>
      </c>
      <c r="N28" s="11">
        <f t="shared" si="2"/>
        <v>626570.04934865166</v>
      </c>
      <c r="O28" s="23">
        <f t="shared" si="3"/>
        <v>0.39528550920789762</v>
      </c>
    </row>
    <row r="29" spans="1:20" x14ac:dyDescent="0.2">
      <c r="A29" s="8">
        <f>'Monthly Data'!A29</f>
        <v>43556</v>
      </c>
      <c r="B29">
        <f t="shared" si="0"/>
        <v>2019</v>
      </c>
      <c r="C29">
        <f t="shared" si="1"/>
        <v>4</v>
      </c>
      <c r="D29" s="19">
        <f>'Monthly Data'!S29</f>
        <v>1359530.64393672</v>
      </c>
      <c r="E29" s="21">
        <f>'Monthly Data'!BJ29</f>
        <v>235.04791666666668</v>
      </c>
      <c r="F29" s="21">
        <f>'Monthly Data'!BK29</f>
        <v>0</v>
      </c>
      <c r="G29" s="21">
        <f>'Monthly Data'!CT29</f>
        <v>21</v>
      </c>
      <c r="I29" s="11">
        <f>'GS Co Gen Predicted (-HDD)'!$R$10</f>
        <v>-487307.14543792501</v>
      </c>
      <c r="J29" s="11">
        <f t="shared" si="4"/>
        <v>-530809.83300457313</v>
      </c>
      <c r="K29" s="11">
        <f t="shared" si="6"/>
        <v>0</v>
      </c>
      <c r="L29" s="11">
        <f t="shared" si="7"/>
        <v>3629062.444126098</v>
      </c>
      <c r="M29" s="11">
        <f t="shared" si="5"/>
        <v>2610945.4656835999</v>
      </c>
      <c r="N29" s="11">
        <f t="shared" si="2"/>
        <v>1251414.82174688</v>
      </c>
      <c r="O29" s="23">
        <f t="shared" si="3"/>
        <v>0.92047562688489692</v>
      </c>
    </row>
    <row r="30" spans="1:20" x14ac:dyDescent="0.2">
      <c r="A30" s="8">
        <f>'Monthly Data'!A30</f>
        <v>43586</v>
      </c>
      <c r="B30">
        <f t="shared" si="0"/>
        <v>2019</v>
      </c>
      <c r="C30">
        <f t="shared" si="1"/>
        <v>5</v>
      </c>
      <c r="D30" s="19">
        <f>'Monthly Data'!S30</f>
        <v>3085749.3748756615</v>
      </c>
      <c r="E30" s="21">
        <f>'Monthly Data'!BJ30</f>
        <v>74.912499999999994</v>
      </c>
      <c r="F30" s="21">
        <f>'Monthly Data'!BK30</f>
        <v>20.48749999999999</v>
      </c>
      <c r="G30" s="21">
        <f>'Monthly Data'!CT30</f>
        <v>20</v>
      </c>
      <c r="I30" s="11">
        <f>'GS Co Gen Predicted (-HDD)'!$R$10</f>
        <v>-487307.14543792501</v>
      </c>
      <c r="J30" s="11">
        <f t="shared" si="4"/>
        <v>-169175.25659819753</v>
      </c>
      <c r="K30" s="11">
        <f t="shared" si="6"/>
        <v>240987.27756761367</v>
      </c>
      <c r="L30" s="11">
        <f t="shared" si="7"/>
        <v>3456249.9467867604</v>
      </c>
      <c r="M30" s="11">
        <f t="shared" si="5"/>
        <v>3040754.8223182512</v>
      </c>
      <c r="N30" s="11">
        <f t="shared" si="2"/>
        <v>-44994.552557410207</v>
      </c>
      <c r="O30" s="23">
        <f t="shared" si="3"/>
        <v>1.4581402146187986E-2</v>
      </c>
    </row>
    <row r="31" spans="1:20" x14ac:dyDescent="0.2">
      <c r="A31" s="8">
        <f>'Monthly Data'!A31</f>
        <v>43617</v>
      </c>
      <c r="B31">
        <f t="shared" si="0"/>
        <v>2019</v>
      </c>
      <c r="C31">
        <f t="shared" si="1"/>
        <v>6</v>
      </c>
      <c r="D31" s="19">
        <f>'Monthly Data'!S31</f>
        <v>5783735.5531390533</v>
      </c>
      <c r="E31" s="21">
        <f>'Monthly Data'!BJ31</f>
        <v>4.4958333333333336</v>
      </c>
      <c r="F31" s="21">
        <f>'Monthly Data'!BK31</f>
        <v>127.21041666666667</v>
      </c>
      <c r="G31" s="21">
        <f>'Monthly Data'!CT31</f>
        <v>22</v>
      </c>
      <c r="I31" s="11">
        <f>'GS Co Gen Predicted (-HDD)'!$R$10</f>
        <v>-487307.14543792501</v>
      </c>
      <c r="J31" s="11">
        <f t="shared" si="4"/>
        <v>-10152.961892733476</v>
      </c>
      <c r="K31" s="11">
        <f t="shared" si="6"/>
        <v>1496331.5187671413</v>
      </c>
      <c r="L31" s="11">
        <f t="shared" si="7"/>
        <v>3801874.941465436</v>
      </c>
      <c r="M31" s="11">
        <f t="shared" si="5"/>
        <v>4800746.3529019188</v>
      </c>
      <c r="N31" s="11">
        <f t="shared" si="2"/>
        <v>-982989.20023713447</v>
      </c>
      <c r="O31" s="23">
        <f t="shared" si="3"/>
        <v>0.16995749394241041</v>
      </c>
    </row>
    <row r="32" spans="1:20" x14ac:dyDescent="0.2">
      <c r="A32" s="8">
        <f>'Monthly Data'!A32</f>
        <v>43647</v>
      </c>
      <c r="B32">
        <f t="shared" si="0"/>
        <v>2019</v>
      </c>
      <c r="C32">
        <f t="shared" si="1"/>
        <v>7</v>
      </c>
      <c r="D32" s="19">
        <f>'Monthly Data'!S32</f>
        <v>6779873.4461094243</v>
      </c>
      <c r="E32" s="21">
        <f>'Monthly Data'!BJ32</f>
        <v>0</v>
      </c>
      <c r="F32" s="21">
        <f>'Monthly Data'!BK32</f>
        <v>252.07500000000005</v>
      </c>
      <c r="G32" s="21">
        <f>'Monthly Data'!CT32</f>
        <v>22</v>
      </c>
      <c r="I32" s="11">
        <f>'GS Co Gen Predicted (-HDD)'!$R$10</f>
        <v>-487307.14543792501</v>
      </c>
      <c r="J32" s="11">
        <f t="shared" si="4"/>
        <v>0</v>
      </c>
      <c r="K32" s="11">
        <f t="shared" si="6"/>
        <v>2965069.8227141555</v>
      </c>
      <c r="L32" s="11">
        <f t="shared" si="7"/>
        <v>3801874.941465436</v>
      </c>
      <c r="M32" s="11">
        <f t="shared" si="5"/>
        <v>6279637.6187416669</v>
      </c>
      <c r="N32" s="11">
        <f t="shared" si="2"/>
        <v>-500235.82736775745</v>
      </c>
      <c r="O32" s="23">
        <f t="shared" si="3"/>
        <v>7.378247268830862E-2</v>
      </c>
    </row>
    <row r="33" spans="1:15" x14ac:dyDescent="0.2">
      <c r="A33" s="8">
        <f>'Monthly Data'!A33</f>
        <v>43678</v>
      </c>
      <c r="B33">
        <f t="shared" si="0"/>
        <v>2019</v>
      </c>
      <c r="C33">
        <f t="shared" si="1"/>
        <v>8</v>
      </c>
      <c r="D33" s="19">
        <f>'Monthly Data'!S33</f>
        <v>4268866.6845833659</v>
      </c>
      <c r="E33" s="21">
        <f>'Monthly Data'!BJ33</f>
        <v>0</v>
      </c>
      <c r="F33" s="21">
        <f>'Monthly Data'!BK33</f>
        <v>182.71666666666661</v>
      </c>
      <c r="G33" s="21">
        <f>'Monthly Data'!CT33</f>
        <v>20</v>
      </c>
      <c r="I33" s="11">
        <f>'GS Co Gen Predicted (-HDD)'!$R$10</f>
        <v>-487307.14543792501</v>
      </c>
      <c r="J33" s="11">
        <f t="shared" si="4"/>
        <v>0</v>
      </c>
      <c r="K33" s="11">
        <f t="shared" si="6"/>
        <v>2149232.071567012</v>
      </c>
      <c r="L33" s="11">
        <f t="shared" si="7"/>
        <v>3456249.9467867604</v>
      </c>
      <c r="M33" s="11">
        <f t="shared" si="5"/>
        <v>5118174.8729158472</v>
      </c>
      <c r="N33" s="11">
        <f t="shared" si="2"/>
        <v>849308.18833248131</v>
      </c>
      <c r="O33" s="23">
        <f t="shared" si="3"/>
        <v>0.19895402013833852</v>
      </c>
    </row>
    <row r="34" spans="1:15" x14ac:dyDescent="0.2">
      <c r="A34" s="8">
        <f>'Monthly Data'!A34</f>
        <v>43709</v>
      </c>
      <c r="B34">
        <f t="shared" si="0"/>
        <v>2019</v>
      </c>
      <c r="C34">
        <f t="shared" si="1"/>
        <v>9</v>
      </c>
      <c r="D34" s="19">
        <f>'Monthly Data'!S34</f>
        <v>5664547.3962547369</v>
      </c>
      <c r="E34" s="21">
        <f>'Monthly Data'!BJ34</f>
        <v>1.8833333333333364</v>
      </c>
      <c r="F34" s="21">
        <f>'Monthly Data'!BK34</f>
        <v>103.38124999999999</v>
      </c>
      <c r="G34" s="21">
        <f>'Monthly Data'!CT34</f>
        <v>21</v>
      </c>
      <c r="I34" s="11">
        <f>'GS Co Gen Predicted (-HDD)'!$R$10</f>
        <v>-487307.14543792501</v>
      </c>
      <c r="J34" s="11">
        <f t="shared" si="4"/>
        <v>-4253.1406631283944</v>
      </c>
      <c r="K34" s="11">
        <f t="shared" si="6"/>
        <v>1216037.3881165038</v>
      </c>
      <c r="L34" s="11">
        <f t="shared" si="7"/>
        <v>3629062.444126098</v>
      </c>
      <c r="M34" s="11">
        <f t="shared" si="5"/>
        <v>4353539.5461415481</v>
      </c>
      <c r="N34" s="11">
        <f t="shared" si="2"/>
        <v>-1311007.8501131888</v>
      </c>
      <c r="O34" s="23">
        <f t="shared" si="3"/>
        <v>0.23144088281086603</v>
      </c>
    </row>
    <row r="35" spans="1:15" x14ac:dyDescent="0.2">
      <c r="A35" s="8">
        <f>'Monthly Data'!A35</f>
        <v>43739</v>
      </c>
      <c r="B35">
        <f t="shared" si="0"/>
        <v>2019</v>
      </c>
      <c r="C35">
        <f t="shared" si="1"/>
        <v>10</v>
      </c>
      <c r="D35" s="19">
        <f>'Monthly Data'!S35</f>
        <v>3090561.7950364789</v>
      </c>
      <c r="E35" s="21">
        <f>'Monthly Data'!BJ35</f>
        <v>126.96250000000001</v>
      </c>
      <c r="F35" s="21">
        <f>'Monthly Data'!BK35</f>
        <v>10.866666666666669</v>
      </c>
      <c r="G35" s="21">
        <f>'Monthly Data'!CT35</f>
        <v>21</v>
      </c>
      <c r="I35" s="11">
        <f>'GS Co Gen Predicted (-HDD)'!$R$10</f>
        <v>-487307.14543792501</v>
      </c>
      <c r="J35" s="11">
        <f t="shared" si="4"/>
        <v>-286720.02023492282</v>
      </c>
      <c r="K35" s="11">
        <f t="shared" si="6"/>
        <v>127820.78907796154</v>
      </c>
      <c r="L35" s="11">
        <f t="shared" si="7"/>
        <v>3629062.444126098</v>
      </c>
      <c r="M35" s="11">
        <f t="shared" si="5"/>
        <v>2982856.0675312118</v>
      </c>
      <c r="N35" s="11">
        <f t="shared" si="2"/>
        <v>-107705.72750526713</v>
      </c>
      <c r="O35" s="23">
        <f t="shared" si="3"/>
        <v>3.4849886411669646E-2</v>
      </c>
    </row>
    <row r="36" spans="1:15" x14ac:dyDescent="0.2">
      <c r="A36" s="8">
        <f>'Monthly Data'!A36</f>
        <v>43770</v>
      </c>
      <c r="B36">
        <f t="shared" si="0"/>
        <v>2019</v>
      </c>
      <c r="C36">
        <f t="shared" si="1"/>
        <v>11</v>
      </c>
      <c r="D36" s="19">
        <f>'Monthly Data'!S36</f>
        <v>1482477.7429550102</v>
      </c>
      <c r="E36" s="21">
        <f>'Monthly Data'!BJ36</f>
        <v>403.4666666666667</v>
      </c>
      <c r="F36" s="21">
        <f>'Monthly Data'!BK36</f>
        <v>0</v>
      </c>
      <c r="G36" s="21">
        <f>'Monthly Data'!CT36</f>
        <v>21</v>
      </c>
      <c r="I36" s="11">
        <f>'GS Co Gen Predicted (-HDD)'!$R$10</f>
        <v>-487307.14543792501</v>
      </c>
      <c r="J36" s="11">
        <f t="shared" si="4"/>
        <v>-911150.70064612408</v>
      </c>
      <c r="K36" s="11">
        <f t="shared" si="6"/>
        <v>0</v>
      </c>
      <c r="L36" s="11">
        <f t="shared" si="7"/>
        <v>3629062.444126098</v>
      </c>
      <c r="M36" s="11">
        <f t="shared" si="5"/>
        <v>2230604.598042049</v>
      </c>
      <c r="N36" s="11">
        <f t="shared" si="2"/>
        <v>748126.85508703883</v>
      </c>
      <c r="O36" s="23">
        <f t="shared" si="3"/>
        <v>0.50464626443281635</v>
      </c>
    </row>
    <row r="37" spans="1:15" x14ac:dyDescent="0.2">
      <c r="A37" s="8">
        <f>'Monthly Data'!A37</f>
        <v>43800</v>
      </c>
      <c r="B37">
        <f t="shared" si="0"/>
        <v>2019</v>
      </c>
      <c r="C37">
        <f t="shared" si="1"/>
        <v>12</v>
      </c>
      <c r="D37" s="19">
        <f>'Monthly Data'!S37</f>
        <v>1009435.6612457265</v>
      </c>
      <c r="E37" s="21">
        <f>'Monthly Data'!BJ37</f>
        <v>456.13125000000002</v>
      </c>
      <c r="F37" s="21">
        <f>'Monthly Data'!BK37</f>
        <v>0</v>
      </c>
      <c r="G37" s="21">
        <f>'Monthly Data'!CT37</f>
        <v>21</v>
      </c>
      <c r="I37" s="11">
        <f>'GS Co Gen Predicted (-HDD)'!$R$10</f>
        <v>-487307.14543792501</v>
      </c>
      <c r="J37" s="11">
        <f t="shared" si="4"/>
        <v>-1030083.3807603082</v>
      </c>
      <c r="K37" s="11">
        <f t="shared" si="6"/>
        <v>0</v>
      </c>
      <c r="L37" s="11">
        <f t="shared" si="7"/>
        <v>3629062.444126098</v>
      </c>
      <c r="M37" s="11">
        <f t="shared" si="5"/>
        <v>2111671.9179278649</v>
      </c>
      <c r="N37" s="11">
        <f t="shared" si="2"/>
        <v>1102236.2566821384</v>
      </c>
      <c r="O37" s="23">
        <f t="shared" si="3"/>
        <v>1.0919331454189842</v>
      </c>
    </row>
    <row r="38" spans="1:15" x14ac:dyDescent="0.2">
      <c r="A38" s="8">
        <f>'Monthly Data'!A38</f>
        <v>43831</v>
      </c>
      <c r="B38">
        <f t="shared" si="0"/>
        <v>2020</v>
      </c>
      <c r="C38">
        <f t="shared" si="1"/>
        <v>1</v>
      </c>
      <c r="D38" s="19">
        <f>'Monthly Data'!S38</f>
        <v>998532.39409482549</v>
      </c>
      <c r="E38" s="21">
        <f>'Monthly Data'!BJ38</f>
        <v>478.31249999999994</v>
      </c>
      <c r="F38" s="21">
        <f>'Monthly Data'!BK38</f>
        <v>0</v>
      </c>
      <c r="G38" s="21">
        <f>'Monthly Data'!CT38</f>
        <v>22</v>
      </c>
      <c r="I38" s="11">
        <f>'GS Co Gen Predicted (-HDD)'!$R$10</f>
        <v>-487307.14543792501</v>
      </c>
      <c r="J38" s="11">
        <f t="shared" si="4"/>
        <v>-1080175.4035925292</v>
      </c>
      <c r="K38" s="11">
        <f t="shared" si="6"/>
        <v>0</v>
      </c>
      <c r="L38" s="11">
        <f t="shared" si="7"/>
        <v>3801874.941465436</v>
      </c>
      <c r="M38" s="11">
        <f t="shared" si="5"/>
        <v>2234392.3924349817</v>
      </c>
      <c r="N38" s="11">
        <f t="shared" si="2"/>
        <v>1235859.9983401562</v>
      </c>
      <c r="O38" s="23">
        <f t="shared" si="3"/>
        <v>1.237676419562201</v>
      </c>
    </row>
    <row r="39" spans="1:15" x14ac:dyDescent="0.2">
      <c r="A39" s="8">
        <f>'Monthly Data'!A39</f>
        <v>43862</v>
      </c>
      <c r="B39">
        <f t="shared" si="0"/>
        <v>2020</v>
      </c>
      <c r="C39">
        <f t="shared" si="1"/>
        <v>2</v>
      </c>
      <c r="D39" s="19">
        <f>'Monthly Data'!S39</f>
        <v>1252939.9736270586</v>
      </c>
      <c r="E39" s="21">
        <f>'Monthly Data'!BJ39</f>
        <v>496.01666666666659</v>
      </c>
      <c r="F39" s="21">
        <f>'Monthly Data'!BK39</f>
        <v>0</v>
      </c>
      <c r="G39" s="21">
        <f>'Monthly Data'!CT39</f>
        <v>19</v>
      </c>
      <c r="I39" s="11">
        <f>'GS Co Gen Predicted (-HDD)'!$R$10</f>
        <v>-487307.14543792501</v>
      </c>
      <c r="J39" s="11">
        <f t="shared" si="4"/>
        <v>-1120156.8077465836</v>
      </c>
      <c r="K39" s="11">
        <f t="shared" si="6"/>
        <v>0</v>
      </c>
      <c r="L39" s="11">
        <f t="shared" si="7"/>
        <v>3283437.4494474223</v>
      </c>
      <c r="M39" s="11">
        <f t="shared" si="5"/>
        <v>1675973.4962629136</v>
      </c>
      <c r="N39" s="11">
        <f t="shared" si="2"/>
        <v>423033.52263585501</v>
      </c>
      <c r="O39" s="23">
        <f t="shared" si="3"/>
        <v>0.33763271309098825</v>
      </c>
    </row>
    <row r="40" spans="1:15" x14ac:dyDescent="0.2">
      <c r="A40" s="8">
        <f>'Monthly Data'!A40</f>
        <v>43891</v>
      </c>
      <c r="B40">
        <f t="shared" si="0"/>
        <v>2020</v>
      </c>
      <c r="C40">
        <f t="shared" si="1"/>
        <v>3</v>
      </c>
      <c r="D40" s="19">
        <f>'Monthly Data'!S40</f>
        <v>1164437.6812405386</v>
      </c>
      <c r="E40" s="21">
        <f>'Monthly Data'!BJ40</f>
        <v>346.7208333333333</v>
      </c>
      <c r="F40" s="21">
        <f>'Monthly Data'!BK40</f>
        <v>0</v>
      </c>
      <c r="G40" s="21">
        <f>'Monthly Data'!CT40</f>
        <v>22</v>
      </c>
      <c r="I40" s="11">
        <f>'GS Co Gen Predicted (-HDD)'!$R$10</f>
        <v>-487307.14543792501</v>
      </c>
      <c r="J40" s="11">
        <f t="shared" si="4"/>
        <v>-783001.31416128878</v>
      </c>
      <c r="K40" s="11">
        <f t="shared" si="6"/>
        <v>0</v>
      </c>
      <c r="L40" s="11">
        <f t="shared" si="7"/>
        <v>3801874.941465436</v>
      </c>
      <c r="M40" s="11">
        <f t="shared" si="5"/>
        <v>2531566.4818662223</v>
      </c>
      <c r="N40" s="11">
        <f t="shared" si="2"/>
        <v>1367128.8006256837</v>
      </c>
      <c r="O40" s="23">
        <f t="shared" si="3"/>
        <v>1.1740678120010744</v>
      </c>
    </row>
    <row r="41" spans="1:15" x14ac:dyDescent="0.2">
      <c r="A41" s="8">
        <f>'Monthly Data'!A41</f>
        <v>43922</v>
      </c>
      <c r="B41">
        <f t="shared" si="0"/>
        <v>2020</v>
      </c>
      <c r="C41">
        <f t="shared" si="1"/>
        <v>4</v>
      </c>
      <c r="D41" s="19">
        <f>'Monthly Data'!S41</f>
        <v>1121055.5596983887</v>
      </c>
      <c r="E41" s="21">
        <f>'Monthly Data'!BJ41</f>
        <v>265.07083333333338</v>
      </c>
      <c r="F41" s="21">
        <f>'Monthly Data'!BK41</f>
        <v>0</v>
      </c>
      <c r="G41" s="21">
        <f>'Monthly Data'!CT41</f>
        <v>21</v>
      </c>
      <c r="I41" s="11">
        <f>'GS Co Gen Predicted (-HDD)'!$R$10</f>
        <v>-487307.14543792501</v>
      </c>
      <c r="J41" s="11">
        <f t="shared" si="4"/>
        <v>-598610.72912884667</v>
      </c>
      <c r="K41" s="11">
        <f t="shared" si="6"/>
        <v>0</v>
      </c>
      <c r="L41" s="11">
        <f t="shared" si="7"/>
        <v>3629062.444126098</v>
      </c>
      <c r="M41" s="11">
        <f t="shared" si="5"/>
        <v>2543144.5695593264</v>
      </c>
      <c r="N41" s="11">
        <f t="shared" si="2"/>
        <v>1422089.0098609377</v>
      </c>
      <c r="O41" s="23">
        <f t="shared" si="3"/>
        <v>1.2685267893801264</v>
      </c>
    </row>
    <row r="42" spans="1:15" x14ac:dyDescent="0.2">
      <c r="A42" s="8">
        <f>'Monthly Data'!A42</f>
        <v>43952</v>
      </c>
      <c r="B42">
        <f t="shared" si="0"/>
        <v>2020</v>
      </c>
      <c r="C42">
        <f t="shared" si="1"/>
        <v>5</v>
      </c>
      <c r="D42" s="19">
        <f>'Monthly Data'!S42</f>
        <v>2424185.9781487486</v>
      </c>
      <c r="E42" s="21">
        <f>'Monthly Data'!BJ42</f>
        <v>117.34583333333333</v>
      </c>
      <c r="F42" s="21">
        <f>'Monthly Data'!BK42</f>
        <v>55.616666666666646</v>
      </c>
      <c r="G42" s="21">
        <f>'Monthly Data'!CT42</f>
        <v>20</v>
      </c>
      <c r="I42" s="11">
        <f>'GS Co Gen Predicted (-HDD)'!$R$10</f>
        <v>-487307.14543792501</v>
      </c>
      <c r="J42" s="11">
        <f t="shared" si="4"/>
        <v>-265002.6559639044</v>
      </c>
      <c r="K42" s="11">
        <f t="shared" si="6"/>
        <v>654199.34532692854</v>
      </c>
      <c r="L42" s="11">
        <f t="shared" si="7"/>
        <v>3456249.9467867604</v>
      </c>
      <c r="M42" s="11">
        <f t="shared" si="5"/>
        <v>3358139.4907118594</v>
      </c>
      <c r="N42" s="11">
        <f t="shared" si="2"/>
        <v>933953.51256311079</v>
      </c>
      <c r="O42" s="23">
        <f t="shared" si="3"/>
        <v>0.38526479444301248</v>
      </c>
    </row>
    <row r="43" spans="1:15" x14ac:dyDescent="0.2">
      <c r="A43" s="8">
        <f>'Monthly Data'!A43</f>
        <v>43983</v>
      </c>
      <c r="B43">
        <f t="shared" si="0"/>
        <v>2020</v>
      </c>
      <c r="C43">
        <f t="shared" si="1"/>
        <v>6</v>
      </c>
      <c r="D43" s="19">
        <f>'Monthly Data'!S43</f>
        <v>4259731.9798160084</v>
      </c>
      <c r="E43" s="21">
        <f>'Monthly Data'!BJ43</f>
        <v>3.7708333333333339</v>
      </c>
      <c r="F43" s="21">
        <f>'Monthly Data'!BK43</f>
        <v>167.22499999999997</v>
      </c>
      <c r="G43" s="21">
        <f>'Monthly Data'!CT43</f>
        <v>22</v>
      </c>
      <c r="I43" s="11">
        <f>'GS Co Gen Predicted (-HDD)'!$R$10</f>
        <v>-487307.14543792501</v>
      </c>
      <c r="J43" s="11">
        <f t="shared" si="4"/>
        <v>-8515.6909294937868</v>
      </c>
      <c r="K43" s="11">
        <f t="shared" si="6"/>
        <v>1967009.0294689059</v>
      </c>
      <c r="L43" s="11">
        <f t="shared" si="7"/>
        <v>3801874.941465436</v>
      </c>
      <c r="M43" s="11">
        <f t="shared" si="5"/>
        <v>5273061.1345669236</v>
      </c>
      <c r="N43" s="11">
        <f t="shared" si="2"/>
        <v>1013329.1547509152</v>
      </c>
      <c r="O43" s="23">
        <f t="shared" si="3"/>
        <v>0.23788566030736147</v>
      </c>
    </row>
    <row r="44" spans="1:15" x14ac:dyDescent="0.2">
      <c r="A44" s="8">
        <f>'Monthly Data'!A44</f>
        <v>44013</v>
      </c>
      <c r="B44">
        <f t="shared" si="0"/>
        <v>2020</v>
      </c>
      <c r="C44">
        <f t="shared" si="1"/>
        <v>7</v>
      </c>
      <c r="D44" s="19">
        <f>'Monthly Data'!S44</f>
        <v>7280535.8722648388</v>
      </c>
      <c r="E44" s="21">
        <f>'Monthly Data'!BJ44</f>
        <v>0</v>
      </c>
      <c r="F44" s="21">
        <f>'Monthly Data'!BK44</f>
        <v>285.85000000000008</v>
      </c>
      <c r="G44" s="21">
        <f>'Monthly Data'!CT44</f>
        <v>22</v>
      </c>
      <c r="I44" s="11">
        <f>'GS Co Gen Predicted (-HDD)'!$R$10</f>
        <v>-487307.14543792501</v>
      </c>
      <c r="J44" s="11">
        <f t="shared" si="4"/>
        <v>0</v>
      </c>
      <c r="K44" s="11">
        <f t="shared" si="6"/>
        <v>3362353.3028774825</v>
      </c>
      <c r="L44" s="11">
        <f t="shared" si="7"/>
        <v>3801874.941465436</v>
      </c>
      <c r="M44" s="11">
        <f t="shared" si="5"/>
        <v>6676921.0989049934</v>
      </c>
      <c r="N44" s="11">
        <f t="shared" si="2"/>
        <v>-603614.77335984539</v>
      </c>
      <c r="O44" s="23">
        <f t="shared" si="3"/>
        <v>8.2908014458017099E-2</v>
      </c>
    </row>
    <row r="45" spans="1:15" x14ac:dyDescent="0.2">
      <c r="A45" s="8">
        <f>'Monthly Data'!A45</f>
        <v>44044</v>
      </c>
      <c r="B45">
        <f t="shared" si="0"/>
        <v>2020</v>
      </c>
      <c r="C45">
        <f t="shared" si="1"/>
        <v>8</v>
      </c>
      <c r="D45" s="19">
        <f>'Monthly Data'!S45</f>
        <v>6309964.7820981592</v>
      </c>
      <c r="E45" s="21">
        <f>'Monthly Data'!BJ45</f>
        <v>0</v>
      </c>
      <c r="F45" s="21">
        <f>'Monthly Data'!BK45</f>
        <v>199.54583333333341</v>
      </c>
      <c r="G45" s="21">
        <f>'Monthly Data'!CT45</f>
        <v>20</v>
      </c>
      <c r="I45" s="11">
        <f>'GS Co Gen Predicted (-HDD)'!$R$10</f>
        <v>-487307.14543792501</v>
      </c>
      <c r="J45" s="11">
        <f t="shared" si="4"/>
        <v>0</v>
      </c>
      <c r="K45" s="11">
        <f t="shared" si="6"/>
        <v>2347187.6571060801</v>
      </c>
      <c r="L45" s="11">
        <f t="shared" si="7"/>
        <v>3456249.9467867604</v>
      </c>
      <c r="M45" s="11">
        <f t="shared" si="5"/>
        <v>5316130.4584549153</v>
      </c>
      <c r="N45" s="11">
        <f t="shared" si="2"/>
        <v>-993834.32364324387</v>
      </c>
      <c r="O45" s="23">
        <f t="shared" si="3"/>
        <v>0.15750235666335666</v>
      </c>
    </row>
    <row r="46" spans="1:15" x14ac:dyDescent="0.2">
      <c r="A46" s="8">
        <f>'Monthly Data'!A46</f>
        <v>44075</v>
      </c>
      <c r="B46">
        <f t="shared" si="0"/>
        <v>2020</v>
      </c>
      <c r="C46">
        <f t="shared" si="1"/>
        <v>9</v>
      </c>
      <c r="D46" s="19">
        <f>'Monthly Data'!S46</f>
        <v>4783504.4640561193</v>
      </c>
      <c r="E46" s="21">
        <f>'Monthly Data'!BJ46</f>
        <v>25.787499999999994</v>
      </c>
      <c r="F46" s="21">
        <f>'Monthly Data'!BK46</f>
        <v>71.695833333333354</v>
      </c>
      <c r="G46" s="21">
        <f>'Monthly Data'!CT46</f>
        <v>21</v>
      </c>
      <c r="I46" s="11">
        <f>'GS Co Gen Predicted (-HDD)'!$R$10</f>
        <v>-487307.14543792501</v>
      </c>
      <c r="J46" s="11">
        <f t="shared" si="4"/>
        <v>-58236.03443385307</v>
      </c>
      <c r="K46" s="11">
        <f t="shared" si="6"/>
        <v>843332.94388975634</v>
      </c>
      <c r="L46" s="11">
        <f t="shared" si="7"/>
        <v>3629062.444126098</v>
      </c>
      <c r="M46" s="11">
        <f t="shared" si="5"/>
        <v>3926852.2081440762</v>
      </c>
      <c r="N46" s="11">
        <f t="shared" si="2"/>
        <v>-856652.25591204315</v>
      </c>
      <c r="O46" s="23">
        <f t="shared" si="3"/>
        <v>0.17908465693907902</v>
      </c>
    </row>
    <row r="47" spans="1:15" x14ac:dyDescent="0.2">
      <c r="A47" s="8">
        <f>'Monthly Data'!A47</f>
        <v>44105</v>
      </c>
      <c r="B47">
        <f t="shared" si="0"/>
        <v>2020</v>
      </c>
      <c r="C47">
        <f t="shared" si="1"/>
        <v>10</v>
      </c>
      <c r="D47" s="19">
        <f>'Monthly Data'!S47</f>
        <v>3658910.8829854284</v>
      </c>
      <c r="E47" s="21">
        <f>'Monthly Data'!BJ47</f>
        <v>165.45833333333334</v>
      </c>
      <c r="F47" s="21">
        <f>'Monthly Data'!BK47</f>
        <v>4.0104166666666714</v>
      </c>
      <c r="G47" s="21">
        <f>'Monthly Data'!CT47</f>
        <v>21</v>
      </c>
      <c r="I47" s="11">
        <f>'GS Co Gen Predicted (-HDD)'!$R$10</f>
        <v>-487307.14543792501</v>
      </c>
      <c r="J47" s="11">
        <f t="shared" si="4"/>
        <v>-373655.3445416555</v>
      </c>
      <c r="K47" s="11">
        <f t="shared" si="6"/>
        <v>47173.124803503873</v>
      </c>
      <c r="L47" s="11">
        <f t="shared" si="7"/>
        <v>3629062.444126098</v>
      </c>
      <c r="M47" s="11">
        <f t="shared" si="5"/>
        <v>2815273.0789500214</v>
      </c>
      <c r="N47" s="11">
        <f t="shared" si="2"/>
        <v>-843637.80403540703</v>
      </c>
      <c r="O47" s="23">
        <f t="shared" si="3"/>
        <v>0.23057074386765455</v>
      </c>
    </row>
    <row r="48" spans="1:15" x14ac:dyDescent="0.2">
      <c r="A48" s="8">
        <f>'Monthly Data'!A48</f>
        <v>44136</v>
      </c>
      <c r="B48">
        <f t="shared" si="0"/>
        <v>2020</v>
      </c>
      <c r="C48">
        <f t="shared" si="1"/>
        <v>11</v>
      </c>
      <c r="D48" s="19">
        <f>'Monthly Data'!S48</f>
        <v>2825236.0058438084</v>
      </c>
      <c r="E48" s="21">
        <f>'Monthly Data'!BJ48</f>
        <v>238.94583333333335</v>
      </c>
      <c r="F48" s="21">
        <f>'Monthly Data'!BK48</f>
        <v>3.091666666666665</v>
      </c>
      <c r="G48" s="21">
        <f>'Monthly Data'!CT48</f>
        <v>21</v>
      </c>
      <c r="I48" s="11">
        <f>'GS Co Gen Predicted (-HDD)'!$R$10</f>
        <v>-487307.14543792501</v>
      </c>
      <c r="J48" s="11">
        <f t="shared" si="4"/>
        <v>-539612.51683279581</v>
      </c>
      <c r="K48" s="11">
        <f t="shared" si="6"/>
        <v>36366.190757610195</v>
      </c>
      <c r="L48" s="11">
        <f t="shared" si="7"/>
        <v>3629062.444126098</v>
      </c>
      <c r="M48" s="11">
        <f t="shared" si="5"/>
        <v>2638508.9726129873</v>
      </c>
      <c r="N48" s="11">
        <f t="shared" si="2"/>
        <v>-186727.03323082114</v>
      </c>
      <c r="O48" s="23">
        <f t="shared" si="3"/>
        <v>6.6092543364373452E-2</v>
      </c>
    </row>
    <row r="49" spans="1:19" x14ac:dyDescent="0.2">
      <c r="A49" s="8">
        <f>'Monthly Data'!A49</f>
        <v>44166</v>
      </c>
      <c r="B49">
        <f t="shared" si="0"/>
        <v>2020</v>
      </c>
      <c r="C49">
        <f t="shared" si="1"/>
        <v>12</v>
      </c>
      <c r="D49" s="19">
        <f>'Monthly Data'!S49</f>
        <v>1601972.2623421687</v>
      </c>
      <c r="E49" s="21">
        <f>'Monthly Data'!BJ49</f>
        <v>455.59791666666672</v>
      </c>
      <c r="F49" s="21">
        <f>'Monthly Data'!BK49</f>
        <v>0</v>
      </c>
      <c r="G49" s="21">
        <f>'Monthly Data'!CT49</f>
        <v>21</v>
      </c>
      <c r="I49" s="11">
        <f>'GS Co Gen Predicted (-HDD)'!$R$10</f>
        <v>-487307.14543792501</v>
      </c>
      <c r="J49" s="11">
        <f t="shared" si="4"/>
        <v>-1028878.9515459711</v>
      </c>
      <c r="K49" s="11">
        <f t="shared" si="6"/>
        <v>0</v>
      </c>
      <c r="L49" s="11">
        <f t="shared" si="7"/>
        <v>3629062.444126098</v>
      </c>
      <c r="M49" s="11">
        <f t="shared" si="5"/>
        <v>2112876.3471422018</v>
      </c>
      <c r="N49" s="11">
        <f t="shared" si="2"/>
        <v>510904.08480003313</v>
      </c>
      <c r="O49" s="23">
        <f t="shared" si="3"/>
        <v>0.31892192943032871</v>
      </c>
    </row>
    <row r="50" spans="1:19" x14ac:dyDescent="0.2">
      <c r="A50" s="8">
        <f>'Monthly Data'!A50</f>
        <v>44197</v>
      </c>
      <c r="B50">
        <f t="shared" si="0"/>
        <v>2021</v>
      </c>
      <c r="C50">
        <f t="shared" si="1"/>
        <v>1</v>
      </c>
      <c r="D50" s="19">
        <f>'Monthly Data'!S50</f>
        <v>1171515.8824397286</v>
      </c>
      <c r="E50" s="21">
        <f>'Monthly Data'!BJ50</f>
        <v>523.92083333333335</v>
      </c>
      <c r="F50" s="21">
        <f>'Monthly Data'!BK50</f>
        <v>0</v>
      </c>
      <c r="G50" s="21">
        <f>'Monthly Data'!CT50</f>
        <v>20</v>
      </c>
      <c r="I50" s="11">
        <f>'GS Co Gen Predicted (-HDD)'!$R$10</f>
        <v>-487307.14543792501</v>
      </c>
      <c r="J50" s="11">
        <f t="shared" si="4"/>
        <v>-1183172.9206248377</v>
      </c>
      <c r="K50" s="11">
        <f t="shared" si="6"/>
        <v>0</v>
      </c>
      <c r="L50" s="11">
        <f t="shared" si="7"/>
        <v>3456249.9467867604</v>
      </c>
      <c r="M50" s="11">
        <f t="shared" si="5"/>
        <v>1785769.8807239975</v>
      </c>
      <c r="N50" s="11">
        <f t="shared" si="2"/>
        <v>614253.99828426889</v>
      </c>
      <c r="O50" s="23">
        <f t="shared" si="3"/>
        <v>0.5243240894054807</v>
      </c>
    </row>
    <row r="51" spans="1:19" x14ac:dyDescent="0.2">
      <c r="A51" s="8">
        <f>'Monthly Data'!A51</f>
        <v>44228</v>
      </c>
      <c r="B51">
        <f t="shared" si="0"/>
        <v>2021</v>
      </c>
      <c r="C51">
        <f t="shared" si="1"/>
        <v>2</v>
      </c>
      <c r="D51" s="19">
        <f>'Monthly Data'!S51</f>
        <v>1176631.0139222587</v>
      </c>
      <c r="E51" s="21">
        <f>'Monthly Data'!BJ51</f>
        <v>570.50000000000011</v>
      </c>
      <c r="F51" s="21">
        <f>'Monthly Data'!BK51</f>
        <v>0</v>
      </c>
      <c r="G51" s="21">
        <f>'Monthly Data'!CT51</f>
        <v>19</v>
      </c>
      <c r="I51" s="11">
        <f>'GS Co Gen Predicted (-HDD)'!$R$10</f>
        <v>-487307.14543792501</v>
      </c>
      <c r="J51" s="11">
        <f t="shared" si="4"/>
        <v>-1288362.8752113695</v>
      </c>
      <c r="K51" s="11">
        <f t="shared" si="6"/>
        <v>0</v>
      </c>
      <c r="L51" s="11">
        <f t="shared" si="7"/>
        <v>3283437.4494474223</v>
      </c>
      <c r="M51" s="11">
        <f t="shared" si="5"/>
        <v>1507767.4287981279</v>
      </c>
      <c r="N51" s="11">
        <f t="shared" si="2"/>
        <v>331136.41487586917</v>
      </c>
      <c r="O51" s="23">
        <f t="shared" si="3"/>
        <v>0.28142757666401924</v>
      </c>
    </row>
    <row r="52" spans="1:19" x14ac:dyDescent="0.2">
      <c r="A52" s="8">
        <f>'Monthly Data'!A52</f>
        <v>44256</v>
      </c>
      <c r="B52">
        <f t="shared" si="0"/>
        <v>2021</v>
      </c>
      <c r="C52">
        <f t="shared" si="1"/>
        <v>3</v>
      </c>
      <c r="D52" s="19">
        <f>'Monthly Data'!S52</f>
        <v>929052.76174393552</v>
      </c>
      <c r="E52" s="21">
        <f>'Monthly Data'!BJ52</f>
        <v>328.07083333333333</v>
      </c>
      <c r="F52" s="21">
        <f>'Monthly Data'!BK52</f>
        <v>0</v>
      </c>
      <c r="G52" s="21">
        <f>'Monthly Data'!CT52</f>
        <v>23</v>
      </c>
      <c r="I52" s="11">
        <f>'GS Co Gen Predicted (-HDD)'!$R$10</f>
        <v>-487307.14543792501</v>
      </c>
      <c r="J52" s="11">
        <f t="shared" si="4"/>
        <v>-740883.93007243332</v>
      </c>
      <c r="K52" s="11">
        <f t="shared" si="6"/>
        <v>0</v>
      </c>
      <c r="L52" s="11">
        <f t="shared" si="7"/>
        <v>3974687.4388047741</v>
      </c>
      <c r="M52" s="11">
        <f t="shared" si="5"/>
        <v>2746496.3632944156</v>
      </c>
      <c r="N52" s="11">
        <f t="shared" si="2"/>
        <v>1817443.6015504801</v>
      </c>
      <c r="O52" s="23">
        <f t="shared" si="3"/>
        <v>1.956232924962126</v>
      </c>
    </row>
    <row r="53" spans="1:19" x14ac:dyDescent="0.2">
      <c r="A53" s="8">
        <f>'Monthly Data'!A53</f>
        <v>44287</v>
      </c>
      <c r="B53">
        <f t="shared" si="0"/>
        <v>2021</v>
      </c>
      <c r="C53">
        <f t="shared" si="1"/>
        <v>4</v>
      </c>
      <c r="D53" s="19">
        <f>'Monthly Data'!S53</f>
        <v>1370379.1031432985</v>
      </c>
      <c r="E53" s="21">
        <f>'Monthly Data'!BJ53</f>
        <v>195.19166666666669</v>
      </c>
      <c r="F53" s="21">
        <f>'Monthly Data'!BK53</f>
        <v>8.0499999999999954</v>
      </c>
      <c r="G53" s="21">
        <f>'Monthly Data'!CT53</f>
        <v>21</v>
      </c>
      <c r="I53" s="11">
        <f>'GS Co Gen Predicted (-HDD)'!$R$10</f>
        <v>-487307.14543792501</v>
      </c>
      <c r="J53" s="11">
        <f t="shared" si="4"/>
        <v>-440802.27324095683</v>
      </c>
      <c r="K53" s="11">
        <f t="shared" si="6"/>
        <v>94689.326878305787</v>
      </c>
      <c r="L53" s="11">
        <f t="shared" si="7"/>
        <v>3629062.444126098</v>
      </c>
      <c r="M53" s="11">
        <f t="shared" si="5"/>
        <v>2795642.3523255219</v>
      </c>
      <c r="N53" s="11">
        <f t="shared" si="2"/>
        <v>1425263.2491822233</v>
      </c>
      <c r="O53" s="23">
        <f t="shared" si="3"/>
        <v>1.0400503378320893</v>
      </c>
    </row>
    <row r="54" spans="1:19" x14ac:dyDescent="0.2">
      <c r="A54" s="8">
        <f>'Monthly Data'!A54</f>
        <v>44317</v>
      </c>
      <c r="B54">
        <f t="shared" si="0"/>
        <v>2021</v>
      </c>
      <c r="C54">
        <f t="shared" si="1"/>
        <v>5</v>
      </c>
      <c r="D54" s="19">
        <f>'Monthly Data'!S54</f>
        <v>1835106.5363508987</v>
      </c>
      <c r="E54" s="21">
        <f>'Monthly Data'!BJ54</f>
        <v>93.4375</v>
      </c>
      <c r="F54" s="21">
        <f>'Monthly Data'!BK54</f>
        <v>66.793749999999989</v>
      </c>
      <c r="G54" s="21">
        <f>'Monthly Data'!CT54</f>
        <v>20</v>
      </c>
      <c r="I54" s="11">
        <f>'GS Co Gen Predicted (-HDD)'!$R$10</f>
        <v>-487307.14543792501</v>
      </c>
      <c r="J54" s="11">
        <f t="shared" si="4"/>
        <v>-211010.35258994269</v>
      </c>
      <c r="K54" s="11">
        <f t="shared" si="6"/>
        <v>785671.45679227822</v>
      </c>
      <c r="L54" s="11">
        <f t="shared" si="7"/>
        <v>3456249.9467867604</v>
      </c>
      <c r="M54" s="11">
        <f t="shared" si="5"/>
        <v>3543603.9055511709</v>
      </c>
      <c r="N54" s="11">
        <f t="shared" si="2"/>
        <v>1708497.3692002723</v>
      </c>
      <c r="O54" s="23">
        <f t="shared" si="3"/>
        <v>0.9310071842464317</v>
      </c>
    </row>
    <row r="55" spans="1:19" x14ac:dyDescent="0.2">
      <c r="A55" s="8">
        <f>'Monthly Data'!A55</f>
        <v>44348</v>
      </c>
      <c r="B55">
        <f t="shared" si="0"/>
        <v>2021</v>
      </c>
      <c r="C55">
        <f t="shared" si="1"/>
        <v>6</v>
      </c>
      <c r="D55" s="19">
        <f>'Monthly Data'!S55</f>
        <v>3942469.7375949784</v>
      </c>
      <c r="E55" s="21">
        <f>'Monthly Data'!BJ55</f>
        <v>1.1083333333333361</v>
      </c>
      <c r="F55" s="21">
        <f>'Monthly Data'!BK55</f>
        <v>198.83750000000006</v>
      </c>
      <c r="G55" s="21">
        <f>'Monthly Data'!CT55</f>
        <v>22</v>
      </c>
      <c r="I55" s="11">
        <f>'GS Co Gen Predicted (-HDD)'!$R$10</f>
        <v>-487307.14543792501</v>
      </c>
      <c r="J55" s="11">
        <f t="shared" si="4"/>
        <v>-2502.9544610445882</v>
      </c>
      <c r="K55" s="11">
        <f t="shared" si="6"/>
        <v>2338855.7805174091</v>
      </c>
      <c r="L55" s="11">
        <f t="shared" si="7"/>
        <v>3801874.941465436</v>
      </c>
      <c r="M55" s="11">
        <f t="shared" si="5"/>
        <v>5650920.6220838754</v>
      </c>
      <c r="N55" s="11">
        <f t="shared" si="2"/>
        <v>1708450.8844888969</v>
      </c>
      <c r="O55" s="23">
        <f t="shared" si="3"/>
        <v>0.43334533888676136</v>
      </c>
    </row>
    <row r="56" spans="1:19" x14ac:dyDescent="0.2">
      <c r="A56" s="8">
        <f>'Monthly Data'!A56</f>
        <v>44378</v>
      </c>
      <c r="B56">
        <f t="shared" si="0"/>
        <v>2021</v>
      </c>
      <c r="C56">
        <f t="shared" si="1"/>
        <v>7</v>
      </c>
      <c r="D56" s="19">
        <f>'Monthly Data'!S56</f>
        <v>3408979.3014047383</v>
      </c>
      <c r="E56" s="21">
        <f>'Monthly Data'!BJ56</f>
        <v>0</v>
      </c>
      <c r="F56" s="21">
        <f>'Monthly Data'!BK56</f>
        <v>193.42708333333331</v>
      </c>
      <c r="G56" s="21">
        <f>'Monthly Data'!CT56</f>
        <v>21</v>
      </c>
      <c r="I56" s="11">
        <f>'GS Co Gen Predicted (-HDD)'!$R$10</f>
        <v>-487307.14543792501</v>
      </c>
      <c r="J56" s="11">
        <f t="shared" si="4"/>
        <v>0</v>
      </c>
      <c r="K56" s="11">
        <f t="shared" si="6"/>
        <v>2275214.9466915904</v>
      </c>
      <c r="L56" s="11">
        <f t="shared" si="7"/>
        <v>3629062.444126098</v>
      </c>
      <c r="M56" s="11">
        <f t="shared" si="5"/>
        <v>5416970.2453797627</v>
      </c>
      <c r="N56" s="11">
        <f t="shared" si="2"/>
        <v>2007990.9439750244</v>
      </c>
      <c r="O56" s="23">
        <f t="shared" si="3"/>
        <v>0.58902996071216729</v>
      </c>
    </row>
    <row r="57" spans="1:19" x14ac:dyDescent="0.2">
      <c r="A57" s="8">
        <f>'Monthly Data'!A57</f>
        <v>44409</v>
      </c>
      <c r="B57">
        <f t="shared" si="0"/>
        <v>2021</v>
      </c>
      <c r="C57">
        <f t="shared" si="1"/>
        <v>8</v>
      </c>
      <c r="D57" s="19">
        <f>'Monthly Data'!S57</f>
        <v>4426996.8036107589</v>
      </c>
      <c r="E57" s="21">
        <f>'Monthly Data'!BJ57</f>
        <v>0</v>
      </c>
      <c r="F57" s="21">
        <f>'Monthly Data'!BK57</f>
        <v>234.19791666666669</v>
      </c>
      <c r="G57" s="21">
        <f>'Monthly Data'!CT57</f>
        <v>20</v>
      </c>
      <c r="I57" s="11">
        <f>'GS Co Gen Predicted (-HDD)'!$R$10</f>
        <v>-487307.14543792501</v>
      </c>
      <c r="J57" s="11">
        <f t="shared" si="4"/>
        <v>0</v>
      </c>
      <c r="K57" s="11">
        <f t="shared" si="6"/>
        <v>2754787.9609277309</v>
      </c>
      <c r="L57" s="11">
        <f t="shared" si="7"/>
        <v>3456249.9467867604</v>
      </c>
      <c r="M57" s="11">
        <f t="shared" si="5"/>
        <v>5723730.7622765657</v>
      </c>
      <c r="N57" s="11">
        <f t="shared" si="2"/>
        <v>1296733.9586658068</v>
      </c>
      <c r="O57" s="23">
        <f t="shared" si="3"/>
        <v>0.29291504290406561</v>
      </c>
      <c r="R57" s="11"/>
      <c r="S57" s="23"/>
    </row>
    <row r="58" spans="1:19" x14ac:dyDescent="0.2">
      <c r="A58" s="8">
        <f>'Monthly Data'!A58</f>
        <v>44440</v>
      </c>
      <c r="B58">
        <f t="shared" si="0"/>
        <v>2021</v>
      </c>
      <c r="C58">
        <f t="shared" si="1"/>
        <v>9</v>
      </c>
      <c r="D58" s="19">
        <f>'Monthly Data'!S58</f>
        <v>2726526.6582645886</v>
      </c>
      <c r="E58" s="21">
        <f>'Monthly Data'!BJ58</f>
        <v>6.8624999999999954</v>
      </c>
      <c r="F58" s="21">
        <f>'Monthly Data'!BK58</f>
        <v>86.675000000000011</v>
      </c>
      <c r="G58" s="21">
        <f>'Monthly Data'!CT58</f>
        <v>20</v>
      </c>
      <c r="I58" s="11">
        <f>'GS Co Gen Predicted (-HDD)'!$R$10</f>
        <v>-487307.14543792501</v>
      </c>
      <c r="J58" s="11">
        <f t="shared" si="4"/>
        <v>-15497.616531354979</v>
      </c>
      <c r="K58" s="11">
        <f t="shared" si="6"/>
        <v>1019527.6282207653</v>
      </c>
      <c r="L58" s="11">
        <f t="shared" si="7"/>
        <v>3456249.9467867604</v>
      </c>
      <c r="M58" s="11">
        <f t="shared" si="5"/>
        <v>3972972.8130382458</v>
      </c>
      <c r="N58" s="11">
        <f t="shared" si="2"/>
        <v>1246446.1547736572</v>
      </c>
      <c r="O58" s="23">
        <f t="shared" si="3"/>
        <v>0.45715531553504407</v>
      </c>
      <c r="R58" s="11"/>
      <c r="S58" s="23"/>
    </row>
    <row r="59" spans="1:19" x14ac:dyDescent="0.2">
      <c r="A59" s="8">
        <f>'Monthly Data'!A59</f>
        <v>44470</v>
      </c>
      <c r="B59">
        <f t="shared" si="0"/>
        <v>2021</v>
      </c>
      <c r="C59">
        <f t="shared" si="1"/>
        <v>10</v>
      </c>
      <c r="D59" s="19">
        <f>'Monthly Data'!S59</f>
        <v>2613160.4865051284</v>
      </c>
      <c r="E59" s="21">
        <f>'Monthly Data'!BJ59</f>
        <v>80.245833333333309</v>
      </c>
      <c r="F59" s="21">
        <f>'Monthly Data'!BK59</f>
        <v>50.395833333333336</v>
      </c>
      <c r="G59" s="21">
        <f>'Monthly Data'!CT59</f>
        <v>20</v>
      </c>
      <c r="I59" s="11">
        <f>'GS Co Gen Predicted (-HDD)'!$R$10</f>
        <v>-487307.14543792501</v>
      </c>
      <c r="J59" s="11">
        <f t="shared" si="4"/>
        <v>-181219.54874156992</v>
      </c>
      <c r="K59" s="11">
        <f t="shared" si="6"/>
        <v>592788.51376454928</v>
      </c>
      <c r="L59" s="11">
        <f t="shared" si="7"/>
        <v>3456249.9467867604</v>
      </c>
      <c r="M59" s="11">
        <f t="shared" si="5"/>
        <v>3380511.7663718145</v>
      </c>
      <c r="N59" s="11">
        <f t="shared" si="2"/>
        <v>767351.27986668609</v>
      </c>
      <c r="O59" s="23">
        <f t="shared" si="3"/>
        <v>0.29364873831111332</v>
      </c>
      <c r="R59" s="11"/>
      <c r="S59" s="23"/>
    </row>
    <row r="60" spans="1:19" x14ac:dyDescent="0.2">
      <c r="A60" s="8">
        <f>'Monthly Data'!A60</f>
        <v>44501</v>
      </c>
      <c r="B60">
        <f t="shared" si="0"/>
        <v>2021</v>
      </c>
      <c r="C60">
        <f t="shared" si="1"/>
        <v>11</v>
      </c>
      <c r="D60" s="19">
        <f>'Monthly Data'!S60</f>
        <v>3086375.0493431385</v>
      </c>
      <c r="E60" s="21">
        <f>'Monthly Data'!BJ60</f>
        <v>328.07916666666665</v>
      </c>
      <c r="F60" s="21">
        <f>'Monthly Data'!BK60</f>
        <v>0</v>
      </c>
      <c r="G60" s="21">
        <f>'Monthly Data'!CT60</f>
        <v>22</v>
      </c>
      <c r="I60" s="11">
        <f>'GS Co Gen Predicted (-HDD)'!$R$10</f>
        <v>-487307.14543792501</v>
      </c>
      <c r="J60" s="11">
        <f t="shared" si="4"/>
        <v>-740902.74927890731</v>
      </c>
      <c r="K60" s="11">
        <f t="shared" si="6"/>
        <v>0</v>
      </c>
      <c r="L60" s="11">
        <f t="shared" si="7"/>
        <v>3801874.941465436</v>
      </c>
      <c r="M60" s="11">
        <f t="shared" si="5"/>
        <v>2573665.0467486037</v>
      </c>
      <c r="N60" s="11">
        <f t="shared" si="2"/>
        <v>-512710.00259453477</v>
      </c>
      <c r="O60" s="23">
        <f t="shared" si="3"/>
        <v>0.16612044693131281</v>
      </c>
      <c r="R60" s="11"/>
      <c r="S60" s="23"/>
    </row>
    <row r="61" spans="1:19" x14ac:dyDescent="0.2">
      <c r="A61" s="8">
        <f>'Monthly Data'!A61</f>
        <v>44531</v>
      </c>
      <c r="B61">
        <f t="shared" si="0"/>
        <v>2021</v>
      </c>
      <c r="C61">
        <f t="shared" si="1"/>
        <v>12</v>
      </c>
      <c r="D61" s="19">
        <f>'Monthly Data'!S61</f>
        <v>2523914.5382058783</v>
      </c>
      <c r="E61" s="21">
        <f>'Monthly Data'!BJ61</f>
        <v>403.17083333333323</v>
      </c>
      <c r="F61" s="21">
        <f>'Monthly Data'!BK61</f>
        <v>0</v>
      </c>
      <c r="G61" s="21">
        <f>'Monthly Data'!CT61</f>
        <v>21</v>
      </c>
      <c r="I61" s="11">
        <f>'GS Co Gen Predicted (-HDD)'!$R$10</f>
        <v>-487307.14543792501</v>
      </c>
      <c r="J61" s="11">
        <f t="shared" si="4"/>
        <v>-910482.6188162961</v>
      </c>
      <c r="K61" s="11">
        <f t="shared" si="6"/>
        <v>0</v>
      </c>
      <c r="L61" s="11">
        <f t="shared" si="7"/>
        <v>3629062.444126098</v>
      </c>
      <c r="M61" s="11">
        <f t="shared" si="5"/>
        <v>2231272.6798718767</v>
      </c>
      <c r="N61" s="11">
        <f t="shared" si="2"/>
        <v>-292641.85833400162</v>
      </c>
      <c r="O61" s="23">
        <f t="shared" si="3"/>
        <v>0.11594760991472625</v>
      </c>
      <c r="R61" s="11"/>
      <c r="S61" s="23"/>
    </row>
    <row r="62" spans="1:19" x14ac:dyDescent="0.2">
      <c r="A62" s="8">
        <f>'Monthly Data'!A62</f>
        <v>44562</v>
      </c>
      <c r="B62">
        <f t="shared" si="0"/>
        <v>2022</v>
      </c>
      <c r="C62">
        <f t="shared" si="1"/>
        <v>1</v>
      </c>
      <c r="D62" s="19">
        <f>'Monthly Data'!S62</f>
        <v>1022059.6169857765</v>
      </c>
      <c r="E62" s="21">
        <f>'Monthly Data'!BJ62</f>
        <v>680.12083333333328</v>
      </c>
      <c r="F62" s="21">
        <f>'Monthly Data'!BK62</f>
        <v>0</v>
      </c>
      <c r="G62" s="21">
        <f>'Monthly Data'!CT62</f>
        <v>20</v>
      </c>
      <c r="I62" s="11">
        <f>'GS Co Gen Predicted (-HDD)'!$R$10</f>
        <v>-487307.14543792501</v>
      </c>
      <c r="J62" s="11">
        <f t="shared" si="4"/>
        <v>-1535920.1267738575</v>
      </c>
      <c r="K62" s="11">
        <f t="shared" si="6"/>
        <v>0</v>
      </c>
      <c r="L62" s="11">
        <f t="shared" si="7"/>
        <v>3456249.9467867604</v>
      </c>
      <c r="M62" s="11">
        <f t="shared" si="5"/>
        <v>1433022.6745749777</v>
      </c>
      <c r="N62" s="11">
        <f t="shared" si="2"/>
        <v>410963.05758920126</v>
      </c>
      <c r="O62" s="23">
        <f t="shared" si="3"/>
        <v>0.40209303915284272</v>
      </c>
      <c r="R62" s="11"/>
      <c r="S62" s="23"/>
    </row>
    <row r="63" spans="1:19" x14ac:dyDescent="0.2">
      <c r="A63" s="8">
        <f>'Monthly Data'!A63</f>
        <v>44593</v>
      </c>
      <c r="B63">
        <f t="shared" si="0"/>
        <v>2022</v>
      </c>
      <c r="C63">
        <f t="shared" si="1"/>
        <v>2</v>
      </c>
      <c r="D63" s="19">
        <f>'Monthly Data'!S63</f>
        <v>1744892.6852793817</v>
      </c>
      <c r="E63" s="21">
        <f>'Monthly Data'!BJ63</f>
        <v>528.55208333333337</v>
      </c>
      <c r="F63" s="21">
        <f>'Monthly Data'!BK63</f>
        <v>0</v>
      </c>
      <c r="G63" s="21">
        <f>'Monthly Data'!CT63</f>
        <v>19</v>
      </c>
      <c r="I63" s="11">
        <f>'GS Co Gen Predicted (-HDD)'!$R$10</f>
        <v>-487307.14543792501</v>
      </c>
      <c r="J63" s="11">
        <f t="shared" si="4"/>
        <v>-1193631.6946227741</v>
      </c>
      <c r="K63" s="11">
        <f t="shared" si="6"/>
        <v>0</v>
      </c>
      <c r="L63" s="11">
        <f t="shared" si="7"/>
        <v>3283437.4494474223</v>
      </c>
      <c r="M63" s="11">
        <f t="shared" si="5"/>
        <v>1602498.609386723</v>
      </c>
      <c r="N63" s="11">
        <f t="shared" si="2"/>
        <v>-142394.07589265867</v>
      </c>
      <c r="O63" s="23">
        <f t="shared" si="3"/>
        <v>8.1606208275129183E-2</v>
      </c>
      <c r="R63" s="11"/>
      <c r="S63" s="23"/>
    </row>
    <row r="64" spans="1:19" x14ac:dyDescent="0.2">
      <c r="A64" s="8">
        <f>'Monthly Data'!A64</f>
        <v>44621</v>
      </c>
      <c r="B64">
        <f t="shared" si="0"/>
        <v>2022</v>
      </c>
      <c r="C64">
        <f t="shared" si="1"/>
        <v>3</v>
      </c>
      <c r="D64" s="19">
        <f>'Monthly Data'!S64</f>
        <v>1190079.078040208</v>
      </c>
      <c r="E64" s="21">
        <f>'Monthly Data'!BJ64</f>
        <v>412.21041666666667</v>
      </c>
      <c r="F64" s="21">
        <f>'Monthly Data'!BK64</f>
        <v>0</v>
      </c>
      <c r="G64" s="21">
        <f>'Monthly Data'!CT64</f>
        <v>23</v>
      </c>
      <c r="I64" s="11">
        <f>'GS Co Gen Predicted (-HDD)'!$R$10</f>
        <v>-487307.14543792501</v>
      </c>
      <c r="J64" s="11">
        <f t="shared" si="4"/>
        <v>-930896.75303898891</v>
      </c>
      <c r="K64" s="11">
        <f t="shared" si="6"/>
        <v>0</v>
      </c>
      <c r="L64" s="11">
        <f t="shared" si="7"/>
        <v>3974687.4388047741</v>
      </c>
      <c r="M64" s="11">
        <f t="shared" si="5"/>
        <v>2556483.54032786</v>
      </c>
      <c r="N64" s="11">
        <f t="shared" si="2"/>
        <v>1366404.4622876521</v>
      </c>
      <c r="O64" s="23">
        <f t="shared" si="3"/>
        <v>1.1481627460738257</v>
      </c>
      <c r="R64" s="11"/>
      <c r="S64" s="23"/>
    </row>
    <row r="65" spans="1:22" x14ac:dyDescent="0.2">
      <c r="A65" s="8">
        <f>'Monthly Data'!A65</f>
        <v>44652</v>
      </c>
      <c r="B65">
        <f t="shared" si="0"/>
        <v>2022</v>
      </c>
      <c r="C65">
        <f t="shared" si="1"/>
        <v>4</v>
      </c>
      <c r="D65" s="19">
        <f>'Monthly Data'!S65</f>
        <v>1361343.5260930443</v>
      </c>
      <c r="E65" s="21">
        <f>'Monthly Data'!BJ65</f>
        <v>250.45416666666662</v>
      </c>
      <c r="F65" s="21">
        <f>'Monthly Data'!BK65</f>
        <v>2.5416666666666696</v>
      </c>
      <c r="G65" s="21">
        <f>'Monthly Data'!CT65</f>
        <v>20</v>
      </c>
      <c r="I65" s="11">
        <f>'GS Co Gen Predicted (-HDD)'!$R$10</f>
        <v>-487307.14543792501</v>
      </c>
      <c r="J65" s="11">
        <f t="shared" si="4"/>
        <v>-565601.84097341646</v>
      </c>
      <c r="K65" s="11">
        <f t="shared" si="6"/>
        <v>29896.733641701157</v>
      </c>
      <c r="L65" s="11">
        <f t="shared" si="7"/>
        <v>3456249.9467867604</v>
      </c>
      <c r="M65" s="11">
        <f t="shared" si="5"/>
        <v>2433237.6940171202</v>
      </c>
      <c r="N65" s="11">
        <f t="shared" si="2"/>
        <v>1071894.1679240759</v>
      </c>
      <c r="O65" s="23">
        <f t="shared" si="3"/>
        <v>0.78737963444122971</v>
      </c>
      <c r="R65" s="11"/>
      <c r="S65" s="23"/>
    </row>
    <row r="66" spans="1:22" x14ac:dyDescent="0.2">
      <c r="A66" s="8">
        <f>'Monthly Data'!A66</f>
        <v>44682</v>
      </c>
      <c r="B66">
        <f t="shared" ref="B66:B96" si="8">YEAR(A66)</f>
        <v>2022</v>
      </c>
      <c r="C66">
        <f t="shared" ref="C66:C96" si="9">MONTH(A66)</f>
        <v>5</v>
      </c>
      <c r="D66" s="19">
        <f>'Monthly Data'!S66</f>
        <v>5350720.1149436207</v>
      </c>
      <c r="E66" s="21">
        <f>'Monthly Data'!BJ66</f>
        <v>44.104166666666664</v>
      </c>
      <c r="F66" s="21">
        <f>'Monthly Data'!BK66</f>
        <v>80.722916666666649</v>
      </c>
      <c r="G66" s="21">
        <f>'Monthly Data'!CT66</f>
        <v>21</v>
      </c>
      <c r="I66" s="11">
        <f>'GS Co Gen Predicted (-HDD)'!$R$10</f>
        <v>-487307.14543792501</v>
      </c>
      <c r="J66" s="11">
        <f t="shared" si="4"/>
        <v>-99600.650263747753</v>
      </c>
      <c r="K66" s="11">
        <f t="shared" si="6"/>
        <v>949515.35935655166</v>
      </c>
      <c r="L66" s="11">
        <f t="shared" si="7"/>
        <v>3629062.444126098</v>
      </c>
      <c r="M66" s="11">
        <f t="shared" si="5"/>
        <v>3991670.0077809766</v>
      </c>
      <c r="N66" s="11">
        <f t="shared" ref="N66:N96" si="10">M66-D66</f>
        <v>-1359050.1071626442</v>
      </c>
      <c r="O66" s="23">
        <f t="shared" ref="O66:O96" si="11">ABS(N66/D66)</f>
        <v>0.25399386960402881</v>
      </c>
      <c r="R66" s="11"/>
      <c r="S66" s="23"/>
    </row>
    <row r="67" spans="1:22" x14ac:dyDescent="0.2">
      <c r="A67" s="8">
        <f>'Monthly Data'!A67</f>
        <v>44713</v>
      </c>
      <c r="B67">
        <f t="shared" si="8"/>
        <v>2022</v>
      </c>
      <c r="C67">
        <f t="shared" si="9"/>
        <v>6</v>
      </c>
      <c r="D67" s="19">
        <f>'Monthly Data'!S67</f>
        <v>4689316.800036367</v>
      </c>
      <c r="E67" s="21">
        <f>'Monthly Data'!BJ67</f>
        <v>0.97291666666666998</v>
      </c>
      <c r="F67" s="21">
        <f>'Monthly Data'!BK67</f>
        <v>142.82500000000002</v>
      </c>
      <c r="G67" s="21">
        <f>'Monthly Data'!CT67</f>
        <v>22</v>
      </c>
      <c r="I67" s="11">
        <f>'GS Co Gen Predicted (-HDD)'!$R$10</f>
        <v>-487307.14543792501</v>
      </c>
      <c r="J67" s="11">
        <f t="shared" ref="J67:J96" si="12">E67*$R$11</f>
        <v>-2197.1423558417741</v>
      </c>
      <c r="K67" s="11">
        <f t="shared" si="6"/>
        <v>1680000.3865085756</v>
      </c>
      <c r="L67" s="11">
        <f t="shared" si="7"/>
        <v>3801874.941465436</v>
      </c>
      <c r="M67" s="11">
        <f t="shared" ref="M67:M96" si="13">SUM(I67:L67)</f>
        <v>4992371.0401802454</v>
      </c>
      <c r="N67" s="11">
        <f t="shared" si="10"/>
        <v>303054.24014387839</v>
      </c>
      <c r="O67" s="23">
        <f t="shared" si="11"/>
        <v>6.4626523023892976E-2</v>
      </c>
      <c r="R67" s="11"/>
      <c r="S67" s="23"/>
    </row>
    <row r="68" spans="1:22" x14ac:dyDescent="0.2">
      <c r="A68" s="8">
        <f>'Monthly Data'!A68</f>
        <v>44743</v>
      </c>
      <c r="B68">
        <f t="shared" si="8"/>
        <v>2022</v>
      </c>
      <c r="C68">
        <f t="shared" si="9"/>
        <v>7</v>
      </c>
      <c r="D68" s="19">
        <f>'Monthly Data'!S68</f>
        <v>5115119.137130823</v>
      </c>
      <c r="E68" s="21">
        <f>'Monthly Data'!BJ68</f>
        <v>0</v>
      </c>
      <c r="F68" s="21">
        <f>'Monthly Data'!BK68</f>
        <v>224.93333333333328</v>
      </c>
      <c r="G68" s="21">
        <f>'Monthly Data'!CT68</f>
        <v>20</v>
      </c>
      <c r="I68" s="11">
        <f>'GS Co Gen Predicted (-HDD)'!$R$10</f>
        <v>-487307.14543792501</v>
      </c>
      <c r="J68" s="11">
        <f t="shared" si="12"/>
        <v>0</v>
      </c>
      <c r="K68" s="11">
        <f t="shared" si="6"/>
        <v>2645811.9162517916</v>
      </c>
      <c r="L68" s="11">
        <f t="shared" si="7"/>
        <v>3456249.9467867604</v>
      </c>
      <c r="M68" s="11">
        <f t="shared" si="13"/>
        <v>5614754.7176006269</v>
      </c>
      <c r="N68" s="11">
        <f t="shared" si="10"/>
        <v>499635.58046980388</v>
      </c>
      <c r="O68" s="23">
        <f t="shared" si="11"/>
        <v>9.7678190297256676E-2</v>
      </c>
      <c r="R68" s="11"/>
      <c r="S68" s="23"/>
    </row>
    <row r="69" spans="1:22" x14ac:dyDescent="0.2">
      <c r="A69" s="8">
        <f>'Monthly Data'!A69</f>
        <v>44774</v>
      </c>
      <c r="B69">
        <f t="shared" si="8"/>
        <v>2022</v>
      </c>
      <c r="C69">
        <f t="shared" si="9"/>
        <v>8</v>
      </c>
      <c r="D69" s="19">
        <f>'Monthly Data'!S69</f>
        <v>7061111.8252039393</v>
      </c>
      <c r="E69" s="21">
        <f>'Monthly Data'!BJ69</f>
        <v>0</v>
      </c>
      <c r="F69" s="21">
        <f>'Monthly Data'!BK69</f>
        <v>208.27916666666667</v>
      </c>
      <c r="G69" s="21">
        <f>'Monthly Data'!CT69</f>
        <v>22</v>
      </c>
      <c r="I69" s="11">
        <f>'GS Co Gen Predicted (-HDD)'!$R$10</f>
        <v>-487307.14543792501</v>
      </c>
      <c r="J69" s="11">
        <f t="shared" si="12"/>
        <v>0</v>
      </c>
      <c r="K69" s="11">
        <f t="shared" si="6"/>
        <v>2449914.7943405146</v>
      </c>
      <c r="L69" s="11">
        <f t="shared" si="7"/>
        <v>3801874.941465436</v>
      </c>
      <c r="M69" s="11">
        <f t="shared" si="13"/>
        <v>5764482.590368025</v>
      </c>
      <c r="N69" s="11">
        <f t="shared" si="10"/>
        <v>-1296629.2348359143</v>
      </c>
      <c r="O69" s="23">
        <f t="shared" si="11"/>
        <v>0.18362961342825992</v>
      </c>
      <c r="R69" s="11"/>
      <c r="S69" s="23"/>
    </row>
    <row r="70" spans="1:22" x14ac:dyDescent="0.2">
      <c r="A70" s="8">
        <f>'Monthly Data'!A70</f>
        <v>44805</v>
      </c>
      <c r="B70">
        <f t="shared" si="8"/>
        <v>2022</v>
      </c>
      <c r="C70">
        <f t="shared" si="9"/>
        <v>9</v>
      </c>
      <c r="D70" s="19">
        <f>'Monthly Data'!S70</f>
        <v>5290385.8347192556</v>
      </c>
      <c r="E70" s="21">
        <f>'Monthly Data'!BJ70</f>
        <v>24.349999999999994</v>
      </c>
      <c r="F70" s="21">
        <f>'Monthly Data'!BK70</f>
        <v>101.75833333333333</v>
      </c>
      <c r="G70" s="21">
        <f>'Monthly Data'!CT70</f>
        <v>20</v>
      </c>
      <c r="I70" s="11">
        <f>'GS Co Gen Predicted (-HDD)'!$R$10</f>
        <v>-487307.14543792501</v>
      </c>
      <c r="J70" s="11">
        <f t="shared" si="12"/>
        <v>-54989.721317084717</v>
      </c>
      <c r="K70" s="11">
        <f t="shared" ref="K70:K96" si="14">F70*$R$12</f>
        <v>1196947.5885206964</v>
      </c>
      <c r="L70" s="11">
        <f t="shared" ref="L70:L96" si="15">G70*$R$13</f>
        <v>3456249.9467867604</v>
      </c>
      <c r="M70" s="11">
        <f t="shared" si="13"/>
        <v>4110900.6685524471</v>
      </c>
      <c r="N70" s="11">
        <f t="shared" si="10"/>
        <v>-1179485.1661668085</v>
      </c>
      <c r="O70" s="23">
        <f t="shared" si="11"/>
        <v>0.22294879863509995</v>
      </c>
      <c r="R70" s="11"/>
      <c r="S70" s="23"/>
    </row>
    <row r="71" spans="1:22" x14ac:dyDescent="0.2">
      <c r="A71" s="8">
        <f>'Monthly Data'!A71</f>
        <v>44835</v>
      </c>
      <c r="B71">
        <f t="shared" si="8"/>
        <v>2022</v>
      </c>
      <c r="C71">
        <f t="shared" si="9"/>
        <v>10</v>
      </c>
      <c r="D71" s="19">
        <f>'Monthly Data'!S71</f>
        <v>4236739.3971533719</v>
      </c>
      <c r="E71" s="21">
        <f>'Monthly Data'!BJ71</f>
        <v>138.87083333333328</v>
      </c>
      <c r="F71" s="21">
        <f>'Monthly Data'!BK71</f>
        <v>4.3500000000000014</v>
      </c>
      <c r="G71" s="21">
        <f>'Monthly Data'!CT71</f>
        <v>20</v>
      </c>
      <c r="I71" s="11">
        <f>'GS Co Gen Predicted (-HDD)'!$R$10</f>
        <v>-487307.14543792501</v>
      </c>
      <c r="J71" s="11">
        <f t="shared" si="12"/>
        <v>-313612.66628629644</v>
      </c>
      <c r="K71" s="11">
        <f t="shared" si="14"/>
        <v>51167.524462190129</v>
      </c>
      <c r="L71" s="11">
        <f t="shared" si="15"/>
        <v>3456249.9467867604</v>
      </c>
      <c r="M71" s="11">
        <f t="shared" si="13"/>
        <v>2706497.659524729</v>
      </c>
      <c r="N71" s="11">
        <f t="shared" si="10"/>
        <v>-1530241.7376286429</v>
      </c>
      <c r="O71" s="23">
        <f t="shared" si="11"/>
        <v>0.36118382420613337</v>
      </c>
      <c r="R71" s="11"/>
      <c r="S71" s="23"/>
    </row>
    <row r="72" spans="1:22" x14ac:dyDescent="0.2">
      <c r="A72" s="8">
        <f>'Monthly Data'!A72</f>
        <v>44866</v>
      </c>
      <c r="B72">
        <f t="shared" si="8"/>
        <v>2022</v>
      </c>
      <c r="C72">
        <f t="shared" si="9"/>
        <v>11</v>
      </c>
      <c r="D72" s="19">
        <f>'Monthly Data'!S72</f>
        <v>5119153.7080734884</v>
      </c>
      <c r="E72" s="21">
        <f>'Monthly Data'!BJ72</f>
        <v>285.52916666666664</v>
      </c>
      <c r="F72" s="21">
        <f>'Monthly Data'!BK72</f>
        <v>4.2666666666666639</v>
      </c>
      <c r="G72" s="21">
        <f>'Monthly Data'!CT72</f>
        <v>22</v>
      </c>
      <c r="I72" s="11">
        <f>'GS Co Gen Predicted (-HDD)'!$R$10</f>
        <v>-487307.14543792501</v>
      </c>
      <c r="J72" s="11">
        <f t="shared" si="12"/>
        <v>-644811.88102256414</v>
      </c>
      <c r="K72" s="11">
        <f t="shared" si="14"/>
        <v>50187.303687052343</v>
      </c>
      <c r="L72" s="11">
        <f t="shared" si="15"/>
        <v>3801874.941465436</v>
      </c>
      <c r="M72" s="11">
        <f t="shared" si="13"/>
        <v>2719943.2186919991</v>
      </c>
      <c r="N72" s="11">
        <f t="shared" si="10"/>
        <v>-2399210.4893814893</v>
      </c>
      <c r="O72" s="23">
        <f t="shared" si="11"/>
        <v>0.46867326636386425</v>
      </c>
      <c r="Q72" s="11"/>
      <c r="R72" s="11"/>
      <c r="S72" s="23"/>
    </row>
    <row r="73" spans="1:22" x14ac:dyDescent="0.2">
      <c r="A73" s="8">
        <f>'Monthly Data'!A73</f>
        <v>44896</v>
      </c>
      <c r="B73">
        <f t="shared" si="8"/>
        <v>2022</v>
      </c>
      <c r="C73">
        <f t="shared" si="9"/>
        <v>12</v>
      </c>
      <c r="D73" s="19">
        <f>'Monthly Data'!S73</f>
        <v>2153000.0512014646</v>
      </c>
      <c r="E73" s="21">
        <f>'Monthly Data'!BJ73</f>
        <v>469.42500000000007</v>
      </c>
      <c r="F73" s="21">
        <f>'Monthly Data'!BK73</f>
        <v>0</v>
      </c>
      <c r="G73" s="21">
        <f>'Monthly Data'!CT73</f>
        <v>20</v>
      </c>
      <c r="I73" s="11">
        <f>'GS Co Gen Predicted (-HDD)'!$R$10</f>
        <v>-487307.14543792501</v>
      </c>
      <c r="J73" s="11">
        <f t="shared" si="12"/>
        <v>-1060104.7198879879</v>
      </c>
      <c r="K73" s="11">
        <f t="shared" si="14"/>
        <v>0</v>
      </c>
      <c r="L73" s="11">
        <f t="shared" si="15"/>
        <v>3456249.9467867604</v>
      </c>
      <c r="M73" s="11">
        <f t="shared" si="13"/>
        <v>1908838.0814608475</v>
      </c>
      <c r="N73" s="11">
        <f t="shared" si="10"/>
        <v>-244161.96974061709</v>
      </c>
      <c r="O73" s="23">
        <f t="shared" si="11"/>
        <v>0.11340546397310322</v>
      </c>
      <c r="Q73" s="11"/>
      <c r="R73" s="11"/>
      <c r="S73" s="23"/>
    </row>
    <row r="74" spans="1:22" x14ac:dyDescent="0.2">
      <c r="A74" s="8">
        <f>'Monthly Data'!A74</f>
        <v>44927</v>
      </c>
      <c r="B74">
        <f t="shared" si="8"/>
        <v>2023</v>
      </c>
      <c r="C74">
        <f t="shared" si="9"/>
        <v>1</v>
      </c>
      <c r="D74" s="19">
        <f>'Monthly Data'!S74</f>
        <v>2475906.2124542031</v>
      </c>
      <c r="E74" s="21">
        <f>'Monthly Data'!BJ74</f>
        <v>465.55416666666667</v>
      </c>
      <c r="F74" s="21">
        <f>'Monthly Data'!BK74</f>
        <v>0</v>
      </c>
      <c r="G74" s="21">
        <f>'Monthly Data'!CT74</f>
        <v>21</v>
      </c>
      <c r="I74" s="11">
        <f>'GS Co Gen Predicted (-HDD)'!$R$10</f>
        <v>-487307.14543792501</v>
      </c>
      <c r="J74" s="11">
        <f t="shared" si="12"/>
        <v>-1051363.1984808056</v>
      </c>
      <c r="K74" s="11">
        <f t="shared" si="14"/>
        <v>0</v>
      </c>
      <c r="L74" s="11">
        <f t="shared" si="15"/>
        <v>3629062.444126098</v>
      </c>
      <c r="M74" s="11">
        <f t="shared" si="13"/>
        <v>2090392.1002073674</v>
      </c>
      <c r="N74" s="11">
        <f t="shared" si="10"/>
        <v>-385514.1122468356</v>
      </c>
      <c r="O74" s="23">
        <f t="shared" si="11"/>
        <v>0.15570626637941218</v>
      </c>
      <c r="Q74" s="11"/>
      <c r="R74" s="11"/>
      <c r="S74" s="23"/>
    </row>
    <row r="75" spans="1:22" x14ac:dyDescent="0.2">
      <c r="A75" s="8">
        <f>'Monthly Data'!A75</f>
        <v>44958</v>
      </c>
      <c r="B75">
        <f t="shared" si="8"/>
        <v>2023</v>
      </c>
      <c r="C75">
        <f t="shared" si="9"/>
        <v>2</v>
      </c>
      <c r="D75" s="19">
        <f>'Monthly Data'!S75</f>
        <v>3051393.3752032155</v>
      </c>
      <c r="E75" s="21">
        <f>'Monthly Data'!BJ75</f>
        <v>433.21666666666664</v>
      </c>
      <c r="F75" s="21">
        <f>'Monthly Data'!BK75</f>
        <v>0</v>
      </c>
      <c r="G75" s="21">
        <f>'Monthly Data'!CT75</f>
        <v>19</v>
      </c>
      <c r="I75" s="11">
        <f>'GS Co Gen Predicted (-HDD)'!$R$10</f>
        <v>-487307.14543792501</v>
      </c>
      <c r="J75" s="11">
        <f t="shared" si="12"/>
        <v>-978335.26775837329</v>
      </c>
      <c r="K75" s="11">
        <f t="shared" si="14"/>
        <v>0</v>
      </c>
      <c r="L75" s="11">
        <f t="shared" si="15"/>
        <v>3283437.4494474223</v>
      </c>
      <c r="M75" s="11">
        <f t="shared" si="13"/>
        <v>1817795.036251124</v>
      </c>
      <c r="N75" s="11">
        <f t="shared" si="10"/>
        <v>-1233598.3389520915</v>
      </c>
      <c r="O75" s="23">
        <f t="shared" si="11"/>
        <v>0.40427378160311328</v>
      </c>
      <c r="Q75" s="11"/>
      <c r="R75" s="11"/>
      <c r="S75" s="23"/>
    </row>
    <row r="76" spans="1:22" x14ac:dyDescent="0.2">
      <c r="A76" s="8">
        <f>'Monthly Data'!A76</f>
        <v>44986</v>
      </c>
      <c r="B76">
        <f t="shared" si="8"/>
        <v>2023</v>
      </c>
      <c r="C76">
        <f t="shared" si="9"/>
        <v>3</v>
      </c>
      <c r="D76" s="19">
        <f>'Monthly Data'!S76</f>
        <v>4360884.6742221788</v>
      </c>
      <c r="E76" s="21">
        <f>'Monthly Data'!BJ76</f>
        <v>428.04583333333323</v>
      </c>
      <c r="F76" s="21">
        <f>'Monthly Data'!BK76</f>
        <v>0</v>
      </c>
      <c r="G76" s="21">
        <f>'Monthly Data'!CT76</f>
        <v>23</v>
      </c>
      <c r="I76" s="11">
        <f>'GS Co Gen Predicted (-HDD)'!$R$10</f>
        <v>-487307.14543792501</v>
      </c>
      <c r="J76" s="11">
        <f t="shared" si="12"/>
        <v>-966657.9501412441</v>
      </c>
      <c r="K76" s="11">
        <f t="shared" si="14"/>
        <v>0</v>
      </c>
      <c r="L76" s="11">
        <f t="shared" si="15"/>
        <v>3974687.4388047741</v>
      </c>
      <c r="M76" s="11">
        <f t="shared" si="13"/>
        <v>2520722.3432256049</v>
      </c>
      <c r="N76" s="11">
        <f t="shared" si="10"/>
        <v>-1840162.3309965739</v>
      </c>
      <c r="O76" s="23">
        <f t="shared" si="11"/>
        <v>0.42196995987397695</v>
      </c>
      <c r="Q76" s="11"/>
      <c r="R76" s="11"/>
      <c r="S76" s="23"/>
    </row>
    <row r="77" spans="1:22" x14ac:dyDescent="0.2">
      <c r="A77" s="8">
        <f>'Monthly Data'!A77</f>
        <v>45017</v>
      </c>
      <c r="B77">
        <f t="shared" si="8"/>
        <v>2023</v>
      </c>
      <c r="C77">
        <f t="shared" si="9"/>
        <v>4</v>
      </c>
      <c r="D77" s="19">
        <f>'Monthly Data'!S77</f>
        <v>1982541.2606718806</v>
      </c>
      <c r="E77" s="21">
        <f>'Monthly Data'!BJ77</f>
        <v>192.73750000000004</v>
      </c>
      <c r="F77" s="21">
        <f>'Monthly Data'!BK77</f>
        <v>22.516666666666687</v>
      </c>
      <c r="G77" s="21">
        <f>'Monthly Data'!CT77</f>
        <v>19</v>
      </c>
      <c r="I77" s="11">
        <f>'GS Co Gen Predicted (-HDD)'!$R$10</f>
        <v>-487307.14543792501</v>
      </c>
      <c r="J77" s="11">
        <f t="shared" si="12"/>
        <v>-435260.01693435817</v>
      </c>
      <c r="K77" s="11">
        <f t="shared" si="14"/>
        <v>264855.65344221803</v>
      </c>
      <c r="L77" s="11">
        <f t="shared" si="15"/>
        <v>3283437.4494474223</v>
      </c>
      <c r="M77" s="11">
        <f t="shared" si="13"/>
        <v>2625725.9405173571</v>
      </c>
      <c r="N77" s="11">
        <f t="shared" si="10"/>
        <v>643184.67984547652</v>
      </c>
      <c r="O77" s="23">
        <f t="shared" si="11"/>
        <v>0.32442436008998982</v>
      </c>
      <c r="Q77" s="11"/>
      <c r="R77" s="11"/>
      <c r="S77" s="23"/>
    </row>
    <row r="78" spans="1:22" x14ac:dyDescent="0.2">
      <c r="A78" s="8">
        <f>'Monthly Data'!A78</f>
        <v>45047</v>
      </c>
      <c r="B78">
        <f t="shared" si="8"/>
        <v>2023</v>
      </c>
      <c r="C78">
        <f t="shared" si="9"/>
        <v>5</v>
      </c>
      <c r="D78" s="19">
        <f>'Monthly Data'!S78</f>
        <v>5249179.5430356627</v>
      </c>
      <c r="E78" s="21">
        <f>'Monthly Data'!BJ78</f>
        <v>62.808333333333323</v>
      </c>
      <c r="F78" s="21">
        <f>'Monthly Data'!BK78</f>
        <v>49.670833333333306</v>
      </c>
      <c r="G78" s="21">
        <f>'Monthly Data'!CT78</f>
        <v>22</v>
      </c>
      <c r="I78" s="11">
        <f>'GS Co Gen Predicted (-HDD)'!$R$10</f>
        <v>-487307.14543792501</v>
      </c>
      <c r="J78" s="11">
        <f t="shared" si="12"/>
        <v>-141840.35919468431</v>
      </c>
      <c r="K78" s="11">
        <f t="shared" si="14"/>
        <v>584260.59302085056</v>
      </c>
      <c r="L78" s="11">
        <f t="shared" si="15"/>
        <v>3801874.941465436</v>
      </c>
      <c r="M78" s="11">
        <f t="shared" si="13"/>
        <v>3756988.0298536774</v>
      </c>
      <c r="N78" s="11">
        <f t="shared" si="10"/>
        <v>-1492191.5131819854</v>
      </c>
      <c r="O78" s="23">
        <f t="shared" si="11"/>
        <v>0.28427138011725034</v>
      </c>
      <c r="Q78" s="11"/>
      <c r="R78" s="11"/>
      <c r="S78" s="23"/>
      <c r="T78" s="11"/>
      <c r="U78" s="11"/>
      <c r="V78" s="57"/>
    </row>
    <row r="79" spans="1:22" x14ac:dyDescent="0.2">
      <c r="A79" s="8">
        <f>'Monthly Data'!A79</f>
        <v>45078</v>
      </c>
      <c r="B79">
        <f t="shared" si="8"/>
        <v>2023</v>
      </c>
      <c r="C79">
        <f t="shared" si="9"/>
        <v>6</v>
      </c>
      <c r="D79" s="19">
        <f>'Monthly Data'!S79</f>
        <v>5648220.3218985656</v>
      </c>
      <c r="E79" s="21">
        <f>'Monthly Data'!BJ79</f>
        <v>1.8374999999999932</v>
      </c>
      <c r="F79" s="21">
        <f>'Monthly Data'!BK79</f>
        <v>130.14166666666665</v>
      </c>
      <c r="G79" s="21">
        <f>'Monthly Data'!CT79</f>
        <v>22</v>
      </c>
      <c r="I79" s="11">
        <f>'GS Co Gen Predicted (-HDD)'!$R$10</f>
        <v>-487307.14543792501</v>
      </c>
      <c r="J79" s="11">
        <f t="shared" si="12"/>
        <v>-4149.6350275212662</v>
      </c>
      <c r="K79" s="11">
        <f t="shared" si="14"/>
        <v>1530810.784532611</v>
      </c>
      <c r="L79" s="11">
        <f t="shared" si="15"/>
        <v>3801874.941465436</v>
      </c>
      <c r="M79" s="11">
        <f t="shared" si="13"/>
        <v>4841228.9455326004</v>
      </c>
      <c r="N79" s="11">
        <f t="shared" si="10"/>
        <v>-806991.37636596523</v>
      </c>
      <c r="O79" s="23">
        <f t="shared" si="11"/>
        <v>0.14287533601286767</v>
      </c>
      <c r="Q79" s="11"/>
      <c r="R79" s="11"/>
      <c r="S79" s="23"/>
      <c r="T79" s="11"/>
      <c r="U79" s="11"/>
      <c r="V79" s="57"/>
    </row>
    <row r="80" spans="1:22" x14ac:dyDescent="0.2">
      <c r="A80" s="8">
        <f>'Monthly Data'!A80</f>
        <v>45108</v>
      </c>
      <c r="B80">
        <f t="shared" si="8"/>
        <v>2023</v>
      </c>
      <c r="C80">
        <f t="shared" si="9"/>
        <v>7</v>
      </c>
      <c r="D80" s="19">
        <f>'Monthly Data'!S80</f>
        <v>6322903.5001553874</v>
      </c>
      <c r="E80" s="21">
        <f>'Monthly Data'!BJ80</f>
        <v>0</v>
      </c>
      <c r="F80" s="21">
        <f>'Monthly Data'!BK80</f>
        <v>203.20000000000002</v>
      </c>
      <c r="G80" s="21">
        <f>'Monthly Data'!CT80</f>
        <v>20</v>
      </c>
      <c r="I80" s="11">
        <f>'GS Co Gen Predicted (-HDD)'!$R$10</f>
        <v>-487307.14543792501</v>
      </c>
      <c r="J80" s="11">
        <f t="shared" si="12"/>
        <v>0</v>
      </c>
      <c r="K80" s="11">
        <f t="shared" si="14"/>
        <v>2390170.3380958694</v>
      </c>
      <c r="L80" s="11">
        <f t="shared" si="15"/>
        <v>3456249.9467867604</v>
      </c>
      <c r="M80" s="11">
        <f t="shared" si="13"/>
        <v>5359113.1394447051</v>
      </c>
      <c r="N80" s="11">
        <f t="shared" si="10"/>
        <v>-963790.36071068235</v>
      </c>
      <c r="O80" s="23">
        <f t="shared" si="11"/>
        <v>0.15242844694482477</v>
      </c>
      <c r="Q80" s="11"/>
      <c r="R80" s="11"/>
      <c r="S80" s="23"/>
      <c r="T80" s="11"/>
      <c r="U80" s="11"/>
      <c r="V80" s="57"/>
    </row>
    <row r="81" spans="1:22" x14ac:dyDescent="0.2">
      <c r="A81" s="8">
        <f>'Monthly Data'!A81</f>
        <v>45139</v>
      </c>
      <c r="B81">
        <f t="shared" si="8"/>
        <v>2023</v>
      </c>
      <c r="C81">
        <f t="shared" si="9"/>
        <v>8</v>
      </c>
      <c r="D81" s="19">
        <f>'Monthly Data'!S81</f>
        <v>6992371.2423237106</v>
      </c>
      <c r="E81" s="21">
        <f>'Monthly Data'!BJ81</f>
        <v>4.1666666666646535E-3</v>
      </c>
      <c r="F81" s="21">
        <f>'Monthly Data'!BK81</f>
        <v>144.09583333333336</v>
      </c>
      <c r="G81" s="21">
        <f>'Monthly Data'!CT81</f>
        <v>22</v>
      </c>
      <c r="I81" s="11">
        <f>'GS Co Gen Predicted (-HDD)'!$R$10</f>
        <v>-487307.14543792501</v>
      </c>
      <c r="J81" s="11">
        <f t="shared" si="12"/>
        <v>-9.409603237005161</v>
      </c>
      <c r="K81" s="11">
        <f t="shared" si="14"/>
        <v>1694948.7533294263</v>
      </c>
      <c r="L81" s="11">
        <f t="shared" si="15"/>
        <v>3801874.941465436</v>
      </c>
      <c r="M81" s="11">
        <f t="shared" si="13"/>
        <v>5009507.1397537002</v>
      </c>
      <c r="N81" s="11">
        <f t="shared" si="10"/>
        <v>-1982864.1025700103</v>
      </c>
      <c r="O81" s="23">
        <f t="shared" si="11"/>
        <v>0.28357534716807503</v>
      </c>
      <c r="Q81" s="11"/>
      <c r="R81" s="11"/>
      <c r="S81" s="23"/>
      <c r="T81" s="11"/>
      <c r="U81" s="11"/>
      <c r="V81" s="57"/>
    </row>
    <row r="82" spans="1:22" x14ac:dyDescent="0.2">
      <c r="A82" s="8">
        <f>'Monthly Data'!A82</f>
        <v>45170</v>
      </c>
      <c r="B82">
        <f t="shared" si="8"/>
        <v>2023</v>
      </c>
      <c r="C82">
        <f t="shared" si="9"/>
        <v>9</v>
      </c>
      <c r="D82" s="19">
        <f>'Monthly Data'!S82</f>
        <v>5494894.0473569827</v>
      </c>
      <c r="E82" s="21">
        <f>'Monthly Data'!BJ82</f>
        <v>3.8624999999999901</v>
      </c>
      <c r="F82" s="21">
        <f>'Monthly Data'!BK82</f>
        <v>90.90416666666664</v>
      </c>
      <c r="G82" s="21">
        <f>'Monthly Data'!CT82</f>
        <v>20</v>
      </c>
      <c r="I82" s="11">
        <f>'GS Co Gen Predicted (-HDD)'!$R$10</f>
        <v>-487307.14543792501</v>
      </c>
      <c r="J82" s="11">
        <f t="shared" si="12"/>
        <v>-8722.7022007079759</v>
      </c>
      <c r="K82" s="11">
        <f t="shared" si="14"/>
        <v>1069273.8325590051</v>
      </c>
      <c r="L82" s="11">
        <f t="shared" si="15"/>
        <v>3456249.9467867604</v>
      </c>
      <c r="M82" s="11">
        <f t="shared" si="13"/>
        <v>4029493.9317071326</v>
      </c>
      <c r="N82" s="11">
        <f t="shared" si="10"/>
        <v>-1465400.1156498501</v>
      </c>
      <c r="O82" s="23">
        <f t="shared" si="11"/>
        <v>0.26668396206014205</v>
      </c>
      <c r="Q82" s="11"/>
      <c r="T82" s="11"/>
      <c r="U82" s="11"/>
      <c r="V82" s="57"/>
    </row>
    <row r="83" spans="1:22" x14ac:dyDescent="0.2">
      <c r="A83" s="8">
        <f>'Monthly Data'!A83</f>
        <v>45200</v>
      </c>
      <c r="B83">
        <f t="shared" si="8"/>
        <v>2023</v>
      </c>
      <c r="C83">
        <f t="shared" si="9"/>
        <v>10</v>
      </c>
      <c r="D83" s="19">
        <f>'Monthly Data'!S83</f>
        <v>4240327.1673253356</v>
      </c>
      <c r="E83" s="21">
        <f>'Monthly Data'!BJ83</f>
        <v>126.92083333333335</v>
      </c>
      <c r="F83" s="21">
        <f>'Monthly Data'!BK83</f>
        <v>37.479166666666657</v>
      </c>
      <c r="G83" s="21">
        <f>'Monthly Data'!CT83</f>
        <v>21</v>
      </c>
      <c r="I83" s="11">
        <f>'GS Co Gen Predicted (-HDD)'!$R$10</f>
        <v>-487307.14543792501</v>
      </c>
      <c r="J83" s="11">
        <f t="shared" si="12"/>
        <v>-286625.92420255276</v>
      </c>
      <c r="K83" s="11">
        <f t="shared" si="14"/>
        <v>440854.29361819924</v>
      </c>
      <c r="L83" s="11">
        <f t="shared" si="15"/>
        <v>3629062.444126098</v>
      </c>
      <c r="M83" s="11">
        <f t="shared" si="13"/>
        <v>3295983.6681038192</v>
      </c>
      <c r="N83" s="11">
        <f t="shared" si="10"/>
        <v>-944343.49922151631</v>
      </c>
      <c r="O83" s="23">
        <f t="shared" si="11"/>
        <v>0.22270533898854281</v>
      </c>
      <c r="Q83" s="11"/>
      <c r="T83" s="11"/>
      <c r="U83" s="11"/>
      <c r="V83" s="57"/>
    </row>
    <row r="84" spans="1:22" x14ac:dyDescent="0.2">
      <c r="A84" s="8">
        <f>'Monthly Data'!A84</f>
        <v>45231</v>
      </c>
      <c r="B84">
        <f t="shared" si="8"/>
        <v>2023</v>
      </c>
      <c r="C84">
        <f t="shared" si="9"/>
        <v>11</v>
      </c>
      <c r="D84" s="19">
        <f>'Monthly Data'!S84</f>
        <v>3874440.0590346674</v>
      </c>
      <c r="E84" s="21">
        <f>'Monthly Data'!BJ84</f>
        <v>323.11666666666673</v>
      </c>
      <c r="F84" s="21">
        <f>'Monthly Data'!BK84</f>
        <v>0</v>
      </c>
      <c r="G84" s="21">
        <f>'Monthly Data'!CT84</f>
        <v>22</v>
      </c>
      <c r="I84" s="11">
        <f>'GS Co Gen Predicted (-HDD)'!$R$10</f>
        <v>-487307.14543792501</v>
      </c>
      <c r="J84" s="11">
        <f t="shared" si="12"/>
        <v>-729695.91182362894</v>
      </c>
      <c r="K84" s="11">
        <f t="shared" si="14"/>
        <v>0</v>
      </c>
      <c r="L84" s="11">
        <f t="shared" si="15"/>
        <v>3801874.941465436</v>
      </c>
      <c r="M84" s="11">
        <f t="shared" si="13"/>
        <v>2584871.884203882</v>
      </c>
      <c r="N84" s="11">
        <f t="shared" si="10"/>
        <v>-1289568.1748307855</v>
      </c>
      <c r="O84" s="23">
        <f t="shared" si="11"/>
        <v>0.33283988271380993</v>
      </c>
      <c r="Q84" s="11"/>
      <c r="T84" s="11"/>
      <c r="U84" s="11"/>
      <c r="V84" s="57"/>
    </row>
    <row r="85" spans="1:22" x14ac:dyDescent="0.2">
      <c r="A85" s="8">
        <f>'Monthly Data'!A85</f>
        <v>45261</v>
      </c>
      <c r="B85">
        <f t="shared" si="8"/>
        <v>2023</v>
      </c>
      <c r="C85">
        <f t="shared" si="9"/>
        <v>12</v>
      </c>
      <c r="D85" s="19">
        <f>'Monthly Data'!S85</f>
        <v>3620292.7286042501</v>
      </c>
      <c r="E85" s="21">
        <f>'Monthly Data'!BJ85</f>
        <v>356.10416666666674</v>
      </c>
      <c r="F85" s="21">
        <f>'Monthly Data'!BK85</f>
        <v>0</v>
      </c>
      <c r="G85" s="21">
        <f>'Monthly Data'!CT85</f>
        <v>19</v>
      </c>
      <c r="I85" s="11">
        <f>'GS Co Gen Predicted (-HDD)'!$R$10</f>
        <v>-487307.14543792501</v>
      </c>
      <c r="J85" s="11">
        <f t="shared" si="12"/>
        <v>-804191.74065103487</v>
      </c>
      <c r="K85" s="11">
        <f t="shared" si="14"/>
        <v>0</v>
      </c>
      <c r="L85" s="11">
        <f t="shared" si="15"/>
        <v>3283437.4494474223</v>
      </c>
      <c r="M85" s="11">
        <f t="shared" si="13"/>
        <v>1991938.5633584624</v>
      </c>
      <c r="N85" s="11">
        <f t="shared" si="10"/>
        <v>-1628354.1652457877</v>
      </c>
      <c r="O85" s="23">
        <f t="shared" si="11"/>
        <v>0.4497852210623795</v>
      </c>
      <c r="Q85" s="11"/>
      <c r="T85" s="11"/>
      <c r="U85" s="11"/>
      <c r="V85" s="57"/>
    </row>
    <row r="86" spans="1:22" x14ac:dyDescent="0.2">
      <c r="A86" s="8">
        <f>'Monthly Data'!A86</f>
        <v>45292</v>
      </c>
      <c r="B86">
        <f t="shared" si="8"/>
        <v>2024</v>
      </c>
      <c r="C86">
        <f t="shared" si="9"/>
        <v>1</v>
      </c>
      <c r="D86" s="19">
        <f>'Monthly Data'!S86</f>
        <v>4134836.494755582</v>
      </c>
      <c r="E86" s="21">
        <f>'Monthly Data'!BJ86</f>
        <v>530.65208333333339</v>
      </c>
      <c r="F86" s="21">
        <f>'Monthly Data'!BK86</f>
        <v>0</v>
      </c>
      <c r="G86" s="21">
        <f>'Monthly Data'!CT86</f>
        <v>22</v>
      </c>
      <c r="I86" s="11">
        <f>'GS Co Gen Predicted (-HDD)'!$R$10</f>
        <v>-487307.14543792501</v>
      </c>
      <c r="J86" s="11">
        <f t="shared" si="12"/>
        <v>-1198374.1346542269</v>
      </c>
      <c r="K86" s="11">
        <f t="shared" si="14"/>
        <v>0</v>
      </c>
      <c r="L86" s="11">
        <f t="shared" si="15"/>
        <v>3801874.941465436</v>
      </c>
      <c r="M86" s="11">
        <f t="shared" si="13"/>
        <v>2116193.6613732842</v>
      </c>
      <c r="N86" s="11">
        <f t="shared" si="10"/>
        <v>-2018642.8333822978</v>
      </c>
      <c r="O86" s="23">
        <f t="shared" si="11"/>
        <v>0.48820378652037211</v>
      </c>
      <c r="Q86" s="11"/>
      <c r="T86" s="11"/>
      <c r="U86" s="11"/>
      <c r="V86" s="57"/>
    </row>
    <row r="87" spans="1:22" x14ac:dyDescent="0.2">
      <c r="A87" s="8">
        <f>'Monthly Data'!A87</f>
        <v>45323</v>
      </c>
      <c r="B87">
        <f t="shared" si="8"/>
        <v>2024</v>
      </c>
      <c r="C87">
        <f t="shared" si="9"/>
        <v>2</v>
      </c>
      <c r="D87" s="19">
        <f>'Monthly Data'!S87</f>
        <v>3340371.8788483315</v>
      </c>
      <c r="E87" s="21">
        <f>'Monthly Data'!BJ87</f>
        <v>407.16041666666661</v>
      </c>
      <c r="F87" s="21">
        <f>'Monthly Data'!BK87</f>
        <v>0</v>
      </c>
      <c r="G87" s="21">
        <f>'Monthly Data'!CT87</f>
        <v>20</v>
      </c>
      <c r="I87" s="11">
        <f>'GS Co Gen Predicted (-HDD)'!$R$10</f>
        <v>-487307.14543792501</v>
      </c>
      <c r="J87" s="11">
        <f t="shared" si="12"/>
        <v>-919492.31391573302</v>
      </c>
      <c r="K87" s="11">
        <f t="shared" si="14"/>
        <v>0</v>
      </c>
      <c r="L87" s="11">
        <f t="shared" si="15"/>
        <v>3456249.9467867604</v>
      </c>
      <c r="M87" s="11">
        <f t="shared" si="13"/>
        <v>2049450.4874331024</v>
      </c>
      <c r="N87" s="11">
        <f t="shared" si="10"/>
        <v>-1290921.3914152291</v>
      </c>
      <c r="O87" s="23">
        <f t="shared" si="11"/>
        <v>0.38646038172860658</v>
      </c>
      <c r="Q87" s="11"/>
      <c r="T87" s="11"/>
      <c r="U87" s="11"/>
      <c r="V87" s="57"/>
    </row>
    <row r="88" spans="1:22" x14ac:dyDescent="0.2">
      <c r="A88" s="8">
        <f>'Monthly Data'!A88</f>
        <v>45352</v>
      </c>
      <c r="B88">
        <f t="shared" si="8"/>
        <v>2024</v>
      </c>
      <c r="C88">
        <f t="shared" si="9"/>
        <v>3</v>
      </c>
      <c r="D88" s="19">
        <f>'Monthly Data'!S88</f>
        <v>3571437.4403881808</v>
      </c>
      <c r="E88" s="21">
        <f>'Monthly Data'!BJ88</f>
        <v>332.44375000000008</v>
      </c>
      <c r="F88" s="21">
        <f>'Monthly Data'!BK88</f>
        <v>0</v>
      </c>
      <c r="G88" s="21">
        <f>'Monthly Data'!CT88</f>
        <v>20</v>
      </c>
      <c r="I88" s="11">
        <f>'GS Co Gen Predicted (-HDD)'!$R$10</f>
        <v>-487307.14543792501</v>
      </c>
      <c r="J88" s="11">
        <f t="shared" si="12"/>
        <v>-750759.30866967526</v>
      </c>
      <c r="K88" s="11">
        <f t="shared" si="14"/>
        <v>0</v>
      </c>
      <c r="L88" s="11">
        <f t="shared" si="15"/>
        <v>3456249.9467867604</v>
      </c>
      <c r="M88" s="11">
        <f t="shared" si="13"/>
        <v>2218183.4926791601</v>
      </c>
      <c r="N88" s="11">
        <f t="shared" si="10"/>
        <v>-1353253.9477090207</v>
      </c>
      <c r="O88" s="23">
        <f t="shared" si="11"/>
        <v>0.37891016440762154</v>
      </c>
      <c r="Q88" s="11"/>
    </row>
    <row r="89" spans="1:22" x14ac:dyDescent="0.2">
      <c r="A89" s="8">
        <f>'Monthly Data'!A89</f>
        <v>45383</v>
      </c>
      <c r="B89">
        <f t="shared" si="8"/>
        <v>2024</v>
      </c>
      <c r="C89">
        <f t="shared" si="9"/>
        <v>4</v>
      </c>
      <c r="D89" s="19">
        <f>'Monthly Data'!S89</f>
        <v>3559296.6426970703</v>
      </c>
      <c r="E89" s="21">
        <f>'Monthly Data'!BJ89</f>
        <v>158.17500000000004</v>
      </c>
      <c r="F89" s="21">
        <f>'Monthly Data'!BK89</f>
        <v>8.4166666666666679</v>
      </c>
      <c r="G89" s="21">
        <f>'Monthly Data'!CT89</f>
        <v>22</v>
      </c>
      <c r="I89" s="11">
        <f>'GS Co Gen Predicted (-HDD)'!$R$10</f>
        <v>-487307.14543792501</v>
      </c>
      <c r="J89" s="11">
        <f t="shared" si="12"/>
        <v>-357207.35808336263</v>
      </c>
      <c r="K89" s="11">
        <f t="shared" si="14"/>
        <v>99002.29828891193</v>
      </c>
      <c r="L89" s="11">
        <f t="shared" si="15"/>
        <v>3801874.941465436</v>
      </c>
      <c r="M89" s="11">
        <f t="shared" si="13"/>
        <v>3056362.7362330602</v>
      </c>
      <c r="N89" s="11">
        <f t="shared" si="10"/>
        <v>-502933.90646401001</v>
      </c>
      <c r="O89" s="23">
        <f t="shared" si="11"/>
        <v>0.14130148648776572</v>
      </c>
      <c r="V89" s="49"/>
    </row>
    <row r="90" spans="1:22" x14ac:dyDescent="0.2">
      <c r="A90" s="8">
        <f>'Monthly Data'!A90</f>
        <v>45413</v>
      </c>
      <c r="B90">
        <f t="shared" si="8"/>
        <v>2024</v>
      </c>
      <c r="C90">
        <f t="shared" si="9"/>
        <v>5</v>
      </c>
      <c r="D90" s="19">
        <f>'Monthly Data'!S90</f>
        <v>3685994.6039710096</v>
      </c>
      <c r="E90" s="21">
        <f>'Monthly Data'!BJ90</f>
        <v>14.683333333333328</v>
      </c>
      <c r="F90" s="21">
        <f>'Monthly Data'!BK90</f>
        <v>73.216666666666654</v>
      </c>
      <c r="G90" s="21">
        <f>'Monthly Data'!CT90</f>
        <v>22</v>
      </c>
      <c r="I90" s="11">
        <f>'GS Co Gen Predicted (-HDD)'!$R$10</f>
        <v>-487307.14543792501</v>
      </c>
      <c r="J90" s="11">
        <f t="shared" si="12"/>
        <v>-33159.441807222196</v>
      </c>
      <c r="K90" s="11">
        <f t="shared" si="14"/>
        <v>861221.97303601971</v>
      </c>
      <c r="L90" s="11">
        <f t="shared" si="15"/>
        <v>3801874.941465436</v>
      </c>
      <c r="M90" s="11">
        <f t="shared" si="13"/>
        <v>4142630.3272563084</v>
      </c>
      <c r="N90" s="11">
        <f t="shared" si="10"/>
        <v>456635.72328529879</v>
      </c>
      <c r="O90" s="23">
        <f t="shared" si="11"/>
        <v>0.12388399125526507</v>
      </c>
    </row>
    <row r="91" spans="1:22" x14ac:dyDescent="0.2">
      <c r="A91" s="8">
        <f>'Monthly Data'!A91</f>
        <v>45444</v>
      </c>
      <c r="B91">
        <f t="shared" si="8"/>
        <v>2024</v>
      </c>
      <c r="C91">
        <f t="shared" si="9"/>
        <v>6</v>
      </c>
      <c r="D91" s="19">
        <f>'Monthly Data'!S91</f>
        <v>4407100.2006814191</v>
      </c>
      <c r="E91" s="21">
        <f>'Monthly Data'!BJ91</f>
        <v>1.9666666666666686</v>
      </c>
      <c r="F91" s="21">
        <f>'Monthly Data'!BK91</f>
        <v>169.16458333333333</v>
      </c>
      <c r="G91" s="21">
        <f>'Monthly Data'!CT91</f>
        <v>20</v>
      </c>
      <c r="I91" s="11">
        <f>'GS Co Gen Predicted (-HDD)'!$R$10</f>
        <v>-487307.14543792501</v>
      </c>
      <c r="J91" s="11">
        <f t="shared" si="12"/>
        <v>-4441.3327278685865</v>
      </c>
      <c r="K91" s="11">
        <f t="shared" si="14"/>
        <v>1989823.6680102372</v>
      </c>
      <c r="L91" s="11">
        <f t="shared" si="15"/>
        <v>3456249.9467867604</v>
      </c>
      <c r="M91" s="11">
        <f t="shared" si="13"/>
        <v>4954325.1366312038</v>
      </c>
      <c r="N91" s="11">
        <f t="shared" si="10"/>
        <v>547224.9359497847</v>
      </c>
      <c r="O91" s="23">
        <f t="shared" si="11"/>
        <v>0.12416893445381015</v>
      </c>
    </row>
    <row r="92" spans="1:22" x14ac:dyDescent="0.2">
      <c r="A92" s="8">
        <f>'Monthly Data'!A92</f>
        <v>45474</v>
      </c>
      <c r="B92">
        <f t="shared" si="8"/>
        <v>2024</v>
      </c>
      <c r="C92">
        <f t="shared" si="9"/>
        <v>7</v>
      </c>
      <c r="D92" s="19">
        <f>'Monthly Data'!S92</f>
        <v>2729070.3712969488</v>
      </c>
      <c r="E92" s="21">
        <f>'Monthly Data'!BJ92</f>
        <v>0</v>
      </c>
      <c r="F92" s="21">
        <f>'Monthly Data'!BK92</f>
        <v>221.45416666666657</v>
      </c>
      <c r="G92" s="21">
        <f>'Monthly Data'!CT92</f>
        <v>22</v>
      </c>
      <c r="I92" s="11">
        <f>'GS Co Gen Predicted (-HDD)'!$R$10</f>
        <v>-487307.14543792501</v>
      </c>
      <c r="J92" s="11">
        <f t="shared" si="12"/>
        <v>0</v>
      </c>
      <c r="K92" s="11">
        <f t="shared" si="14"/>
        <v>2604887.6988897906</v>
      </c>
      <c r="L92" s="11">
        <f t="shared" si="15"/>
        <v>3801874.941465436</v>
      </c>
      <c r="M92" s="11">
        <f t="shared" si="13"/>
        <v>5919455.4949173015</v>
      </c>
      <c r="N92" s="11">
        <f t="shared" si="10"/>
        <v>3190385.1236203527</v>
      </c>
      <c r="O92" s="23">
        <f t="shared" si="11"/>
        <v>1.1690373239090097</v>
      </c>
    </row>
    <row r="93" spans="1:22" x14ac:dyDescent="0.2">
      <c r="A93" s="8">
        <f>'Monthly Data'!A93</f>
        <v>45505</v>
      </c>
      <c r="B93">
        <f t="shared" si="8"/>
        <v>2024</v>
      </c>
      <c r="C93">
        <f t="shared" si="9"/>
        <v>8</v>
      </c>
      <c r="D93" s="19">
        <f>'Monthly Data'!S93</f>
        <v>2759475.7435549381</v>
      </c>
      <c r="E93" s="21">
        <f>'Monthly Data'!BJ93</f>
        <v>0.30000000000000426</v>
      </c>
      <c r="F93" s="21">
        <f>'Monthly Data'!BK93</f>
        <v>183.15208333333334</v>
      </c>
      <c r="G93" s="21">
        <f>'Monthly Data'!CT93</f>
        <v>22</v>
      </c>
      <c r="I93" s="11">
        <f>'GS Co Gen Predicted (-HDD)'!$R$10</f>
        <v>-487307.14543792501</v>
      </c>
      <c r="J93" s="11">
        <f t="shared" si="12"/>
        <v>-677.49143306470853</v>
      </c>
      <c r="K93" s="11">
        <f t="shared" si="14"/>
        <v>2154353.7251171074</v>
      </c>
      <c r="L93" s="11">
        <f t="shared" si="15"/>
        <v>3801874.941465436</v>
      </c>
      <c r="M93" s="11">
        <f t="shared" si="13"/>
        <v>5468244.0297115538</v>
      </c>
      <c r="N93" s="11">
        <f t="shared" si="10"/>
        <v>2708768.2861566157</v>
      </c>
      <c r="O93" s="23">
        <f t="shared" si="11"/>
        <v>0.98162424238852064</v>
      </c>
    </row>
    <row r="94" spans="1:22" x14ac:dyDescent="0.2">
      <c r="A94" s="8">
        <f>'Monthly Data'!A94</f>
        <v>45536</v>
      </c>
      <c r="B94">
        <f t="shared" si="8"/>
        <v>2024</v>
      </c>
      <c r="C94">
        <f t="shared" si="9"/>
        <v>9</v>
      </c>
      <c r="D94" s="19">
        <f>'Monthly Data'!S94</f>
        <v>2325797.1800787374</v>
      </c>
      <c r="E94" s="21">
        <f>'Monthly Data'!BJ94</f>
        <v>4.2874999999999979</v>
      </c>
      <c r="F94" s="21">
        <f>'Monthly Data'!BK94</f>
        <v>120.08541666666667</v>
      </c>
      <c r="G94" s="21">
        <f>'Monthly Data'!CT94</f>
        <v>20</v>
      </c>
      <c r="I94" s="11">
        <f>'GS Co Gen Predicted (-HDD)'!$R$10</f>
        <v>-487307.14543792501</v>
      </c>
      <c r="J94" s="11">
        <f t="shared" si="12"/>
        <v>-9682.4817308829843</v>
      </c>
      <c r="K94" s="11">
        <f t="shared" si="14"/>
        <v>1412522.6424928643</v>
      </c>
      <c r="L94" s="11">
        <f t="shared" si="15"/>
        <v>3456249.9467867604</v>
      </c>
      <c r="M94" s="11">
        <f t="shared" si="13"/>
        <v>4371782.9621108165</v>
      </c>
      <c r="N94" s="11">
        <f t="shared" si="10"/>
        <v>2045985.7820320791</v>
      </c>
      <c r="O94" s="23">
        <f t="shared" si="11"/>
        <v>0.87969226188622962</v>
      </c>
    </row>
    <row r="95" spans="1:22" x14ac:dyDescent="0.2">
      <c r="A95" s="8">
        <f>'Monthly Data'!A95</f>
        <v>45566</v>
      </c>
      <c r="B95">
        <f t="shared" si="8"/>
        <v>2024</v>
      </c>
      <c r="C95">
        <f t="shared" si="9"/>
        <v>10</v>
      </c>
      <c r="D95" s="19">
        <f>'Monthly Data'!S95</f>
        <v>1986048.5879870269</v>
      </c>
      <c r="E95" s="21">
        <f>'Monthly Data'!BJ95</f>
        <v>109.52916666666667</v>
      </c>
      <c r="F95" s="21">
        <f>'Monthly Data'!BK95</f>
        <v>19.300000000000008</v>
      </c>
      <c r="G95" s="21">
        <f>'Monthly Data'!CT95</f>
        <v>22</v>
      </c>
      <c r="I95" s="11">
        <f>'GS Co Gen Predicted (-HDD)'!$R$10</f>
        <v>-487307.14543792501</v>
      </c>
      <c r="J95" s="11">
        <f t="shared" si="12"/>
        <v>-247350.24029127418</v>
      </c>
      <c r="K95" s="11">
        <f t="shared" si="14"/>
        <v>227019.13152190106</v>
      </c>
      <c r="L95" s="11">
        <f t="shared" si="15"/>
        <v>3801874.941465436</v>
      </c>
      <c r="M95" s="11">
        <f t="shared" si="13"/>
        <v>3294236.6872581379</v>
      </c>
      <c r="N95" s="11">
        <f t="shared" si="10"/>
        <v>1308188.099271111</v>
      </c>
      <c r="O95" s="23">
        <f t="shared" si="11"/>
        <v>0.65868886953920591</v>
      </c>
    </row>
    <row r="96" spans="1:22" x14ac:dyDescent="0.2">
      <c r="A96" s="8">
        <f>'Monthly Data'!A96</f>
        <v>45597</v>
      </c>
      <c r="B96">
        <f t="shared" si="8"/>
        <v>2024</v>
      </c>
      <c r="C96">
        <f t="shared" si="9"/>
        <v>11</v>
      </c>
      <c r="D96" s="19">
        <f>'Monthly Data'!S96</f>
        <v>2700816.8671933762</v>
      </c>
      <c r="E96" s="21">
        <f>'Monthly Data'!BJ96</f>
        <v>248.15208333333331</v>
      </c>
      <c r="F96" s="21">
        <f>'Monthly Data'!BK96</f>
        <v>7.3583333333333343</v>
      </c>
      <c r="G96" s="21">
        <f>'Monthly Data'!CT96</f>
        <v>21</v>
      </c>
      <c r="I96" s="11">
        <f>'GS Co Gen Predicted (-HDD)'!$R$10</f>
        <v>-487307.14543792501</v>
      </c>
      <c r="J96" s="11">
        <f t="shared" si="12"/>
        <v>-560403.03518496861</v>
      </c>
      <c r="K96" s="11">
        <f t="shared" si="14"/>
        <v>86553.494444662603</v>
      </c>
      <c r="L96" s="11">
        <f t="shared" si="15"/>
        <v>3629062.444126098</v>
      </c>
      <c r="M96" s="11">
        <f t="shared" si="13"/>
        <v>2667905.7579478668</v>
      </c>
      <c r="N96" s="11">
        <f t="shared" si="10"/>
        <v>-32911.109245509375</v>
      </c>
      <c r="O96" s="23">
        <f t="shared" si="11"/>
        <v>1.2185613043697334E-2</v>
      </c>
    </row>
    <row r="97" spans="1:15" x14ac:dyDescent="0.2">
      <c r="A97" s="8">
        <f>'Monthly Data'!A97</f>
        <v>45627</v>
      </c>
      <c r="B97">
        <f t="shared" ref="B97:B109" si="16">YEAR(A97)</f>
        <v>2024</v>
      </c>
      <c r="C97">
        <f t="shared" ref="C97:C109" si="17">MONTH(A97)</f>
        <v>12</v>
      </c>
      <c r="D97" s="19">
        <f>'Monthly Data'!S97</f>
        <v>1434683.3089578557</v>
      </c>
      <c r="E97" s="21">
        <f>'Monthly Data'!BJ97</f>
        <v>477.23749999999995</v>
      </c>
      <c r="F97" s="21">
        <f>'Monthly Data'!BK97</f>
        <v>0</v>
      </c>
      <c r="G97" s="21">
        <f>'Monthly Data'!CT97</f>
        <v>20</v>
      </c>
      <c r="I97" s="11">
        <f>'GS Co Gen Predicted (-HDD)'!$R$10</f>
        <v>-487307.14543792501</v>
      </c>
      <c r="J97" s="11">
        <f t="shared" ref="J97:J109" si="18">E97*$R$11</f>
        <v>-1077747.7259573808</v>
      </c>
      <c r="K97" s="11">
        <f t="shared" ref="K97:K109" si="19">F97*$R$12</f>
        <v>0</v>
      </c>
      <c r="L97" s="11">
        <f t="shared" ref="L97:L109" si="20">G97*$R$13</f>
        <v>3456249.9467867604</v>
      </c>
      <c r="M97" s="11">
        <f t="shared" ref="M97:M109" si="21">SUM(I97:L97)</f>
        <v>1891195.0753914546</v>
      </c>
      <c r="N97" s="11">
        <f t="shared" ref="N97:N109" si="22">M97-D97</f>
        <v>456511.76643359894</v>
      </c>
      <c r="O97" s="23">
        <f t="shared" ref="O97:O109" si="23">ABS(N97/D97)</f>
        <v>0.31819688957363423</v>
      </c>
    </row>
    <row r="98" spans="1:15" x14ac:dyDescent="0.2">
      <c r="A98" s="8">
        <f>'Monthly Data'!A98</f>
        <v>45658</v>
      </c>
      <c r="B98">
        <f t="shared" si="16"/>
        <v>2025</v>
      </c>
      <c r="C98">
        <f t="shared" si="17"/>
        <v>1</v>
      </c>
      <c r="D98" s="19">
        <f>'Monthly Data'!S98</f>
        <v>744626.86911603797</v>
      </c>
      <c r="E98" s="21">
        <f>'Monthly Data'!BJ98</f>
        <v>631.72708333333333</v>
      </c>
      <c r="F98" s="21">
        <f>'Monthly Data'!BK98</f>
        <v>0</v>
      </c>
      <c r="G98" s="21">
        <f>'Monthly Data'!CT98</f>
        <v>22</v>
      </c>
      <c r="I98" s="11">
        <f>'GS Co Gen Predicted (-HDD)'!$R$10</f>
        <v>-487307.14543792501</v>
      </c>
      <c r="J98" s="11">
        <f t="shared" si="18"/>
        <v>-1426632.2899776082</v>
      </c>
      <c r="K98" s="11">
        <f t="shared" si="19"/>
        <v>0</v>
      </c>
      <c r="L98" s="11">
        <f t="shared" si="20"/>
        <v>3801874.941465436</v>
      </c>
      <c r="M98" s="11">
        <f t="shared" si="21"/>
        <v>1887935.5060499026</v>
      </c>
      <c r="N98" s="11">
        <f t="shared" si="22"/>
        <v>1143308.6369338646</v>
      </c>
      <c r="O98" s="23">
        <f t="shared" si="23"/>
        <v>1.535411471642314</v>
      </c>
    </row>
    <row r="99" spans="1:15" x14ac:dyDescent="0.2">
      <c r="A99" s="8">
        <f>'Monthly Data'!A99</f>
        <v>45689</v>
      </c>
      <c r="B99">
        <f t="shared" si="16"/>
        <v>2025</v>
      </c>
      <c r="C99">
        <f t="shared" si="17"/>
        <v>2</v>
      </c>
      <c r="D99" s="19">
        <f>'Monthly Data'!S99</f>
        <v>934363.69084218494</v>
      </c>
      <c r="E99" s="21">
        <f>'Monthly Data'!BJ99</f>
        <v>547.18750000000011</v>
      </c>
      <c r="F99" s="21">
        <f>'Monthly Data'!BK99</f>
        <v>0</v>
      </c>
      <c r="G99" s="21">
        <f>'Monthly Data'!CT99</f>
        <v>19</v>
      </c>
      <c r="I99" s="11">
        <f>'GS Co Gen Predicted (-HDD)'!$R$10</f>
        <v>-487307.14543792501</v>
      </c>
      <c r="J99" s="11">
        <f t="shared" si="18"/>
        <v>-1235716.1451003002</v>
      </c>
      <c r="K99" s="11">
        <f t="shared" si="19"/>
        <v>0</v>
      </c>
      <c r="L99" s="11">
        <f t="shared" si="20"/>
        <v>3283437.4494474223</v>
      </c>
      <c r="M99" s="11">
        <f t="shared" si="21"/>
        <v>1560414.158909197</v>
      </c>
      <c r="N99" s="11">
        <f t="shared" si="22"/>
        <v>626050.46806701203</v>
      </c>
      <c r="O99" s="23">
        <f t="shared" si="23"/>
        <v>0.67002867748716133</v>
      </c>
    </row>
    <row r="100" spans="1:15" x14ac:dyDescent="0.2">
      <c r="A100" s="8">
        <f>'Monthly Data'!A100</f>
        <v>45717</v>
      </c>
      <c r="B100">
        <f t="shared" si="16"/>
        <v>2025</v>
      </c>
      <c r="C100">
        <f t="shared" si="17"/>
        <v>3</v>
      </c>
      <c r="D100" s="19">
        <f>'Monthly Data'!S100</f>
        <v>1463704.6201513631</v>
      </c>
      <c r="E100" s="21">
        <f>'Monthly Data'!BJ100</f>
        <v>350.71041666666673</v>
      </c>
      <c r="F100" s="21">
        <f>'Monthly Data'!BK100</f>
        <v>0</v>
      </c>
      <c r="G100" s="21">
        <f>'Monthly Data'!CT100</f>
        <v>21</v>
      </c>
      <c r="I100" s="11">
        <f>'GS Co Gen Predicted (-HDD)'!$R$10</f>
        <v>-487307.14543792501</v>
      </c>
      <c r="J100" s="11">
        <f t="shared" si="18"/>
        <v>-792011.0092607257</v>
      </c>
      <c r="K100" s="11">
        <f t="shared" si="19"/>
        <v>0</v>
      </c>
      <c r="L100" s="11">
        <f t="shared" si="20"/>
        <v>3629062.444126098</v>
      </c>
      <c r="M100" s="11">
        <f t="shared" si="21"/>
        <v>2349744.2894274471</v>
      </c>
      <c r="N100" s="11">
        <f t="shared" si="22"/>
        <v>886039.66927608405</v>
      </c>
      <c r="O100" s="23">
        <f t="shared" si="23"/>
        <v>0.60534048815426833</v>
      </c>
    </row>
    <row r="101" spans="1:15" x14ac:dyDescent="0.2">
      <c r="A101" s="8">
        <f>'Monthly Data'!A101</f>
        <v>45748</v>
      </c>
      <c r="B101">
        <f t="shared" si="16"/>
        <v>2025</v>
      </c>
      <c r="C101">
        <f t="shared" si="17"/>
        <v>4</v>
      </c>
      <c r="D101" s="19">
        <f>'Monthly Data'!S101</f>
        <v>3015672.0979135549</v>
      </c>
      <c r="E101" s="21">
        <f>'Monthly Data'!BJ101</f>
        <v>209.11249999999995</v>
      </c>
      <c r="F101" s="21">
        <f>'Monthly Data'!BK101</f>
        <v>9.0583333333333371</v>
      </c>
      <c r="G101" s="21">
        <f>'Monthly Data'!CT101</f>
        <v>21</v>
      </c>
      <c r="I101" s="11">
        <f>'GS Co Gen Predicted (-HDD)'!$R$10</f>
        <v>-487307.14543792501</v>
      </c>
      <c r="J101" s="11">
        <f t="shared" si="18"/>
        <v>-472239.75765580608</v>
      </c>
      <c r="K101" s="11">
        <f t="shared" si="19"/>
        <v>106549.99825747257</v>
      </c>
      <c r="L101" s="11">
        <f t="shared" si="20"/>
        <v>3629062.444126098</v>
      </c>
      <c r="M101" s="11">
        <f t="shared" si="21"/>
        <v>2776065.5392898396</v>
      </c>
      <c r="N101" s="11">
        <f t="shared" si="22"/>
        <v>-239606.5586237153</v>
      </c>
      <c r="O101" s="23">
        <f t="shared" si="23"/>
        <v>7.9453783715242532E-2</v>
      </c>
    </row>
    <row r="102" spans="1:15" x14ac:dyDescent="0.2">
      <c r="A102" s="8">
        <f>'Monthly Data'!A102</f>
        <v>45778</v>
      </c>
      <c r="B102">
        <f t="shared" si="16"/>
        <v>2025</v>
      </c>
      <c r="C102">
        <f t="shared" si="17"/>
        <v>5</v>
      </c>
      <c r="D102" s="19">
        <f>'Monthly Data'!S102</f>
        <v>2717419.6950709871</v>
      </c>
      <c r="E102" s="21">
        <f>'Monthly Data'!BJ102</f>
        <v>73.445833333333326</v>
      </c>
      <c r="F102" s="21">
        <f>'Monthly Data'!BK102</f>
        <v>30.504166666666652</v>
      </c>
      <c r="G102" s="21">
        <f>'Monthly Data'!CT102</f>
        <v>21</v>
      </c>
      <c r="I102" s="11">
        <f>'GS Co Gen Predicted (-HDD)'!$R$10</f>
        <v>-487307.14543792501</v>
      </c>
      <c r="J102" s="11">
        <f t="shared" si="18"/>
        <v>-165863.0762587701</v>
      </c>
      <c r="K102" s="11">
        <f t="shared" si="19"/>
        <v>358809.81473917019</v>
      </c>
      <c r="L102" s="11">
        <f t="shared" si="20"/>
        <v>3629062.444126098</v>
      </c>
      <c r="M102" s="11">
        <f t="shared" si="21"/>
        <v>3334702.0371685731</v>
      </c>
      <c r="N102" s="11">
        <f t="shared" si="22"/>
        <v>617282.34209758602</v>
      </c>
      <c r="O102" s="23">
        <f t="shared" si="23"/>
        <v>0.22715752859863658</v>
      </c>
    </row>
    <row r="103" spans="1:15" x14ac:dyDescent="0.2">
      <c r="A103" s="8">
        <f>'Monthly Data'!A103</f>
        <v>45809</v>
      </c>
      <c r="B103">
        <f t="shared" si="16"/>
        <v>2025</v>
      </c>
      <c r="C103">
        <f t="shared" si="17"/>
        <v>6</v>
      </c>
      <c r="D103" s="19">
        <f>'Monthly Data'!S103</f>
        <v>6664300.3948202198</v>
      </c>
      <c r="E103" s="21">
        <f>'Monthly Data'!BJ103</f>
        <v>4.3041666666666671</v>
      </c>
      <c r="F103" s="21">
        <f>'Monthly Data'!BK103</f>
        <v>188.56249999999997</v>
      </c>
      <c r="G103" s="21">
        <f>'Monthly Data'!CT103</f>
        <v>21</v>
      </c>
      <c r="I103" s="11">
        <f>'GS Co Gen Predicted (-HDD)'!$R$10</f>
        <v>-487307.14543792501</v>
      </c>
      <c r="J103" s="11">
        <f t="shared" si="18"/>
        <v>-9720.1201438310291</v>
      </c>
      <c r="K103" s="11">
        <f t="shared" si="19"/>
        <v>2217994.5589429247</v>
      </c>
      <c r="L103" s="11">
        <f t="shared" si="20"/>
        <v>3629062.444126098</v>
      </c>
      <c r="M103" s="11">
        <f t="shared" si="21"/>
        <v>5350029.7374872668</v>
      </c>
      <c r="N103" s="11">
        <f t="shared" si="22"/>
        <v>-1314270.6573329531</v>
      </c>
      <c r="O103" s="23">
        <f t="shared" si="23"/>
        <v>0.19721059668235552</v>
      </c>
    </row>
    <row r="104" spans="1:15" x14ac:dyDescent="0.2">
      <c r="A104" s="8">
        <f>'Monthly Data'!A104</f>
        <v>45839</v>
      </c>
      <c r="B104">
        <f t="shared" si="16"/>
        <v>2025</v>
      </c>
      <c r="C104">
        <f t="shared" si="17"/>
        <v>7</v>
      </c>
      <c r="D104" s="19">
        <f>'Monthly Data'!S104</f>
        <v>5559636.5173280817</v>
      </c>
      <c r="E104" s="21">
        <f>'Monthly Data'!BJ104</f>
        <v>0</v>
      </c>
      <c r="F104" s="21">
        <f>'Monthly Data'!BK104</f>
        <v>255.57916666666662</v>
      </c>
      <c r="G104" s="21">
        <f>'Monthly Data'!CT104</f>
        <v>22</v>
      </c>
      <c r="I104" s="11">
        <f>'GS Co Gen Predicted (-HDD)'!$R$10</f>
        <v>-487307.14543792501</v>
      </c>
      <c r="J104" s="11">
        <f t="shared" si="18"/>
        <v>0</v>
      </c>
      <c r="K104" s="11">
        <f t="shared" si="19"/>
        <v>3006288.1063086963</v>
      </c>
      <c r="L104" s="11">
        <f t="shared" si="20"/>
        <v>3801874.941465436</v>
      </c>
      <c r="M104" s="11">
        <f t="shared" si="21"/>
        <v>6320855.9023362072</v>
      </c>
      <c r="N104" s="11">
        <f t="shared" si="22"/>
        <v>761219.38500812557</v>
      </c>
      <c r="O104" s="23">
        <f t="shared" si="23"/>
        <v>0.13691891234896084</v>
      </c>
    </row>
    <row r="105" spans="1:15" x14ac:dyDescent="0.2">
      <c r="A105" s="8">
        <f>'Monthly Data'!A105</f>
        <v>45870</v>
      </c>
      <c r="B105">
        <f t="shared" si="16"/>
        <v>2025</v>
      </c>
      <c r="C105">
        <f t="shared" si="17"/>
        <v>8</v>
      </c>
      <c r="D105" s="19">
        <f>'Monthly Data'!S105</f>
        <v>4475437.8092067335</v>
      </c>
      <c r="E105" s="21">
        <f>'Monthly Data'!BJ105</f>
        <v>2.4833333333333378</v>
      </c>
      <c r="F105" s="21">
        <f>'Monthly Data'!BK105</f>
        <v>178.91250000000005</v>
      </c>
      <c r="G105" s="21">
        <f>'Monthly Data'!CT105</f>
        <v>21</v>
      </c>
      <c r="I105" s="11">
        <f>'GS Co Gen Predicted (-HDD)'!$R$10</f>
        <v>-487307.14543792501</v>
      </c>
      <c r="J105" s="11">
        <f t="shared" si="18"/>
        <v>-5608.1235292577958</v>
      </c>
      <c r="K105" s="11">
        <f t="shared" si="19"/>
        <v>2104484.9931819751</v>
      </c>
      <c r="L105" s="11">
        <f t="shared" si="20"/>
        <v>3629062.444126098</v>
      </c>
      <c r="M105" s="11">
        <f t="shared" si="21"/>
        <v>5240632.1683408897</v>
      </c>
      <c r="N105" s="11">
        <f t="shared" si="22"/>
        <v>765194.35913415626</v>
      </c>
      <c r="O105" s="23">
        <f t="shared" si="23"/>
        <v>0.17097642549294773</v>
      </c>
    </row>
    <row r="106" spans="1:15" x14ac:dyDescent="0.2">
      <c r="A106" s="8">
        <f>'Monthly Data'!A106</f>
        <v>45901</v>
      </c>
      <c r="B106">
        <f t="shared" si="16"/>
        <v>2025</v>
      </c>
      <c r="C106">
        <f t="shared" si="17"/>
        <v>9</v>
      </c>
      <c r="D106" s="19">
        <f>'Monthly Data'!S106</f>
        <v>2469394.5411401149</v>
      </c>
      <c r="E106" s="21">
        <f>'Monthly Data'!BJ106</f>
        <v>3.1125000000000025</v>
      </c>
      <c r="F106" s="21">
        <f>'Monthly Data'!BK106</f>
        <v>102.07916666666665</v>
      </c>
      <c r="G106" s="21">
        <f>'Monthly Data'!CT106</f>
        <v>21</v>
      </c>
      <c r="I106" s="11">
        <f>'GS Co Gen Predicted (-HDD)'!$R$10</f>
        <v>-487307.14543792501</v>
      </c>
      <c r="J106" s="11">
        <f t="shared" si="18"/>
        <v>-7028.9736180462569</v>
      </c>
      <c r="K106" s="11">
        <f t="shared" si="19"/>
        <v>1200721.4385049765</v>
      </c>
      <c r="L106" s="11">
        <f t="shared" si="20"/>
        <v>3629062.444126098</v>
      </c>
      <c r="M106" s="11">
        <f t="shared" si="21"/>
        <v>4335447.7635751031</v>
      </c>
      <c r="N106" s="11">
        <f t="shared" si="22"/>
        <v>1866053.2224349882</v>
      </c>
      <c r="O106" s="23">
        <f t="shared" si="23"/>
        <v>0.75567236881208744</v>
      </c>
    </row>
    <row r="107" spans="1:15" x14ac:dyDescent="0.2">
      <c r="A107" s="8">
        <f>'Monthly Data'!A107</f>
        <v>45931</v>
      </c>
      <c r="B107">
        <f t="shared" si="16"/>
        <v>2025</v>
      </c>
      <c r="C107">
        <f t="shared" si="17"/>
        <v>10</v>
      </c>
      <c r="D107" s="19">
        <f>'Monthly Data'!S107</f>
        <v>2893984.997376537</v>
      </c>
      <c r="E107" s="21">
        <f>'Monthly Data'!BJ107</f>
        <v>119.57916666666667</v>
      </c>
      <c r="F107" s="21">
        <f>'Monthly Data'!BK107</f>
        <v>29.312500000000004</v>
      </c>
      <c r="G107" s="21">
        <f>'Monthly Data'!CT107</f>
        <v>22</v>
      </c>
      <c r="I107" s="11">
        <f>'GS Co Gen Predicted (-HDD)'!$R$10</f>
        <v>-487307.14543792501</v>
      </c>
      <c r="J107" s="11">
        <f t="shared" si="18"/>
        <v>-270046.2032989416</v>
      </c>
      <c r="K107" s="11">
        <f t="shared" si="19"/>
        <v>344792.65765470068</v>
      </c>
      <c r="L107" s="11">
        <f t="shared" si="20"/>
        <v>3801874.941465436</v>
      </c>
      <c r="M107" s="11">
        <f t="shared" si="21"/>
        <v>3389314.25038327</v>
      </c>
      <c r="N107" s="11">
        <f t="shared" si="22"/>
        <v>495329.25300673302</v>
      </c>
      <c r="O107" s="23">
        <f t="shared" si="23"/>
        <v>0.17115819655449502</v>
      </c>
    </row>
    <row r="108" spans="1:15" x14ac:dyDescent="0.2">
      <c r="A108" s="8">
        <f>'Monthly Data'!A108</f>
        <v>45962</v>
      </c>
      <c r="B108">
        <f t="shared" si="16"/>
        <v>2025</v>
      </c>
      <c r="C108">
        <f t="shared" si="17"/>
        <v>11</v>
      </c>
      <c r="D108" s="19">
        <f>'Monthly Data'!S108</f>
        <v>1206040.1878856791</v>
      </c>
      <c r="E108" s="21">
        <f>'Monthly Data'!BJ108</f>
        <v>326.6229166666667</v>
      </c>
      <c r="F108" s="21">
        <f>'Monthly Data'!BK108</f>
        <v>0</v>
      </c>
      <c r="G108" s="21">
        <f>'Monthly Data'!CT108</f>
        <v>20</v>
      </c>
      <c r="I108" s="11">
        <f>'GS Co Gen Predicted (-HDD)'!$R$10</f>
        <v>-487307.14543792501</v>
      </c>
      <c r="J108" s="11">
        <f t="shared" si="18"/>
        <v>-737614.09294757259</v>
      </c>
      <c r="K108" s="11">
        <f t="shared" si="19"/>
        <v>0</v>
      </c>
      <c r="L108" s="11">
        <f t="shared" si="20"/>
        <v>3456249.9467867604</v>
      </c>
      <c r="M108" s="11">
        <f t="shared" si="21"/>
        <v>2231328.7084012628</v>
      </c>
      <c r="N108" s="11">
        <f t="shared" si="22"/>
        <v>1025288.5205155837</v>
      </c>
      <c r="O108" s="23">
        <f t="shared" si="23"/>
        <v>0.85012798977538806</v>
      </c>
    </row>
    <row r="109" spans="1:15" x14ac:dyDescent="0.2">
      <c r="A109" s="8">
        <f>'Monthly Data'!A109</f>
        <v>45992</v>
      </c>
      <c r="B109">
        <f t="shared" si="16"/>
        <v>2025</v>
      </c>
      <c r="C109">
        <f t="shared" si="17"/>
        <v>12</v>
      </c>
      <c r="D109" s="19">
        <f>'Monthly Data'!S109</f>
        <v>1366926.3633808512</v>
      </c>
      <c r="E109" s="21">
        <f>'Monthly Data'!BJ109</f>
        <v>565.42916666666667</v>
      </c>
      <c r="F109" s="21">
        <f>'Monthly Data'!BK109</f>
        <v>0</v>
      </c>
      <c r="G109" s="21">
        <f>'Monthly Data'!CT109</f>
        <v>21</v>
      </c>
      <c r="I109" s="11">
        <f>'GS Co Gen Predicted (-HDD)'!$R$10</f>
        <v>-487307.14543792501</v>
      </c>
      <c r="J109" s="11">
        <f t="shared" si="18"/>
        <v>-1276911.3880719284</v>
      </c>
      <c r="K109" s="11">
        <f t="shared" si="19"/>
        <v>0</v>
      </c>
      <c r="L109" s="11">
        <f t="shared" si="20"/>
        <v>3629062.444126098</v>
      </c>
      <c r="M109" s="11">
        <f t="shared" si="21"/>
        <v>1864843.9106162447</v>
      </c>
      <c r="N109" s="11">
        <f t="shared" si="22"/>
        <v>497917.54723539343</v>
      </c>
      <c r="O109" s="23">
        <f t="shared" si="23"/>
        <v>0.36426069507056857</v>
      </c>
    </row>
    <row r="110" spans="1:15" x14ac:dyDescent="0.2">
      <c r="A110" s="8"/>
      <c r="O110" s="24">
        <f>AVERAGE(O2:O109)</f>
        <v>0.3910189596325862</v>
      </c>
    </row>
    <row r="111" spans="1:15" x14ac:dyDescent="0.2">
      <c r="A111" s="8"/>
    </row>
    <row r="112" spans="1:15" x14ac:dyDescent="0.2">
      <c r="A112" s="8"/>
    </row>
    <row r="113" spans="1:1" x14ac:dyDescent="0.2">
      <c r="A113" s="8"/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8"/>
    </row>
    <row r="118" spans="1:1" x14ac:dyDescent="0.2">
      <c r="A118" s="8"/>
    </row>
    <row r="119" spans="1:1" x14ac:dyDescent="0.2">
      <c r="A119" s="8"/>
    </row>
    <row r="120" spans="1:1" x14ac:dyDescent="0.2">
      <c r="A120" s="8"/>
    </row>
    <row r="121" spans="1:1" x14ac:dyDescent="0.2">
      <c r="A121" s="8"/>
    </row>
    <row r="122" spans="1:1" x14ac:dyDescent="0.2">
      <c r="A122" s="8"/>
    </row>
    <row r="123" spans="1:1" x14ac:dyDescent="0.2">
      <c r="A123" s="8"/>
    </row>
    <row r="124" spans="1:1" x14ac:dyDescent="0.2">
      <c r="A124" s="8"/>
    </row>
    <row r="125" spans="1:1" x14ac:dyDescent="0.2">
      <c r="A125" s="8"/>
    </row>
    <row r="126" spans="1:1" x14ac:dyDescent="0.2">
      <c r="A126" s="8"/>
    </row>
    <row r="127" spans="1:1" x14ac:dyDescent="0.2">
      <c r="A127" s="8"/>
    </row>
    <row r="128" spans="1:1" x14ac:dyDescent="0.2">
      <c r="A128" s="8"/>
    </row>
    <row r="129" spans="1:1" x14ac:dyDescent="0.2">
      <c r="A129" s="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302CB-EE28-4C99-A143-58ADF868725E}">
  <dimension ref="A1:AG129"/>
  <sheetViews>
    <sheetView topLeftCell="V19" workbookViewId="0">
      <selection activeCell="AP38" sqref="AP38"/>
    </sheetView>
  </sheetViews>
  <sheetFormatPr defaultColWidth="9.33203125" defaultRowHeight="12.75" x14ac:dyDescent="0.2"/>
  <cols>
    <col min="1" max="1" width="10.5" bestFit="1" customWidth="1"/>
    <col min="4" max="4" width="20.1640625" bestFit="1" customWidth="1"/>
    <col min="14" max="14" width="14.6640625" bestFit="1" customWidth="1"/>
    <col min="15" max="15" width="14.6640625" customWidth="1"/>
    <col min="16" max="16" width="13.83203125" bestFit="1" customWidth="1"/>
    <col min="17" max="22" width="13.83203125" customWidth="1"/>
    <col min="23" max="23" width="18.1640625" customWidth="1"/>
    <col min="24" max="24" width="13.83203125" customWidth="1"/>
    <col min="27" max="27" width="13.83203125" bestFit="1" customWidth="1"/>
    <col min="28" max="28" width="13.5" customWidth="1"/>
    <col min="29" max="29" width="13.83203125" bestFit="1" customWidth="1"/>
    <col min="30" max="30" width="12.83203125" bestFit="1" customWidth="1"/>
    <col min="31" max="31" width="12.6640625" bestFit="1" customWidth="1"/>
    <col min="32" max="32" width="18" bestFit="1" customWidth="1"/>
    <col min="33" max="33" width="12.83203125" bestFit="1" customWidth="1"/>
  </cols>
  <sheetData>
    <row r="1" spans="1:33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Data'!X1</f>
        <v>Large_Use_NoCDM</v>
      </c>
      <c r="E1" s="181" t="str">
        <f>'Monthly Data'!BJ1</f>
        <v>HDD14</v>
      </c>
      <c r="F1" s="181" t="str">
        <f>'Monthly Data'!BM1</f>
        <v>CDD12</v>
      </c>
      <c r="G1" s="181" t="str">
        <f>'Monthly Data'!Z1</f>
        <v>Large_Use_Customers</v>
      </c>
      <c r="H1" s="181" t="str">
        <f>'Monthly Data'!CF1</f>
        <v>Fall</v>
      </c>
      <c r="I1" s="181" t="str">
        <f>'Monthly Data'!CV1</f>
        <v>COVID_AM</v>
      </c>
      <c r="J1" s="181" t="str">
        <f>'Monthly Data'!CS1</f>
        <v>Month Days</v>
      </c>
      <c r="K1" s="181" t="str">
        <f>'Monthly Data'!CM1</f>
        <v>Trend</v>
      </c>
      <c r="L1" s="181" t="str">
        <f>'Monthly Data'!CK1</f>
        <v>Summer</v>
      </c>
      <c r="N1" s="171" t="s">
        <v>65</v>
      </c>
      <c r="O1" s="181" t="str">
        <f t="shared" ref="O1:V1" si="0">E1</f>
        <v>HDD14</v>
      </c>
      <c r="P1" s="181" t="str">
        <f t="shared" si="0"/>
        <v>CDD12</v>
      </c>
      <c r="Q1" s="181" t="str">
        <f t="shared" si="0"/>
        <v>Large_Use_Customers</v>
      </c>
      <c r="R1" s="181" t="str">
        <f t="shared" si="0"/>
        <v>Fall</v>
      </c>
      <c r="S1" s="181" t="str">
        <f t="shared" si="0"/>
        <v>COVID_AM</v>
      </c>
      <c r="T1" s="181" t="str">
        <f t="shared" si="0"/>
        <v>Month Days</v>
      </c>
      <c r="U1" s="181" t="str">
        <f t="shared" si="0"/>
        <v>Trend</v>
      </c>
      <c r="V1" s="181" t="str">
        <f t="shared" si="0"/>
        <v>Summer</v>
      </c>
      <c r="W1" s="171" t="s">
        <v>75</v>
      </c>
      <c r="X1" s="171" t="s">
        <v>76</v>
      </c>
    </row>
    <row r="2" spans="1:33" x14ac:dyDescent="0.2">
      <c r="A2" s="8">
        <f>'Monthly Data'!A2</f>
        <v>42736</v>
      </c>
      <c r="B2">
        <f t="shared" ref="B2:B65" si="1">YEAR(A2)</f>
        <v>2017</v>
      </c>
      <c r="C2">
        <f t="shared" ref="C2:C65" si="2">MONTH(A2)</f>
        <v>1</v>
      </c>
      <c r="D2" s="19">
        <f>'Monthly Data'!X2</f>
        <v>8999446.6822758783</v>
      </c>
      <c r="E2" s="21">
        <f>'Monthly Data'!BJ2</f>
        <v>507.0916666666667</v>
      </c>
      <c r="F2" s="21">
        <f>'Monthly Data'!BM2</f>
        <v>0</v>
      </c>
      <c r="G2" s="21">
        <f>'Monthly Data'!Z2</f>
        <v>1</v>
      </c>
      <c r="H2" s="21">
        <f>'Monthly Data'!CF2</f>
        <v>0</v>
      </c>
      <c r="I2" s="21">
        <f>'Monthly Data'!CV2</f>
        <v>0</v>
      </c>
      <c r="J2" s="21">
        <f>'Monthly Data'!CS2</f>
        <v>31</v>
      </c>
      <c r="K2" s="21">
        <f>'Monthly Data'!CM2</f>
        <v>1</v>
      </c>
      <c r="L2" s="21">
        <f>'Monthly Data'!CK2</f>
        <v>0</v>
      </c>
      <c r="N2" s="11">
        <f>'Large Use Predicted Monthly'!$AB$10</f>
        <v>-5783820.4539120998</v>
      </c>
      <c r="O2" s="11">
        <f>E2*$AB$11</f>
        <v>312755.98080799484</v>
      </c>
      <c r="P2" s="11">
        <f t="shared" ref="P2:P33" si="3">F2*$AB$12</f>
        <v>0</v>
      </c>
      <c r="Q2" s="11">
        <f t="shared" ref="Q2:Q33" si="4">G2*$AB$13</f>
        <v>3499999.8575587198</v>
      </c>
      <c r="R2" s="11">
        <f t="shared" ref="R2:R33" si="5">H2*$AB$14</f>
        <v>0</v>
      </c>
      <c r="S2" s="11">
        <f t="shared" ref="S2:S33" si="6">I2*$AB$15</f>
        <v>0</v>
      </c>
      <c r="T2" s="11">
        <f t="shared" ref="T2:T33" si="7">J2*$AB$16</f>
        <v>10482494.861430187</v>
      </c>
      <c r="U2" s="11">
        <f t="shared" ref="U2:U33" si="8">K2*$AB$17</f>
        <v>17220.3884116954</v>
      </c>
      <c r="V2" s="11">
        <f t="shared" ref="V2:V33" si="9">L2*$AB$18</f>
        <v>0</v>
      </c>
      <c r="W2" s="11">
        <f t="shared" ref="W2:W33" si="10">SUM(N2:V2)</f>
        <v>8528650.6342964973</v>
      </c>
      <c r="X2" s="11">
        <f t="shared" ref="X2:X33" si="11">W2-D2</f>
        <v>-470796.04797938094</v>
      </c>
      <c r="Y2" s="23">
        <f t="shared" ref="Y2:Y33" si="12">ABS(X2/D2)</f>
        <v>5.2313888242329236E-2</v>
      </c>
    </row>
    <row r="3" spans="1:33" x14ac:dyDescent="0.2">
      <c r="A3" s="8">
        <f>'Monthly Data'!A3</f>
        <v>42767</v>
      </c>
      <c r="B3">
        <f t="shared" si="1"/>
        <v>2017</v>
      </c>
      <c r="C3">
        <f t="shared" si="2"/>
        <v>2</v>
      </c>
      <c r="D3" s="19">
        <f>'Monthly Data'!X3</f>
        <v>8124930.9065793287</v>
      </c>
      <c r="E3" s="21">
        <f>'Monthly Data'!BJ3</f>
        <v>393.97916666666669</v>
      </c>
      <c r="F3" s="21">
        <f>'Monthly Data'!BM3</f>
        <v>0</v>
      </c>
      <c r="G3" s="21">
        <f>'Monthly Data'!Z3</f>
        <v>1</v>
      </c>
      <c r="H3" s="21">
        <f>'Monthly Data'!CF3</f>
        <v>0</v>
      </c>
      <c r="I3" s="21">
        <f>'Monthly Data'!CV3</f>
        <v>0</v>
      </c>
      <c r="J3" s="21">
        <f>'Monthly Data'!CS3</f>
        <v>28</v>
      </c>
      <c r="K3" s="21">
        <f>'Monthly Data'!CM3</f>
        <v>2</v>
      </c>
      <c r="L3" s="21">
        <f>'Monthly Data'!CK3</f>
        <v>0</v>
      </c>
      <c r="N3" s="11">
        <f>'Large Use Predicted Monthly'!$AB$10</f>
        <v>-5783820.4539120998</v>
      </c>
      <c r="O3" s="11">
        <f t="shared" ref="O3:O66" si="13">E3*$AB$11</f>
        <v>242992.24142002559</v>
      </c>
      <c r="P3" s="11">
        <f t="shared" si="3"/>
        <v>0</v>
      </c>
      <c r="Q3" s="11">
        <f t="shared" si="4"/>
        <v>3499999.8575587198</v>
      </c>
      <c r="R3" s="11">
        <f t="shared" si="5"/>
        <v>0</v>
      </c>
      <c r="S3" s="11">
        <f t="shared" si="6"/>
        <v>0</v>
      </c>
      <c r="T3" s="11">
        <f t="shared" si="7"/>
        <v>9468059.8748401683</v>
      </c>
      <c r="U3" s="11">
        <f t="shared" si="8"/>
        <v>34440.776823390799</v>
      </c>
      <c r="V3" s="11">
        <f t="shared" si="9"/>
        <v>0</v>
      </c>
      <c r="W3" s="11">
        <f t="shared" si="10"/>
        <v>7461672.2967302054</v>
      </c>
      <c r="X3" s="11">
        <f t="shared" si="11"/>
        <v>-663258.60984912328</v>
      </c>
      <c r="Y3" s="23">
        <f t="shared" si="12"/>
        <v>8.1632523091616213E-2</v>
      </c>
    </row>
    <row r="4" spans="1:33" x14ac:dyDescent="0.2">
      <c r="A4" s="8">
        <f>'Monthly Data'!A4</f>
        <v>42795</v>
      </c>
      <c r="B4">
        <f t="shared" si="1"/>
        <v>2017</v>
      </c>
      <c r="C4">
        <f t="shared" si="2"/>
        <v>3</v>
      </c>
      <c r="D4" s="19">
        <f>'Monthly Data'!X4</f>
        <v>9234224.1308827791</v>
      </c>
      <c r="E4" s="21">
        <f>'Monthly Data'!BJ4</f>
        <v>439.39166666666665</v>
      </c>
      <c r="F4" s="21">
        <f>'Monthly Data'!BM4</f>
        <v>0</v>
      </c>
      <c r="G4" s="21">
        <f>'Monthly Data'!Z4</f>
        <v>1</v>
      </c>
      <c r="H4" s="21">
        <f>'Monthly Data'!CF4</f>
        <v>0</v>
      </c>
      <c r="I4" s="21">
        <f>'Monthly Data'!CV4</f>
        <v>0</v>
      </c>
      <c r="J4" s="21">
        <f>'Monthly Data'!CS4</f>
        <v>31</v>
      </c>
      <c r="K4" s="21">
        <f>'Monthly Data'!CM4</f>
        <v>3</v>
      </c>
      <c r="L4" s="21">
        <f>'Monthly Data'!CK4</f>
        <v>0</v>
      </c>
      <c r="N4" s="11">
        <f>'Large Use Predicted Monthly'!$AB$10</f>
        <v>-5783820.4539120998</v>
      </c>
      <c r="O4" s="11">
        <f t="shared" si="13"/>
        <v>271001.04517695919</v>
      </c>
      <c r="P4" s="11">
        <f t="shared" si="3"/>
        <v>0</v>
      </c>
      <c r="Q4" s="11">
        <f t="shared" si="4"/>
        <v>3499999.8575587198</v>
      </c>
      <c r="R4" s="11">
        <f t="shared" si="5"/>
        <v>0</v>
      </c>
      <c r="S4" s="11">
        <f t="shared" si="6"/>
        <v>0</v>
      </c>
      <c r="T4" s="11">
        <f t="shared" si="7"/>
        <v>10482494.861430187</v>
      </c>
      <c r="U4" s="11">
        <f t="shared" si="8"/>
        <v>51661.165235086199</v>
      </c>
      <c r="V4" s="11">
        <f t="shared" si="9"/>
        <v>0</v>
      </c>
      <c r="W4" s="11">
        <f t="shared" si="10"/>
        <v>8521336.4754888508</v>
      </c>
      <c r="X4" s="11">
        <f t="shared" si="11"/>
        <v>-712887.65539392829</v>
      </c>
      <c r="Y4" s="23">
        <f t="shared" si="12"/>
        <v>7.7200601294672849E-2</v>
      </c>
    </row>
    <row r="5" spans="1:33" x14ac:dyDescent="0.2">
      <c r="A5" s="8">
        <f>'Monthly Data'!A5</f>
        <v>42826</v>
      </c>
      <c r="B5">
        <f t="shared" si="1"/>
        <v>2017</v>
      </c>
      <c r="C5">
        <f t="shared" si="2"/>
        <v>4</v>
      </c>
      <c r="D5" s="19">
        <f>'Monthly Data'!X5</f>
        <v>8840028.3551862296</v>
      </c>
      <c r="E5" s="21">
        <f>'Monthly Data'!BJ5</f>
        <v>150.22500000000002</v>
      </c>
      <c r="F5" s="21">
        <f>'Monthly Data'!BM5</f>
        <v>23.666666666666675</v>
      </c>
      <c r="G5" s="21">
        <f>'Monthly Data'!Z5</f>
        <v>1</v>
      </c>
      <c r="H5" s="21">
        <f>'Monthly Data'!CF5</f>
        <v>0</v>
      </c>
      <c r="I5" s="21">
        <f>'Monthly Data'!CV5</f>
        <v>0</v>
      </c>
      <c r="J5" s="21">
        <f>'Monthly Data'!CS5</f>
        <v>30</v>
      </c>
      <c r="K5" s="21">
        <f>'Monthly Data'!CM5</f>
        <v>4</v>
      </c>
      <c r="L5" s="21">
        <f>'Monthly Data'!CK5</f>
        <v>0</v>
      </c>
      <c r="N5" s="11">
        <f>'Large Use Predicted Monthly'!$AB$10</f>
        <v>-5783820.4539120998</v>
      </c>
      <c r="O5" s="11">
        <f t="shared" si="13"/>
        <v>92653.400371821728</v>
      </c>
      <c r="P5" s="11">
        <f t="shared" si="3"/>
        <v>323641.60839664494</v>
      </c>
      <c r="Q5" s="11">
        <f t="shared" si="4"/>
        <v>3499999.8575587198</v>
      </c>
      <c r="R5" s="11">
        <f t="shared" si="5"/>
        <v>0</v>
      </c>
      <c r="S5" s="11">
        <f t="shared" si="6"/>
        <v>0</v>
      </c>
      <c r="T5" s="11">
        <f t="shared" si="7"/>
        <v>10144349.865900181</v>
      </c>
      <c r="U5" s="11">
        <f t="shared" si="8"/>
        <v>68881.553646781598</v>
      </c>
      <c r="V5" s="11">
        <f t="shared" si="9"/>
        <v>0</v>
      </c>
      <c r="W5" s="11">
        <f t="shared" si="10"/>
        <v>8345705.831962049</v>
      </c>
      <c r="X5" s="11">
        <f t="shared" si="11"/>
        <v>-494322.52322418056</v>
      </c>
      <c r="Y5" s="23">
        <f t="shared" si="12"/>
        <v>5.5918658104096866E-2</v>
      </c>
      <c r="AA5" t="s">
        <v>551</v>
      </c>
    </row>
    <row r="6" spans="1:33" x14ac:dyDescent="0.2">
      <c r="A6" s="8">
        <f>'Monthly Data'!A6</f>
        <v>42856</v>
      </c>
      <c r="B6">
        <f t="shared" si="1"/>
        <v>2017</v>
      </c>
      <c r="C6">
        <f t="shared" si="2"/>
        <v>5</v>
      </c>
      <c r="D6" s="19">
        <f>'Monthly Data'!X6</f>
        <v>9326722.57948968</v>
      </c>
      <c r="E6" s="21">
        <f>'Monthly Data'!BJ6</f>
        <v>92.170833333333348</v>
      </c>
      <c r="F6" s="21">
        <f>'Monthly Data'!BM6</f>
        <v>61.962500000000006</v>
      </c>
      <c r="G6" s="21">
        <f>'Monthly Data'!Z6</f>
        <v>1</v>
      </c>
      <c r="H6" s="21">
        <f>'Monthly Data'!CF6</f>
        <v>0</v>
      </c>
      <c r="I6" s="21">
        <f>'Monthly Data'!CV6</f>
        <v>0</v>
      </c>
      <c r="J6" s="21">
        <f>'Monthly Data'!CS6</f>
        <v>31</v>
      </c>
      <c r="K6" s="21">
        <f>'Monthly Data'!CM6</f>
        <v>5</v>
      </c>
      <c r="L6" s="21">
        <f>'Monthly Data'!CK6</f>
        <v>1</v>
      </c>
      <c r="N6" s="11">
        <f>'Large Use Predicted Monthly'!$AB$10</f>
        <v>-5783820.4539120998</v>
      </c>
      <c r="O6" s="11">
        <f t="shared" si="13"/>
        <v>56847.669318940156</v>
      </c>
      <c r="P6" s="11">
        <f t="shared" si="3"/>
        <v>847337.0349412862</v>
      </c>
      <c r="Q6" s="11">
        <f t="shared" si="4"/>
        <v>3499999.8575587198</v>
      </c>
      <c r="R6" s="11">
        <f t="shared" si="5"/>
        <v>0</v>
      </c>
      <c r="S6" s="11">
        <f t="shared" si="6"/>
        <v>0</v>
      </c>
      <c r="T6" s="11">
        <f t="shared" si="7"/>
        <v>10482494.861430187</v>
      </c>
      <c r="U6" s="11">
        <f t="shared" si="8"/>
        <v>86101.942058476998</v>
      </c>
      <c r="V6" s="11">
        <f t="shared" si="9"/>
        <v>-352058.92944720201</v>
      </c>
      <c r="W6" s="11">
        <f t="shared" si="10"/>
        <v>8836901.9819483086</v>
      </c>
      <c r="X6" s="11">
        <f t="shared" si="11"/>
        <v>-489820.59754137136</v>
      </c>
      <c r="Y6" s="23">
        <f t="shared" si="12"/>
        <v>5.2517976531062674E-2</v>
      </c>
      <c r="AA6" t="s">
        <v>506</v>
      </c>
    </row>
    <row r="7" spans="1:33" x14ac:dyDescent="0.2">
      <c r="A7" s="8">
        <f>'Monthly Data'!A7</f>
        <v>42887</v>
      </c>
      <c r="B7">
        <f t="shared" si="1"/>
        <v>2017</v>
      </c>
      <c r="C7">
        <f t="shared" si="2"/>
        <v>6</v>
      </c>
      <c r="D7" s="19">
        <f>'Monthly Data'!X7</f>
        <v>10997553.80379313</v>
      </c>
      <c r="E7" s="21">
        <f>'Monthly Data'!BJ7</f>
        <v>0.98333333333333428</v>
      </c>
      <c r="F7" s="21">
        <f>'Monthly Data'!BM7</f>
        <v>206.14999999999995</v>
      </c>
      <c r="G7" s="21">
        <f>'Monthly Data'!Z7</f>
        <v>1</v>
      </c>
      <c r="H7" s="21">
        <f>'Monthly Data'!CF7</f>
        <v>0</v>
      </c>
      <c r="I7" s="21">
        <f>'Monthly Data'!CV7</f>
        <v>0</v>
      </c>
      <c r="J7" s="21">
        <f>'Monthly Data'!CS7</f>
        <v>30</v>
      </c>
      <c r="K7" s="21">
        <f>'Monthly Data'!CM7</f>
        <v>6</v>
      </c>
      <c r="L7" s="21">
        <f>'Monthly Data'!CK7</f>
        <v>1</v>
      </c>
      <c r="N7" s="11">
        <f>'Large Use Predicted Monthly'!$AB$10</f>
        <v>-5783820.4539120998</v>
      </c>
      <c r="O7" s="11">
        <f t="shared" si="13"/>
        <v>606.484786369056</v>
      </c>
      <c r="P7" s="11">
        <f t="shared" si="3"/>
        <v>2819100.7424352807</v>
      </c>
      <c r="Q7" s="11">
        <f t="shared" si="4"/>
        <v>3499999.8575587198</v>
      </c>
      <c r="R7" s="11">
        <f t="shared" si="5"/>
        <v>0</v>
      </c>
      <c r="S7" s="11">
        <f t="shared" si="6"/>
        <v>0</v>
      </c>
      <c r="T7" s="11">
        <f t="shared" si="7"/>
        <v>10144349.865900181</v>
      </c>
      <c r="U7" s="11">
        <f t="shared" si="8"/>
        <v>103322.3304701724</v>
      </c>
      <c r="V7" s="11">
        <f t="shared" si="9"/>
        <v>-352058.92944720201</v>
      </c>
      <c r="W7" s="11">
        <f t="shared" si="10"/>
        <v>10431499.897791421</v>
      </c>
      <c r="X7" s="11">
        <f t="shared" si="11"/>
        <v>-566053.9060017094</v>
      </c>
      <c r="Y7" s="23">
        <f t="shared" si="12"/>
        <v>5.1470892172991563E-2</v>
      </c>
      <c r="AA7" t="s">
        <v>552</v>
      </c>
    </row>
    <row r="8" spans="1:33" x14ac:dyDescent="0.2">
      <c r="A8" s="8">
        <f>'Monthly Data'!A8</f>
        <v>42917</v>
      </c>
      <c r="B8">
        <f t="shared" si="1"/>
        <v>2017</v>
      </c>
      <c r="C8">
        <f t="shared" si="2"/>
        <v>7</v>
      </c>
      <c r="D8" s="19">
        <f>'Monthly Data'!X8</f>
        <v>12310894.028096581</v>
      </c>
      <c r="E8" s="21">
        <f>'Monthly Data'!BJ8</f>
        <v>0</v>
      </c>
      <c r="F8" s="21">
        <f>'Monthly Data'!BM8</f>
        <v>268.83541666666667</v>
      </c>
      <c r="G8" s="21">
        <f>'Monthly Data'!Z8</f>
        <v>1</v>
      </c>
      <c r="H8" s="21">
        <f>'Monthly Data'!CF8</f>
        <v>0</v>
      </c>
      <c r="I8" s="21">
        <f>'Monthly Data'!CV8</f>
        <v>0</v>
      </c>
      <c r="J8" s="21">
        <f>'Monthly Data'!CS8</f>
        <v>31</v>
      </c>
      <c r="K8" s="21">
        <f>'Monthly Data'!CM8</f>
        <v>7</v>
      </c>
      <c r="L8" s="21">
        <f>'Monthly Data'!CK8</f>
        <v>1</v>
      </c>
      <c r="N8" s="11">
        <f>'Large Use Predicted Monthly'!$AB$10</f>
        <v>-5783820.4539120998</v>
      </c>
      <c r="O8" s="11">
        <f t="shared" si="13"/>
        <v>0</v>
      </c>
      <c r="P8" s="11">
        <f t="shared" si="3"/>
        <v>3676323.6610133313</v>
      </c>
      <c r="Q8" s="11">
        <f t="shared" si="4"/>
        <v>3499999.8575587198</v>
      </c>
      <c r="R8" s="11">
        <f t="shared" si="5"/>
        <v>0</v>
      </c>
      <c r="S8" s="11">
        <f t="shared" si="6"/>
        <v>0</v>
      </c>
      <c r="T8" s="11">
        <f t="shared" si="7"/>
        <v>10482494.861430187</v>
      </c>
      <c r="U8" s="11">
        <f t="shared" si="8"/>
        <v>120542.7188818678</v>
      </c>
      <c r="V8" s="11">
        <f t="shared" si="9"/>
        <v>-352058.92944720201</v>
      </c>
      <c r="W8" s="11">
        <f t="shared" si="10"/>
        <v>11643481.715524804</v>
      </c>
      <c r="X8" s="11">
        <f t="shared" si="11"/>
        <v>-667412.31257177703</v>
      </c>
      <c r="Y8" s="23">
        <f t="shared" si="12"/>
        <v>5.4213147400064769E-2</v>
      </c>
    </row>
    <row r="9" spans="1:33" x14ac:dyDescent="0.2">
      <c r="A9" s="8">
        <f>'Monthly Data'!A9</f>
        <v>42948</v>
      </c>
      <c r="B9">
        <f t="shared" si="1"/>
        <v>2017</v>
      </c>
      <c r="C9">
        <f t="shared" si="2"/>
        <v>8</v>
      </c>
      <c r="D9" s="19">
        <f>'Monthly Data'!X9</f>
        <v>11685596.252400031</v>
      </c>
      <c r="E9" s="21">
        <f>'Monthly Data'!BJ9</f>
        <v>0</v>
      </c>
      <c r="F9" s="21">
        <f>'Monthly Data'!BM9</f>
        <v>211.20833333333331</v>
      </c>
      <c r="G9" s="21">
        <f>'Monthly Data'!Z9</f>
        <v>1</v>
      </c>
      <c r="H9" s="21">
        <f>'Monthly Data'!CF9</f>
        <v>0</v>
      </c>
      <c r="I9" s="21">
        <f>'Monthly Data'!CV9</f>
        <v>0</v>
      </c>
      <c r="J9" s="21">
        <f>'Monthly Data'!CS9</f>
        <v>31</v>
      </c>
      <c r="K9" s="21">
        <f>'Monthly Data'!CM9</f>
        <v>8</v>
      </c>
      <c r="L9" s="21">
        <f>'Monthly Data'!CK9</f>
        <v>1</v>
      </c>
      <c r="N9" s="11">
        <f>'Large Use Predicted Monthly'!$AB$10</f>
        <v>-5783820.4539120998</v>
      </c>
      <c r="O9" s="11">
        <f t="shared" si="13"/>
        <v>0</v>
      </c>
      <c r="P9" s="11">
        <f t="shared" si="3"/>
        <v>2888273.438314423</v>
      </c>
      <c r="Q9" s="11">
        <f t="shared" si="4"/>
        <v>3499999.8575587198</v>
      </c>
      <c r="R9" s="11">
        <f t="shared" si="5"/>
        <v>0</v>
      </c>
      <c r="S9" s="11">
        <f t="shared" si="6"/>
        <v>0</v>
      </c>
      <c r="T9" s="11">
        <f t="shared" si="7"/>
        <v>10482494.861430187</v>
      </c>
      <c r="U9" s="11">
        <f t="shared" si="8"/>
        <v>137763.1072935632</v>
      </c>
      <c r="V9" s="11">
        <f t="shared" si="9"/>
        <v>-352058.92944720201</v>
      </c>
      <c r="W9" s="11">
        <f t="shared" si="10"/>
        <v>10872651.881237591</v>
      </c>
      <c r="X9" s="11">
        <f t="shared" si="11"/>
        <v>-812944.37116244063</v>
      </c>
      <c r="Y9" s="23">
        <f t="shared" si="12"/>
        <v>6.9568069408137825E-2</v>
      </c>
      <c r="AB9" t="s">
        <v>61</v>
      </c>
      <c r="AC9" t="s">
        <v>62</v>
      </c>
      <c r="AD9" t="s">
        <v>63</v>
      </c>
      <c r="AE9" t="s">
        <v>64</v>
      </c>
    </row>
    <row r="10" spans="1:33" x14ac:dyDescent="0.2">
      <c r="A10" s="8">
        <f>'Monthly Data'!A10</f>
        <v>42979</v>
      </c>
      <c r="B10">
        <f t="shared" si="1"/>
        <v>2017</v>
      </c>
      <c r="C10">
        <f t="shared" si="2"/>
        <v>9</v>
      </c>
      <c r="D10" s="19">
        <f>'Monthly Data'!X10</f>
        <v>11271867.476703482</v>
      </c>
      <c r="E10" s="21">
        <f>'Monthly Data'!BJ10</f>
        <v>20.80416666666666</v>
      </c>
      <c r="F10" s="21">
        <f>'Monthly Data'!BM10</f>
        <v>156.5</v>
      </c>
      <c r="G10" s="21">
        <f>'Monthly Data'!Z10</f>
        <v>1</v>
      </c>
      <c r="H10" s="21">
        <f>'Monthly Data'!CF10</f>
        <v>1</v>
      </c>
      <c r="I10" s="21">
        <f>'Monthly Data'!CV10</f>
        <v>0</v>
      </c>
      <c r="J10" s="21">
        <f>'Monthly Data'!CS10</f>
        <v>30</v>
      </c>
      <c r="K10" s="21">
        <f>'Monthly Data'!CM10</f>
        <v>9</v>
      </c>
      <c r="L10" s="21">
        <f>'Monthly Data'!CK10</f>
        <v>0</v>
      </c>
      <c r="N10" s="11">
        <f>'Large Use Predicted Monthly'!$AB$10</f>
        <v>-5783820.4539120998</v>
      </c>
      <c r="O10" s="11">
        <f t="shared" si="13"/>
        <v>12831.264992969038</v>
      </c>
      <c r="P10" s="11">
        <f t="shared" si="3"/>
        <v>2140137.1146792215</v>
      </c>
      <c r="Q10" s="11">
        <f t="shared" si="4"/>
        <v>3499999.8575587198</v>
      </c>
      <c r="R10" s="11">
        <f t="shared" si="5"/>
        <v>387000.72715245897</v>
      </c>
      <c r="S10" s="11">
        <f t="shared" si="6"/>
        <v>0</v>
      </c>
      <c r="T10" s="11">
        <f t="shared" si="7"/>
        <v>10144349.865900181</v>
      </c>
      <c r="U10" s="11">
        <f t="shared" si="8"/>
        <v>154983.4957052586</v>
      </c>
      <c r="V10" s="11">
        <f t="shared" si="9"/>
        <v>0</v>
      </c>
      <c r="W10" s="11">
        <f t="shared" si="10"/>
        <v>10555481.872076709</v>
      </c>
      <c r="X10" s="11">
        <f t="shared" si="11"/>
        <v>-716385.60462677293</v>
      </c>
      <c r="Y10" s="23">
        <f t="shared" si="12"/>
        <v>6.3555183389743308E-2</v>
      </c>
      <c r="AA10" t="s">
        <v>65</v>
      </c>
      <c r="AB10" s="11">
        <v>-5783820.4539120998</v>
      </c>
      <c r="AC10" s="13">
        <v>833016.96501255804</v>
      </c>
      <c r="AD10" s="211">
        <v>-6.9432204827003803</v>
      </c>
      <c r="AE10" s="212">
        <v>4.0578288939790802E-10</v>
      </c>
    </row>
    <row r="11" spans="1:33" x14ac:dyDescent="0.2">
      <c r="A11" s="8">
        <f>'Monthly Data'!A11</f>
        <v>43009</v>
      </c>
      <c r="B11">
        <f t="shared" si="1"/>
        <v>2017</v>
      </c>
      <c r="C11">
        <f t="shared" si="2"/>
        <v>10</v>
      </c>
      <c r="D11" s="19">
        <f>'Monthly Data'!X11</f>
        <v>9994517.7010069322</v>
      </c>
      <c r="E11" s="21">
        <f>'Monthly Data'!BJ11</f>
        <v>90.324999999999989</v>
      </c>
      <c r="F11" s="21">
        <f>'Monthly Data'!BM11</f>
        <v>68.40833333333336</v>
      </c>
      <c r="G11" s="21">
        <f>'Monthly Data'!Z11</f>
        <v>1</v>
      </c>
      <c r="H11" s="21">
        <f>'Monthly Data'!CF11</f>
        <v>1</v>
      </c>
      <c r="I11" s="21">
        <f>'Monthly Data'!CV11</f>
        <v>0</v>
      </c>
      <c r="J11" s="21">
        <f>'Monthly Data'!CS11</f>
        <v>31</v>
      </c>
      <c r="K11" s="21">
        <f>'Monthly Data'!CM11</f>
        <v>10</v>
      </c>
      <c r="L11" s="21">
        <f>'Monthly Data'!CK11</f>
        <v>0</v>
      </c>
      <c r="N11" s="11">
        <f>'Large Use Predicted Monthly'!$AB$10</f>
        <v>-5783820.4539120998</v>
      </c>
      <c r="O11" s="11">
        <f t="shared" si="13"/>
        <v>55709.225419103313</v>
      </c>
      <c r="P11" s="11">
        <f t="shared" si="3"/>
        <v>935483.78990424587</v>
      </c>
      <c r="Q11" s="11">
        <f t="shared" si="4"/>
        <v>3499999.8575587198</v>
      </c>
      <c r="R11" s="11">
        <f t="shared" si="5"/>
        <v>387000.72715245897</v>
      </c>
      <c r="S11" s="11">
        <f t="shared" si="6"/>
        <v>0</v>
      </c>
      <c r="T11" s="11">
        <f t="shared" si="7"/>
        <v>10482494.861430187</v>
      </c>
      <c r="U11" s="11">
        <f t="shared" si="8"/>
        <v>172203.884116954</v>
      </c>
      <c r="V11" s="11">
        <f t="shared" si="9"/>
        <v>0</v>
      </c>
      <c r="W11" s="11">
        <f t="shared" si="10"/>
        <v>9749071.8916695677</v>
      </c>
      <c r="X11" s="11">
        <f t="shared" si="11"/>
        <v>-245445.80933736451</v>
      </c>
      <c r="Y11" s="23">
        <f t="shared" si="12"/>
        <v>2.4558044387938422E-2</v>
      </c>
      <c r="AA11" t="s">
        <v>28</v>
      </c>
      <c r="AB11" s="11">
        <v>616.76418952785298</v>
      </c>
      <c r="AC11">
        <v>305.52921955080598</v>
      </c>
      <c r="AD11">
        <v>2.0186749746378698</v>
      </c>
      <c r="AE11">
        <v>4.6225370485718197E-2</v>
      </c>
    </row>
    <row r="12" spans="1:33" x14ac:dyDescent="0.2">
      <c r="A12" s="8">
        <f>'Monthly Data'!A12</f>
        <v>43040</v>
      </c>
      <c r="B12">
        <f t="shared" si="1"/>
        <v>2017</v>
      </c>
      <c r="C12">
        <f t="shared" si="2"/>
        <v>11</v>
      </c>
      <c r="D12" s="19">
        <f>'Monthly Data'!X12</f>
        <v>8686801.9253103826</v>
      </c>
      <c r="E12" s="21">
        <f>'Monthly Data'!BJ12</f>
        <v>331.08124999999995</v>
      </c>
      <c r="F12" s="21">
        <f>'Monthly Data'!BM12</f>
        <v>0.11666666666666714</v>
      </c>
      <c r="G12" s="21">
        <f>'Monthly Data'!Z12</f>
        <v>1</v>
      </c>
      <c r="H12" s="21">
        <f>'Monthly Data'!CF12</f>
        <v>1</v>
      </c>
      <c r="I12" s="21">
        <f>'Monthly Data'!CV12</f>
        <v>0</v>
      </c>
      <c r="J12" s="21">
        <f>'Monthly Data'!CS12</f>
        <v>30</v>
      </c>
      <c r="K12" s="21">
        <f>'Monthly Data'!CM12</f>
        <v>11</v>
      </c>
      <c r="L12" s="21">
        <f>'Monthly Data'!CK12</f>
        <v>0</v>
      </c>
      <c r="N12" s="11">
        <f>'Large Use Predicted Monthly'!$AB$10</f>
        <v>-5783820.4539120998</v>
      </c>
      <c r="O12" s="11">
        <f t="shared" si="13"/>
        <v>204199.05882411846</v>
      </c>
      <c r="P12" s="11">
        <f t="shared" si="3"/>
        <v>1595.4163794200865</v>
      </c>
      <c r="Q12" s="11">
        <f t="shared" si="4"/>
        <v>3499999.8575587198</v>
      </c>
      <c r="R12" s="11">
        <f t="shared" si="5"/>
        <v>387000.72715245897</v>
      </c>
      <c r="S12" s="11">
        <f t="shared" si="6"/>
        <v>0</v>
      </c>
      <c r="T12" s="11">
        <f t="shared" si="7"/>
        <v>10144349.865900181</v>
      </c>
      <c r="U12" s="11">
        <f t="shared" si="8"/>
        <v>189424.2725286494</v>
      </c>
      <c r="V12" s="11">
        <f t="shared" si="9"/>
        <v>0</v>
      </c>
      <c r="W12" s="11">
        <f t="shared" si="10"/>
        <v>8642748.7444314491</v>
      </c>
      <c r="X12" s="11">
        <f t="shared" si="11"/>
        <v>-44053.180878933519</v>
      </c>
      <c r="Y12" s="23">
        <f t="shared" si="12"/>
        <v>5.0712772384711056E-3</v>
      </c>
      <c r="AA12" t="s">
        <v>33</v>
      </c>
      <c r="AB12" s="11">
        <v>13674.9975378864</v>
      </c>
      <c r="AC12" s="13">
        <v>621.54497892447898</v>
      </c>
      <c r="AD12" s="211">
        <v>22.0016217676629</v>
      </c>
      <c r="AE12" s="212">
        <v>6.6569351730196799E-40</v>
      </c>
    </row>
    <row r="13" spans="1:33" x14ac:dyDescent="0.2">
      <c r="A13" s="8">
        <f>'Monthly Data'!A13</f>
        <v>43070</v>
      </c>
      <c r="B13">
        <f t="shared" si="1"/>
        <v>2017</v>
      </c>
      <c r="C13">
        <f t="shared" si="2"/>
        <v>12</v>
      </c>
      <c r="D13" s="19">
        <f>'Monthly Data'!X13</f>
        <v>8551960.1496138331</v>
      </c>
      <c r="E13" s="21">
        <f>'Monthly Data'!BJ13</f>
        <v>592.54583333333346</v>
      </c>
      <c r="F13" s="21">
        <f>'Monthly Data'!BM13</f>
        <v>0</v>
      </c>
      <c r="G13" s="21">
        <f>'Monthly Data'!Z13</f>
        <v>1</v>
      </c>
      <c r="H13" s="21">
        <f>'Monthly Data'!CF13</f>
        <v>0</v>
      </c>
      <c r="I13" s="21">
        <f>'Monthly Data'!CV13</f>
        <v>0</v>
      </c>
      <c r="J13" s="21">
        <f>'Monthly Data'!CS13</f>
        <v>31</v>
      </c>
      <c r="K13" s="21">
        <f>'Monthly Data'!CM13</f>
        <v>12</v>
      </c>
      <c r="L13" s="21">
        <f>'Monthly Data'!CK13</f>
        <v>0</v>
      </c>
      <c r="N13" s="11">
        <f>'Large Use Predicted Monthly'!$AB$10</f>
        <v>-5783820.4539120998</v>
      </c>
      <c r="O13" s="11">
        <f t="shared" si="13"/>
        <v>365461.05065393966</v>
      </c>
      <c r="P13" s="11">
        <f t="shared" si="3"/>
        <v>0</v>
      </c>
      <c r="Q13" s="11">
        <f t="shared" si="4"/>
        <v>3499999.8575587198</v>
      </c>
      <c r="R13" s="11">
        <f t="shared" si="5"/>
        <v>0</v>
      </c>
      <c r="S13" s="11">
        <f t="shared" si="6"/>
        <v>0</v>
      </c>
      <c r="T13" s="11">
        <f t="shared" si="7"/>
        <v>10482494.861430187</v>
      </c>
      <c r="U13" s="11">
        <f t="shared" si="8"/>
        <v>206644.66094034479</v>
      </c>
      <c r="V13" s="11">
        <f t="shared" si="9"/>
        <v>0</v>
      </c>
      <c r="W13" s="11">
        <f t="shared" si="10"/>
        <v>8770779.9766710922</v>
      </c>
      <c r="X13" s="11">
        <f t="shared" si="11"/>
        <v>218819.82705725916</v>
      </c>
      <c r="Y13" s="23">
        <f t="shared" si="12"/>
        <v>2.558709620123055E-2</v>
      </c>
      <c r="AA13" t="s">
        <v>432</v>
      </c>
      <c r="AB13" s="11">
        <v>3499999.8575587198</v>
      </c>
      <c r="AC13" s="13">
        <v>304771.71597007598</v>
      </c>
      <c r="AD13" s="211">
        <v>11.4840048277392</v>
      </c>
      <c r="AE13" s="212">
        <v>6.5698551970701595E-20</v>
      </c>
      <c r="AG13" s="187"/>
    </row>
    <row r="14" spans="1:33" x14ac:dyDescent="0.2">
      <c r="A14" s="8">
        <f>'Monthly Data'!A14</f>
        <v>43101</v>
      </c>
      <c r="B14">
        <f t="shared" si="1"/>
        <v>2018</v>
      </c>
      <c r="C14">
        <f t="shared" si="2"/>
        <v>1</v>
      </c>
      <c r="D14" s="19">
        <f>'Monthly Data'!X14</f>
        <v>9103066.0429361481</v>
      </c>
      <c r="E14" s="21">
        <f>'Monthly Data'!BJ14</f>
        <v>626.29583333333323</v>
      </c>
      <c r="F14" s="21">
        <f>'Monthly Data'!BM14</f>
        <v>0</v>
      </c>
      <c r="G14" s="21">
        <f>'Monthly Data'!Z14</f>
        <v>1</v>
      </c>
      <c r="H14" s="21">
        <f>'Monthly Data'!CF14</f>
        <v>0</v>
      </c>
      <c r="I14" s="21">
        <f>'Monthly Data'!CV14</f>
        <v>0</v>
      </c>
      <c r="J14" s="21">
        <f>'Monthly Data'!CS14</f>
        <v>31</v>
      </c>
      <c r="K14" s="21">
        <f>'Monthly Data'!CM14</f>
        <v>13</v>
      </c>
      <c r="L14" s="21">
        <f>'Monthly Data'!CK14</f>
        <v>0</v>
      </c>
      <c r="N14" s="11">
        <f>'Large Use Predicted Monthly'!$AB$10</f>
        <v>-5783820.4539120998</v>
      </c>
      <c r="O14" s="11">
        <f t="shared" si="13"/>
        <v>386276.84205050458</v>
      </c>
      <c r="P14" s="11">
        <f t="shared" si="3"/>
        <v>0</v>
      </c>
      <c r="Q14" s="11">
        <f t="shared" si="4"/>
        <v>3499999.8575587198</v>
      </c>
      <c r="R14" s="11">
        <f t="shared" si="5"/>
        <v>0</v>
      </c>
      <c r="S14" s="11">
        <f t="shared" si="6"/>
        <v>0</v>
      </c>
      <c r="T14" s="11">
        <f t="shared" si="7"/>
        <v>10482494.861430187</v>
      </c>
      <c r="U14" s="11">
        <f t="shared" si="8"/>
        <v>223865.04935204019</v>
      </c>
      <c r="V14" s="11">
        <f t="shared" si="9"/>
        <v>0</v>
      </c>
      <c r="W14" s="11">
        <f t="shared" si="10"/>
        <v>8808816.1564793531</v>
      </c>
      <c r="X14" s="11">
        <f t="shared" si="11"/>
        <v>-294249.88645679504</v>
      </c>
      <c r="Y14" s="23">
        <f t="shared" si="12"/>
        <v>3.2324261415759892E-2</v>
      </c>
      <c r="AA14" t="s">
        <v>56</v>
      </c>
      <c r="AB14" s="11">
        <v>387000.72715245897</v>
      </c>
      <c r="AC14" s="13">
        <v>102535.24968143999</v>
      </c>
      <c r="AD14" s="211">
        <v>3.7743188645349499</v>
      </c>
      <c r="AE14" s="212">
        <v>2.7358958241402703E-4</v>
      </c>
      <c r="AG14" s="187"/>
    </row>
    <row r="15" spans="1:33" x14ac:dyDescent="0.2">
      <c r="A15" s="8">
        <f>'Monthly Data'!A15</f>
        <v>43132</v>
      </c>
      <c r="B15">
        <f t="shared" si="1"/>
        <v>2018</v>
      </c>
      <c r="C15">
        <f t="shared" si="2"/>
        <v>2</v>
      </c>
      <c r="D15" s="19">
        <f>'Monthly Data'!X15</f>
        <v>8069983.3265349884</v>
      </c>
      <c r="E15" s="21">
        <f>'Monthly Data'!BJ15</f>
        <v>462.37083333333339</v>
      </c>
      <c r="F15" s="21">
        <f>'Monthly Data'!BM15</f>
        <v>0</v>
      </c>
      <c r="G15" s="21">
        <f>'Monthly Data'!Z15</f>
        <v>1</v>
      </c>
      <c r="H15" s="21">
        <f>'Monthly Data'!CF15</f>
        <v>0</v>
      </c>
      <c r="I15" s="21">
        <f>'Monthly Data'!CV15</f>
        <v>0</v>
      </c>
      <c r="J15" s="21">
        <f>'Monthly Data'!CS15</f>
        <v>28</v>
      </c>
      <c r="K15" s="21">
        <f>'Monthly Data'!CM15</f>
        <v>14</v>
      </c>
      <c r="L15" s="21">
        <f>'Monthly Data'!CK15</f>
        <v>0</v>
      </c>
      <c r="N15" s="11">
        <f>'Large Use Predicted Monthly'!$AB$10</f>
        <v>-5783820.4539120998</v>
      </c>
      <c r="O15" s="11">
        <f t="shared" si="13"/>
        <v>285173.77228215133</v>
      </c>
      <c r="P15" s="11">
        <f t="shared" si="3"/>
        <v>0</v>
      </c>
      <c r="Q15" s="11">
        <f t="shared" si="4"/>
        <v>3499999.8575587198</v>
      </c>
      <c r="R15" s="11">
        <f t="shared" si="5"/>
        <v>0</v>
      </c>
      <c r="S15" s="11">
        <f t="shared" si="6"/>
        <v>0</v>
      </c>
      <c r="T15" s="11">
        <f t="shared" si="7"/>
        <v>9468059.8748401683</v>
      </c>
      <c r="U15" s="11">
        <f t="shared" si="8"/>
        <v>241085.43776373559</v>
      </c>
      <c r="V15" s="11">
        <f t="shared" si="9"/>
        <v>0</v>
      </c>
      <c r="W15" s="11">
        <f t="shared" si="10"/>
        <v>7710498.4885326754</v>
      </c>
      <c r="X15" s="11">
        <f t="shared" si="11"/>
        <v>-359484.83800231293</v>
      </c>
      <c r="Y15" s="23">
        <f t="shared" si="12"/>
        <v>4.4545920785274418E-2</v>
      </c>
      <c r="AA15" t="s">
        <v>187</v>
      </c>
      <c r="AB15" s="11">
        <v>-989120.62623312802</v>
      </c>
      <c r="AC15" s="13">
        <v>332907.44525179203</v>
      </c>
      <c r="AD15" s="211">
        <v>-2.97115802106803</v>
      </c>
      <c r="AE15" s="212">
        <v>3.72376011804877E-3</v>
      </c>
    </row>
    <row r="16" spans="1:33" x14ac:dyDescent="0.2">
      <c r="A16" s="8">
        <f>'Monthly Data'!A16</f>
        <v>43160</v>
      </c>
      <c r="B16">
        <f t="shared" si="1"/>
        <v>2018</v>
      </c>
      <c r="C16">
        <f t="shared" si="2"/>
        <v>3</v>
      </c>
      <c r="D16" s="19">
        <f>'Monthly Data'!X16</f>
        <v>9022606.6101338267</v>
      </c>
      <c r="E16" s="21">
        <f>'Monthly Data'!BJ16</f>
        <v>471.81666666666666</v>
      </c>
      <c r="F16" s="21">
        <f>'Monthly Data'!BM16</f>
        <v>0</v>
      </c>
      <c r="G16" s="21">
        <f>'Monthly Data'!Z16</f>
        <v>1</v>
      </c>
      <c r="H16" s="21">
        <f>'Monthly Data'!CF16</f>
        <v>0</v>
      </c>
      <c r="I16" s="21">
        <f>'Monthly Data'!CV16</f>
        <v>0</v>
      </c>
      <c r="J16" s="21">
        <f>'Monthly Data'!CS16</f>
        <v>31</v>
      </c>
      <c r="K16" s="21">
        <f>'Monthly Data'!CM16</f>
        <v>15</v>
      </c>
      <c r="L16" s="21">
        <f>'Monthly Data'!CK16</f>
        <v>0</v>
      </c>
      <c r="N16" s="11">
        <f>'Large Use Predicted Monthly'!$AB$10</f>
        <v>-5783820.4539120998</v>
      </c>
      <c r="O16" s="11">
        <f t="shared" si="13"/>
        <v>290999.62402239983</v>
      </c>
      <c r="P16" s="11">
        <f t="shared" si="3"/>
        <v>0</v>
      </c>
      <c r="Q16" s="11">
        <f t="shared" si="4"/>
        <v>3499999.8575587198</v>
      </c>
      <c r="R16" s="11">
        <f t="shared" si="5"/>
        <v>0</v>
      </c>
      <c r="S16" s="11">
        <f t="shared" si="6"/>
        <v>0</v>
      </c>
      <c r="T16" s="11">
        <f t="shared" si="7"/>
        <v>10482494.861430187</v>
      </c>
      <c r="U16" s="11">
        <f t="shared" si="8"/>
        <v>258305.82617543099</v>
      </c>
      <c r="V16" s="11">
        <f t="shared" si="9"/>
        <v>0</v>
      </c>
      <c r="W16" s="11">
        <f t="shared" si="10"/>
        <v>8747979.7152746376</v>
      </c>
      <c r="X16" s="11">
        <f t="shared" si="11"/>
        <v>-274626.89485918917</v>
      </c>
      <c r="Y16" s="23">
        <f t="shared" si="12"/>
        <v>3.0437644765620098E-2</v>
      </c>
      <c r="AA16" t="s">
        <v>178</v>
      </c>
      <c r="AB16" s="11">
        <v>338144.99553000601</v>
      </c>
      <c r="AC16" s="13">
        <v>24583.2750480783</v>
      </c>
      <c r="AD16" s="211">
        <v>13.755083277906801</v>
      </c>
      <c r="AE16" s="212">
        <v>1.0498002587506299E-24</v>
      </c>
    </row>
    <row r="17" spans="1:31" x14ac:dyDescent="0.2">
      <c r="A17" s="8">
        <f>'Monthly Data'!A17</f>
        <v>43191</v>
      </c>
      <c r="B17">
        <f t="shared" si="1"/>
        <v>2018</v>
      </c>
      <c r="C17">
        <f t="shared" si="2"/>
        <v>4</v>
      </c>
      <c r="D17" s="19">
        <f>'Monthly Data'!X17</f>
        <v>8607346.893732667</v>
      </c>
      <c r="E17" s="21">
        <f>'Monthly Data'!BJ17</f>
        <v>340.9</v>
      </c>
      <c r="F17" s="21">
        <f>'Monthly Data'!BM17</f>
        <v>0.10416666666666607</v>
      </c>
      <c r="G17" s="21">
        <f>'Monthly Data'!Z17</f>
        <v>1</v>
      </c>
      <c r="H17" s="21">
        <f>'Monthly Data'!CF17</f>
        <v>0</v>
      </c>
      <c r="I17" s="21">
        <f>'Monthly Data'!CV17</f>
        <v>0</v>
      </c>
      <c r="J17" s="21">
        <f>'Monthly Data'!CS17</f>
        <v>30</v>
      </c>
      <c r="K17" s="21">
        <f>'Monthly Data'!CM17</f>
        <v>16</v>
      </c>
      <c r="L17" s="21">
        <f>'Monthly Data'!CK17</f>
        <v>0</v>
      </c>
      <c r="N17" s="11">
        <f>'Large Use Predicted Monthly'!$AB$10</f>
        <v>-5783820.4539120998</v>
      </c>
      <c r="O17" s="11">
        <f t="shared" si="13"/>
        <v>210254.91221004506</v>
      </c>
      <c r="P17" s="11">
        <f t="shared" si="3"/>
        <v>1424.4789101964918</v>
      </c>
      <c r="Q17" s="11">
        <f t="shared" si="4"/>
        <v>3499999.8575587198</v>
      </c>
      <c r="R17" s="11">
        <f t="shared" si="5"/>
        <v>0</v>
      </c>
      <c r="S17" s="11">
        <f t="shared" si="6"/>
        <v>0</v>
      </c>
      <c r="T17" s="11">
        <f t="shared" si="7"/>
        <v>10144349.865900181</v>
      </c>
      <c r="U17" s="11">
        <f t="shared" si="8"/>
        <v>275526.21458712639</v>
      </c>
      <c r="V17" s="11">
        <f t="shared" si="9"/>
        <v>0</v>
      </c>
      <c r="W17" s="11">
        <f t="shared" si="10"/>
        <v>8347734.8752541691</v>
      </c>
      <c r="X17" s="11">
        <f t="shared" si="11"/>
        <v>-259612.01847849786</v>
      </c>
      <c r="Y17" s="23">
        <f t="shared" si="12"/>
        <v>3.0161677190857862E-2</v>
      </c>
      <c r="AA17" t="s">
        <v>58</v>
      </c>
      <c r="AB17" s="11">
        <v>17220.3884116954</v>
      </c>
      <c r="AC17" s="13">
        <v>5959.9718400211405</v>
      </c>
      <c r="AD17" s="211">
        <v>2.88934056635313</v>
      </c>
      <c r="AE17" s="212">
        <v>4.74327039698155E-3</v>
      </c>
    </row>
    <row r="18" spans="1:31" x14ac:dyDescent="0.2">
      <c r="A18" s="8">
        <f>'Monthly Data'!A18</f>
        <v>43221</v>
      </c>
      <c r="B18">
        <f t="shared" si="1"/>
        <v>2018</v>
      </c>
      <c r="C18">
        <f t="shared" si="2"/>
        <v>5</v>
      </c>
      <c r="D18" s="19">
        <f>'Monthly Data'!X18</f>
        <v>10249196.177331505</v>
      </c>
      <c r="E18" s="21">
        <f>'Monthly Data'!BJ18</f>
        <v>15.375000000000002</v>
      </c>
      <c r="F18" s="21">
        <f>'Monthly Data'!BM18</f>
        <v>162.29999999999998</v>
      </c>
      <c r="G18" s="21">
        <f>'Monthly Data'!Z18</f>
        <v>1</v>
      </c>
      <c r="H18" s="21">
        <f>'Monthly Data'!CF18</f>
        <v>0</v>
      </c>
      <c r="I18" s="21">
        <f>'Monthly Data'!CV18</f>
        <v>0</v>
      </c>
      <c r="J18" s="21">
        <f>'Monthly Data'!CS18</f>
        <v>31</v>
      </c>
      <c r="K18" s="21">
        <f>'Monthly Data'!CM18</f>
        <v>17</v>
      </c>
      <c r="L18" s="21">
        <f>'Monthly Data'!CK18</f>
        <v>1</v>
      </c>
      <c r="N18" s="11">
        <f>'Large Use Predicted Monthly'!$AB$10</f>
        <v>-5783820.4539120998</v>
      </c>
      <c r="O18" s="11">
        <f t="shared" si="13"/>
        <v>9482.7494139907412</v>
      </c>
      <c r="P18" s="11">
        <f t="shared" si="3"/>
        <v>2219452.1003989624</v>
      </c>
      <c r="Q18" s="11">
        <f t="shared" si="4"/>
        <v>3499999.8575587198</v>
      </c>
      <c r="R18" s="11">
        <f t="shared" si="5"/>
        <v>0</v>
      </c>
      <c r="S18" s="11">
        <f t="shared" si="6"/>
        <v>0</v>
      </c>
      <c r="T18" s="11">
        <f t="shared" si="7"/>
        <v>10482494.861430187</v>
      </c>
      <c r="U18" s="11">
        <f t="shared" si="8"/>
        <v>292746.60299882176</v>
      </c>
      <c r="V18" s="11">
        <f t="shared" si="9"/>
        <v>-352058.92944720201</v>
      </c>
      <c r="W18" s="11">
        <f t="shared" si="10"/>
        <v>10368296.788441379</v>
      </c>
      <c r="X18" s="11">
        <f t="shared" si="11"/>
        <v>119100.61110987328</v>
      </c>
      <c r="Y18" s="23">
        <f t="shared" si="12"/>
        <v>1.162048311391406E-2</v>
      </c>
      <c r="AA18" t="s">
        <v>515</v>
      </c>
      <c r="AB18" s="11">
        <v>-352058.92944720201</v>
      </c>
      <c r="AC18">
        <v>107803.595671919</v>
      </c>
      <c r="AD18">
        <v>-3.2657438488288402</v>
      </c>
      <c r="AE18">
        <v>1.5003251391447301E-3</v>
      </c>
    </row>
    <row r="19" spans="1:31" x14ac:dyDescent="0.2">
      <c r="A19" s="8">
        <f>'Monthly Data'!A19</f>
        <v>43252</v>
      </c>
      <c r="B19">
        <f t="shared" si="1"/>
        <v>2018</v>
      </c>
      <c r="C19">
        <f t="shared" si="2"/>
        <v>6</v>
      </c>
      <c r="D19" s="19">
        <f>'Monthly Data'!X19</f>
        <v>10702581.460930346</v>
      </c>
      <c r="E19" s="21">
        <f>'Monthly Data'!BJ19</f>
        <v>4.6208333333333336</v>
      </c>
      <c r="F19" s="21">
        <f>'Monthly Data'!BM19</f>
        <v>211.26666666666671</v>
      </c>
      <c r="G19" s="21">
        <f>'Monthly Data'!Z19</f>
        <v>1</v>
      </c>
      <c r="H19" s="21">
        <f>'Monthly Data'!CF19</f>
        <v>0</v>
      </c>
      <c r="I19" s="21">
        <f>'Monthly Data'!CV19</f>
        <v>0</v>
      </c>
      <c r="J19" s="21">
        <f>'Monthly Data'!CS19</f>
        <v>30</v>
      </c>
      <c r="K19" s="21">
        <f>'Monthly Data'!CM19</f>
        <v>18</v>
      </c>
      <c r="L19" s="21">
        <f>'Monthly Data'!CK19</f>
        <v>1</v>
      </c>
      <c r="N19" s="11">
        <f>'Large Use Predicted Monthly'!$AB$10</f>
        <v>-5783820.4539120998</v>
      </c>
      <c r="O19" s="11">
        <f t="shared" si="13"/>
        <v>2849.9645257766206</v>
      </c>
      <c r="P19" s="11">
        <f t="shared" si="3"/>
        <v>2889071.1465041339</v>
      </c>
      <c r="Q19" s="11">
        <f t="shared" si="4"/>
        <v>3499999.8575587198</v>
      </c>
      <c r="R19" s="11">
        <f t="shared" si="5"/>
        <v>0</v>
      </c>
      <c r="S19" s="11">
        <f t="shared" si="6"/>
        <v>0</v>
      </c>
      <c r="T19" s="11">
        <f t="shared" si="7"/>
        <v>10144349.865900181</v>
      </c>
      <c r="U19" s="11">
        <f t="shared" si="8"/>
        <v>309966.99141051719</v>
      </c>
      <c r="V19" s="11">
        <f t="shared" si="9"/>
        <v>-352058.92944720201</v>
      </c>
      <c r="W19" s="11">
        <f t="shared" si="10"/>
        <v>10710358.442540027</v>
      </c>
      <c r="X19" s="11">
        <f t="shared" si="11"/>
        <v>7776.9816096816212</v>
      </c>
      <c r="Y19" s="23">
        <f t="shared" si="12"/>
        <v>7.2664540214633321E-4</v>
      </c>
    </row>
    <row r="20" spans="1:31" x14ac:dyDescent="0.2">
      <c r="A20" s="8">
        <f>'Monthly Data'!A20</f>
        <v>43282</v>
      </c>
      <c r="B20">
        <f t="shared" si="1"/>
        <v>2018</v>
      </c>
      <c r="C20">
        <f t="shared" si="2"/>
        <v>7</v>
      </c>
      <c r="D20" s="19">
        <f>'Monthly Data'!X20</f>
        <v>12327687.744529184</v>
      </c>
      <c r="E20" s="21">
        <f>'Monthly Data'!BJ20</f>
        <v>0</v>
      </c>
      <c r="F20" s="21">
        <f>'Monthly Data'!BM20</f>
        <v>286.8145833333333</v>
      </c>
      <c r="G20" s="21">
        <f>'Monthly Data'!Z20</f>
        <v>1</v>
      </c>
      <c r="H20" s="21">
        <f>'Monthly Data'!CF20</f>
        <v>0</v>
      </c>
      <c r="I20" s="21">
        <f>'Monthly Data'!CV20</f>
        <v>0</v>
      </c>
      <c r="J20" s="21">
        <f>'Monthly Data'!CS20</f>
        <v>31</v>
      </c>
      <c r="K20" s="21">
        <f>'Monthly Data'!CM20</f>
        <v>19</v>
      </c>
      <c r="L20" s="21">
        <f>'Monthly Data'!CK20</f>
        <v>1</v>
      </c>
      <c r="N20" s="11">
        <f>'Large Use Predicted Monthly'!$AB$10</f>
        <v>-5783820.4539120998</v>
      </c>
      <c r="O20" s="11">
        <f t="shared" si="13"/>
        <v>0</v>
      </c>
      <c r="P20" s="11">
        <f t="shared" si="3"/>
        <v>3922188.7209132467</v>
      </c>
      <c r="Q20" s="11">
        <f t="shared" si="4"/>
        <v>3499999.8575587198</v>
      </c>
      <c r="R20" s="11">
        <f t="shared" si="5"/>
        <v>0</v>
      </c>
      <c r="S20" s="11">
        <f t="shared" si="6"/>
        <v>0</v>
      </c>
      <c r="T20" s="11">
        <f t="shared" si="7"/>
        <v>10482494.861430187</v>
      </c>
      <c r="U20" s="11">
        <f t="shared" si="8"/>
        <v>327187.37982221262</v>
      </c>
      <c r="V20" s="11">
        <f t="shared" si="9"/>
        <v>-352058.92944720201</v>
      </c>
      <c r="W20" s="11">
        <f t="shared" si="10"/>
        <v>12095991.436365064</v>
      </c>
      <c r="X20" s="11">
        <f t="shared" si="11"/>
        <v>-231696.30816411972</v>
      </c>
      <c r="Y20" s="23">
        <f t="shared" si="12"/>
        <v>1.8794790472117739E-2</v>
      </c>
      <c r="AA20" t="s">
        <v>152</v>
      </c>
      <c r="AB20" s="212"/>
      <c r="AD20" s="212"/>
    </row>
    <row r="21" spans="1:31" x14ac:dyDescent="0.2">
      <c r="A21" s="8">
        <f>'Monthly Data'!A21</f>
        <v>43313</v>
      </c>
      <c r="B21">
        <f t="shared" si="1"/>
        <v>2018</v>
      </c>
      <c r="C21">
        <f t="shared" si="2"/>
        <v>8</v>
      </c>
      <c r="D21" s="19">
        <f>'Monthly Data'!X21</f>
        <v>12834453.028128022</v>
      </c>
      <c r="E21" s="21">
        <f>'Monthly Data'!BJ21</f>
        <v>0</v>
      </c>
      <c r="F21" s="21">
        <f>'Monthly Data'!BM21</f>
        <v>292.90833333333325</v>
      </c>
      <c r="G21" s="21">
        <f>'Monthly Data'!Z21</f>
        <v>1</v>
      </c>
      <c r="H21" s="21">
        <f>'Monthly Data'!CF21</f>
        <v>0</v>
      </c>
      <c r="I21" s="21">
        <f>'Monthly Data'!CV21</f>
        <v>0</v>
      </c>
      <c r="J21" s="21">
        <f>'Monthly Data'!CS21</f>
        <v>31</v>
      </c>
      <c r="K21" s="21">
        <f>'Monthly Data'!CM21</f>
        <v>20</v>
      </c>
      <c r="L21" s="21">
        <f>'Monthly Data'!CK21</f>
        <v>1</v>
      </c>
      <c r="N21" s="11">
        <f>'Large Use Predicted Monthly'!$AB$10</f>
        <v>-5783820.4539120998</v>
      </c>
      <c r="O21" s="11">
        <f t="shared" si="13"/>
        <v>0</v>
      </c>
      <c r="P21" s="11">
        <f t="shared" si="3"/>
        <v>4005520.7371597411</v>
      </c>
      <c r="Q21" s="11">
        <f t="shared" si="4"/>
        <v>3499999.8575587198</v>
      </c>
      <c r="R21" s="11">
        <f t="shared" si="5"/>
        <v>0</v>
      </c>
      <c r="S21" s="11">
        <f t="shared" si="6"/>
        <v>0</v>
      </c>
      <c r="T21" s="11">
        <f t="shared" si="7"/>
        <v>10482494.861430187</v>
      </c>
      <c r="U21" s="11">
        <f t="shared" si="8"/>
        <v>344407.76823390799</v>
      </c>
      <c r="V21" s="11">
        <f t="shared" si="9"/>
        <v>-352058.92944720201</v>
      </c>
      <c r="W21" s="11">
        <f t="shared" si="10"/>
        <v>12196543.841023255</v>
      </c>
      <c r="X21" s="11">
        <f t="shared" si="11"/>
        <v>-637909.18710476719</v>
      </c>
      <c r="Y21" s="23">
        <f t="shared" si="12"/>
        <v>4.9702872861564391E-2</v>
      </c>
      <c r="AA21" t="s">
        <v>68</v>
      </c>
      <c r="AB21" s="211">
        <v>9222157941082.5</v>
      </c>
      <c r="AC21" t="s">
        <v>69</v>
      </c>
      <c r="AD21" s="212">
        <v>305209.94498211402</v>
      </c>
    </row>
    <row r="22" spans="1:31" x14ac:dyDescent="0.2">
      <c r="A22" s="8">
        <f>'Monthly Data'!A22</f>
        <v>43344</v>
      </c>
      <c r="B22">
        <f t="shared" si="1"/>
        <v>2018</v>
      </c>
      <c r="C22">
        <f t="shared" si="2"/>
        <v>9</v>
      </c>
      <c r="D22" s="19">
        <f>'Monthly Data'!X22</f>
        <v>11555740.311726863</v>
      </c>
      <c r="E22" s="21">
        <f>'Monthly Data'!BJ22</f>
        <v>20.0625</v>
      </c>
      <c r="F22" s="21">
        <f>'Monthly Data'!BM22</f>
        <v>175.49583333333331</v>
      </c>
      <c r="G22" s="21">
        <f>'Monthly Data'!Z22</f>
        <v>1</v>
      </c>
      <c r="H22" s="21">
        <f>'Monthly Data'!CF22</f>
        <v>1</v>
      </c>
      <c r="I22" s="21">
        <f>'Monthly Data'!CV22</f>
        <v>0</v>
      </c>
      <c r="J22" s="21">
        <f>'Monthly Data'!CS22</f>
        <v>30</v>
      </c>
      <c r="K22" s="21">
        <f>'Monthly Data'!CM22</f>
        <v>21</v>
      </c>
      <c r="L22" s="21">
        <f>'Monthly Data'!CK22</f>
        <v>0</v>
      </c>
      <c r="N22" s="11">
        <f>'Large Use Predicted Monthly'!$AB$10</f>
        <v>-5783820.4539120998</v>
      </c>
      <c r="O22" s="11">
        <f t="shared" si="13"/>
        <v>12373.831552402551</v>
      </c>
      <c r="P22" s="11">
        <f t="shared" si="3"/>
        <v>2399905.0887426552</v>
      </c>
      <c r="Q22" s="11">
        <f t="shared" si="4"/>
        <v>3499999.8575587198</v>
      </c>
      <c r="R22" s="11">
        <f t="shared" si="5"/>
        <v>387000.72715245897</v>
      </c>
      <c r="S22" s="11">
        <f t="shared" si="6"/>
        <v>0</v>
      </c>
      <c r="T22" s="11">
        <f t="shared" si="7"/>
        <v>10144349.865900181</v>
      </c>
      <c r="U22" s="11">
        <f t="shared" si="8"/>
        <v>361628.15664560336</v>
      </c>
      <c r="V22" s="11">
        <f t="shared" si="9"/>
        <v>0</v>
      </c>
      <c r="W22" s="11">
        <f t="shared" si="10"/>
        <v>11021437.073639922</v>
      </c>
      <c r="X22" s="11">
        <f t="shared" si="11"/>
        <v>-534303.23808694072</v>
      </c>
      <c r="Y22" s="23">
        <f t="shared" si="12"/>
        <v>4.6237040957447385E-2</v>
      </c>
      <c r="AA22" t="s">
        <v>70</v>
      </c>
      <c r="AB22" s="212">
        <v>0.98911929943917698</v>
      </c>
      <c r="AC22" t="s">
        <v>71</v>
      </c>
      <c r="AD22" s="212">
        <v>0.98824005090901001</v>
      </c>
    </row>
    <row r="23" spans="1:31" x14ac:dyDescent="0.2">
      <c r="A23" s="8">
        <f>'Monthly Data'!A23</f>
        <v>43374</v>
      </c>
      <c r="B23">
        <f t="shared" si="1"/>
        <v>2018</v>
      </c>
      <c r="C23">
        <f t="shared" si="2"/>
        <v>10</v>
      </c>
      <c r="D23" s="19">
        <f>'Monthly Data'!X23</f>
        <v>9663556.5953257009</v>
      </c>
      <c r="E23" s="21">
        <f>'Monthly Data'!BJ23</f>
        <v>181.64999999999998</v>
      </c>
      <c r="F23" s="21">
        <f>'Monthly Data'!BM23</f>
        <v>40.30416666666666</v>
      </c>
      <c r="G23" s="21">
        <f>'Monthly Data'!Z23</f>
        <v>1</v>
      </c>
      <c r="H23" s="21">
        <f>'Monthly Data'!CF23</f>
        <v>1</v>
      </c>
      <c r="I23" s="21">
        <f>'Monthly Data'!CV23</f>
        <v>0</v>
      </c>
      <c r="J23" s="21">
        <f>'Monthly Data'!CS23</f>
        <v>31</v>
      </c>
      <c r="K23" s="21">
        <f>'Monthly Data'!CM23</f>
        <v>22</v>
      </c>
      <c r="L23" s="21">
        <f>'Monthly Data'!CK23</f>
        <v>0</v>
      </c>
      <c r="N23" s="11">
        <f>'Large Use Predicted Monthly'!$AB$10</f>
        <v>-5783820.4539120998</v>
      </c>
      <c r="O23" s="11">
        <f t="shared" si="13"/>
        <v>112035.21502773448</v>
      </c>
      <c r="P23" s="11">
        <f t="shared" si="3"/>
        <v>551159.37993322965</v>
      </c>
      <c r="Q23" s="11">
        <f t="shared" si="4"/>
        <v>3499999.8575587198</v>
      </c>
      <c r="R23" s="11">
        <f t="shared" si="5"/>
        <v>387000.72715245897</v>
      </c>
      <c r="S23" s="11">
        <f t="shared" si="6"/>
        <v>0</v>
      </c>
      <c r="T23" s="11">
        <f t="shared" si="7"/>
        <v>10482494.861430187</v>
      </c>
      <c r="U23" s="11">
        <f t="shared" si="8"/>
        <v>378848.54505729879</v>
      </c>
      <c r="V23" s="11">
        <f t="shared" si="9"/>
        <v>0</v>
      </c>
      <c r="W23" s="11">
        <f t="shared" si="10"/>
        <v>9627718.1322475281</v>
      </c>
      <c r="X23" s="11">
        <f t="shared" si="11"/>
        <v>-35838.463078172877</v>
      </c>
      <c r="Y23" s="23">
        <f t="shared" si="12"/>
        <v>3.708620395052902E-3</v>
      </c>
      <c r="AA23" t="s">
        <v>536</v>
      </c>
      <c r="AB23">
        <v>155.92883693463</v>
      </c>
      <c r="AC23" t="s">
        <v>72</v>
      </c>
      <c r="AD23">
        <v>1.4092462402582599E-52</v>
      </c>
    </row>
    <row r="24" spans="1:31" x14ac:dyDescent="0.2">
      <c r="A24" s="8">
        <f>'Monthly Data'!A24</f>
        <v>43405</v>
      </c>
      <c r="B24">
        <f t="shared" si="1"/>
        <v>2018</v>
      </c>
      <c r="C24">
        <f t="shared" si="2"/>
        <v>11</v>
      </c>
      <c r="D24" s="19">
        <f>'Monthly Data'!X24</f>
        <v>8876990.8789245412</v>
      </c>
      <c r="E24" s="21">
        <f>'Monthly Data'!BJ24</f>
        <v>398.42499999999995</v>
      </c>
      <c r="F24" s="21">
        <f>'Monthly Data'!BM24</f>
        <v>0</v>
      </c>
      <c r="G24" s="21">
        <f>'Monthly Data'!Z24</f>
        <v>1</v>
      </c>
      <c r="H24" s="21">
        <f>'Monthly Data'!CF24</f>
        <v>1</v>
      </c>
      <c r="I24" s="21">
        <f>'Monthly Data'!CV24</f>
        <v>0</v>
      </c>
      <c r="J24" s="21">
        <f>'Monthly Data'!CS24</f>
        <v>30</v>
      </c>
      <c r="K24" s="21">
        <f>'Monthly Data'!CM24</f>
        <v>23</v>
      </c>
      <c r="L24" s="21">
        <f>'Monthly Data'!CK24</f>
        <v>0</v>
      </c>
      <c r="N24" s="11">
        <f>'Large Use Predicted Monthly'!$AB$10</f>
        <v>-5783820.4539120998</v>
      </c>
      <c r="O24" s="11">
        <f t="shared" si="13"/>
        <v>245734.27221263479</v>
      </c>
      <c r="P24" s="11">
        <f t="shared" si="3"/>
        <v>0</v>
      </c>
      <c r="Q24" s="11">
        <f t="shared" si="4"/>
        <v>3499999.8575587198</v>
      </c>
      <c r="R24" s="11">
        <f t="shared" si="5"/>
        <v>387000.72715245897</v>
      </c>
      <c r="S24" s="11">
        <f t="shared" si="6"/>
        <v>0</v>
      </c>
      <c r="T24" s="11">
        <f t="shared" si="7"/>
        <v>10144349.865900181</v>
      </c>
      <c r="U24" s="11">
        <f t="shared" si="8"/>
        <v>396068.93346899422</v>
      </c>
      <c r="V24" s="11">
        <f t="shared" si="9"/>
        <v>0</v>
      </c>
      <c r="W24" s="11">
        <f t="shared" si="10"/>
        <v>8889333.2023808882</v>
      </c>
      <c r="X24" s="11">
        <f t="shared" si="11"/>
        <v>12342.323456346989</v>
      </c>
      <c r="Y24" s="23">
        <f t="shared" si="12"/>
        <v>1.3903724386660941E-3</v>
      </c>
      <c r="AA24" t="s">
        <v>73</v>
      </c>
      <c r="AB24">
        <v>-4.4745335982679102E-2</v>
      </c>
      <c r="AC24" t="s">
        <v>74</v>
      </c>
      <c r="AD24">
        <v>2.07801148456991</v>
      </c>
    </row>
    <row r="25" spans="1:31" x14ac:dyDescent="0.2">
      <c r="A25" s="8">
        <f>'Monthly Data'!A25</f>
        <v>43435</v>
      </c>
      <c r="B25">
        <f t="shared" si="1"/>
        <v>2018</v>
      </c>
      <c r="C25">
        <f t="shared" si="2"/>
        <v>12</v>
      </c>
      <c r="D25" s="19">
        <f>'Monthly Data'!X25</f>
        <v>8567404.1625233795</v>
      </c>
      <c r="E25" s="21">
        <f>'Monthly Data'!BJ25</f>
        <v>449.47083333333325</v>
      </c>
      <c r="F25" s="21">
        <f>'Monthly Data'!BM25</f>
        <v>0</v>
      </c>
      <c r="G25" s="21">
        <f>'Monthly Data'!Z25</f>
        <v>1</v>
      </c>
      <c r="H25" s="21">
        <f>'Monthly Data'!CF25</f>
        <v>0</v>
      </c>
      <c r="I25" s="21">
        <f>'Monthly Data'!CV25</f>
        <v>0</v>
      </c>
      <c r="J25" s="21">
        <f>'Monthly Data'!CS25</f>
        <v>31</v>
      </c>
      <c r="K25" s="21">
        <f>'Monthly Data'!CM25</f>
        <v>24</v>
      </c>
      <c r="L25" s="21">
        <f>'Monthly Data'!CK25</f>
        <v>0</v>
      </c>
      <c r="N25" s="11">
        <f>'Large Use Predicted Monthly'!$AB$10</f>
        <v>-5783820.4539120998</v>
      </c>
      <c r="O25" s="11">
        <f t="shared" si="13"/>
        <v>277217.51423724194</v>
      </c>
      <c r="P25" s="11">
        <f t="shared" si="3"/>
        <v>0</v>
      </c>
      <c r="Q25" s="11">
        <f t="shared" si="4"/>
        <v>3499999.8575587198</v>
      </c>
      <c r="R25" s="11">
        <f t="shared" si="5"/>
        <v>0</v>
      </c>
      <c r="S25" s="11">
        <f t="shared" si="6"/>
        <v>0</v>
      </c>
      <c r="T25" s="11">
        <f t="shared" si="7"/>
        <v>10482494.861430187</v>
      </c>
      <c r="U25" s="11">
        <f t="shared" si="8"/>
        <v>413289.32188068959</v>
      </c>
      <c r="V25" s="11">
        <f t="shared" si="9"/>
        <v>0</v>
      </c>
      <c r="W25" s="11">
        <f t="shared" si="10"/>
        <v>8889181.1011947375</v>
      </c>
      <c r="X25" s="11">
        <f t="shared" si="11"/>
        <v>321776.93867135793</v>
      </c>
      <c r="Y25" s="23">
        <f t="shared" si="12"/>
        <v>3.7558276995839093E-2</v>
      </c>
      <c r="AB25" s="11"/>
      <c r="AD25" s="11"/>
    </row>
    <row r="26" spans="1:31" x14ac:dyDescent="0.2">
      <c r="A26" s="8">
        <f>'Monthly Data'!A26</f>
        <v>43466</v>
      </c>
      <c r="B26">
        <f t="shared" si="1"/>
        <v>2019</v>
      </c>
      <c r="C26">
        <f t="shared" si="2"/>
        <v>1</v>
      </c>
      <c r="D26" s="19">
        <f>'Monthly Data'!X26</f>
        <v>8989278.2746889144</v>
      </c>
      <c r="E26" s="21">
        <f>'Monthly Data'!BJ26</f>
        <v>654.33749999999986</v>
      </c>
      <c r="F26" s="21">
        <f>'Monthly Data'!BM26</f>
        <v>0</v>
      </c>
      <c r="G26" s="21">
        <f>'Monthly Data'!Z26</f>
        <v>1</v>
      </c>
      <c r="H26" s="21">
        <f>'Monthly Data'!CF26</f>
        <v>0</v>
      </c>
      <c r="I26" s="21">
        <f>'Monthly Data'!CV26</f>
        <v>0</v>
      </c>
      <c r="J26" s="21">
        <f>'Monthly Data'!CS26</f>
        <v>31</v>
      </c>
      <c r="K26" s="21">
        <f>'Monthly Data'!CM26</f>
        <v>25</v>
      </c>
      <c r="L26" s="21">
        <f>'Monthly Data'!CK26</f>
        <v>0</v>
      </c>
      <c r="N26" s="11">
        <f>'Large Use Predicted Monthly'!$AB$10</f>
        <v>-5783820.4539120998</v>
      </c>
      <c r="O26" s="11">
        <f t="shared" si="13"/>
        <v>403571.93786518142</v>
      </c>
      <c r="P26" s="11">
        <f t="shared" si="3"/>
        <v>0</v>
      </c>
      <c r="Q26" s="11">
        <f t="shared" si="4"/>
        <v>3499999.8575587198</v>
      </c>
      <c r="R26" s="11">
        <f t="shared" si="5"/>
        <v>0</v>
      </c>
      <c r="S26" s="11">
        <f t="shared" si="6"/>
        <v>0</v>
      </c>
      <c r="T26" s="11">
        <f t="shared" si="7"/>
        <v>10482494.861430187</v>
      </c>
      <c r="U26" s="11">
        <f t="shared" si="8"/>
        <v>430509.71029238496</v>
      </c>
      <c r="V26" s="11">
        <f t="shared" si="9"/>
        <v>0</v>
      </c>
      <c r="W26" s="11">
        <f t="shared" si="10"/>
        <v>9032755.9132343717</v>
      </c>
      <c r="X26" s="11">
        <f t="shared" si="11"/>
        <v>43477.638545457274</v>
      </c>
      <c r="Y26" s="23">
        <f t="shared" si="12"/>
        <v>4.8366105950771532E-3</v>
      </c>
      <c r="AA26" t="s">
        <v>361</v>
      </c>
    </row>
    <row r="27" spans="1:31" x14ac:dyDescent="0.2">
      <c r="A27" s="8">
        <f>'Monthly Data'!A27</f>
        <v>43497</v>
      </c>
      <c r="B27">
        <f t="shared" si="1"/>
        <v>2019</v>
      </c>
      <c r="C27">
        <f t="shared" si="2"/>
        <v>2</v>
      </c>
      <c r="D27" s="19">
        <f>'Monthly Data'!X27</f>
        <v>8097545.3515033722</v>
      </c>
      <c r="E27" s="21">
        <f>'Monthly Data'!BJ27</f>
        <v>517.91250000000002</v>
      </c>
      <c r="F27" s="21">
        <f>'Monthly Data'!BM27</f>
        <v>0</v>
      </c>
      <c r="G27" s="21">
        <f>'Monthly Data'!Z27</f>
        <v>1</v>
      </c>
      <c r="H27" s="21">
        <f>'Monthly Data'!CF27</f>
        <v>0</v>
      </c>
      <c r="I27" s="21">
        <f>'Monthly Data'!CV27</f>
        <v>0</v>
      </c>
      <c r="J27" s="21">
        <f>'Monthly Data'!CS27</f>
        <v>28</v>
      </c>
      <c r="K27" s="21">
        <f>'Monthly Data'!CM27</f>
        <v>26</v>
      </c>
      <c r="L27" s="21">
        <f>'Monthly Data'!CK27</f>
        <v>0</v>
      </c>
      <c r="N27" s="11">
        <f>'Large Use Predicted Monthly'!$AB$10</f>
        <v>-5783820.4539120998</v>
      </c>
      <c r="O27" s="11">
        <f t="shared" si="13"/>
        <v>319429.88330884418</v>
      </c>
      <c r="P27" s="11">
        <f t="shared" si="3"/>
        <v>0</v>
      </c>
      <c r="Q27" s="11">
        <f t="shared" si="4"/>
        <v>3499999.8575587198</v>
      </c>
      <c r="R27" s="11">
        <f t="shared" si="5"/>
        <v>0</v>
      </c>
      <c r="S27" s="11">
        <f t="shared" si="6"/>
        <v>0</v>
      </c>
      <c r="T27" s="11">
        <f t="shared" si="7"/>
        <v>9468059.8748401683</v>
      </c>
      <c r="U27" s="11">
        <f t="shared" si="8"/>
        <v>447730.09870408039</v>
      </c>
      <c r="V27" s="11">
        <f t="shared" si="9"/>
        <v>0</v>
      </c>
      <c r="W27" s="11">
        <f t="shared" si="10"/>
        <v>7951399.260499713</v>
      </c>
      <c r="X27" s="11">
        <f t="shared" si="11"/>
        <v>-146146.09100365918</v>
      </c>
      <c r="Y27" s="23">
        <f t="shared" si="12"/>
        <v>1.8048196664502289E-2</v>
      </c>
      <c r="AA27" t="s">
        <v>66</v>
      </c>
      <c r="AB27">
        <v>11427050.836889699</v>
      </c>
      <c r="AC27" t="s">
        <v>67</v>
      </c>
      <c r="AD27">
        <v>2788270.1779063302</v>
      </c>
    </row>
    <row r="28" spans="1:31" x14ac:dyDescent="0.2">
      <c r="A28" s="8">
        <f>'Monthly Data'!A28</f>
        <v>43525</v>
      </c>
      <c r="B28">
        <f t="shared" si="1"/>
        <v>2019</v>
      </c>
      <c r="C28">
        <f t="shared" si="2"/>
        <v>3</v>
      </c>
      <c r="D28" s="19">
        <f>'Monthly Data'!X28</f>
        <v>8985392.6473651007</v>
      </c>
      <c r="E28" s="21">
        <f>'Monthly Data'!BJ28</f>
        <v>488.37083333333339</v>
      </c>
      <c r="F28" s="21">
        <f>'Monthly Data'!BM28</f>
        <v>0</v>
      </c>
      <c r="G28" s="21">
        <f>'Monthly Data'!Z28</f>
        <v>1</v>
      </c>
      <c r="H28" s="21">
        <f>'Monthly Data'!CF28</f>
        <v>0</v>
      </c>
      <c r="I28" s="21">
        <f>'Monthly Data'!CV28</f>
        <v>0</v>
      </c>
      <c r="J28" s="21">
        <f>'Monthly Data'!CS28</f>
        <v>31</v>
      </c>
      <c r="K28" s="21">
        <f>'Monthly Data'!CM28</f>
        <v>27</v>
      </c>
      <c r="L28" s="21">
        <f>'Monthly Data'!CK28</f>
        <v>0</v>
      </c>
      <c r="N28" s="11">
        <f>'Large Use Predicted Monthly'!$AB$10</f>
        <v>-5783820.4539120998</v>
      </c>
      <c r="O28" s="11">
        <f t="shared" si="13"/>
        <v>301209.64120987552</v>
      </c>
      <c r="P28" s="11">
        <f t="shared" si="3"/>
        <v>0</v>
      </c>
      <c r="Q28" s="11">
        <f t="shared" si="4"/>
        <v>3499999.8575587198</v>
      </c>
      <c r="R28" s="11">
        <f t="shared" si="5"/>
        <v>0</v>
      </c>
      <c r="S28" s="11">
        <f t="shared" si="6"/>
        <v>0</v>
      </c>
      <c r="T28" s="11">
        <f t="shared" si="7"/>
        <v>10482494.861430187</v>
      </c>
      <c r="U28" s="11">
        <f t="shared" si="8"/>
        <v>464950.48711577582</v>
      </c>
      <c r="V28" s="11">
        <f t="shared" si="9"/>
        <v>0</v>
      </c>
      <c r="W28" s="11">
        <f t="shared" si="10"/>
        <v>8964834.3934024591</v>
      </c>
      <c r="X28" s="11">
        <f t="shared" si="11"/>
        <v>-20558.253962641582</v>
      </c>
      <c r="Y28" s="23">
        <f t="shared" si="12"/>
        <v>2.2879638953418619E-3</v>
      </c>
    </row>
    <row r="29" spans="1:31" x14ac:dyDescent="0.2">
      <c r="A29" s="8">
        <f>'Monthly Data'!A29</f>
        <v>43556</v>
      </c>
      <c r="B29">
        <f t="shared" si="1"/>
        <v>2019</v>
      </c>
      <c r="C29">
        <f t="shared" si="2"/>
        <v>4</v>
      </c>
      <c r="D29" s="19">
        <f>'Monthly Data'!X29</f>
        <v>8504581.5898450892</v>
      </c>
      <c r="E29" s="21">
        <f>'Monthly Data'!BJ29</f>
        <v>235.04791666666668</v>
      </c>
      <c r="F29" s="21">
        <f>'Monthly Data'!BM29</f>
        <v>2.112500000000006</v>
      </c>
      <c r="G29" s="21">
        <f>'Monthly Data'!Z29</f>
        <v>1</v>
      </c>
      <c r="H29" s="21">
        <f>'Monthly Data'!CF29</f>
        <v>0</v>
      </c>
      <c r="I29" s="21">
        <f>'Monthly Data'!CV29</f>
        <v>0</v>
      </c>
      <c r="J29" s="21">
        <f>'Monthly Data'!CS29</f>
        <v>30</v>
      </c>
      <c r="K29" s="21">
        <f>'Monthly Data'!CM29</f>
        <v>28</v>
      </c>
      <c r="L29" s="21">
        <f>'Monthly Data'!CK29</f>
        <v>0</v>
      </c>
      <c r="N29" s="11">
        <f>'Large Use Predicted Monthly'!$AB$10</f>
        <v>-5783820.4539120998</v>
      </c>
      <c r="O29" s="11">
        <f t="shared" si="13"/>
        <v>144969.13782312701</v>
      </c>
      <c r="P29" s="11">
        <f t="shared" si="3"/>
        <v>28888.432298785101</v>
      </c>
      <c r="Q29" s="11">
        <f t="shared" si="4"/>
        <v>3499999.8575587198</v>
      </c>
      <c r="R29" s="11">
        <f t="shared" si="5"/>
        <v>0</v>
      </c>
      <c r="S29" s="11">
        <f t="shared" si="6"/>
        <v>0</v>
      </c>
      <c r="T29" s="11">
        <f t="shared" si="7"/>
        <v>10144349.865900181</v>
      </c>
      <c r="U29" s="11">
        <f t="shared" si="8"/>
        <v>482170.87552747119</v>
      </c>
      <c r="V29" s="11">
        <f t="shared" si="9"/>
        <v>0</v>
      </c>
      <c r="W29" s="11">
        <f t="shared" si="10"/>
        <v>8516557.7151961848</v>
      </c>
      <c r="X29" s="11">
        <f t="shared" si="11"/>
        <v>11976.125351095572</v>
      </c>
      <c r="Y29" s="23">
        <f t="shared" si="12"/>
        <v>1.4081968906495866E-3</v>
      </c>
    </row>
    <row r="30" spans="1:31" x14ac:dyDescent="0.2">
      <c r="A30" s="8">
        <f>'Monthly Data'!A30</f>
        <v>43586</v>
      </c>
      <c r="B30">
        <f t="shared" si="1"/>
        <v>2019</v>
      </c>
      <c r="C30">
        <f t="shared" si="2"/>
        <v>5</v>
      </c>
      <c r="D30" s="19">
        <f>'Monthly Data'!X30</f>
        <v>9087651.3384452276</v>
      </c>
      <c r="E30" s="21">
        <f>'Monthly Data'!BJ30</f>
        <v>74.912499999999994</v>
      </c>
      <c r="F30" s="21">
        <f>'Monthly Data'!BM30</f>
        <v>44.54166666666665</v>
      </c>
      <c r="G30" s="21">
        <f>'Monthly Data'!Z30</f>
        <v>1</v>
      </c>
      <c r="H30" s="21">
        <f>'Monthly Data'!CF30</f>
        <v>0</v>
      </c>
      <c r="I30" s="21">
        <f>'Monthly Data'!CV30</f>
        <v>0</v>
      </c>
      <c r="J30" s="21">
        <f>'Monthly Data'!CS30</f>
        <v>31</v>
      </c>
      <c r="K30" s="21">
        <f>'Monthly Data'!CM30</f>
        <v>29</v>
      </c>
      <c r="L30" s="21">
        <f>'Monthly Data'!CK30</f>
        <v>1</v>
      </c>
      <c r="N30" s="11">
        <f>'Large Use Predicted Monthly'!$AB$10</f>
        <v>-5783820.4539120998</v>
      </c>
      <c r="O30" s="11">
        <f t="shared" si="13"/>
        <v>46203.347348005285</v>
      </c>
      <c r="P30" s="11">
        <f t="shared" si="3"/>
        <v>609107.1820000232</v>
      </c>
      <c r="Q30" s="11">
        <f t="shared" si="4"/>
        <v>3499999.8575587198</v>
      </c>
      <c r="R30" s="11">
        <f t="shared" si="5"/>
        <v>0</v>
      </c>
      <c r="S30" s="11">
        <f t="shared" si="6"/>
        <v>0</v>
      </c>
      <c r="T30" s="11">
        <f t="shared" si="7"/>
        <v>10482494.861430187</v>
      </c>
      <c r="U30" s="11">
        <f t="shared" si="8"/>
        <v>499391.26393916656</v>
      </c>
      <c r="V30" s="11">
        <f t="shared" si="9"/>
        <v>-352058.92944720201</v>
      </c>
      <c r="W30" s="11">
        <f t="shared" si="10"/>
        <v>9001317.1289168</v>
      </c>
      <c r="X30" s="11">
        <f t="shared" si="11"/>
        <v>-86334.209528427571</v>
      </c>
      <c r="Y30" s="23">
        <f t="shared" si="12"/>
        <v>9.5001674594613322E-3</v>
      </c>
    </row>
    <row r="31" spans="1:31" x14ac:dyDescent="0.2">
      <c r="A31" s="8">
        <f>'Monthly Data'!A31</f>
        <v>43617</v>
      </c>
      <c r="B31">
        <f t="shared" si="1"/>
        <v>2019</v>
      </c>
      <c r="C31">
        <f t="shared" si="2"/>
        <v>6</v>
      </c>
      <c r="D31" s="19">
        <f>'Monthly Data'!X31</f>
        <v>10150109.924780237</v>
      </c>
      <c r="E31" s="21">
        <f>'Monthly Data'!BJ31</f>
        <v>4.4958333333333336</v>
      </c>
      <c r="F31" s="21">
        <f>'Monthly Data'!BM31</f>
        <v>184.8104166666667</v>
      </c>
      <c r="G31" s="21">
        <f>'Monthly Data'!Z31</f>
        <v>1</v>
      </c>
      <c r="H31" s="21">
        <f>'Monthly Data'!CF31</f>
        <v>0</v>
      </c>
      <c r="I31" s="21">
        <f>'Monthly Data'!CV31</f>
        <v>0</v>
      </c>
      <c r="J31" s="21">
        <f>'Monthly Data'!CS31</f>
        <v>30</v>
      </c>
      <c r="K31" s="21">
        <f>'Monthly Data'!CM31</f>
        <v>30</v>
      </c>
      <c r="L31" s="21">
        <f>'Monthly Data'!CK31</f>
        <v>1</v>
      </c>
      <c r="N31" s="11">
        <f>'Large Use Predicted Monthly'!$AB$10</f>
        <v>-5783820.4539120998</v>
      </c>
      <c r="O31" s="11">
        <f t="shared" si="13"/>
        <v>2772.8690020856393</v>
      </c>
      <c r="P31" s="11">
        <f t="shared" si="3"/>
        <v>2527281.9928924269</v>
      </c>
      <c r="Q31" s="11">
        <f t="shared" si="4"/>
        <v>3499999.8575587198</v>
      </c>
      <c r="R31" s="11">
        <f t="shared" si="5"/>
        <v>0</v>
      </c>
      <c r="S31" s="11">
        <f t="shared" si="6"/>
        <v>0</v>
      </c>
      <c r="T31" s="11">
        <f t="shared" si="7"/>
        <v>10144349.865900181</v>
      </c>
      <c r="U31" s="11">
        <f t="shared" si="8"/>
        <v>516611.65235086199</v>
      </c>
      <c r="V31" s="11">
        <f t="shared" si="9"/>
        <v>-352058.92944720201</v>
      </c>
      <c r="W31" s="11">
        <f t="shared" si="10"/>
        <v>10555136.854344973</v>
      </c>
      <c r="X31" s="11">
        <f t="shared" si="11"/>
        <v>405026.92956473678</v>
      </c>
      <c r="Y31" s="23">
        <f t="shared" si="12"/>
        <v>3.9903698833439596E-2</v>
      </c>
    </row>
    <row r="32" spans="1:31" x14ac:dyDescent="0.2">
      <c r="A32" s="8">
        <f>'Monthly Data'!A32</f>
        <v>43647</v>
      </c>
      <c r="B32">
        <f t="shared" si="1"/>
        <v>2019</v>
      </c>
      <c r="C32">
        <f t="shared" si="2"/>
        <v>7</v>
      </c>
      <c r="D32" s="19">
        <f>'Monthly Data'!X32</f>
        <v>12285416.778856665</v>
      </c>
      <c r="E32" s="21">
        <f>'Monthly Data'!BJ32</f>
        <v>0</v>
      </c>
      <c r="F32" s="21">
        <f>'Monthly Data'!BM32</f>
        <v>314.07499999999999</v>
      </c>
      <c r="G32" s="21">
        <f>'Monthly Data'!Z32</f>
        <v>1</v>
      </c>
      <c r="H32" s="21">
        <f>'Monthly Data'!CF32</f>
        <v>0</v>
      </c>
      <c r="I32" s="21">
        <f>'Monthly Data'!CV32</f>
        <v>0</v>
      </c>
      <c r="J32" s="21">
        <f>'Monthly Data'!CS32</f>
        <v>31</v>
      </c>
      <c r="K32" s="21">
        <f>'Monthly Data'!CM32</f>
        <v>31</v>
      </c>
      <c r="L32" s="21">
        <f>'Monthly Data'!CK32</f>
        <v>1</v>
      </c>
      <c r="N32" s="11">
        <f>'Large Use Predicted Monthly'!$AB$10</f>
        <v>-5783820.4539120998</v>
      </c>
      <c r="O32" s="11">
        <f t="shared" si="13"/>
        <v>0</v>
      </c>
      <c r="P32" s="11">
        <f t="shared" si="3"/>
        <v>4294974.8517116709</v>
      </c>
      <c r="Q32" s="11">
        <f t="shared" si="4"/>
        <v>3499999.8575587198</v>
      </c>
      <c r="R32" s="11">
        <f t="shared" si="5"/>
        <v>0</v>
      </c>
      <c r="S32" s="11">
        <f t="shared" si="6"/>
        <v>0</v>
      </c>
      <c r="T32" s="11">
        <f t="shared" si="7"/>
        <v>10482494.861430187</v>
      </c>
      <c r="U32" s="11">
        <f t="shared" si="8"/>
        <v>533832.04076255742</v>
      </c>
      <c r="V32" s="11">
        <f t="shared" si="9"/>
        <v>-352058.92944720201</v>
      </c>
      <c r="W32" s="11">
        <f t="shared" si="10"/>
        <v>12675422.228103831</v>
      </c>
      <c r="X32" s="11">
        <f t="shared" si="11"/>
        <v>390005.44924716651</v>
      </c>
      <c r="Y32" s="23">
        <f t="shared" si="12"/>
        <v>3.1745398326117037E-2</v>
      </c>
    </row>
    <row r="33" spans="1:25" x14ac:dyDescent="0.2">
      <c r="A33" s="8">
        <f>'Monthly Data'!A33</f>
        <v>43678</v>
      </c>
      <c r="B33">
        <f t="shared" si="1"/>
        <v>2019</v>
      </c>
      <c r="C33">
        <f t="shared" si="2"/>
        <v>8</v>
      </c>
      <c r="D33" s="19">
        <f>'Monthly Data'!X33</f>
        <v>11478159.279289683</v>
      </c>
      <c r="E33" s="21">
        <f>'Monthly Data'!BJ33</f>
        <v>0</v>
      </c>
      <c r="F33" s="21">
        <f>'Monthly Data'!BM33</f>
        <v>244.71666666666661</v>
      </c>
      <c r="G33" s="21">
        <f>'Monthly Data'!Z33</f>
        <v>1</v>
      </c>
      <c r="H33" s="21">
        <f>'Monthly Data'!CF33</f>
        <v>0</v>
      </c>
      <c r="I33" s="21">
        <f>'Monthly Data'!CV33</f>
        <v>0</v>
      </c>
      <c r="J33" s="21">
        <f>'Monthly Data'!CS33</f>
        <v>31</v>
      </c>
      <c r="K33" s="21">
        <f>'Monthly Data'!CM33</f>
        <v>32</v>
      </c>
      <c r="L33" s="21">
        <f>'Monthly Data'!CK33</f>
        <v>1</v>
      </c>
      <c r="N33" s="11">
        <f>'Large Use Predicted Monthly'!$AB$10</f>
        <v>-5783820.4539120998</v>
      </c>
      <c r="O33" s="11">
        <f t="shared" si="13"/>
        <v>0</v>
      </c>
      <c r="P33" s="11">
        <f t="shared" si="3"/>
        <v>3346499.8141464326</v>
      </c>
      <c r="Q33" s="11">
        <f t="shared" si="4"/>
        <v>3499999.8575587198</v>
      </c>
      <c r="R33" s="11">
        <f t="shared" si="5"/>
        <v>0</v>
      </c>
      <c r="S33" s="11">
        <f t="shared" si="6"/>
        <v>0</v>
      </c>
      <c r="T33" s="11">
        <f t="shared" si="7"/>
        <v>10482494.861430187</v>
      </c>
      <c r="U33" s="11">
        <f t="shared" si="8"/>
        <v>551052.42917425279</v>
      </c>
      <c r="V33" s="11">
        <f t="shared" si="9"/>
        <v>-352058.92944720201</v>
      </c>
      <c r="W33" s="11">
        <f t="shared" si="10"/>
        <v>11744167.578950291</v>
      </c>
      <c r="X33" s="11">
        <f t="shared" si="11"/>
        <v>266008.29966060817</v>
      </c>
      <c r="Y33" s="23">
        <f t="shared" si="12"/>
        <v>2.3175170616474481E-2</v>
      </c>
    </row>
    <row r="34" spans="1:25" x14ac:dyDescent="0.2">
      <c r="A34" s="8">
        <f>'Monthly Data'!A34</f>
        <v>43709</v>
      </c>
      <c r="B34">
        <f t="shared" si="1"/>
        <v>2019</v>
      </c>
      <c r="C34">
        <f t="shared" si="2"/>
        <v>9</v>
      </c>
      <c r="D34" s="19">
        <f>'Monthly Data'!X34</f>
        <v>10722555.998619301</v>
      </c>
      <c r="E34" s="21">
        <f>'Monthly Data'!BJ34</f>
        <v>1.8833333333333364</v>
      </c>
      <c r="F34" s="21">
        <f>'Monthly Data'!BM34</f>
        <v>161.49791666666664</v>
      </c>
      <c r="G34" s="21">
        <f>'Monthly Data'!Z34</f>
        <v>1</v>
      </c>
      <c r="H34" s="21">
        <f>'Monthly Data'!CF34</f>
        <v>1</v>
      </c>
      <c r="I34" s="21">
        <f>'Monthly Data'!CV34</f>
        <v>0</v>
      </c>
      <c r="J34" s="21">
        <f>'Monthly Data'!CS34</f>
        <v>30</v>
      </c>
      <c r="K34" s="21">
        <f>'Monthly Data'!CM34</f>
        <v>33</v>
      </c>
      <c r="L34" s="21">
        <f>'Monthly Data'!CK34</f>
        <v>0</v>
      </c>
      <c r="N34" s="11">
        <f>'Large Use Predicted Monthly'!$AB$10</f>
        <v>-5783820.4539120998</v>
      </c>
      <c r="O34" s="11">
        <f t="shared" si="13"/>
        <v>1161.5725569441249</v>
      </c>
      <c r="P34" s="11">
        <f t="shared" ref="P34:P65" si="14">F34*$AB$12</f>
        <v>2208483.6127904495</v>
      </c>
      <c r="Q34" s="11">
        <f t="shared" ref="Q34:Q65" si="15">G34*$AB$13</f>
        <v>3499999.8575587198</v>
      </c>
      <c r="R34" s="11">
        <f t="shared" ref="R34:R65" si="16">H34*$AB$14</f>
        <v>387000.72715245897</v>
      </c>
      <c r="S34" s="11">
        <f t="shared" ref="S34:S65" si="17">I34*$AB$15</f>
        <v>0</v>
      </c>
      <c r="T34" s="11">
        <f t="shared" ref="T34:T65" si="18">J34*$AB$16</f>
        <v>10144349.865900181</v>
      </c>
      <c r="U34" s="11">
        <f t="shared" ref="U34:U65" si="19">K34*$AB$17</f>
        <v>568272.81758594816</v>
      </c>
      <c r="V34" s="11">
        <f t="shared" ref="V34:V65" si="20">L34*$AB$18</f>
        <v>0</v>
      </c>
      <c r="W34" s="11">
        <f t="shared" ref="W34:W65" si="21">SUM(N34:V34)</f>
        <v>11025447.999632603</v>
      </c>
      <c r="X34" s="11">
        <f t="shared" ref="X34:X65" si="22">W34-D34</f>
        <v>302892.00101330131</v>
      </c>
      <c r="Y34" s="23">
        <f t="shared" ref="Y34:Y65" si="23">ABS(X34/D34)</f>
        <v>2.8248115566130265E-2</v>
      </c>
    </row>
    <row r="35" spans="1:25" x14ac:dyDescent="0.2">
      <c r="A35" s="8">
        <f>'Monthly Data'!A35</f>
        <v>43739</v>
      </c>
      <c r="B35">
        <f t="shared" si="1"/>
        <v>2019</v>
      </c>
      <c r="C35">
        <f t="shared" si="2"/>
        <v>10</v>
      </c>
      <c r="D35" s="19">
        <f>'Monthly Data'!X35</f>
        <v>9195841.3160605505</v>
      </c>
      <c r="E35" s="21">
        <f>'Monthly Data'!BJ35</f>
        <v>126.96250000000001</v>
      </c>
      <c r="F35" s="21">
        <f>'Monthly Data'!BM35</f>
        <v>21.087500000000006</v>
      </c>
      <c r="G35" s="21">
        <f>'Monthly Data'!Z35</f>
        <v>1</v>
      </c>
      <c r="H35" s="21">
        <f>'Monthly Data'!CF35</f>
        <v>1</v>
      </c>
      <c r="I35" s="21">
        <f>'Monthly Data'!CV35</f>
        <v>0</v>
      </c>
      <c r="J35" s="21">
        <f>'Monthly Data'!CS35</f>
        <v>31</v>
      </c>
      <c r="K35" s="21">
        <f>'Monthly Data'!CM35</f>
        <v>34</v>
      </c>
      <c r="L35" s="21">
        <f>'Monthly Data'!CK35</f>
        <v>0</v>
      </c>
      <c r="N35" s="11">
        <f>'Large Use Predicted Monthly'!$AB$10</f>
        <v>-5783820.4539120998</v>
      </c>
      <c r="O35" s="11">
        <f t="shared" si="13"/>
        <v>78305.923412930031</v>
      </c>
      <c r="P35" s="11">
        <f t="shared" si="14"/>
        <v>288371.51058017951</v>
      </c>
      <c r="Q35" s="11">
        <f t="shared" si="15"/>
        <v>3499999.8575587198</v>
      </c>
      <c r="R35" s="11">
        <f t="shared" si="16"/>
        <v>387000.72715245897</v>
      </c>
      <c r="S35" s="11">
        <f t="shared" si="17"/>
        <v>0</v>
      </c>
      <c r="T35" s="11">
        <f t="shared" si="18"/>
        <v>10482494.861430187</v>
      </c>
      <c r="U35" s="11">
        <f t="shared" si="19"/>
        <v>585493.20599764353</v>
      </c>
      <c r="V35" s="11">
        <f t="shared" si="20"/>
        <v>0</v>
      </c>
      <c r="W35" s="11">
        <f t="shared" si="21"/>
        <v>9537845.6322200187</v>
      </c>
      <c r="X35" s="11">
        <f t="shared" si="22"/>
        <v>342004.31615946814</v>
      </c>
      <c r="Y35" s="23">
        <f t="shared" si="23"/>
        <v>3.7191193758656656E-2</v>
      </c>
    </row>
    <row r="36" spans="1:25" x14ac:dyDescent="0.2">
      <c r="A36" s="8">
        <f>'Monthly Data'!A36</f>
        <v>43770</v>
      </c>
      <c r="B36">
        <f t="shared" si="1"/>
        <v>2019</v>
      </c>
      <c r="C36">
        <f t="shared" si="2"/>
        <v>11</v>
      </c>
      <c r="D36" s="19">
        <f>'Monthly Data'!X36</f>
        <v>8525347.6827713586</v>
      </c>
      <c r="E36" s="21">
        <f>'Monthly Data'!BJ36</f>
        <v>403.4666666666667</v>
      </c>
      <c r="F36" s="21">
        <f>'Monthly Data'!BM36</f>
        <v>0</v>
      </c>
      <c r="G36" s="21">
        <f>'Monthly Data'!Z36</f>
        <v>1</v>
      </c>
      <c r="H36" s="21">
        <f>'Monthly Data'!CF36</f>
        <v>1</v>
      </c>
      <c r="I36" s="21">
        <f>'Monthly Data'!CV36</f>
        <v>0</v>
      </c>
      <c r="J36" s="21">
        <f>'Monthly Data'!CS36</f>
        <v>30</v>
      </c>
      <c r="K36" s="21">
        <f>'Monthly Data'!CM36</f>
        <v>35</v>
      </c>
      <c r="L36" s="21">
        <f>'Monthly Data'!CK36</f>
        <v>0</v>
      </c>
      <c r="N36" s="11">
        <f>'Large Use Predicted Monthly'!$AB$10</f>
        <v>-5783820.4539120998</v>
      </c>
      <c r="O36" s="11">
        <f t="shared" si="13"/>
        <v>248843.79166817109</v>
      </c>
      <c r="P36" s="11">
        <f t="shared" si="14"/>
        <v>0</v>
      </c>
      <c r="Q36" s="11">
        <f t="shared" si="15"/>
        <v>3499999.8575587198</v>
      </c>
      <c r="R36" s="11">
        <f t="shared" si="16"/>
        <v>387000.72715245897</v>
      </c>
      <c r="S36" s="11">
        <f t="shared" si="17"/>
        <v>0</v>
      </c>
      <c r="T36" s="11">
        <f t="shared" si="18"/>
        <v>10144349.865900181</v>
      </c>
      <c r="U36" s="11">
        <f t="shared" si="19"/>
        <v>602713.59440933901</v>
      </c>
      <c r="V36" s="11">
        <f t="shared" si="20"/>
        <v>0</v>
      </c>
      <c r="W36" s="11">
        <f t="shared" si="21"/>
        <v>9099087.3827767707</v>
      </c>
      <c r="X36" s="11">
        <f t="shared" si="22"/>
        <v>573739.7000054121</v>
      </c>
      <c r="Y36" s="23">
        <f t="shared" si="23"/>
        <v>6.7298099896250199E-2</v>
      </c>
    </row>
    <row r="37" spans="1:25" x14ac:dyDescent="0.2">
      <c r="A37" s="8">
        <f>'Monthly Data'!A37</f>
        <v>43800</v>
      </c>
      <c r="B37">
        <f t="shared" si="1"/>
        <v>2019</v>
      </c>
      <c r="C37">
        <f t="shared" si="2"/>
        <v>12</v>
      </c>
      <c r="D37" s="19">
        <f>'Monthly Data'!X37</f>
        <v>8302879.6970118778</v>
      </c>
      <c r="E37" s="21">
        <f>'Monthly Data'!BJ37</f>
        <v>456.13125000000002</v>
      </c>
      <c r="F37" s="21">
        <f>'Monthly Data'!BM37</f>
        <v>0</v>
      </c>
      <c r="G37" s="21">
        <f>'Monthly Data'!Z37</f>
        <v>1</v>
      </c>
      <c r="H37" s="21">
        <f>'Monthly Data'!CF37</f>
        <v>0</v>
      </c>
      <c r="I37" s="21">
        <f>'Monthly Data'!CV37</f>
        <v>0</v>
      </c>
      <c r="J37" s="21">
        <f>'Monthly Data'!CS37</f>
        <v>31</v>
      </c>
      <c r="K37" s="21">
        <f>'Monthly Data'!CM37</f>
        <v>36</v>
      </c>
      <c r="L37" s="21">
        <f>'Monthly Data'!CK37</f>
        <v>0</v>
      </c>
      <c r="N37" s="11">
        <f>'Large Use Predicted Monthly'!$AB$10</f>
        <v>-5783820.4539120998</v>
      </c>
      <c r="O37" s="11">
        <f t="shared" si="13"/>
        <v>281325.42072457651</v>
      </c>
      <c r="P37" s="11">
        <f t="shared" si="14"/>
        <v>0</v>
      </c>
      <c r="Q37" s="11">
        <f t="shared" si="15"/>
        <v>3499999.8575587198</v>
      </c>
      <c r="R37" s="11">
        <f t="shared" si="16"/>
        <v>0</v>
      </c>
      <c r="S37" s="11">
        <f t="shared" si="17"/>
        <v>0</v>
      </c>
      <c r="T37" s="11">
        <f t="shared" si="18"/>
        <v>10482494.861430187</v>
      </c>
      <c r="U37" s="11">
        <f t="shared" si="19"/>
        <v>619933.98282103438</v>
      </c>
      <c r="V37" s="11">
        <f t="shared" si="20"/>
        <v>0</v>
      </c>
      <c r="W37" s="11">
        <f t="shared" si="21"/>
        <v>9099933.6686224174</v>
      </c>
      <c r="X37" s="11">
        <f t="shared" si="22"/>
        <v>797053.97161053959</v>
      </c>
      <c r="Y37" s="23">
        <f t="shared" si="23"/>
        <v>9.5997292589629024E-2</v>
      </c>
    </row>
    <row r="38" spans="1:25" x14ac:dyDescent="0.2">
      <c r="A38" s="8">
        <f>'Monthly Data'!A38</f>
        <v>43831</v>
      </c>
      <c r="B38">
        <f t="shared" si="1"/>
        <v>2020</v>
      </c>
      <c r="C38">
        <f t="shared" si="2"/>
        <v>1</v>
      </c>
      <c r="D38" s="19">
        <f>'Monthly Data'!X38</f>
        <v>8600262.0200518575</v>
      </c>
      <c r="E38" s="21">
        <f>'Monthly Data'!BJ38</f>
        <v>478.31249999999994</v>
      </c>
      <c r="F38" s="21">
        <f>'Monthly Data'!BM38</f>
        <v>0</v>
      </c>
      <c r="G38" s="21">
        <f>'Monthly Data'!Z38</f>
        <v>1</v>
      </c>
      <c r="H38" s="21">
        <f>'Monthly Data'!CF38</f>
        <v>0</v>
      </c>
      <c r="I38" s="21">
        <f>'Monthly Data'!CV38</f>
        <v>0</v>
      </c>
      <c r="J38" s="21">
        <f>'Monthly Data'!CS38</f>
        <v>31</v>
      </c>
      <c r="K38" s="21">
        <f>'Monthly Data'!CM38</f>
        <v>37</v>
      </c>
      <c r="L38" s="21">
        <f>'Monthly Data'!CK38</f>
        <v>0</v>
      </c>
      <c r="N38" s="11">
        <f>'Large Use Predicted Monthly'!$AB$10</f>
        <v>-5783820.4539120998</v>
      </c>
      <c r="O38" s="11">
        <f t="shared" si="13"/>
        <v>295006.02140354115</v>
      </c>
      <c r="P38" s="11">
        <f t="shared" si="14"/>
        <v>0</v>
      </c>
      <c r="Q38" s="11">
        <f t="shared" si="15"/>
        <v>3499999.8575587198</v>
      </c>
      <c r="R38" s="11">
        <f t="shared" si="16"/>
        <v>0</v>
      </c>
      <c r="S38" s="11">
        <f t="shared" si="17"/>
        <v>0</v>
      </c>
      <c r="T38" s="11">
        <f t="shared" si="18"/>
        <v>10482494.861430187</v>
      </c>
      <c r="U38" s="11">
        <f t="shared" si="19"/>
        <v>637154.37123272975</v>
      </c>
      <c r="V38" s="11">
        <f t="shared" si="20"/>
        <v>0</v>
      </c>
      <c r="W38" s="11">
        <f t="shared" si="21"/>
        <v>9130834.657713078</v>
      </c>
      <c r="X38" s="11">
        <f t="shared" si="22"/>
        <v>530572.63766122051</v>
      </c>
      <c r="Y38" s="23">
        <f t="shared" si="23"/>
        <v>6.1692613134828801E-2</v>
      </c>
    </row>
    <row r="39" spans="1:25" x14ac:dyDescent="0.2">
      <c r="A39" s="8">
        <f>'Monthly Data'!A39</f>
        <v>43862</v>
      </c>
      <c r="B39">
        <f t="shared" si="1"/>
        <v>2020</v>
      </c>
      <c r="C39">
        <f t="shared" si="2"/>
        <v>2</v>
      </c>
      <c r="D39" s="19">
        <f>'Monthly Data'!X39</f>
        <v>8180470.246807198</v>
      </c>
      <c r="E39" s="21">
        <f>'Monthly Data'!BJ39</f>
        <v>496.01666666666659</v>
      </c>
      <c r="F39" s="21">
        <f>'Monthly Data'!BM39</f>
        <v>0</v>
      </c>
      <c r="G39" s="21">
        <f>'Monthly Data'!Z39</f>
        <v>1</v>
      </c>
      <c r="H39" s="21">
        <f>'Monthly Data'!CF39</f>
        <v>0</v>
      </c>
      <c r="I39" s="21">
        <f>'Monthly Data'!CV39</f>
        <v>0</v>
      </c>
      <c r="J39" s="21">
        <f>'Monthly Data'!CS39</f>
        <v>29</v>
      </c>
      <c r="K39" s="21">
        <f>'Monthly Data'!CM39</f>
        <v>38</v>
      </c>
      <c r="L39" s="21">
        <f>'Monthly Data'!CK39</f>
        <v>0</v>
      </c>
      <c r="N39" s="11">
        <f>'Large Use Predicted Monthly'!$AB$10</f>
        <v>-5783820.4539120998</v>
      </c>
      <c r="O39" s="11">
        <f t="shared" si="13"/>
        <v>305925.31740897382</v>
      </c>
      <c r="P39" s="11">
        <f t="shared" si="14"/>
        <v>0</v>
      </c>
      <c r="Q39" s="11">
        <f t="shared" si="15"/>
        <v>3499999.8575587198</v>
      </c>
      <c r="R39" s="11">
        <f t="shared" si="16"/>
        <v>0</v>
      </c>
      <c r="S39" s="11">
        <f t="shared" si="17"/>
        <v>0</v>
      </c>
      <c r="T39" s="11">
        <f t="shared" si="18"/>
        <v>9806204.8703701738</v>
      </c>
      <c r="U39" s="11">
        <f t="shared" si="19"/>
        <v>654374.75964442524</v>
      </c>
      <c r="V39" s="11">
        <f t="shared" si="20"/>
        <v>0</v>
      </c>
      <c r="W39" s="11">
        <f t="shared" si="21"/>
        <v>8482684.3510701917</v>
      </c>
      <c r="X39" s="11">
        <f t="shared" si="22"/>
        <v>302214.10426299367</v>
      </c>
      <c r="Y39" s="23">
        <f t="shared" si="23"/>
        <v>3.6943365741223318E-2</v>
      </c>
    </row>
    <row r="40" spans="1:25" x14ac:dyDescent="0.2">
      <c r="A40" s="8">
        <f>'Monthly Data'!A40</f>
        <v>43891</v>
      </c>
      <c r="B40">
        <f t="shared" si="1"/>
        <v>2020</v>
      </c>
      <c r="C40">
        <f t="shared" si="2"/>
        <v>3</v>
      </c>
      <c r="D40" s="19">
        <f>'Monthly Data'!X40</f>
        <v>8146171.5943440981</v>
      </c>
      <c r="E40" s="21">
        <f>'Monthly Data'!BJ40</f>
        <v>346.7208333333333</v>
      </c>
      <c r="F40" s="21">
        <f>'Monthly Data'!BM40</f>
        <v>0</v>
      </c>
      <c r="G40" s="21">
        <f>'Monthly Data'!Z40</f>
        <v>1</v>
      </c>
      <c r="H40" s="21">
        <f>'Monthly Data'!CF40</f>
        <v>0</v>
      </c>
      <c r="I40" s="21">
        <f>'Monthly Data'!CV40</f>
        <v>0.5</v>
      </c>
      <c r="J40" s="21">
        <f>'Monthly Data'!CS40</f>
        <v>31</v>
      </c>
      <c r="K40" s="21">
        <f>'Monthly Data'!CM40</f>
        <v>39</v>
      </c>
      <c r="L40" s="21">
        <f>'Monthly Data'!CK40</f>
        <v>0</v>
      </c>
      <c r="N40" s="11">
        <f>'Large Use Predicted Monthly'!$AB$10</f>
        <v>-5783820.4539120998</v>
      </c>
      <c r="O40" s="11">
        <f t="shared" si="13"/>
        <v>213844.9937632551</v>
      </c>
      <c r="P40" s="11">
        <f t="shared" si="14"/>
        <v>0</v>
      </c>
      <c r="Q40" s="11">
        <f t="shared" si="15"/>
        <v>3499999.8575587198</v>
      </c>
      <c r="R40" s="11">
        <f t="shared" si="16"/>
        <v>0</v>
      </c>
      <c r="S40" s="11">
        <f t="shared" si="17"/>
        <v>-494560.31311656401</v>
      </c>
      <c r="T40" s="11">
        <f t="shared" si="18"/>
        <v>10482494.861430187</v>
      </c>
      <c r="U40" s="11">
        <f t="shared" si="19"/>
        <v>671595.14805612061</v>
      </c>
      <c r="V40" s="11">
        <f t="shared" si="20"/>
        <v>0</v>
      </c>
      <c r="W40" s="11">
        <f t="shared" si="21"/>
        <v>8589554.0937796198</v>
      </c>
      <c r="X40" s="11">
        <f t="shared" si="22"/>
        <v>443382.49943552166</v>
      </c>
      <c r="Y40" s="23">
        <f t="shared" si="23"/>
        <v>5.4428327994387321E-2</v>
      </c>
    </row>
    <row r="41" spans="1:25" x14ac:dyDescent="0.2">
      <c r="A41" s="8">
        <f>'Monthly Data'!A41</f>
        <v>43922</v>
      </c>
      <c r="B41">
        <f t="shared" si="1"/>
        <v>2020</v>
      </c>
      <c r="C41">
        <f t="shared" si="2"/>
        <v>4</v>
      </c>
      <c r="D41" s="19">
        <f>'Monthly Data'!X41</f>
        <v>7110674.2288400885</v>
      </c>
      <c r="E41" s="21">
        <f>'Monthly Data'!BJ41</f>
        <v>265.07083333333338</v>
      </c>
      <c r="F41" s="21">
        <f>'Monthly Data'!BM41</f>
        <v>0</v>
      </c>
      <c r="G41" s="21">
        <f>'Monthly Data'!Z41</f>
        <v>1</v>
      </c>
      <c r="H41" s="21">
        <f>'Monthly Data'!CF41</f>
        <v>0</v>
      </c>
      <c r="I41" s="21">
        <f>'Monthly Data'!CV41</f>
        <v>1</v>
      </c>
      <c r="J41" s="21">
        <f>'Monthly Data'!CS41</f>
        <v>30</v>
      </c>
      <c r="K41" s="21">
        <f>'Monthly Data'!CM41</f>
        <v>40</v>
      </c>
      <c r="L41" s="21">
        <f>'Monthly Data'!CK41</f>
        <v>0</v>
      </c>
      <c r="N41" s="11">
        <f>'Large Use Predicted Monthly'!$AB$10</f>
        <v>-5783820.4539120998</v>
      </c>
      <c r="O41" s="11">
        <f t="shared" si="13"/>
        <v>163486.19768830595</v>
      </c>
      <c r="P41" s="11">
        <f t="shared" si="14"/>
        <v>0</v>
      </c>
      <c r="Q41" s="11">
        <f t="shared" si="15"/>
        <v>3499999.8575587198</v>
      </c>
      <c r="R41" s="11">
        <f t="shared" si="16"/>
        <v>0</v>
      </c>
      <c r="S41" s="11">
        <f t="shared" si="17"/>
        <v>-989120.62623312802</v>
      </c>
      <c r="T41" s="11">
        <f t="shared" si="18"/>
        <v>10144349.865900181</v>
      </c>
      <c r="U41" s="11">
        <f t="shared" si="19"/>
        <v>688815.53646781598</v>
      </c>
      <c r="V41" s="11">
        <f t="shared" si="20"/>
        <v>0</v>
      </c>
      <c r="W41" s="11">
        <f t="shared" si="21"/>
        <v>7723710.3774697948</v>
      </c>
      <c r="X41" s="11">
        <f t="shared" si="22"/>
        <v>613036.14862970635</v>
      </c>
      <c r="Y41" s="23">
        <f t="shared" si="23"/>
        <v>8.6213505063036253E-2</v>
      </c>
    </row>
    <row r="42" spans="1:25" x14ac:dyDescent="0.2">
      <c r="A42" s="8">
        <f>'Monthly Data'!A42</f>
        <v>43952</v>
      </c>
      <c r="B42">
        <f t="shared" si="1"/>
        <v>2020</v>
      </c>
      <c r="C42">
        <f t="shared" si="2"/>
        <v>5</v>
      </c>
      <c r="D42" s="19">
        <f>'Monthly Data'!X42</f>
        <v>8099810.9285269296</v>
      </c>
      <c r="E42" s="21">
        <f>'Monthly Data'!BJ42</f>
        <v>117.34583333333333</v>
      </c>
      <c r="F42" s="21">
        <f>'Monthly Data'!BM42</f>
        <v>82.791666666666657</v>
      </c>
      <c r="G42" s="21">
        <f>'Monthly Data'!Z42</f>
        <v>1</v>
      </c>
      <c r="H42" s="21">
        <f>'Monthly Data'!CF42</f>
        <v>0</v>
      </c>
      <c r="I42" s="21">
        <f>'Monthly Data'!CV42</f>
        <v>1</v>
      </c>
      <c r="J42" s="21">
        <f>'Monthly Data'!CS42</f>
        <v>31</v>
      </c>
      <c r="K42" s="21">
        <f>'Monthly Data'!CM42</f>
        <v>41</v>
      </c>
      <c r="L42" s="21">
        <f>'Monthly Data'!CK42</f>
        <v>1</v>
      </c>
      <c r="N42" s="11">
        <f>'Large Use Predicted Monthly'!$AB$10</f>
        <v>-5783820.4539120998</v>
      </c>
      <c r="O42" s="11">
        <f t="shared" si="13"/>
        <v>72374.707790303844</v>
      </c>
      <c r="P42" s="11">
        <f t="shared" si="14"/>
        <v>1132175.8378241782</v>
      </c>
      <c r="Q42" s="11">
        <f t="shared" si="15"/>
        <v>3499999.8575587198</v>
      </c>
      <c r="R42" s="11">
        <f t="shared" si="16"/>
        <v>0</v>
      </c>
      <c r="S42" s="11">
        <f t="shared" si="17"/>
        <v>-989120.62623312802</v>
      </c>
      <c r="T42" s="11">
        <f t="shared" si="18"/>
        <v>10482494.861430187</v>
      </c>
      <c r="U42" s="11">
        <f t="shared" si="19"/>
        <v>706035.92487951135</v>
      </c>
      <c r="V42" s="11">
        <f t="shared" si="20"/>
        <v>-352058.92944720201</v>
      </c>
      <c r="W42" s="11">
        <f t="shared" si="21"/>
        <v>8768081.1798904706</v>
      </c>
      <c r="X42" s="11">
        <f t="shared" si="22"/>
        <v>668270.251363541</v>
      </c>
      <c r="Y42" s="23">
        <f t="shared" si="23"/>
        <v>8.2504425999617229E-2</v>
      </c>
    </row>
    <row r="43" spans="1:25" x14ac:dyDescent="0.2">
      <c r="A43" s="8">
        <f>'Monthly Data'!A43</f>
        <v>43983</v>
      </c>
      <c r="B43">
        <f t="shared" si="1"/>
        <v>2020</v>
      </c>
      <c r="C43">
        <f t="shared" si="2"/>
        <v>6</v>
      </c>
      <c r="D43" s="19">
        <f>'Monthly Data'!X43</f>
        <v>9661634.6249788105</v>
      </c>
      <c r="E43" s="21">
        <f>'Monthly Data'!BJ43</f>
        <v>3.7708333333333339</v>
      </c>
      <c r="F43" s="21">
        <f>'Monthly Data'!BM43</f>
        <v>223.45416666666662</v>
      </c>
      <c r="G43" s="21">
        <f>'Monthly Data'!Z43</f>
        <v>1</v>
      </c>
      <c r="H43" s="21">
        <f>'Monthly Data'!CF43</f>
        <v>0</v>
      </c>
      <c r="I43" s="21">
        <f>'Monthly Data'!CV43</f>
        <v>0.5</v>
      </c>
      <c r="J43" s="21">
        <f>'Monthly Data'!CS43</f>
        <v>30</v>
      </c>
      <c r="K43" s="21">
        <f>'Monthly Data'!CM43</f>
        <v>42</v>
      </c>
      <c r="L43" s="21">
        <f>'Monthly Data'!CK43</f>
        <v>1</v>
      </c>
      <c r="N43" s="11">
        <f>'Large Use Predicted Monthly'!$AB$10</f>
        <v>-5783820.4539120998</v>
      </c>
      <c r="O43" s="11">
        <f t="shared" si="13"/>
        <v>2325.7149646779458</v>
      </c>
      <c r="P43" s="11">
        <f t="shared" si="14"/>
        <v>3055735.1789971231</v>
      </c>
      <c r="Q43" s="11">
        <f t="shared" si="15"/>
        <v>3499999.8575587198</v>
      </c>
      <c r="R43" s="11">
        <f t="shared" si="16"/>
        <v>0</v>
      </c>
      <c r="S43" s="11">
        <f t="shared" si="17"/>
        <v>-494560.31311656401</v>
      </c>
      <c r="T43" s="11">
        <f t="shared" si="18"/>
        <v>10144349.865900181</v>
      </c>
      <c r="U43" s="11">
        <f t="shared" si="19"/>
        <v>723256.31329120672</v>
      </c>
      <c r="V43" s="11">
        <f t="shared" si="20"/>
        <v>-352058.92944720201</v>
      </c>
      <c r="W43" s="11">
        <f t="shared" si="21"/>
        <v>10795227.234236043</v>
      </c>
      <c r="X43" s="11">
        <f t="shared" si="22"/>
        <v>1133592.6092572324</v>
      </c>
      <c r="Y43" s="23">
        <f t="shared" si="23"/>
        <v>0.11732927742128507</v>
      </c>
    </row>
    <row r="44" spans="1:25" x14ac:dyDescent="0.2">
      <c r="A44" s="8">
        <f>'Monthly Data'!A44</f>
        <v>44013</v>
      </c>
      <c r="B44">
        <f t="shared" si="1"/>
        <v>2020</v>
      </c>
      <c r="C44">
        <f t="shared" si="2"/>
        <v>7</v>
      </c>
      <c r="D44" s="19">
        <f>'Monthly Data'!X44</f>
        <v>11633464.73742496</v>
      </c>
      <c r="E44" s="21">
        <f>'Monthly Data'!BJ44</f>
        <v>0</v>
      </c>
      <c r="F44" s="21">
        <f>'Monthly Data'!BM44</f>
        <v>347.85000000000008</v>
      </c>
      <c r="G44" s="21">
        <f>'Monthly Data'!Z44</f>
        <v>1</v>
      </c>
      <c r="H44" s="21">
        <f>'Monthly Data'!CF44</f>
        <v>0</v>
      </c>
      <c r="I44" s="21">
        <f>'Monthly Data'!CV44</f>
        <v>0.5</v>
      </c>
      <c r="J44" s="21">
        <f>'Monthly Data'!CS44</f>
        <v>31</v>
      </c>
      <c r="K44" s="21">
        <f>'Monthly Data'!CM44</f>
        <v>43</v>
      </c>
      <c r="L44" s="21">
        <f>'Monthly Data'!CK44</f>
        <v>1</v>
      </c>
      <c r="N44" s="11">
        <f>'Large Use Predicted Monthly'!$AB$10</f>
        <v>-5783820.4539120998</v>
      </c>
      <c r="O44" s="11">
        <f t="shared" si="13"/>
        <v>0</v>
      </c>
      <c r="P44" s="11">
        <f t="shared" si="14"/>
        <v>4756847.893553785</v>
      </c>
      <c r="Q44" s="11">
        <f t="shared" si="15"/>
        <v>3499999.8575587198</v>
      </c>
      <c r="R44" s="11">
        <f t="shared" si="16"/>
        <v>0</v>
      </c>
      <c r="S44" s="11">
        <f t="shared" si="17"/>
        <v>-494560.31311656401</v>
      </c>
      <c r="T44" s="11">
        <f t="shared" si="18"/>
        <v>10482494.861430187</v>
      </c>
      <c r="U44" s="11">
        <f t="shared" si="19"/>
        <v>740476.70170290221</v>
      </c>
      <c r="V44" s="11">
        <f t="shared" si="20"/>
        <v>-352058.92944720201</v>
      </c>
      <c r="W44" s="11">
        <f t="shared" si="21"/>
        <v>12849379.617769727</v>
      </c>
      <c r="X44" s="11">
        <f t="shared" si="22"/>
        <v>1215914.8803447671</v>
      </c>
      <c r="Y44" s="23">
        <f t="shared" si="23"/>
        <v>0.10451872316534884</v>
      </c>
    </row>
    <row r="45" spans="1:25" x14ac:dyDescent="0.2">
      <c r="A45" s="8">
        <f>'Monthly Data'!A45</f>
        <v>44044</v>
      </c>
      <c r="B45">
        <f t="shared" si="1"/>
        <v>2020</v>
      </c>
      <c r="C45">
        <f t="shared" si="2"/>
        <v>8</v>
      </c>
      <c r="D45" s="19">
        <f>'Monthly Data'!X45</f>
        <v>10881748.22689686</v>
      </c>
      <c r="E45" s="21">
        <f>'Monthly Data'!BJ45</f>
        <v>0</v>
      </c>
      <c r="F45" s="21">
        <f>'Monthly Data'!BM45</f>
        <v>261.54583333333341</v>
      </c>
      <c r="G45" s="21">
        <f>'Monthly Data'!Z45</f>
        <v>1</v>
      </c>
      <c r="H45" s="21">
        <f>'Monthly Data'!CF45</f>
        <v>0</v>
      </c>
      <c r="I45" s="21">
        <f>'Monthly Data'!CV45</f>
        <v>0.5</v>
      </c>
      <c r="J45" s="21">
        <f>'Monthly Data'!CS45</f>
        <v>31</v>
      </c>
      <c r="K45" s="21">
        <f>'Monthly Data'!CM45</f>
        <v>44</v>
      </c>
      <c r="L45" s="21">
        <f>'Monthly Data'!CK45</f>
        <v>1</v>
      </c>
      <c r="N45" s="11">
        <f>'Large Use Predicted Monthly'!$AB$10</f>
        <v>-5783820.4539120998</v>
      </c>
      <c r="O45" s="11">
        <f t="shared" si="13"/>
        <v>0</v>
      </c>
      <c r="P45" s="11">
        <f t="shared" si="14"/>
        <v>3576638.626877781</v>
      </c>
      <c r="Q45" s="11">
        <f t="shared" si="15"/>
        <v>3499999.8575587198</v>
      </c>
      <c r="R45" s="11">
        <f t="shared" si="16"/>
        <v>0</v>
      </c>
      <c r="S45" s="11">
        <f t="shared" si="17"/>
        <v>-494560.31311656401</v>
      </c>
      <c r="T45" s="11">
        <f t="shared" si="18"/>
        <v>10482494.861430187</v>
      </c>
      <c r="U45" s="11">
        <f t="shared" si="19"/>
        <v>757697.09011459758</v>
      </c>
      <c r="V45" s="11">
        <f t="shared" si="20"/>
        <v>-352058.92944720201</v>
      </c>
      <c r="W45" s="11">
        <f t="shared" si="21"/>
        <v>11686390.73950542</v>
      </c>
      <c r="X45" s="11">
        <f t="shared" si="22"/>
        <v>804642.5126085598</v>
      </c>
      <c r="Y45" s="23">
        <f t="shared" si="23"/>
        <v>7.3944231738397717E-2</v>
      </c>
    </row>
    <row r="46" spans="1:25" x14ac:dyDescent="0.2">
      <c r="A46" s="8">
        <f>'Monthly Data'!A46</f>
        <v>44075</v>
      </c>
      <c r="B46">
        <f t="shared" si="1"/>
        <v>2020</v>
      </c>
      <c r="C46">
        <f t="shared" si="2"/>
        <v>9</v>
      </c>
      <c r="D46" s="19">
        <f>'Monthly Data'!X46</f>
        <v>9412013.6198623907</v>
      </c>
      <c r="E46" s="21">
        <f>'Monthly Data'!BJ46</f>
        <v>25.787499999999994</v>
      </c>
      <c r="F46" s="21">
        <f>'Monthly Data'!BM46</f>
        <v>115.55833333333335</v>
      </c>
      <c r="G46" s="21">
        <f>'Monthly Data'!Z46</f>
        <v>1</v>
      </c>
      <c r="H46" s="21">
        <f>'Monthly Data'!CF46</f>
        <v>1</v>
      </c>
      <c r="I46" s="21">
        <f>'Monthly Data'!CV46</f>
        <v>0.5</v>
      </c>
      <c r="J46" s="21">
        <f>'Monthly Data'!CS46</f>
        <v>30</v>
      </c>
      <c r="K46" s="21">
        <f>'Monthly Data'!CM46</f>
        <v>45</v>
      </c>
      <c r="L46" s="21">
        <f>'Monthly Data'!CK46</f>
        <v>0</v>
      </c>
      <c r="N46" s="11">
        <f>'Large Use Predicted Monthly'!$AB$10</f>
        <v>-5783820.4539120998</v>
      </c>
      <c r="O46" s="11">
        <f t="shared" si="13"/>
        <v>15904.806537449505</v>
      </c>
      <c r="P46" s="11">
        <f t="shared" si="14"/>
        <v>1580259.9238155894</v>
      </c>
      <c r="Q46" s="11">
        <f t="shared" si="15"/>
        <v>3499999.8575587198</v>
      </c>
      <c r="R46" s="11">
        <f t="shared" si="16"/>
        <v>387000.72715245897</v>
      </c>
      <c r="S46" s="11">
        <f t="shared" si="17"/>
        <v>-494560.31311656401</v>
      </c>
      <c r="T46" s="11">
        <f t="shared" si="18"/>
        <v>10144349.865900181</v>
      </c>
      <c r="U46" s="11">
        <f t="shared" si="19"/>
        <v>774917.47852629295</v>
      </c>
      <c r="V46" s="11">
        <f t="shared" si="20"/>
        <v>0</v>
      </c>
      <c r="W46" s="11">
        <f t="shared" si="21"/>
        <v>10124051.892462028</v>
      </c>
      <c r="X46" s="11">
        <f t="shared" si="22"/>
        <v>712038.27259963751</v>
      </c>
      <c r="Y46" s="23">
        <f t="shared" si="23"/>
        <v>7.5652065685179903E-2</v>
      </c>
    </row>
    <row r="47" spans="1:25" x14ac:dyDescent="0.2">
      <c r="A47" s="8">
        <f>'Monthly Data'!A47</f>
        <v>44105</v>
      </c>
      <c r="B47">
        <f t="shared" si="1"/>
        <v>2020</v>
      </c>
      <c r="C47">
        <f t="shared" si="2"/>
        <v>10</v>
      </c>
      <c r="D47" s="19">
        <f>'Monthly Data'!X47</f>
        <v>8181488.4837523811</v>
      </c>
      <c r="E47" s="21">
        <f>'Monthly Data'!BJ47</f>
        <v>165.45833333333334</v>
      </c>
      <c r="F47" s="21">
        <f>'Monthly Data'!BM47</f>
        <v>12.639583333333345</v>
      </c>
      <c r="G47" s="21">
        <f>'Monthly Data'!Z47</f>
        <v>1</v>
      </c>
      <c r="H47" s="21">
        <f>'Monthly Data'!CF47</f>
        <v>1</v>
      </c>
      <c r="I47" s="21">
        <f>'Monthly Data'!CV47</f>
        <v>0.5</v>
      </c>
      <c r="J47" s="21">
        <f>'Monthly Data'!CS47</f>
        <v>31</v>
      </c>
      <c r="K47" s="21">
        <f>'Monthly Data'!CM47</f>
        <v>46</v>
      </c>
      <c r="L47" s="21">
        <f>'Monthly Data'!CK47</f>
        <v>0</v>
      </c>
      <c r="N47" s="11">
        <f>'Large Use Predicted Monthly'!$AB$10</f>
        <v>-5783820.4539120998</v>
      </c>
      <c r="O47" s="11">
        <f t="shared" si="13"/>
        <v>102048.77485896269</v>
      </c>
      <c r="P47" s="11">
        <f t="shared" si="14"/>
        <v>172846.27096324347</v>
      </c>
      <c r="Q47" s="11">
        <f t="shared" si="15"/>
        <v>3499999.8575587198</v>
      </c>
      <c r="R47" s="11">
        <f t="shared" si="16"/>
        <v>387000.72715245897</v>
      </c>
      <c r="S47" s="11">
        <f t="shared" si="17"/>
        <v>-494560.31311656401</v>
      </c>
      <c r="T47" s="11">
        <f t="shared" si="18"/>
        <v>10482494.861430187</v>
      </c>
      <c r="U47" s="11">
        <f t="shared" si="19"/>
        <v>792137.86693798844</v>
      </c>
      <c r="V47" s="11">
        <f t="shared" si="20"/>
        <v>0</v>
      </c>
      <c r="W47" s="11">
        <f t="shared" si="21"/>
        <v>9158147.591872897</v>
      </c>
      <c r="X47" s="11">
        <f t="shared" si="22"/>
        <v>976659.10812051594</v>
      </c>
      <c r="Y47" s="23">
        <f t="shared" si="23"/>
        <v>0.11937425690448179</v>
      </c>
    </row>
    <row r="48" spans="1:25" x14ac:dyDescent="0.2">
      <c r="A48" s="8">
        <f>'Monthly Data'!A48</f>
        <v>44136</v>
      </c>
      <c r="B48">
        <f t="shared" si="1"/>
        <v>2020</v>
      </c>
      <c r="C48">
        <f t="shared" si="2"/>
        <v>11</v>
      </c>
      <c r="D48" s="19">
        <f>'Monthly Data'!X48</f>
        <v>7873386.2840596009</v>
      </c>
      <c r="E48" s="21">
        <f>'Monthly Data'!BJ48</f>
        <v>238.94583333333335</v>
      </c>
      <c r="F48" s="21">
        <f>'Monthly Data'!BM48</f>
        <v>8.4666666666666615</v>
      </c>
      <c r="G48" s="21">
        <f>'Monthly Data'!Z48</f>
        <v>1</v>
      </c>
      <c r="H48" s="21">
        <f>'Monthly Data'!CF48</f>
        <v>1</v>
      </c>
      <c r="I48" s="21">
        <f>'Monthly Data'!CV48</f>
        <v>0.5</v>
      </c>
      <c r="J48" s="21">
        <f>'Monthly Data'!CS48</f>
        <v>30</v>
      </c>
      <c r="K48" s="21">
        <f>'Monthly Data'!CM48</f>
        <v>47</v>
      </c>
      <c r="L48" s="21">
        <f>'Monthly Data'!CK48</f>
        <v>0</v>
      </c>
      <c r="N48" s="11">
        <f>'Large Use Predicted Monthly'!$AB$10</f>
        <v>-5783820.4539120998</v>
      </c>
      <c r="O48" s="11">
        <f t="shared" si="13"/>
        <v>147373.23323689078</v>
      </c>
      <c r="P48" s="11">
        <f t="shared" si="14"/>
        <v>115781.64582077145</v>
      </c>
      <c r="Q48" s="11">
        <f t="shared" si="15"/>
        <v>3499999.8575587198</v>
      </c>
      <c r="R48" s="11">
        <f t="shared" si="16"/>
        <v>387000.72715245897</v>
      </c>
      <c r="S48" s="11">
        <f t="shared" si="17"/>
        <v>-494560.31311656401</v>
      </c>
      <c r="T48" s="11">
        <f t="shared" si="18"/>
        <v>10144349.865900181</v>
      </c>
      <c r="U48" s="11">
        <f t="shared" si="19"/>
        <v>809358.25534968381</v>
      </c>
      <c r="V48" s="11">
        <f t="shared" si="20"/>
        <v>0</v>
      </c>
      <c r="W48" s="11">
        <f t="shared" si="21"/>
        <v>8825482.8179900423</v>
      </c>
      <c r="X48" s="11">
        <f t="shared" si="22"/>
        <v>952096.53393044136</v>
      </c>
      <c r="Y48" s="23">
        <f t="shared" si="23"/>
        <v>0.12092592686047285</v>
      </c>
    </row>
    <row r="49" spans="1:29" x14ac:dyDescent="0.2">
      <c r="A49" s="8">
        <f>'Monthly Data'!A49</f>
        <v>44166</v>
      </c>
      <c r="B49">
        <f t="shared" si="1"/>
        <v>2020</v>
      </c>
      <c r="C49">
        <f t="shared" si="2"/>
        <v>12</v>
      </c>
      <c r="D49" s="19">
        <f>'Monthly Data'!X49</f>
        <v>8025859.8760891212</v>
      </c>
      <c r="E49" s="21">
        <f>'Monthly Data'!BJ49</f>
        <v>455.59791666666672</v>
      </c>
      <c r="F49" s="21">
        <f>'Monthly Data'!BM49</f>
        <v>0</v>
      </c>
      <c r="G49" s="21">
        <f>'Monthly Data'!Z49</f>
        <v>1</v>
      </c>
      <c r="H49" s="21">
        <f>'Monthly Data'!CF49</f>
        <v>0</v>
      </c>
      <c r="I49" s="21">
        <f>'Monthly Data'!CV49</f>
        <v>0.5</v>
      </c>
      <c r="J49" s="21">
        <f>'Monthly Data'!CS49</f>
        <v>31</v>
      </c>
      <c r="K49" s="21">
        <f>'Monthly Data'!CM49</f>
        <v>48</v>
      </c>
      <c r="L49" s="21">
        <f>'Monthly Data'!CK49</f>
        <v>0</v>
      </c>
      <c r="N49" s="11">
        <f>'Large Use Predicted Monthly'!$AB$10</f>
        <v>-5783820.4539120998</v>
      </c>
      <c r="O49" s="11">
        <f t="shared" si="13"/>
        <v>280996.47982349503</v>
      </c>
      <c r="P49" s="11">
        <f t="shared" si="14"/>
        <v>0</v>
      </c>
      <c r="Q49" s="11">
        <f t="shared" si="15"/>
        <v>3499999.8575587198</v>
      </c>
      <c r="R49" s="11">
        <f t="shared" si="16"/>
        <v>0</v>
      </c>
      <c r="S49" s="11">
        <f t="shared" si="17"/>
        <v>-494560.31311656401</v>
      </c>
      <c r="T49" s="11">
        <f t="shared" si="18"/>
        <v>10482494.861430187</v>
      </c>
      <c r="U49" s="11">
        <f t="shared" si="19"/>
        <v>826578.64376137918</v>
      </c>
      <c r="V49" s="11">
        <f t="shared" si="20"/>
        <v>0</v>
      </c>
      <c r="W49" s="11">
        <f t="shared" si="21"/>
        <v>8811689.0755451173</v>
      </c>
      <c r="X49" s="11">
        <f t="shared" si="22"/>
        <v>785829.19945599604</v>
      </c>
      <c r="Y49" s="23">
        <f t="shared" si="23"/>
        <v>9.7912150422306971E-2</v>
      </c>
    </row>
    <row r="50" spans="1:29" x14ac:dyDescent="0.2">
      <c r="A50" s="8">
        <f>'Monthly Data'!A50</f>
        <v>44197</v>
      </c>
      <c r="B50">
        <f t="shared" si="1"/>
        <v>2021</v>
      </c>
      <c r="C50">
        <f t="shared" si="2"/>
        <v>1</v>
      </c>
      <c r="D50" s="19">
        <f>'Monthly Data'!X50</f>
        <v>8267121.5026186379</v>
      </c>
      <c r="E50" s="21">
        <f>'Monthly Data'!BJ50</f>
        <v>523.92083333333335</v>
      </c>
      <c r="F50" s="21">
        <f>'Monthly Data'!BM50</f>
        <v>0</v>
      </c>
      <c r="G50" s="21">
        <f>'Monthly Data'!Z50</f>
        <v>1</v>
      </c>
      <c r="H50" s="21">
        <f>'Monthly Data'!CF50</f>
        <v>0</v>
      </c>
      <c r="I50" s="21">
        <f>'Monthly Data'!CV50</f>
        <v>0.5</v>
      </c>
      <c r="J50" s="21">
        <f>'Monthly Data'!CS50</f>
        <v>31</v>
      </c>
      <c r="K50" s="21">
        <f>'Monthly Data'!CM50</f>
        <v>49</v>
      </c>
      <c r="L50" s="21">
        <f>'Monthly Data'!CK50</f>
        <v>0</v>
      </c>
      <c r="N50" s="11">
        <f>'Large Use Predicted Monthly'!$AB$10</f>
        <v>-5783820.4539120998</v>
      </c>
      <c r="O50" s="11">
        <f t="shared" si="13"/>
        <v>323135.60814759065</v>
      </c>
      <c r="P50" s="11">
        <f t="shared" si="14"/>
        <v>0</v>
      </c>
      <c r="Q50" s="11">
        <f t="shared" si="15"/>
        <v>3499999.8575587198</v>
      </c>
      <c r="R50" s="11">
        <f t="shared" si="16"/>
        <v>0</v>
      </c>
      <c r="S50" s="11">
        <f t="shared" si="17"/>
        <v>-494560.31311656401</v>
      </c>
      <c r="T50" s="11">
        <f t="shared" si="18"/>
        <v>10482494.861430187</v>
      </c>
      <c r="U50" s="11">
        <f t="shared" si="19"/>
        <v>843799.03217307455</v>
      </c>
      <c r="V50" s="11">
        <f t="shared" si="20"/>
        <v>0</v>
      </c>
      <c r="W50" s="11">
        <f t="shared" si="21"/>
        <v>8871048.5922809076</v>
      </c>
      <c r="X50" s="11">
        <f t="shared" si="22"/>
        <v>603927.08966226969</v>
      </c>
      <c r="Y50" s="23">
        <f t="shared" si="23"/>
        <v>7.3051676991922013E-2</v>
      </c>
    </row>
    <row r="51" spans="1:29" x14ac:dyDescent="0.2">
      <c r="A51" s="8">
        <f>'Monthly Data'!A51</f>
        <v>44228</v>
      </c>
      <c r="B51">
        <f t="shared" si="1"/>
        <v>2021</v>
      </c>
      <c r="C51">
        <f t="shared" si="2"/>
        <v>2</v>
      </c>
      <c r="D51" s="19">
        <f>'Monthly Data'!X51</f>
        <v>7860890.0394344553</v>
      </c>
      <c r="E51" s="21">
        <f>'Monthly Data'!BJ51</f>
        <v>570.50000000000011</v>
      </c>
      <c r="F51" s="21">
        <f>'Monthly Data'!BM51</f>
        <v>0</v>
      </c>
      <c r="G51" s="21">
        <f>'Monthly Data'!Z51</f>
        <v>1</v>
      </c>
      <c r="H51" s="21">
        <f>'Monthly Data'!CF51</f>
        <v>0</v>
      </c>
      <c r="I51" s="21">
        <f>'Monthly Data'!CV51</f>
        <v>0.5</v>
      </c>
      <c r="J51" s="21">
        <f>'Monthly Data'!CS51</f>
        <v>28</v>
      </c>
      <c r="K51" s="21">
        <f>'Monthly Data'!CM51</f>
        <v>50</v>
      </c>
      <c r="L51" s="21">
        <f>'Monthly Data'!CK51</f>
        <v>0</v>
      </c>
      <c r="N51" s="11">
        <f>'Large Use Predicted Monthly'!$AB$10</f>
        <v>-5783820.4539120998</v>
      </c>
      <c r="O51" s="11">
        <f t="shared" si="13"/>
        <v>351863.97012564022</v>
      </c>
      <c r="P51" s="11">
        <f t="shared" si="14"/>
        <v>0</v>
      </c>
      <c r="Q51" s="11">
        <f t="shared" si="15"/>
        <v>3499999.8575587198</v>
      </c>
      <c r="R51" s="11">
        <f t="shared" si="16"/>
        <v>0</v>
      </c>
      <c r="S51" s="11">
        <f t="shared" si="17"/>
        <v>-494560.31311656401</v>
      </c>
      <c r="T51" s="11">
        <f t="shared" si="18"/>
        <v>9468059.8748401683</v>
      </c>
      <c r="U51" s="11">
        <f t="shared" si="19"/>
        <v>861019.42058476992</v>
      </c>
      <c r="V51" s="11">
        <f t="shared" si="20"/>
        <v>0</v>
      </c>
      <c r="W51" s="11">
        <f t="shared" si="21"/>
        <v>7902562.3560806345</v>
      </c>
      <c r="X51" s="11">
        <f t="shared" si="22"/>
        <v>41672.316646179184</v>
      </c>
      <c r="Y51" s="23">
        <f t="shared" si="23"/>
        <v>5.3012211641593277E-3</v>
      </c>
    </row>
    <row r="52" spans="1:29" x14ac:dyDescent="0.2">
      <c r="A52" s="8">
        <f>'Monthly Data'!A52</f>
        <v>44256</v>
      </c>
      <c r="B52">
        <f t="shared" si="1"/>
        <v>2021</v>
      </c>
      <c r="C52">
        <f t="shared" si="2"/>
        <v>3</v>
      </c>
      <c r="D52" s="19">
        <f>'Monthly Data'!X52</f>
        <v>8617027.7213605233</v>
      </c>
      <c r="E52" s="21">
        <f>'Monthly Data'!BJ52</f>
        <v>328.07083333333333</v>
      </c>
      <c r="F52" s="21">
        <f>'Monthly Data'!BM52</f>
        <v>4.8416666666666686</v>
      </c>
      <c r="G52" s="21">
        <f>'Monthly Data'!Z52</f>
        <v>1</v>
      </c>
      <c r="H52" s="21">
        <f>'Monthly Data'!CF52</f>
        <v>0</v>
      </c>
      <c r="I52" s="21">
        <f>'Monthly Data'!CV52</f>
        <v>0.5</v>
      </c>
      <c r="J52" s="21">
        <f>'Monthly Data'!CS52</f>
        <v>31</v>
      </c>
      <c r="K52" s="21">
        <f>'Monthly Data'!CM52</f>
        <v>51</v>
      </c>
      <c r="L52" s="21">
        <f>'Monthly Data'!CK52</f>
        <v>0</v>
      </c>
      <c r="N52" s="11">
        <f>'Large Use Predicted Monthly'!$AB$10</f>
        <v>-5783820.4539120998</v>
      </c>
      <c r="O52" s="11">
        <f t="shared" si="13"/>
        <v>202342.34162856065</v>
      </c>
      <c r="P52" s="11">
        <f t="shared" si="14"/>
        <v>66209.779745933352</v>
      </c>
      <c r="Q52" s="11">
        <f t="shared" si="15"/>
        <v>3499999.8575587198</v>
      </c>
      <c r="R52" s="11">
        <f t="shared" si="16"/>
        <v>0</v>
      </c>
      <c r="S52" s="11">
        <f t="shared" si="17"/>
        <v>-494560.31311656401</v>
      </c>
      <c r="T52" s="11">
        <f t="shared" si="18"/>
        <v>10482494.861430187</v>
      </c>
      <c r="U52" s="11">
        <f t="shared" si="19"/>
        <v>878239.80899646541</v>
      </c>
      <c r="V52" s="11">
        <f t="shared" si="20"/>
        <v>0</v>
      </c>
      <c r="W52" s="11">
        <f t="shared" si="21"/>
        <v>8850905.8823312018</v>
      </c>
      <c r="X52" s="11">
        <f t="shared" si="22"/>
        <v>233878.16097067855</v>
      </c>
      <c r="Y52" s="23">
        <f t="shared" si="23"/>
        <v>2.7141395912064218E-2</v>
      </c>
    </row>
    <row r="53" spans="1:29" x14ac:dyDescent="0.2">
      <c r="A53" s="8">
        <f>'Monthly Data'!A53</f>
        <v>44287</v>
      </c>
      <c r="B53">
        <f t="shared" si="1"/>
        <v>2021</v>
      </c>
      <c r="C53">
        <f t="shared" si="2"/>
        <v>4</v>
      </c>
      <c r="D53" s="19">
        <f>'Monthly Data'!X53</f>
        <v>8151550.2276455313</v>
      </c>
      <c r="E53" s="21">
        <f>'Monthly Data'!BJ53</f>
        <v>195.19166666666669</v>
      </c>
      <c r="F53" s="21">
        <f>'Monthly Data'!BM53</f>
        <v>20.929166666666667</v>
      </c>
      <c r="G53" s="21">
        <f>'Monthly Data'!Z53</f>
        <v>1</v>
      </c>
      <c r="H53" s="21">
        <f>'Monthly Data'!CF53</f>
        <v>0</v>
      </c>
      <c r="I53" s="21">
        <f>'Monthly Data'!CV53</f>
        <v>0.5</v>
      </c>
      <c r="J53" s="21">
        <f>'Monthly Data'!CS53</f>
        <v>30</v>
      </c>
      <c r="K53" s="21">
        <f>'Monthly Data'!CM53</f>
        <v>52</v>
      </c>
      <c r="L53" s="21">
        <f>'Monthly Data'!CK53</f>
        <v>0</v>
      </c>
      <c r="N53" s="11">
        <f>'Large Use Predicted Monthly'!$AB$10</f>
        <v>-5783820.4539120998</v>
      </c>
      <c r="O53" s="11">
        <f t="shared" si="13"/>
        <v>120387.23009425752</v>
      </c>
      <c r="P53" s="11">
        <f t="shared" si="14"/>
        <v>286206.30263668078</v>
      </c>
      <c r="Q53" s="11">
        <f t="shared" si="15"/>
        <v>3499999.8575587198</v>
      </c>
      <c r="R53" s="11">
        <f t="shared" si="16"/>
        <v>0</v>
      </c>
      <c r="S53" s="11">
        <f t="shared" si="17"/>
        <v>-494560.31311656401</v>
      </c>
      <c r="T53" s="11">
        <f t="shared" si="18"/>
        <v>10144349.865900181</v>
      </c>
      <c r="U53" s="11">
        <f t="shared" si="19"/>
        <v>895460.19740816078</v>
      </c>
      <c r="V53" s="11">
        <f t="shared" si="20"/>
        <v>0</v>
      </c>
      <c r="W53" s="11">
        <f t="shared" si="21"/>
        <v>8668022.6865693368</v>
      </c>
      <c r="X53" s="11">
        <f t="shared" si="22"/>
        <v>516472.45892380551</v>
      </c>
      <c r="Y53" s="23">
        <f t="shared" si="23"/>
        <v>6.3358802252388477E-2</v>
      </c>
    </row>
    <row r="54" spans="1:29" x14ac:dyDescent="0.2">
      <c r="A54" s="8">
        <f>'Monthly Data'!A54</f>
        <v>44317</v>
      </c>
      <c r="B54">
        <f t="shared" si="1"/>
        <v>2021</v>
      </c>
      <c r="C54">
        <f t="shared" si="2"/>
        <v>5</v>
      </c>
      <c r="D54" s="19">
        <f>'Monthly Data'!X54</f>
        <v>9085951.214230109</v>
      </c>
      <c r="E54" s="21">
        <f>'Monthly Data'!BJ54</f>
        <v>93.4375</v>
      </c>
      <c r="F54" s="21">
        <f>'Monthly Data'!BM54</f>
        <v>95.585416666666632</v>
      </c>
      <c r="G54" s="21">
        <f>'Monthly Data'!Z54</f>
        <v>1</v>
      </c>
      <c r="H54" s="21">
        <f>'Monthly Data'!CF54</f>
        <v>0</v>
      </c>
      <c r="I54" s="21">
        <f>'Monthly Data'!CV54</f>
        <v>0.5</v>
      </c>
      <c r="J54" s="21">
        <f>'Monthly Data'!CS54</f>
        <v>31</v>
      </c>
      <c r="K54" s="21">
        <f>'Monthly Data'!CM54</f>
        <v>53</v>
      </c>
      <c r="L54" s="21">
        <f>'Monthly Data'!CK54</f>
        <v>1</v>
      </c>
      <c r="N54" s="11">
        <f>'Large Use Predicted Monthly'!$AB$10</f>
        <v>-5783820.4539120998</v>
      </c>
      <c r="O54" s="11">
        <f t="shared" si="13"/>
        <v>57628.903959008763</v>
      </c>
      <c r="P54" s="11">
        <f t="shared" si="14"/>
        <v>1307130.3375745118</v>
      </c>
      <c r="Q54" s="11">
        <f t="shared" si="15"/>
        <v>3499999.8575587198</v>
      </c>
      <c r="R54" s="11">
        <f t="shared" si="16"/>
        <v>0</v>
      </c>
      <c r="S54" s="11">
        <f t="shared" si="17"/>
        <v>-494560.31311656401</v>
      </c>
      <c r="T54" s="11">
        <f t="shared" si="18"/>
        <v>10482494.861430187</v>
      </c>
      <c r="U54" s="11">
        <f t="shared" si="19"/>
        <v>912680.58581985615</v>
      </c>
      <c r="V54" s="11">
        <f t="shared" si="20"/>
        <v>-352058.92944720201</v>
      </c>
      <c r="W54" s="11">
        <f t="shared" si="21"/>
        <v>9629494.8498664163</v>
      </c>
      <c r="X54" s="11">
        <f t="shared" si="22"/>
        <v>543543.6356363073</v>
      </c>
      <c r="Y54" s="23">
        <f t="shared" si="23"/>
        <v>5.9822425062664622E-2</v>
      </c>
    </row>
    <row r="55" spans="1:29" x14ac:dyDescent="0.2">
      <c r="A55" s="8">
        <f>'Monthly Data'!A55</f>
        <v>44348</v>
      </c>
      <c r="B55">
        <f t="shared" si="1"/>
        <v>2021</v>
      </c>
      <c r="C55">
        <f t="shared" si="2"/>
        <v>6</v>
      </c>
      <c r="D55" s="19">
        <f>'Monthly Data'!X55</f>
        <v>10943993.453054408</v>
      </c>
      <c r="E55" s="21">
        <f>'Monthly Data'!BJ55</f>
        <v>1.1083333333333361</v>
      </c>
      <c r="F55" s="21">
        <f>'Monthly Data'!BM55</f>
        <v>257.72916666666674</v>
      </c>
      <c r="G55" s="21">
        <f>'Monthly Data'!Z55</f>
        <v>1</v>
      </c>
      <c r="H55" s="21">
        <f>'Monthly Data'!CF55</f>
        <v>0</v>
      </c>
      <c r="I55" s="21">
        <f>'Monthly Data'!CV55</f>
        <v>0.5</v>
      </c>
      <c r="J55" s="21">
        <f>'Monthly Data'!CS55</f>
        <v>30</v>
      </c>
      <c r="K55" s="21">
        <f>'Monthly Data'!CM55</f>
        <v>54</v>
      </c>
      <c r="L55" s="21">
        <f>'Monthly Data'!CK55</f>
        <v>1</v>
      </c>
      <c r="N55" s="11">
        <f>'Large Use Predicted Monthly'!$AB$10</f>
        <v>-5783820.4539120998</v>
      </c>
      <c r="O55" s="11">
        <f t="shared" si="13"/>
        <v>683.58031006003876</v>
      </c>
      <c r="P55" s="11">
        <f t="shared" si="14"/>
        <v>3524445.7196081812</v>
      </c>
      <c r="Q55" s="11">
        <f t="shared" si="15"/>
        <v>3499999.8575587198</v>
      </c>
      <c r="R55" s="11">
        <f t="shared" si="16"/>
        <v>0</v>
      </c>
      <c r="S55" s="11">
        <f t="shared" si="17"/>
        <v>-494560.31311656401</v>
      </c>
      <c r="T55" s="11">
        <f t="shared" si="18"/>
        <v>10144349.865900181</v>
      </c>
      <c r="U55" s="11">
        <f t="shared" si="19"/>
        <v>929900.97423155163</v>
      </c>
      <c r="V55" s="11">
        <f t="shared" si="20"/>
        <v>-352058.92944720201</v>
      </c>
      <c r="W55" s="11">
        <f t="shared" si="21"/>
        <v>11468940.301132828</v>
      </c>
      <c r="X55" s="11">
        <f t="shared" si="22"/>
        <v>524946.84807842039</v>
      </c>
      <c r="Y55" s="23">
        <f t="shared" si="23"/>
        <v>4.7966663204820417E-2</v>
      </c>
    </row>
    <row r="56" spans="1:29" x14ac:dyDescent="0.2">
      <c r="A56" s="8">
        <f>'Monthly Data'!A56</f>
        <v>44378</v>
      </c>
      <c r="B56">
        <f t="shared" si="1"/>
        <v>2021</v>
      </c>
      <c r="C56">
        <f t="shared" si="2"/>
        <v>7</v>
      </c>
      <c r="D56" s="19">
        <f>'Monthly Data'!X56</f>
        <v>11368752.713587916</v>
      </c>
      <c r="E56" s="21">
        <f>'Monthly Data'!BJ56</f>
        <v>0</v>
      </c>
      <c r="F56" s="21">
        <f>'Monthly Data'!BM56</f>
        <v>255.42708333333331</v>
      </c>
      <c r="G56" s="21">
        <f>'Monthly Data'!Z56</f>
        <v>1</v>
      </c>
      <c r="H56" s="21">
        <f>'Monthly Data'!CF56</f>
        <v>0</v>
      </c>
      <c r="I56" s="21">
        <f>'Monthly Data'!CV56</f>
        <v>0.5</v>
      </c>
      <c r="J56" s="21">
        <f>'Monthly Data'!CS56</f>
        <v>31</v>
      </c>
      <c r="K56" s="21">
        <f>'Monthly Data'!CM56</f>
        <v>55</v>
      </c>
      <c r="L56" s="21">
        <f>'Monthly Data'!CK56</f>
        <v>1</v>
      </c>
      <c r="N56" s="11">
        <f>'Large Use Predicted Monthly'!$AB$10</f>
        <v>-5783820.4539120998</v>
      </c>
      <c r="O56" s="11">
        <f t="shared" si="13"/>
        <v>0</v>
      </c>
      <c r="P56" s="11">
        <f t="shared" si="14"/>
        <v>3492964.7356928373</v>
      </c>
      <c r="Q56" s="11">
        <f t="shared" si="15"/>
        <v>3499999.8575587198</v>
      </c>
      <c r="R56" s="11">
        <f t="shared" si="16"/>
        <v>0</v>
      </c>
      <c r="S56" s="11">
        <f t="shared" si="17"/>
        <v>-494560.31311656401</v>
      </c>
      <c r="T56" s="11">
        <f t="shared" si="18"/>
        <v>10482494.861430187</v>
      </c>
      <c r="U56" s="11">
        <f t="shared" si="19"/>
        <v>947121.362643247</v>
      </c>
      <c r="V56" s="11">
        <f t="shared" si="20"/>
        <v>-352058.92944720201</v>
      </c>
      <c r="W56" s="11">
        <f t="shared" si="21"/>
        <v>11792141.120849125</v>
      </c>
      <c r="X56" s="11">
        <f t="shared" si="22"/>
        <v>423388.40726120956</v>
      </c>
      <c r="Y56" s="23">
        <f t="shared" si="23"/>
        <v>3.7241412310356298E-2</v>
      </c>
    </row>
    <row r="57" spans="1:29" x14ac:dyDescent="0.2">
      <c r="A57" s="8">
        <f>'Monthly Data'!A57</f>
        <v>44409</v>
      </c>
      <c r="B57">
        <f t="shared" si="1"/>
        <v>2021</v>
      </c>
      <c r="C57">
        <f t="shared" si="2"/>
        <v>8</v>
      </c>
      <c r="D57" s="19">
        <f>'Monthly Data'!X57</f>
        <v>12536881.909072623</v>
      </c>
      <c r="E57" s="21">
        <f>'Monthly Data'!BJ57</f>
        <v>0</v>
      </c>
      <c r="F57" s="21">
        <f>'Monthly Data'!BM57</f>
        <v>296.19791666666657</v>
      </c>
      <c r="G57" s="21">
        <f>'Monthly Data'!Z57</f>
        <v>1</v>
      </c>
      <c r="H57" s="21">
        <f>'Monthly Data'!CF57</f>
        <v>0</v>
      </c>
      <c r="I57" s="21">
        <f>'Monthly Data'!CV57</f>
        <v>0.5</v>
      </c>
      <c r="J57" s="21">
        <f>'Monthly Data'!CS57</f>
        <v>31</v>
      </c>
      <c r="K57" s="21">
        <f>'Monthly Data'!CM57</f>
        <v>56</v>
      </c>
      <c r="L57" s="21">
        <f>'Monthly Data'!CK57</f>
        <v>1</v>
      </c>
      <c r="N57" s="11">
        <f>'Large Use Predicted Monthly'!$AB$10</f>
        <v>-5783820.4539120998</v>
      </c>
      <c r="O57" s="11">
        <f t="shared" si="13"/>
        <v>0</v>
      </c>
      <c r="P57" s="11">
        <f t="shared" si="14"/>
        <v>4050505.7811437463</v>
      </c>
      <c r="Q57" s="11">
        <f t="shared" si="15"/>
        <v>3499999.8575587198</v>
      </c>
      <c r="R57" s="11">
        <f t="shared" si="16"/>
        <v>0</v>
      </c>
      <c r="S57" s="11">
        <f t="shared" si="17"/>
        <v>-494560.31311656401</v>
      </c>
      <c r="T57" s="11">
        <f t="shared" si="18"/>
        <v>10482494.861430187</v>
      </c>
      <c r="U57" s="11">
        <f t="shared" si="19"/>
        <v>964341.75105494238</v>
      </c>
      <c r="V57" s="11">
        <f t="shared" si="20"/>
        <v>-352058.92944720201</v>
      </c>
      <c r="W57" s="11">
        <f t="shared" si="21"/>
        <v>12366902.554711729</v>
      </c>
      <c r="X57" s="11">
        <f t="shared" si="22"/>
        <v>-169979.35436089337</v>
      </c>
      <c r="Y57" s="23">
        <f t="shared" si="23"/>
        <v>1.3558343740789616E-2</v>
      </c>
      <c r="AB57" s="11"/>
      <c r="AC57" s="23"/>
    </row>
    <row r="58" spans="1:29" x14ac:dyDescent="0.2">
      <c r="A58" s="8">
        <f>'Monthly Data'!A58</f>
        <v>44440</v>
      </c>
      <c r="B58">
        <f t="shared" si="1"/>
        <v>2021</v>
      </c>
      <c r="C58">
        <f t="shared" si="2"/>
        <v>9</v>
      </c>
      <c r="D58" s="19">
        <f>'Monthly Data'!X58</f>
        <v>10749580.623415139</v>
      </c>
      <c r="E58" s="21">
        <f>'Monthly Data'!BJ58</f>
        <v>6.8624999999999954</v>
      </c>
      <c r="F58" s="21">
        <f>'Monthly Data'!BM58</f>
        <v>139.96249999999998</v>
      </c>
      <c r="G58" s="21">
        <f>'Monthly Data'!Z58</f>
        <v>1</v>
      </c>
      <c r="H58" s="21">
        <f>'Monthly Data'!CF58</f>
        <v>1</v>
      </c>
      <c r="I58" s="21">
        <f>'Monthly Data'!CV58</f>
        <v>0.5</v>
      </c>
      <c r="J58" s="21">
        <f>'Monthly Data'!CS58</f>
        <v>30</v>
      </c>
      <c r="K58" s="21">
        <f>'Monthly Data'!CM58</f>
        <v>57</v>
      </c>
      <c r="L58" s="21">
        <f>'Monthly Data'!CK58</f>
        <v>0</v>
      </c>
      <c r="N58" s="11">
        <f>'Large Use Predicted Monthly'!$AB$10</f>
        <v>-5783820.4539120998</v>
      </c>
      <c r="O58" s="11">
        <f t="shared" si="13"/>
        <v>4232.5442506348882</v>
      </c>
      <c r="P58" s="11">
        <f t="shared" si="14"/>
        <v>1913986.8428964249</v>
      </c>
      <c r="Q58" s="11">
        <f t="shared" si="15"/>
        <v>3499999.8575587198</v>
      </c>
      <c r="R58" s="11">
        <f t="shared" si="16"/>
        <v>387000.72715245897</v>
      </c>
      <c r="S58" s="11">
        <f t="shared" si="17"/>
        <v>-494560.31311656401</v>
      </c>
      <c r="T58" s="11">
        <f t="shared" si="18"/>
        <v>10144349.865900181</v>
      </c>
      <c r="U58" s="11">
        <f t="shared" si="19"/>
        <v>981562.13946663775</v>
      </c>
      <c r="V58" s="11">
        <f t="shared" si="20"/>
        <v>0</v>
      </c>
      <c r="W58" s="11">
        <f t="shared" si="21"/>
        <v>10652751.210196394</v>
      </c>
      <c r="X58" s="11">
        <f t="shared" si="22"/>
        <v>-96829.413218744099</v>
      </c>
      <c r="Y58" s="23">
        <f t="shared" si="23"/>
        <v>9.0077386840400689E-3</v>
      </c>
      <c r="AB58" s="11"/>
      <c r="AC58" s="23"/>
    </row>
    <row r="59" spans="1:29" x14ac:dyDescent="0.2">
      <c r="A59" s="8">
        <f>'Monthly Data'!A59</f>
        <v>44470</v>
      </c>
      <c r="B59">
        <f t="shared" si="1"/>
        <v>2021</v>
      </c>
      <c r="C59">
        <f t="shared" si="2"/>
        <v>10</v>
      </c>
      <c r="D59" s="19">
        <f>'Monthly Data'!X59</f>
        <v>10356128.307750057</v>
      </c>
      <c r="E59" s="21">
        <f>'Monthly Data'!BJ59</f>
        <v>80.245833333333309</v>
      </c>
      <c r="F59" s="21">
        <f>'Monthly Data'!BM59</f>
        <v>83.354166666666686</v>
      </c>
      <c r="G59" s="21">
        <f>'Monthly Data'!Z59</f>
        <v>1</v>
      </c>
      <c r="H59" s="21">
        <f>'Monthly Data'!CF59</f>
        <v>1</v>
      </c>
      <c r="I59" s="21">
        <f>'Monthly Data'!CV59</f>
        <v>0.5</v>
      </c>
      <c r="J59" s="21">
        <f>'Monthly Data'!CS59</f>
        <v>31</v>
      </c>
      <c r="K59" s="21">
        <f>'Monthly Data'!CM59</f>
        <v>58</v>
      </c>
      <c r="L59" s="21">
        <f>'Monthly Data'!CK59</f>
        <v>0</v>
      </c>
      <c r="N59" s="11">
        <f>'Large Use Predicted Monthly'!$AB$10</f>
        <v>-5783820.4539120998</v>
      </c>
      <c r="O59" s="11">
        <f t="shared" si="13"/>
        <v>49492.756358820487</v>
      </c>
      <c r="P59" s="11">
        <f t="shared" si="14"/>
        <v>1139868.0239392396</v>
      </c>
      <c r="Q59" s="11">
        <f t="shared" si="15"/>
        <v>3499999.8575587198</v>
      </c>
      <c r="R59" s="11">
        <f t="shared" si="16"/>
        <v>387000.72715245897</v>
      </c>
      <c r="S59" s="11">
        <f t="shared" si="17"/>
        <v>-494560.31311656401</v>
      </c>
      <c r="T59" s="11">
        <f t="shared" si="18"/>
        <v>10482494.861430187</v>
      </c>
      <c r="U59" s="11">
        <f t="shared" si="19"/>
        <v>998782.52787833312</v>
      </c>
      <c r="V59" s="11">
        <f t="shared" si="20"/>
        <v>0</v>
      </c>
      <c r="W59" s="11">
        <f t="shared" si="21"/>
        <v>10279257.987289095</v>
      </c>
      <c r="X59" s="11">
        <f t="shared" si="22"/>
        <v>-76870.320460962132</v>
      </c>
      <c r="Y59" s="23">
        <f t="shared" si="23"/>
        <v>7.4226890761324256E-3</v>
      </c>
      <c r="AB59" s="11"/>
      <c r="AC59" s="23"/>
    </row>
    <row r="60" spans="1:29" x14ac:dyDescent="0.2">
      <c r="A60" s="8">
        <f>'Monthly Data'!A60</f>
        <v>44501</v>
      </c>
      <c r="B60">
        <f t="shared" si="1"/>
        <v>2021</v>
      </c>
      <c r="C60">
        <f t="shared" si="2"/>
        <v>11</v>
      </c>
      <c r="D60" s="19">
        <f>'Monthly Data'!X60</f>
        <v>9055135.6095071044</v>
      </c>
      <c r="E60" s="21">
        <f>'Monthly Data'!BJ60</f>
        <v>328.07916666666665</v>
      </c>
      <c r="F60" s="21">
        <f>'Monthly Data'!BM60</f>
        <v>0</v>
      </c>
      <c r="G60" s="21">
        <f>'Monthly Data'!Z60</f>
        <v>1</v>
      </c>
      <c r="H60" s="21">
        <f>'Monthly Data'!CF60</f>
        <v>1</v>
      </c>
      <c r="I60" s="21">
        <f>'Monthly Data'!CV60</f>
        <v>0.5</v>
      </c>
      <c r="J60" s="21">
        <f>'Monthly Data'!CS60</f>
        <v>30</v>
      </c>
      <c r="K60" s="21">
        <f>'Monthly Data'!CM60</f>
        <v>59</v>
      </c>
      <c r="L60" s="21">
        <f>'Monthly Data'!CK60</f>
        <v>0</v>
      </c>
      <c r="N60" s="11">
        <f>'Large Use Predicted Monthly'!$AB$10</f>
        <v>-5783820.4539120998</v>
      </c>
      <c r="O60" s="11">
        <f t="shared" si="13"/>
        <v>202347.48133014006</v>
      </c>
      <c r="P60" s="11">
        <f t="shared" si="14"/>
        <v>0</v>
      </c>
      <c r="Q60" s="11">
        <f t="shared" si="15"/>
        <v>3499999.8575587198</v>
      </c>
      <c r="R60" s="11">
        <f t="shared" si="16"/>
        <v>387000.72715245897</v>
      </c>
      <c r="S60" s="11">
        <f t="shared" si="17"/>
        <v>-494560.31311656401</v>
      </c>
      <c r="T60" s="11">
        <f t="shared" si="18"/>
        <v>10144349.865900181</v>
      </c>
      <c r="U60" s="11">
        <f t="shared" si="19"/>
        <v>1016002.9162900286</v>
      </c>
      <c r="V60" s="11">
        <f t="shared" si="20"/>
        <v>0</v>
      </c>
      <c r="W60" s="11">
        <f t="shared" si="21"/>
        <v>8971320.0812028646</v>
      </c>
      <c r="X60" s="11">
        <f t="shared" si="22"/>
        <v>-83815.528304239735</v>
      </c>
      <c r="Y60" s="23">
        <f t="shared" si="23"/>
        <v>9.256131759776267E-3</v>
      </c>
      <c r="AB60" s="11"/>
      <c r="AC60" s="23"/>
    </row>
    <row r="61" spans="1:29" x14ac:dyDescent="0.2">
      <c r="A61" s="8">
        <f>'Monthly Data'!A61</f>
        <v>44531</v>
      </c>
      <c r="B61">
        <f t="shared" si="1"/>
        <v>2021</v>
      </c>
      <c r="C61">
        <f t="shared" si="2"/>
        <v>12</v>
      </c>
      <c r="D61" s="19">
        <f>'Monthly Data'!X61</f>
        <v>9104376.5640171226</v>
      </c>
      <c r="E61" s="21">
        <f>'Monthly Data'!BJ61</f>
        <v>403.17083333333323</v>
      </c>
      <c r="F61" s="21">
        <f>'Monthly Data'!BM61</f>
        <v>0</v>
      </c>
      <c r="G61" s="21">
        <f>'Monthly Data'!Z61</f>
        <v>1</v>
      </c>
      <c r="H61" s="21">
        <f>'Monthly Data'!CF61</f>
        <v>0</v>
      </c>
      <c r="I61" s="21">
        <f>'Monthly Data'!CV61</f>
        <v>0.5</v>
      </c>
      <c r="J61" s="21">
        <f>'Monthly Data'!CS61</f>
        <v>31</v>
      </c>
      <c r="K61" s="21">
        <f>'Monthly Data'!CM61</f>
        <v>60</v>
      </c>
      <c r="L61" s="21">
        <f>'Monthly Data'!CK61</f>
        <v>0</v>
      </c>
      <c r="N61" s="11">
        <f>'Large Use Predicted Monthly'!$AB$10</f>
        <v>-5783820.4539120998</v>
      </c>
      <c r="O61" s="11">
        <f t="shared" si="13"/>
        <v>248661.33226210237</v>
      </c>
      <c r="P61" s="11">
        <f t="shared" si="14"/>
        <v>0</v>
      </c>
      <c r="Q61" s="11">
        <f t="shared" si="15"/>
        <v>3499999.8575587198</v>
      </c>
      <c r="R61" s="11">
        <f t="shared" si="16"/>
        <v>0</v>
      </c>
      <c r="S61" s="11">
        <f t="shared" si="17"/>
        <v>-494560.31311656401</v>
      </c>
      <c r="T61" s="11">
        <f t="shared" si="18"/>
        <v>10482494.861430187</v>
      </c>
      <c r="U61" s="11">
        <f t="shared" si="19"/>
        <v>1033223.304701724</v>
      </c>
      <c r="V61" s="11">
        <f t="shared" si="20"/>
        <v>0</v>
      </c>
      <c r="W61" s="11">
        <f t="shared" si="21"/>
        <v>8985998.588924069</v>
      </c>
      <c r="X61" s="11">
        <f t="shared" si="22"/>
        <v>-118377.97509305365</v>
      </c>
      <c r="Y61" s="23">
        <f t="shared" si="23"/>
        <v>1.300231534369024E-2</v>
      </c>
      <c r="AB61" s="11"/>
      <c r="AC61" s="23"/>
    </row>
    <row r="62" spans="1:29" x14ac:dyDescent="0.2">
      <c r="A62" s="8">
        <f>'Monthly Data'!A62</f>
        <v>44562</v>
      </c>
      <c r="B62">
        <f t="shared" si="1"/>
        <v>2022</v>
      </c>
      <c r="C62">
        <f t="shared" si="2"/>
        <v>1</v>
      </c>
      <c r="D62" s="19">
        <f>'Monthly Data'!X62</f>
        <v>9110751.0308836643</v>
      </c>
      <c r="E62" s="21">
        <f>'Monthly Data'!BJ62</f>
        <v>680.12083333333328</v>
      </c>
      <c r="F62" s="21">
        <f>'Monthly Data'!BM62</f>
        <v>0</v>
      </c>
      <c r="G62" s="21">
        <f>'Monthly Data'!Z62</f>
        <v>1</v>
      </c>
      <c r="H62" s="21">
        <f>'Monthly Data'!CF62</f>
        <v>0</v>
      </c>
      <c r="I62" s="21">
        <f>'Monthly Data'!CV62</f>
        <v>0.25</v>
      </c>
      <c r="J62" s="21">
        <f>'Monthly Data'!CS62</f>
        <v>31</v>
      </c>
      <c r="K62" s="21">
        <f>'Monthly Data'!CM62</f>
        <v>61</v>
      </c>
      <c r="L62" s="21">
        <f>'Monthly Data'!CK62</f>
        <v>0</v>
      </c>
      <c r="N62" s="11">
        <f>'Large Use Predicted Monthly'!$AB$10</f>
        <v>-5783820.4539120998</v>
      </c>
      <c r="O62" s="11">
        <f t="shared" si="13"/>
        <v>419474.17455184128</v>
      </c>
      <c r="P62" s="11">
        <f t="shared" si="14"/>
        <v>0</v>
      </c>
      <c r="Q62" s="11">
        <f t="shared" si="15"/>
        <v>3499999.8575587198</v>
      </c>
      <c r="R62" s="11">
        <f t="shared" si="16"/>
        <v>0</v>
      </c>
      <c r="S62" s="11">
        <f t="shared" si="17"/>
        <v>-247280.156558282</v>
      </c>
      <c r="T62" s="11">
        <f t="shared" si="18"/>
        <v>10482494.861430187</v>
      </c>
      <c r="U62" s="11">
        <f t="shared" si="19"/>
        <v>1050443.6931134195</v>
      </c>
      <c r="V62" s="11">
        <f t="shared" si="20"/>
        <v>0</v>
      </c>
      <c r="W62" s="11">
        <f t="shared" si="21"/>
        <v>9421311.9761837851</v>
      </c>
      <c r="X62" s="11">
        <f t="shared" si="22"/>
        <v>310560.94530012086</v>
      </c>
      <c r="Y62" s="23">
        <f t="shared" si="23"/>
        <v>3.4087304575372547E-2</v>
      </c>
      <c r="AB62" s="11"/>
      <c r="AC62" s="23"/>
    </row>
    <row r="63" spans="1:29" x14ac:dyDescent="0.2">
      <c r="A63" s="8">
        <f>'Monthly Data'!A63</f>
        <v>44593</v>
      </c>
      <c r="B63">
        <f t="shared" si="1"/>
        <v>2022</v>
      </c>
      <c r="C63">
        <f t="shared" si="2"/>
        <v>2</v>
      </c>
      <c r="D63" s="19">
        <f>'Monthly Data'!X63</f>
        <v>8626632.1104067359</v>
      </c>
      <c r="E63" s="21">
        <f>'Monthly Data'!BJ63</f>
        <v>528.55208333333337</v>
      </c>
      <c r="F63" s="21">
        <f>'Monthly Data'!BM63</f>
        <v>0</v>
      </c>
      <c r="G63" s="21">
        <f>'Monthly Data'!Z63</f>
        <v>1</v>
      </c>
      <c r="H63" s="21">
        <f>'Monthly Data'!CF63</f>
        <v>0</v>
      </c>
      <c r="I63" s="21">
        <f>'Monthly Data'!CV63</f>
        <v>0.25</v>
      </c>
      <c r="J63" s="21">
        <f>'Monthly Data'!CS63</f>
        <v>28</v>
      </c>
      <c r="K63" s="21">
        <f>'Monthly Data'!CM63</f>
        <v>62</v>
      </c>
      <c r="L63" s="21">
        <f>'Monthly Data'!CK63</f>
        <v>0</v>
      </c>
      <c r="N63" s="11">
        <f>'Large Use Predicted Monthly'!$AB$10</f>
        <v>-5783820.4539120998</v>
      </c>
      <c r="O63" s="11">
        <f t="shared" si="13"/>
        <v>325991.99730034155</v>
      </c>
      <c r="P63" s="11">
        <f t="shared" si="14"/>
        <v>0</v>
      </c>
      <c r="Q63" s="11">
        <f t="shared" si="15"/>
        <v>3499999.8575587198</v>
      </c>
      <c r="R63" s="11">
        <f t="shared" si="16"/>
        <v>0</v>
      </c>
      <c r="S63" s="11">
        <f t="shared" si="17"/>
        <v>-247280.156558282</v>
      </c>
      <c r="T63" s="11">
        <f t="shared" si="18"/>
        <v>9468059.8748401683</v>
      </c>
      <c r="U63" s="11">
        <f t="shared" si="19"/>
        <v>1067664.0815251148</v>
      </c>
      <c r="V63" s="11">
        <f t="shared" si="20"/>
        <v>0</v>
      </c>
      <c r="W63" s="11">
        <f t="shared" si="21"/>
        <v>8330615.2007539626</v>
      </c>
      <c r="X63" s="11">
        <f t="shared" si="22"/>
        <v>-296016.90965277329</v>
      </c>
      <c r="Y63" s="23">
        <f t="shared" si="23"/>
        <v>3.4314307816102806E-2</v>
      </c>
      <c r="AB63" s="11"/>
      <c r="AC63" s="23"/>
    </row>
    <row r="64" spans="1:29" x14ac:dyDescent="0.2">
      <c r="A64" s="8">
        <f>'Monthly Data'!A64</f>
        <v>44621</v>
      </c>
      <c r="B64">
        <f t="shared" si="1"/>
        <v>2022</v>
      </c>
      <c r="C64">
        <f t="shared" si="2"/>
        <v>3</v>
      </c>
      <c r="D64" s="19">
        <f>'Monthly Data'!X64</f>
        <v>9589247.0186625384</v>
      </c>
      <c r="E64" s="21">
        <f>'Monthly Data'!BJ64</f>
        <v>412.21041666666667</v>
      </c>
      <c r="F64" s="21">
        <f>'Monthly Data'!BM64</f>
        <v>0</v>
      </c>
      <c r="G64" s="21">
        <f>'Monthly Data'!Z64</f>
        <v>1</v>
      </c>
      <c r="H64" s="21">
        <f>'Monthly Data'!CF64</f>
        <v>0</v>
      </c>
      <c r="I64" s="21">
        <f>'Monthly Data'!CV64</f>
        <v>0.25</v>
      </c>
      <c r="J64" s="21">
        <f>'Monthly Data'!CS64</f>
        <v>31</v>
      </c>
      <c r="K64" s="21">
        <f>'Monthly Data'!CM64</f>
        <v>63</v>
      </c>
      <c r="L64" s="21">
        <f>'Monthly Data'!CK64</f>
        <v>0</v>
      </c>
      <c r="N64" s="11">
        <f>'Large Use Predicted Monthly'!$AB$10</f>
        <v>-5783820.4539120998</v>
      </c>
      <c r="O64" s="11">
        <f t="shared" si="13"/>
        <v>254236.62355035526</v>
      </c>
      <c r="P64" s="11">
        <f t="shared" si="14"/>
        <v>0</v>
      </c>
      <c r="Q64" s="11">
        <f t="shared" si="15"/>
        <v>3499999.8575587198</v>
      </c>
      <c r="R64" s="11">
        <f t="shared" si="16"/>
        <v>0</v>
      </c>
      <c r="S64" s="11">
        <f t="shared" si="17"/>
        <v>-247280.156558282</v>
      </c>
      <c r="T64" s="11">
        <f t="shared" si="18"/>
        <v>10482494.861430187</v>
      </c>
      <c r="U64" s="11">
        <f t="shared" si="19"/>
        <v>1084884.4699368102</v>
      </c>
      <c r="V64" s="11">
        <f t="shared" si="20"/>
        <v>0</v>
      </c>
      <c r="W64" s="11">
        <f t="shared" si="21"/>
        <v>9290515.20200569</v>
      </c>
      <c r="X64" s="11">
        <f t="shared" si="22"/>
        <v>-298731.81665684842</v>
      </c>
      <c r="Y64" s="23">
        <f t="shared" si="23"/>
        <v>3.1152791879848152E-2</v>
      </c>
      <c r="AB64" s="11"/>
      <c r="AC64" s="23"/>
    </row>
    <row r="65" spans="1:32" x14ac:dyDescent="0.2">
      <c r="A65" s="8">
        <f>'Monthly Data'!A65</f>
        <v>44652</v>
      </c>
      <c r="B65">
        <f t="shared" si="1"/>
        <v>2022</v>
      </c>
      <c r="C65">
        <f t="shared" si="2"/>
        <v>4</v>
      </c>
      <c r="D65" s="19">
        <f>'Monthly Data'!X65</f>
        <v>9180227.9473527595</v>
      </c>
      <c r="E65" s="21">
        <f>'Monthly Data'!BJ65</f>
        <v>250.45416666666662</v>
      </c>
      <c r="F65" s="21">
        <f>'Monthly Data'!BM65</f>
        <v>8.4583333333333357</v>
      </c>
      <c r="G65" s="21">
        <f>'Monthly Data'!Z65</f>
        <v>1</v>
      </c>
      <c r="H65" s="21">
        <f>'Monthly Data'!CF65</f>
        <v>0</v>
      </c>
      <c r="I65" s="21">
        <f>'Monthly Data'!CV65</f>
        <v>0.25</v>
      </c>
      <c r="J65" s="21">
        <f>'Monthly Data'!CS65</f>
        <v>30</v>
      </c>
      <c r="K65" s="21">
        <f>'Monthly Data'!CM65</f>
        <v>64</v>
      </c>
      <c r="L65" s="21">
        <f>'Monthly Data'!CK65</f>
        <v>0</v>
      </c>
      <c r="N65" s="11">
        <f>'Large Use Predicted Monthly'!$AB$10</f>
        <v>-5783820.4539120998</v>
      </c>
      <c r="O65" s="11">
        <f t="shared" si="13"/>
        <v>154471.16111804044</v>
      </c>
      <c r="P65" s="11">
        <f t="shared" si="14"/>
        <v>115667.68750795584</v>
      </c>
      <c r="Q65" s="11">
        <f t="shared" si="15"/>
        <v>3499999.8575587198</v>
      </c>
      <c r="R65" s="11">
        <f t="shared" si="16"/>
        <v>0</v>
      </c>
      <c r="S65" s="11">
        <f t="shared" si="17"/>
        <v>-247280.156558282</v>
      </c>
      <c r="T65" s="11">
        <f t="shared" si="18"/>
        <v>10144349.865900181</v>
      </c>
      <c r="U65" s="11">
        <f t="shared" si="19"/>
        <v>1102104.8583485056</v>
      </c>
      <c r="V65" s="11">
        <f t="shared" si="20"/>
        <v>0</v>
      </c>
      <c r="W65" s="11">
        <f t="shared" si="21"/>
        <v>8985492.8199630212</v>
      </c>
      <c r="X65" s="11">
        <f t="shared" si="22"/>
        <v>-194735.12738973834</v>
      </c>
      <c r="Y65" s="23">
        <f t="shared" si="23"/>
        <v>2.1212450116327754E-2</v>
      </c>
      <c r="AB65" s="11"/>
      <c r="AC65" s="23"/>
    </row>
    <row r="66" spans="1:32" x14ac:dyDescent="0.2">
      <c r="A66" s="8">
        <f>'Monthly Data'!A66</f>
        <v>44682</v>
      </c>
      <c r="B66">
        <f t="shared" ref="B66:B97" si="24">YEAR(A66)</f>
        <v>2022</v>
      </c>
      <c r="C66">
        <f t="shared" ref="C66:C97" si="25">MONTH(A66)</f>
        <v>5</v>
      </c>
      <c r="D66" s="19">
        <f>'Monthly Data'!X66</f>
        <v>10077830.463332593</v>
      </c>
      <c r="E66" s="21">
        <f>'Monthly Data'!BJ66</f>
        <v>44.104166666666664</v>
      </c>
      <c r="F66" s="21">
        <f>'Monthly Data'!BM66</f>
        <v>118.09791666666665</v>
      </c>
      <c r="G66" s="21">
        <f>'Monthly Data'!Z66</f>
        <v>1</v>
      </c>
      <c r="H66" s="21">
        <f>'Monthly Data'!CF66</f>
        <v>0</v>
      </c>
      <c r="I66" s="21">
        <f>'Monthly Data'!CV66</f>
        <v>0.25</v>
      </c>
      <c r="J66" s="21">
        <f>'Monthly Data'!CS66</f>
        <v>31</v>
      </c>
      <c r="K66" s="21">
        <f>'Monthly Data'!CM66</f>
        <v>65</v>
      </c>
      <c r="L66" s="21">
        <f>'Monthly Data'!CK66</f>
        <v>1</v>
      </c>
      <c r="N66" s="11">
        <f>'Large Use Predicted Monthly'!$AB$10</f>
        <v>-5783820.4539120998</v>
      </c>
      <c r="O66" s="11">
        <f t="shared" si="13"/>
        <v>27201.870608968013</v>
      </c>
      <c r="P66" s="11">
        <f t="shared" ref="P66:P97" si="26">F66*$AB$12</f>
        <v>1614988.7196461796</v>
      </c>
      <c r="Q66" s="11">
        <f t="shared" ref="Q66:Q97" si="27">G66*$AB$13</f>
        <v>3499999.8575587198</v>
      </c>
      <c r="R66" s="11">
        <f t="shared" ref="R66:R97" si="28">H66*$AB$14</f>
        <v>0</v>
      </c>
      <c r="S66" s="11">
        <f t="shared" ref="S66:S97" si="29">I66*$AB$15</f>
        <v>-247280.156558282</v>
      </c>
      <c r="T66" s="11">
        <f t="shared" ref="T66:T97" si="30">J66*$AB$16</f>
        <v>10482494.861430187</v>
      </c>
      <c r="U66" s="11">
        <f t="shared" ref="U66:U97" si="31">K66*$AB$17</f>
        <v>1119325.2467602009</v>
      </c>
      <c r="V66" s="11">
        <f t="shared" ref="V66:V97" si="32">L66*$AB$18</f>
        <v>-352058.92944720201</v>
      </c>
      <c r="W66" s="11">
        <f t="shared" ref="W66:W97" si="33">SUM(N66:V66)</f>
        <v>10360851.016086672</v>
      </c>
      <c r="X66" s="11">
        <f t="shared" ref="X66:X97" si="34">W66-D66</f>
        <v>283020.55275407806</v>
      </c>
      <c r="Y66" s="23">
        <f t="shared" ref="Y66:Y97" si="35">ABS(X66/D66)</f>
        <v>2.8083480247442786E-2</v>
      </c>
      <c r="AB66" s="11"/>
      <c r="AC66" s="23"/>
    </row>
    <row r="67" spans="1:32" x14ac:dyDescent="0.2">
      <c r="A67" s="8">
        <f>'Monthly Data'!A67</f>
        <v>44713</v>
      </c>
      <c r="B67">
        <f t="shared" si="24"/>
        <v>2022</v>
      </c>
      <c r="C67">
        <f t="shared" si="25"/>
        <v>6</v>
      </c>
      <c r="D67" s="19">
        <f>'Monthly Data'!X67</f>
        <v>10583328.764044672</v>
      </c>
      <c r="E67" s="21">
        <f>'Monthly Data'!BJ67</f>
        <v>0.97291666666666998</v>
      </c>
      <c r="F67" s="21">
        <f>'Monthly Data'!BM67</f>
        <v>201.85208333333333</v>
      </c>
      <c r="G67" s="21">
        <f>'Monthly Data'!Z67</f>
        <v>1</v>
      </c>
      <c r="H67" s="21">
        <f>'Monthly Data'!CF67</f>
        <v>0</v>
      </c>
      <c r="I67" s="21">
        <f>'Monthly Data'!CV67</f>
        <v>0.25</v>
      </c>
      <c r="J67" s="21">
        <f>'Monthly Data'!CS67</f>
        <v>30</v>
      </c>
      <c r="K67" s="21">
        <f>'Monthly Data'!CM67</f>
        <v>66</v>
      </c>
      <c r="L67" s="21">
        <f>'Monthly Data'!CK67</f>
        <v>1</v>
      </c>
      <c r="N67" s="11">
        <f>'Large Use Predicted Monthly'!$AB$10</f>
        <v>-5783820.4539120998</v>
      </c>
      <c r="O67" s="11">
        <f t="shared" ref="O67:O109" si="36">E67*$AB$11</f>
        <v>600.06015939480903</v>
      </c>
      <c r="P67" s="11">
        <f t="shared" si="26"/>
        <v>2760326.7426005737</v>
      </c>
      <c r="Q67" s="11">
        <f t="shared" si="27"/>
        <v>3499999.8575587198</v>
      </c>
      <c r="R67" s="11">
        <f t="shared" si="28"/>
        <v>0</v>
      </c>
      <c r="S67" s="11">
        <f t="shared" si="29"/>
        <v>-247280.156558282</v>
      </c>
      <c r="T67" s="11">
        <f t="shared" si="30"/>
        <v>10144349.865900181</v>
      </c>
      <c r="U67" s="11">
        <f t="shared" si="31"/>
        <v>1136545.6351718963</v>
      </c>
      <c r="V67" s="11">
        <f t="shared" si="32"/>
        <v>-352058.92944720201</v>
      </c>
      <c r="W67" s="11">
        <f t="shared" si="33"/>
        <v>11158662.621473182</v>
      </c>
      <c r="X67" s="11">
        <f t="shared" si="34"/>
        <v>575333.85742850974</v>
      </c>
      <c r="Y67" s="23">
        <f t="shared" si="35"/>
        <v>5.4362277715790448E-2</v>
      </c>
      <c r="AB67" s="11"/>
      <c r="AC67" s="23"/>
    </row>
    <row r="68" spans="1:32" x14ac:dyDescent="0.2">
      <c r="A68" s="8">
        <f>'Monthly Data'!A68</f>
        <v>44743</v>
      </c>
      <c r="B68">
        <f t="shared" si="24"/>
        <v>2022</v>
      </c>
      <c r="C68">
        <f t="shared" si="25"/>
        <v>7</v>
      </c>
      <c r="D68" s="19">
        <f>'Monthly Data'!X68</f>
        <v>11652875.177961215</v>
      </c>
      <c r="E68" s="21">
        <f>'Monthly Data'!BJ68</f>
        <v>0</v>
      </c>
      <c r="F68" s="21">
        <f>'Monthly Data'!BM68</f>
        <v>286.93333333333339</v>
      </c>
      <c r="G68" s="21">
        <f>'Monthly Data'!Z68</f>
        <v>1</v>
      </c>
      <c r="H68" s="21">
        <f>'Monthly Data'!CF68</f>
        <v>0</v>
      </c>
      <c r="I68" s="21">
        <f>'Monthly Data'!CV68</f>
        <v>0.25</v>
      </c>
      <c r="J68" s="21">
        <f>'Monthly Data'!CS68</f>
        <v>31</v>
      </c>
      <c r="K68" s="21">
        <f>'Monthly Data'!CM68</f>
        <v>67</v>
      </c>
      <c r="L68" s="21">
        <f>'Monthly Data'!CK68</f>
        <v>1</v>
      </c>
      <c r="N68" s="11">
        <f>'Large Use Predicted Monthly'!$AB$10</f>
        <v>-5783820.4539120998</v>
      </c>
      <c r="O68" s="11">
        <f t="shared" si="36"/>
        <v>0</v>
      </c>
      <c r="P68" s="11">
        <f t="shared" si="26"/>
        <v>3923812.626870872</v>
      </c>
      <c r="Q68" s="11">
        <f t="shared" si="27"/>
        <v>3499999.8575587198</v>
      </c>
      <c r="R68" s="11">
        <f t="shared" si="28"/>
        <v>0</v>
      </c>
      <c r="S68" s="11">
        <f t="shared" si="29"/>
        <v>-247280.156558282</v>
      </c>
      <c r="T68" s="11">
        <f t="shared" si="30"/>
        <v>10482494.861430187</v>
      </c>
      <c r="U68" s="11">
        <f t="shared" si="31"/>
        <v>1153766.0235835917</v>
      </c>
      <c r="V68" s="11">
        <f t="shared" si="32"/>
        <v>-352058.92944720201</v>
      </c>
      <c r="W68" s="11">
        <f t="shared" si="33"/>
        <v>12676913.829525786</v>
      </c>
      <c r="X68" s="11">
        <f t="shared" si="34"/>
        <v>1024038.6515645701</v>
      </c>
      <c r="Y68" s="23">
        <f t="shared" si="35"/>
        <v>8.7878625311400255E-2</v>
      </c>
      <c r="AB68" s="11"/>
      <c r="AC68" s="23"/>
    </row>
    <row r="69" spans="1:32" x14ac:dyDescent="0.2">
      <c r="A69" s="8">
        <f>'Monthly Data'!A69</f>
        <v>44774</v>
      </c>
      <c r="B69">
        <f t="shared" si="24"/>
        <v>2022</v>
      </c>
      <c r="C69">
        <f t="shared" si="25"/>
        <v>8</v>
      </c>
      <c r="D69" s="19">
        <f>'Monthly Data'!X69</f>
        <v>11707751.467102198</v>
      </c>
      <c r="E69" s="21">
        <f>'Monthly Data'!BJ69</f>
        <v>0</v>
      </c>
      <c r="F69" s="21">
        <f>'Monthly Data'!BM69</f>
        <v>270.27916666666675</v>
      </c>
      <c r="G69" s="21">
        <f>'Monthly Data'!Z69</f>
        <v>1</v>
      </c>
      <c r="H69" s="21">
        <f>'Monthly Data'!CF69</f>
        <v>0</v>
      </c>
      <c r="I69" s="21">
        <f>'Monthly Data'!CV69</f>
        <v>0.25</v>
      </c>
      <c r="J69" s="21">
        <f>'Monthly Data'!CS69</f>
        <v>31</v>
      </c>
      <c r="K69" s="21">
        <f>'Monthly Data'!CM69</f>
        <v>68</v>
      </c>
      <c r="L69" s="21">
        <f>'Monthly Data'!CK69</f>
        <v>1</v>
      </c>
      <c r="N69" s="11">
        <f>'Large Use Predicted Monthly'!$AB$10</f>
        <v>-5783820.4539120998</v>
      </c>
      <c r="O69" s="11">
        <f t="shared" si="36"/>
        <v>0</v>
      </c>
      <c r="P69" s="11">
        <f t="shared" si="26"/>
        <v>3696066.938708656</v>
      </c>
      <c r="Q69" s="11">
        <f t="shared" si="27"/>
        <v>3499999.8575587198</v>
      </c>
      <c r="R69" s="11">
        <f t="shared" si="28"/>
        <v>0</v>
      </c>
      <c r="S69" s="11">
        <f t="shared" si="29"/>
        <v>-247280.156558282</v>
      </c>
      <c r="T69" s="11">
        <f t="shared" si="30"/>
        <v>10482494.861430187</v>
      </c>
      <c r="U69" s="11">
        <f t="shared" si="31"/>
        <v>1170986.4119952871</v>
      </c>
      <c r="V69" s="11">
        <f t="shared" si="32"/>
        <v>-352058.92944720201</v>
      </c>
      <c r="W69" s="11">
        <f t="shared" si="33"/>
        <v>12466388.529775267</v>
      </c>
      <c r="X69" s="11">
        <f t="shared" si="34"/>
        <v>758637.06267306954</v>
      </c>
      <c r="Y69" s="23">
        <f t="shared" si="35"/>
        <v>6.4797844812881131E-2</v>
      </c>
      <c r="AB69" s="11"/>
      <c r="AC69" s="23"/>
    </row>
    <row r="70" spans="1:32" x14ac:dyDescent="0.2">
      <c r="A70" s="8">
        <f>'Monthly Data'!A70</f>
        <v>44805</v>
      </c>
      <c r="B70">
        <f t="shared" si="24"/>
        <v>2022</v>
      </c>
      <c r="C70">
        <f t="shared" si="25"/>
        <v>9</v>
      </c>
      <c r="D70" s="19">
        <f>'Monthly Data'!X70</f>
        <v>10939336.920596739</v>
      </c>
      <c r="E70" s="21">
        <f>'Monthly Data'!BJ70</f>
        <v>24.349999999999994</v>
      </c>
      <c r="F70" s="21">
        <f>'Monthly Data'!BM70</f>
        <v>145.54583333333335</v>
      </c>
      <c r="G70" s="21">
        <f>'Monthly Data'!Z70</f>
        <v>1</v>
      </c>
      <c r="H70" s="21">
        <f>'Monthly Data'!CF70</f>
        <v>1</v>
      </c>
      <c r="I70" s="21">
        <f>'Monthly Data'!CV70</f>
        <v>0.25</v>
      </c>
      <c r="J70" s="21">
        <f>'Monthly Data'!CS70</f>
        <v>30</v>
      </c>
      <c r="K70" s="21">
        <f>'Monthly Data'!CM70</f>
        <v>69</v>
      </c>
      <c r="L70" s="21">
        <f>'Monthly Data'!CK70</f>
        <v>0</v>
      </c>
      <c r="N70" s="11">
        <f>'Large Use Predicted Monthly'!$AB$10</f>
        <v>-5783820.4539120998</v>
      </c>
      <c r="O70" s="11">
        <f t="shared" si="36"/>
        <v>15018.208015003216</v>
      </c>
      <c r="P70" s="11">
        <f t="shared" si="26"/>
        <v>1990338.9124829578</v>
      </c>
      <c r="Q70" s="11">
        <f t="shared" si="27"/>
        <v>3499999.8575587198</v>
      </c>
      <c r="R70" s="11">
        <f t="shared" si="28"/>
        <v>387000.72715245897</v>
      </c>
      <c r="S70" s="11">
        <f t="shared" si="29"/>
        <v>-247280.156558282</v>
      </c>
      <c r="T70" s="11">
        <f t="shared" si="30"/>
        <v>10144349.865900181</v>
      </c>
      <c r="U70" s="11">
        <f t="shared" si="31"/>
        <v>1188206.8004069827</v>
      </c>
      <c r="V70" s="11">
        <f t="shared" si="32"/>
        <v>0</v>
      </c>
      <c r="W70" s="11">
        <f t="shared" si="33"/>
        <v>11193813.761045922</v>
      </c>
      <c r="X70" s="11">
        <f t="shared" si="34"/>
        <v>254476.84044918232</v>
      </c>
      <c r="Y70" s="23">
        <f t="shared" si="35"/>
        <v>2.3262547108321503E-2</v>
      </c>
      <c r="AB70" s="11"/>
      <c r="AC70" s="23"/>
    </row>
    <row r="71" spans="1:32" x14ac:dyDescent="0.2">
      <c r="A71" s="8">
        <f>'Monthly Data'!A71</f>
        <v>44835</v>
      </c>
      <c r="B71">
        <f t="shared" si="24"/>
        <v>2022</v>
      </c>
      <c r="C71">
        <f t="shared" si="25"/>
        <v>10</v>
      </c>
      <c r="D71" s="19">
        <f>'Monthly Data'!X71</f>
        <v>12833984.256122762</v>
      </c>
      <c r="E71" s="21">
        <f>'Monthly Data'!BJ71</f>
        <v>138.87083333333328</v>
      </c>
      <c r="F71" s="21">
        <f>'Monthly Data'!BM71</f>
        <v>19.333333333333336</v>
      </c>
      <c r="G71" s="21">
        <f>'Monthly Data'!Z71</f>
        <v>2</v>
      </c>
      <c r="H71" s="21">
        <f>'Monthly Data'!CF71</f>
        <v>1</v>
      </c>
      <c r="I71" s="21">
        <f>'Monthly Data'!CV71</f>
        <v>0.25</v>
      </c>
      <c r="J71" s="21">
        <f>'Monthly Data'!CS71</f>
        <v>31</v>
      </c>
      <c r="K71" s="21">
        <f>'Monthly Data'!CM71</f>
        <v>70</v>
      </c>
      <c r="L71" s="21">
        <f>'Monthly Data'!CK71</f>
        <v>0</v>
      </c>
      <c r="N71" s="11">
        <f>'Large Use Predicted Monthly'!$AB$10</f>
        <v>-5783820.4539120998</v>
      </c>
      <c r="O71" s="11">
        <f t="shared" si="36"/>
        <v>85650.556969890851</v>
      </c>
      <c r="P71" s="11">
        <f t="shared" si="26"/>
        <v>264383.28573247045</v>
      </c>
      <c r="Q71" s="11">
        <f t="shared" si="27"/>
        <v>6999999.7151174396</v>
      </c>
      <c r="R71" s="11">
        <f t="shared" si="28"/>
        <v>387000.72715245897</v>
      </c>
      <c r="S71" s="11">
        <f t="shared" si="29"/>
        <v>-247280.156558282</v>
      </c>
      <c r="T71" s="11">
        <f t="shared" si="30"/>
        <v>10482494.861430187</v>
      </c>
      <c r="U71" s="11">
        <f t="shared" si="31"/>
        <v>1205427.188818678</v>
      </c>
      <c r="V71" s="11">
        <f t="shared" si="32"/>
        <v>0</v>
      </c>
      <c r="W71" s="11">
        <f t="shared" si="33"/>
        <v>13393855.724750744</v>
      </c>
      <c r="X71" s="11">
        <f t="shared" si="34"/>
        <v>559871.46862798184</v>
      </c>
      <c r="Y71" s="23">
        <f t="shared" si="35"/>
        <v>4.3624135533817693E-2</v>
      </c>
      <c r="AB71" s="11"/>
      <c r="AC71" s="23"/>
    </row>
    <row r="72" spans="1:32" x14ac:dyDescent="0.2">
      <c r="A72" s="8">
        <f>'Monthly Data'!A72</f>
        <v>44866</v>
      </c>
      <c r="B72">
        <f t="shared" si="24"/>
        <v>2022</v>
      </c>
      <c r="C72">
        <f t="shared" si="25"/>
        <v>11</v>
      </c>
      <c r="D72" s="19">
        <f>'Monthly Data'!X72</f>
        <v>12654963.870489843</v>
      </c>
      <c r="E72" s="21">
        <f>'Monthly Data'!BJ72</f>
        <v>285.52916666666664</v>
      </c>
      <c r="F72" s="21">
        <f>'Monthly Data'!BM72</f>
        <v>10.529166666666663</v>
      </c>
      <c r="G72" s="21">
        <f>'Monthly Data'!Z72</f>
        <v>2</v>
      </c>
      <c r="H72" s="21">
        <f>'Monthly Data'!CF72</f>
        <v>1</v>
      </c>
      <c r="I72" s="21">
        <f>'Monthly Data'!CV72</f>
        <v>0.25</v>
      </c>
      <c r="J72" s="21">
        <f>'Monthly Data'!CS72</f>
        <v>30</v>
      </c>
      <c r="K72" s="21">
        <f>'Monthly Data'!CM72</f>
        <v>71</v>
      </c>
      <c r="L72" s="21">
        <f>'Monthly Data'!CK72</f>
        <v>0</v>
      </c>
      <c r="N72" s="11">
        <f>'Large Use Predicted Monthly'!$AB$10</f>
        <v>-5783820.4539120998</v>
      </c>
      <c r="O72" s="11">
        <f t="shared" si="36"/>
        <v>176104.1650657299</v>
      </c>
      <c r="P72" s="11">
        <f t="shared" si="26"/>
        <v>143986.32824266219</v>
      </c>
      <c r="Q72" s="11">
        <f t="shared" si="27"/>
        <v>6999999.7151174396</v>
      </c>
      <c r="R72" s="11">
        <f t="shared" si="28"/>
        <v>387000.72715245897</v>
      </c>
      <c r="S72" s="11">
        <f t="shared" si="29"/>
        <v>-247280.156558282</v>
      </c>
      <c r="T72" s="11">
        <f t="shared" si="30"/>
        <v>10144349.865900181</v>
      </c>
      <c r="U72" s="11">
        <f t="shared" si="31"/>
        <v>1222647.5772303734</v>
      </c>
      <c r="V72" s="11">
        <f t="shared" si="32"/>
        <v>0</v>
      </c>
      <c r="W72" s="11">
        <f t="shared" si="33"/>
        <v>13042987.768238464</v>
      </c>
      <c r="X72" s="11">
        <f t="shared" si="34"/>
        <v>388023.89774862118</v>
      </c>
      <c r="Y72" s="23">
        <f t="shared" si="35"/>
        <v>3.0661794195513709E-2</v>
      </c>
      <c r="AA72" s="11"/>
      <c r="AB72" s="11"/>
      <c r="AC72" s="23"/>
    </row>
    <row r="73" spans="1:32" x14ac:dyDescent="0.2">
      <c r="A73" s="8">
        <f>'Monthly Data'!A73</f>
        <v>44896</v>
      </c>
      <c r="B73">
        <f t="shared" si="24"/>
        <v>2022</v>
      </c>
      <c r="C73">
        <f t="shared" si="25"/>
        <v>12</v>
      </c>
      <c r="D73" s="19">
        <f>'Monthly Data'!X73</f>
        <v>12881327.663235825</v>
      </c>
      <c r="E73" s="21">
        <f>'Monthly Data'!BJ73</f>
        <v>469.42500000000007</v>
      </c>
      <c r="F73" s="21">
        <f>'Monthly Data'!BM73</f>
        <v>0</v>
      </c>
      <c r="G73" s="21">
        <f>'Monthly Data'!Z73</f>
        <v>2</v>
      </c>
      <c r="H73" s="21">
        <f>'Monthly Data'!CF73</f>
        <v>0</v>
      </c>
      <c r="I73" s="21">
        <f>'Monthly Data'!CV73</f>
        <v>0.25</v>
      </c>
      <c r="J73" s="21">
        <f>'Monthly Data'!CS73</f>
        <v>31</v>
      </c>
      <c r="K73" s="21">
        <f>'Monthly Data'!CM73</f>
        <v>72</v>
      </c>
      <c r="L73" s="21">
        <f>'Monthly Data'!CK73</f>
        <v>0</v>
      </c>
      <c r="N73" s="11">
        <f>'Large Use Predicted Monthly'!$AB$10</f>
        <v>-5783820.4539120998</v>
      </c>
      <c r="O73" s="11">
        <f t="shared" si="36"/>
        <v>289524.52966911241</v>
      </c>
      <c r="P73" s="11">
        <f t="shared" si="26"/>
        <v>0</v>
      </c>
      <c r="Q73" s="11">
        <f t="shared" si="27"/>
        <v>6999999.7151174396</v>
      </c>
      <c r="R73" s="11">
        <f t="shared" si="28"/>
        <v>0</v>
      </c>
      <c r="S73" s="11">
        <f t="shared" si="29"/>
        <v>-247280.156558282</v>
      </c>
      <c r="T73" s="11">
        <f t="shared" si="30"/>
        <v>10482494.861430187</v>
      </c>
      <c r="U73" s="11">
        <f t="shared" si="31"/>
        <v>1239867.9656420688</v>
      </c>
      <c r="V73" s="11">
        <f t="shared" si="32"/>
        <v>0</v>
      </c>
      <c r="W73" s="11">
        <f t="shared" si="33"/>
        <v>12980786.461388426</v>
      </c>
      <c r="X73" s="11">
        <f t="shared" si="34"/>
        <v>99458.798152601346</v>
      </c>
      <c r="Y73" s="23">
        <f t="shared" si="35"/>
        <v>7.7211604853794262E-3</v>
      </c>
      <c r="AA73" s="11"/>
      <c r="AB73" s="11"/>
      <c r="AC73" s="23"/>
    </row>
    <row r="74" spans="1:32" x14ac:dyDescent="0.2">
      <c r="A74" s="8">
        <f>'Monthly Data'!A74</f>
        <v>44927</v>
      </c>
      <c r="B74">
        <f t="shared" si="24"/>
        <v>2023</v>
      </c>
      <c r="C74">
        <f t="shared" si="25"/>
        <v>1</v>
      </c>
      <c r="D74" s="19">
        <f>'Monthly Data'!X74</f>
        <v>12735778.584634606</v>
      </c>
      <c r="E74" s="21">
        <f>'Monthly Data'!BJ74</f>
        <v>465.55416666666667</v>
      </c>
      <c r="F74" s="21">
        <f>'Monthly Data'!BM74</f>
        <v>0</v>
      </c>
      <c r="G74" s="21">
        <f>'Monthly Data'!Z74</f>
        <v>2</v>
      </c>
      <c r="H74" s="21">
        <f>'Monthly Data'!CF74</f>
        <v>0</v>
      </c>
      <c r="I74" s="21">
        <f>'Monthly Data'!CV74</f>
        <v>0</v>
      </c>
      <c r="J74" s="21">
        <f>'Monthly Data'!CS74</f>
        <v>31</v>
      </c>
      <c r="K74" s="21">
        <f>'Monthly Data'!CM74</f>
        <v>73</v>
      </c>
      <c r="L74" s="21">
        <f>'Monthly Data'!CK74</f>
        <v>0</v>
      </c>
      <c r="N74" s="11">
        <f>'Large Use Predicted Monthly'!$AB$10</f>
        <v>-5783820.4539120998</v>
      </c>
      <c r="O74" s="11">
        <f t="shared" si="36"/>
        <v>287137.13828548166</v>
      </c>
      <c r="P74" s="11">
        <f t="shared" si="26"/>
        <v>0</v>
      </c>
      <c r="Q74" s="11">
        <f t="shared" si="27"/>
        <v>6999999.7151174396</v>
      </c>
      <c r="R74" s="11">
        <f t="shared" si="28"/>
        <v>0</v>
      </c>
      <c r="S74" s="11">
        <f t="shared" si="29"/>
        <v>0</v>
      </c>
      <c r="T74" s="11">
        <f t="shared" si="30"/>
        <v>10482494.861430187</v>
      </c>
      <c r="U74" s="11">
        <f t="shared" si="31"/>
        <v>1257088.3540537641</v>
      </c>
      <c r="V74" s="11">
        <f t="shared" si="32"/>
        <v>0</v>
      </c>
      <c r="W74" s="11">
        <f t="shared" si="33"/>
        <v>13242899.614974773</v>
      </c>
      <c r="X74" s="11">
        <f t="shared" si="34"/>
        <v>507121.03034016676</v>
      </c>
      <c r="Y74" s="23">
        <f t="shared" si="35"/>
        <v>3.9818612342396989E-2</v>
      </c>
      <c r="AA74" s="11"/>
      <c r="AB74" s="11"/>
      <c r="AC74" s="23"/>
    </row>
    <row r="75" spans="1:32" x14ac:dyDescent="0.2">
      <c r="A75" s="8">
        <f>'Monthly Data'!A75</f>
        <v>44958</v>
      </c>
      <c r="B75">
        <f t="shared" si="24"/>
        <v>2023</v>
      </c>
      <c r="C75">
        <f t="shared" si="25"/>
        <v>2</v>
      </c>
      <c r="D75" s="19">
        <f>'Monthly Data'!X75</f>
        <v>11767083.564607263</v>
      </c>
      <c r="E75" s="21">
        <f>'Monthly Data'!BJ75</f>
        <v>433.21666666666664</v>
      </c>
      <c r="F75" s="21">
        <f>'Monthly Data'!BM75</f>
        <v>0</v>
      </c>
      <c r="G75" s="21">
        <f>'Monthly Data'!Z75</f>
        <v>2</v>
      </c>
      <c r="H75" s="21">
        <f>'Monthly Data'!CF75</f>
        <v>0</v>
      </c>
      <c r="I75" s="21">
        <f>'Monthly Data'!CV75</f>
        <v>0</v>
      </c>
      <c r="J75" s="21">
        <f>'Monthly Data'!CS75</f>
        <v>28</v>
      </c>
      <c r="K75" s="21">
        <f>'Monthly Data'!CM75</f>
        <v>74</v>
      </c>
      <c r="L75" s="21">
        <f>'Monthly Data'!CK75</f>
        <v>0</v>
      </c>
      <c r="N75" s="11">
        <f>'Large Use Predicted Monthly'!$AB$10</f>
        <v>-5783820.4539120998</v>
      </c>
      <c r="O75" s="11">
        <f t="shared" si="36"/>
        <v>267192.5263066247</v>
      </c>
      <c r="P75" s="11">
        <f t="shared" si="26"/>
        <v>0</v>
      </c>
      <c r="Q75" s="11">
        <f t="shared" si="27"/>
        <v>6999999.7151174396</v>
      </c>
      <c r="R75" s="11">
        <f t="shared" si="28"/>
        <v>0</v>
      </c>
      <c r="S75" s="11">
        <f t="shared" si="29"/>
        <v>0</v>
      </c>
      <c r="T75" s="11">
        <f t="shared" si="30"/>
        <v>9468059.8748401683</v>
      </c>
      <c r="U75" s="11">
        <f t="shared" si="31"/>
        <v>1274308.7424654595</v>
      </c>
      <c r="V75" s="11">
        <f t="shared" si="32"/>
        <v>0</v>
      </c>
      <c r="W75" s="11">
        <f t="shared" si="33"/>
        <v>12225740.404817592</v>
      </c>
      <c r="X75" s="11">
        <f t="shared" si="34"/>
        <v>458656.84021032974</v>
      </c>
      <c r="Y75" s="23">
        <f t="shared" si="35"/>
        <v>3.8977953856796449E-2</v>
      </c>
      <c r="AA75" s="11"/>
      <c r="AB75" s="11"/>
      <c r="AC75" s="23"/>
    </row>
    <row r="76" spans="1:32" x14ac:dyDescent="0.2">
      <c r="A76" s="8">
        <f>'Monthly Data'!A76</f>
        <v>44986</v>
      </c>
      <c r="B76">
        <f t="shared" si="24"/>
        <v>2023</v>
      </c>
      <c r="C76">
        <f t="shared" si="25"/>
        <v>3</v>
      </c>
      <c r="D76" s="19">
        <f>'Monthly Data'!X76</f>
        <v>13459049.055932319</v>
      </c>
      <c r="E76" s="21">
        <f>'Monthly Data'!BJ76</f>
        <v>428.04583333333323</v>
      </c>
      <c r="F76" s="21">
        <f>'Monthly Data'!BM76</f>
        <v>0</v>
      </c>
      <c r="G76" s="21">
        <f>'Monthly Data'!Z76</f>
        <v>2</v>
      </c>
      <c r="H76" s="21">
        <f>'Monthly Data'!CF76</f>
        <v>0</v>
      </c>
      <c r="I76" s="21">
        <f>'Monthly Data'!CV76</f>
        <v>0</v>
      </c>
      <c r="J76" s="21">
        <f>'Monthly Data'!CS76</f>
        <v>31</v>
      </c>
      <c r="K76" s="21">
        <f>'Monthly Data'!CM76</f>
        <v>75</v>
      </c>
      <c r="L76" s="21">
        <f>'Monthly Data'!CK76</f>
        <v>0</v>
      </c>
      <c r="N76" s="11">
        <f>'Large Use Predicted Monthly'!$AB$10</f>
        <v>-5783820.4539120998</v>
      </c>
      <c r="O76" s="11">
        <f t="shared" si="36"/>
        <v>264003.34147660772</v>
      </c>
      <c r="P76" s="11">
        <f t="shared" si="26"/>
        <v>0</v>
      </c>
      <c r="Q76" s="11">
        <f t="shared" si="27"/>
        <v>6999999.7151174396</v>
      </c>
      <c r="R76" s="11">
        <f t="shared" si="28"/>
        <v>0</v>
      </c>
      <c r="S76" s="11">
        <f t="shared" si="29"/>
        <v>0</v>
      </c>
      <c r="T76" s="11">
        <f t="shared" si="30"/>
        <v>10482494.861430187</v>
      </c>
      <c r="U76" s="11">
        <f t="shared" si="31"/>
        <v>1291529.1308771549</v>
      </c>
      <c r="V76" s="11">
        <f t="shared" si="32"/>
        <v>0</v>
      </c>
      <c r="W76" s="11">
        <f t="shared" si="33"/>
        <v>13254206.594989289</v>
      </c>
      <c r="X76" s="11">
        <f t="shared" si="34"/>
        <v>-204842.46094303019</v>
      </c>
      <c r="Y76" s="23">
        <f t="shared" si="35"/>
        <v>1.521968306169017E-2</v>
      </c>
      <c r="AA76" s="11"/>
      <c r="AB76" s="11"/>
      <c r="AC76" s="23"/>
    </row>
    <row r="77" spans="1:32" x14ac:dyDescent="0.2">
      <c r="A77" s="8">
        <f>'Monthly Data'!A77</f>
        <v>45017</v>
      </c>
      <c r="B77">
        <f t="shared" si="24"/>
        <v>2023</v>
      </c>
      <c r="C77">
        <f t="shared" si="25"/>
        <v>4</v>
      </c>
      <c r="D77" s="19">
        <f>'Monthly Data'!X77</f>
        <v>13160905.919451777</v>
      </c>
      <c r="E77" s="21">
        <f>'Monthly Data'!BJ77</f>
        <v>192.73750000000004</v>
      </c>
      <c r="F77" s="21">
        <f>'Monthly Data'!BM77</f>
        <v>34.51666666666668</v>
      </c>
      <c r="G77" s="21">
        <f>'Monthly Data'!Z77</f>
        <v>2</v>
      </c>
      <c r="H77" s="21">
        <f>'Monthly Data'!CF77</f>
        <v>0</v>
      </c>
      <c r="I77" s="21">
        <f>'Monthly Data'!CV77</f>
        <v>0</v>
      </c>
      <c r="J77" s="21">
        <f>'Monthly Data'!CS77</f>
        <v>30</v>
      </c>
      <c r="K77" s="21">
        <f>'Monthly Data'!CM77</f>
        <v>76</v>
      </c>
      <c r="L77" s="21">
        <f>'Monthly Data'!CK77</f>
        <v>0</v>
      </c>
      <c r="N77" s="11">
        <f>'Large Use Predicted Monthly'!$AB$10</f>
        <v>-5783820.4539120998</v>
      </c>
      <c r="O77" s="11">
        <f t="shared" si="36"/>
        <v>118873.58797912458</v>
      </c>
      <c r="P77" s="11">
        <f t="shared" si="26"/>
        <v>472015.33168271242</v>
      </c>
      <c r="Q77" s="11">
        <f t="shared" si="27"/>
        <v>6999999.7151174396</v>
      </c>
      <c r="R77" s="11">
        <f t="shared" si="28"/>
        <v>0</v>
      </c>
      <c r="S77" s="11">
        <f t="shared" si="29"/>
        <v>0</v>
      </c>
      <c r="T77" s="11">
        <f t="shared" si="30"/>
        <v>10144349.865900181</v>
      </c>
      <c r="U77" s="11">
        <f t="shared" si="31"/>
        <v>1308749.5192888505</v>
      </c>
      <c r="V77" s="11">
        <f t="shared" si="32"/>
        <v>0</v>
      </c>
      <c r="W77" s="11">
        <f t="shared" si="33"/>
        <v>13260167.566056209</v>
      </c>
      <c r="X77" s="11">
        <f t="shared" si="34"/>
        <v>99261.646604431793</v>
      </c>
      <c r="Y77" s="23">
        <f t="shared" si="35"/>
        <v>7.54215911973988E-3</v>
      </c>
      <c r="AA77" s="11"/>
      <c r="AB77" s="11"/>
      <c r="AC77" s="23"/>
    </row>
    <row r="78" spans="1:32" x14ac:dyDescent="0.2">
      <c r="A78" s="8">
        <f>'Monthly Data'!A78</f>
        <v>45047</v>
      </c>
      <c r="B78">
        <f t="shared" si="24"/>
        <v>2023</v>
      </c>
      <c r="C78">
        <f t="shared" si="25"/>
        <v>5</v>
      </c>
      <c r="D78" s="19">
        <f>'Monthly Data'!X78</f>
        <v>13788454.644214533</v>
      </c>
      <c r="E78" s="21">
        <f>'Monthly Data'!BJ78</f>
        <v>62.808333333333323</v>
      </c>
      <c r="F78" s="21">
        <f>'Monthly Data'!BM78</f>
        <v>88.470833333333317</v>
      </c>
      <c r="G78" s="21">
        <f>'Monthly Data'!Z78</f>
        <v>2</v>
      </c>
      <c r="H78" s="21">
        <f>'Monthly Data'!CF78</f>
        <v>0</v>
      </c>
      <c r="I78" s="21">
        <f>'Monthly Data'!CV78</f>
        <v>0</v>
      </c>
      <c r="J78" s="21">
        <f>'Monthly Data'!CS78</f>
        <v>31</v>
      </c>
      <c r="K78" s="21">
        <f>'Monthly Data'!CM78</f>
        <v>77</v>
      </c>
      <c r="L78" s="21">
        <f>'Monthly Data'!CK78</f>
        <v>1</v>
      </c>
      <c r="N78" s="11">
        <f>'Large Use Predicted Monthly'!$AB$10</f>
        <v>-5783820.4539120998</v>
      </c>
      <c r="O78" s="11">
        <f t="shared" si="36"/>
        <v>38737.930803928561</v>
      </c>
      <c r="P78" s="11">
        <f t="shared" si="26"/>
        <v>1209838.4280080912</v>
      </c>
      <c r="Q78" s="11">
        <f t="shared" si="27"/>
        <v>6999999.7151174396</v>
      </c>
      <c r="R78" s="11">
        <f t="shared" si="28"/>
        <v>0</v>
      </c>
      <c r="S78" s="11">
        <f t="shared" si="29"/>
        <v>0</v>
      </c>
      <c r="T78" s="11">
        <f t="shared" si="30"/>
        <v>10482494.861430187</v>
      </c>
      <c r="U78" s="11">
        <f t="shared" si="31"/>
        <v>1325969.9077005459</v>
      </c>
      <c r="V78" s="11">
        <f t="shared" si="32"/>
        <v>-352058.92944720201</v>
      </c>
      <c r="W78" s="11">
        <f t="shared" si="33"/>
        <v>13921161.45970089</v>
      </c>
      <c r="X78" s="11">
        <f t="shared" si="34"/>
        <v>132706.81548635662</v>
      </c>
      <c r="Y78" s="23">
        <f t="shared" si="35"/>
        <v>9.6244879437623401E-3</v>
      </c>
      <c r="AA78" s="11"/>
      <c r="AB78" s="11"/>
      <c r="AC78" s="23"/>
      <c r="AD78" s="11"/>
      <c r="AE78" s="11"/>
      <c r="AF78" s="57"/>
    </row>
    <row r="79" spans="1:32" x14ac:dyDescent="0.2">
      <c r="A79" s="8">
        <f>'Monthly Data'!A79</f>
        <v>45078</v>
      </c>
      <c r="B79">
        <f t="shared" si="24"/>
        <v>2023</v>
      </c>
      <c r="C79">
        <f t="shared" si="25"/>
        <v>6</v>
      </c>
      <c r="D79" s="19">
        <f>'Monthly Data'!X79</f>
        <v>14703192.83696259</v>
      </c>
      <c r="E79" s="21">
        <f>'Monthly Data'!BJ79</f>
        <v>1.8374999999999932</v>
      </c>
      <c r="F79" s="21">
        <f>'Monthly Data'!BM79</f>
        <v>188.3041666666667</v>
      </c>
      <c r="G79" s="21">
        <f>'Monthly Data'!Z79</f>
        <v>2</v>
      </c>
      <c r="H79" s="21">
        <f>'Monthly Data'!CF79</f>
        <v>0</v>
      </c>
      <c r="I79" s="21">
        <f>'Monthly Data'!CV79</f>
        <v>0</v>
      </c>
      <c r="J79" s="21">
        <f>'Monthly Data'!CS79</f>
        <v>30</v>
      </c>
      <c r="K79" s="21">
        <f>'Monthly Data'!CM79</f>
        <v>78</v>
      </c>
      <c r="L79" s="21">
        <f>'Monthly Data'!CK79</f>
        <v>1</v>
      </c>
      <c r="N79" s="11">
        <f>'Large Use Predicted Monthly'!$AB$10</f>
        <v>-5783820.4539120998</v>
      </c>
      <c r="O79" s="11">
        <f t="shared" si="36"/>
        <v>1133.3041982574257</v>
      </c>
      <c r="P79" s="11">
        <f t="shared" si="26"/>
        <v>2575059.0155404173</v>
      </c>
      <c r="Q79" s="11">
        <f t="shared" si="27"/>
        <v>6999999.7151174396</v>
      </c>
      <c r="R79" s="11">
        <f t="shared" si="28"/>
        <v>0</v>
      </c>
      <c r="S79" s="11">
        <f t="shared" si="29"/>
        <v>0</v>
      </c>
      <c r="T79" s="11">
        <f t="shared" si="30"/>
        <v>10144349.865900181</v>
      </c>
      <c r="U79" s="11">
        <f t="shared" si="31"/>
        <v>1343190.2961122412</v>
      </c>
      <c r="V79" s="11">
        <f t="shared" si="32"/>
        <v>-352058.92944720201</v>
      </c>
      <c r="W79" s="11">
        <f t="shared" si="33"/>
        <v>14927852.813509235</v>
      </c>
      <c r="X79" s="11">
        <f t="shared" si="34"/>
        <v>224659.97654664516</v>
      </c>
      <c r="Y79" s="23">
        <f t="shared" si="35"/>
        <v>1.5279672860024584E-2</v>
      </c>
      <c r="AA79" s="11"/>
      <c r="AB79" s="11"/>
      <c r="AC79" s="23"/>
      <c r="AD79" s="11"/>
      <c r="AE79" s="11"/>
      <c r="AF79" s="57"/>
    </row>
    <row r="80" spans="1:32" x14ac:dyDescent="0.2">
      <c r="A80" s="8">
        <f>'Monthly Data'!A80</f>
        <v>45108</v>
      </c>
      <c r="B80">
        <f t="shared" si="24"/>
        <v>2023</v>
      </c>
      <c r="C80">
        <f t="shared" si="25"/>
        <v>7</v>
      </c>
      <c r="D80" s="19">
        <f>'Monthly Data'!X80</f>
        <v>16655581.63047855</v>
      </c>
      <c r="E80" s="21">
        <f>'Monthly Data'!BJ80</f>
        <v>0</v>
      </c>
      <c r="F80" s="21">
        <f>'Monthly Data'!BM80</f>
        <v>265.2</v>
      </c>
      <c r="G80" s="21">
        <f>'Monthly Data'!Z80</f>
        <v>2</v>
      </c>
      <c r="H80" s="21">
        <f>'Monthly Data'!CF80</f>
        <v>0</v>
      </c>
      <c r="I80" s="21">
        <f>'Monthly Data'!CV80</f>
        <v>0</v>
      </c>
      <c r="J80" s="21">
        <f>'Monthly Data'!CS80</f>
        <v>31</v>
      </c>
      <c r="K80" s="21">
        <f>'Monthly Data'!CM80</f>
        <v>79</v>
      </c>
      <c r="L80" s="21">
        <f>'Monthly Data'!CK80</f>
        <v>1</v>
      </c>
      <c r="N80" s="11">
        <f>'Large Use Predicted Monthly'!$AB$10</f>
        <v>-5783820.4539120998</v>
      </c>
      <c r="O80" s="11">
        <f t="shared" si="36"/>
        <v>0</v>
      </c>
      <c r="P80" s="11">
        <f t="shared" si="26"/>
        <v>3626609.3470474733</v>
      </c>
      <c r="Q80" s="11">
        <f t="shared" si="27"/>
        <v>6999999.7151174396</v>
      </c>
      <c r="R80" s="11">
        <f t="shared" si="28"/>
        <v>0</v>
      </c>
      <c r="S80" s="11">
        <f t="shared" si="29"/>
        <v>0</v>
      </c>
      <c r="T80" s="11">
        <f t="shared" si="30"/>
        <v>10482494.861430187</v>
      </c>
      <c r="U80" s="11">
        <f t="shared" si="31"/>
        <v>1360410.6845239366</v>
      </c>
      <c r="V80" s="11">
        <f t="shared" si="32"/>
        <v>-352058.92944720201</v>
      </c>
      <c r="W80" s="11">
        <f t="shared" si="33"/>
        <v>16333635.224759733</v>
      </c>
      <c r="X80" s="11">
        <f t="shared" si="34"/>
        <v>-321946.40571881644</v>
      </c>
      <c r="Y80" s="23">
        <f t="shared" si="35"/>
        <v>1.9329640529015032E-2</v>
      </c>
      <c r="AA80" s="11"/>
      <c r="AB80" s="11"/>
      <c r="AC80" s="23"/>
      <c r="AD80" s="11"/>
      <c r="AE80" s="11"/>
      <c r="AF80" s="57"/>
    </row>
    <row r="81" spans="1:32" x14ac:dyDescent="0.2">
      <c r="A81" s="8">
        <f>'Monthly Data'!A81</f>
        <v>45139</v>
      </c>
      <c r="B81">
        <f t="shared" si="24"/>
        <v>2023</v>
      </c>
      <c r="C81">
        <f t="shared" si="25"/>
        <v>8</v>
      </c>
      <c r="D81" s="19">
        <f>'Monthly Data'!X81</f>
        <v>16706591.428423306</v>
      </c>
      <c r="E81" s="21">
        <f>'Monthly Data'!BJ81</f>
        <v>4.1666666666646535E-3</v>
      </c>
      <c r="F81" s="21">
        <f>'Monthly Data'!BM81</f>
        <v>206.09166666666664</v>
      </c>
      <c r="G81" s="21">
        <f>'Monthly Data'!Z81</f>
        <v>2</v>
      </c>
      <c r="H81" s="21">
        <f>'Monthly Data'!CF81</f>
        <v>0</v>
      </c>
      <c r="I81" s="21">
        <f>'Monthly Data'!CV81</f>
        <v>0</v>
      </c>
      <c r="J81" s="21">
        <f>'Monthly Data'!CS81</f>
        <v>31</v>
      </c>
      <c r="K81" s="21">
        <f>'Monthly Data'!CM81</f>
        <v>80</v>
      </c>
      <c r="L81" s="21">
        <f>'Monthly Data'!CK81</f>
        <v>1</v>
      </c>
      <c r="N81" s="11">
        <f>'Large Use Predicted Monthly'!$AB$10</f>
        <v>-5783820.4539120998</v>
      </c>
      <c r="O81" s="11">
        <f t="shared" si="36"/>
        <v>2.5698507896981457</v>
      </c>
      <c r="P81" s="11">
        <f t="shared" si="26"/>
        <v>2818303.0342455711</v>
      </c>
      <c r="Q81" s="11">
        <f t="shared" si="27"/>
        <v>6999999.7151174396</v>
      </c>
      <c r="R81" s="11">
        <f t="shared" si="28"/>
        <v>0</v>
      </c>
      <c r="S81" s="11">
        <f t="shared" si="29"/>
        <v>0</v>
      </c>
      <c r="T81" s="11">
        <f t="shared" si="30"/>
        <v>10482494.861430187</v>
      </c>
      <c r="U81" s="11">
        <f t="shared" si="31"/>
        <v>1377631.072935632</v>
      </c>
      <c r="V81" s="11">
        <f t="shared" si="32"/>
        <v>-352058.92944720201</v>
      </c>
      <c r="W81" s="11">
        <f t="shared" si="33"/>
        <v>15542551.870220317</v>
      </c>
      <c r="X81" s="11">
        <f t="shared" si="34"/>
        <v>-1164039.5582029894</v>
      </c>
      <c r="Y81" s="23">
        <f t="shared" si="35"/>
        <v>6.9675466907186248E-2</v>
      </c>
      <c r="AA81" s="11"/>
      <c r="AB81" s="11"/>
      <c r="AC81" s="23"/>
      <c r="AD81" s="11"/>
      <c r="AE81" s="11"/>
      <c r="AF81" s="57"/>
    </row>
    <row r="82" spans="1:32" x14ac:dyDescent="0.2">
      <c r="A82" s="8">
        <f>'Monthly Data'!A82</f>
        <v>45170</v>
      </c>
      <c r="B82">
        <f t="shared" si="24"/>
        <v>2023</v>
      </c>
      <c r="C82">
        <f t="shared" si="25"/>
        <v>9</v>
      </c>
      <c r="D82" s="19">
        <f>'Monthly Data'!X82</f>
        <v>15701047.359710263</v>
      </c>
      <c r="E82" s="21">
        <f>'Monthly Data'!BJ82</f>
        <v>3.8624999999999901</v>
      </c>
      <c r="F82" s="21">
        <f>'Monthly Data'!BM82</f>
        <v>147.04166666666669</v>
      </c>
      <c r="G82" s="21">
        <f>'Monthly Data'!Z82</f>
        <v>2</v>
      </c>
      <c r="H82" s="21">
        <f>'Monthly Data'!CF82</f>
        <v>1</v>
      </c>
      <c r="I82" s="21">
        <f>'Monthly Data'!CV82</f>
        <v>0</v>
      </c>
      <c r="J82" s="21">
        <f>'Monthly Data'!CS82</f>
        <v>30</v>
      </c>
      <c r="K82" s="21">
        <f>'Monthly Data'!CM82</f>
        <v>81</v>
      </c>
      <c r="L82" s="21">
        <f>'Monthly Data'!CK82</f>
        <v>0</v>
      </c>
      <c r="N82" s="11">
        <f>'Large Use Predicted Monthly'!$AB$10</f>
        <v>-5783820.4539120998</v>
      </c>
      <c r="O82" s="11">
        <f t="shared" si="36"/>
        <v>2382.251682051326</v>
      </c>
      <c r="P82" s="11">
        <f t="shared" si="26"/>
        <v>2010794.4296333797</v>
      </c>
      <c r="Q82" s="11">
        <f t="shared" si="27"/>
        <v>6999999.7151174396</v>
      </c>
      <c r="R82" s="11">
        <f t="shared" si="28"/>
        <v>387000.72715245897</v>
      </c>
      <c r="S82" s="11">
        <f t="shared" si="29"/>
        <v>0</v>
      </c>
      <c r="T82" s="11">
        <f t="shared" si="30"/>
        <v>10144349.865900181</v>
      </c>
      <c r="U82" s="11">
        <f t="shared" si="31"/>
        <v>1394851.4613473273</v>
      </c>
      <c r="V82" s="11">
        <f t="shared" si="32"/>
        <v>0</v>
      </c>
      <c r="W82" s="11">
        <f t="shared" si="33"/>
        <v>15155557.996920738</v>
      </c>
      <c r="X82" s="11">
        <f t="shared" si="34"/>
        <v>-545489.36278952472</v>
      </c>
      <c r="Y82" s="23">
        <f t="shared" si="35"/>
        <v>3.4742227718469278E-2</v>
      </c>
      <c r="AA82" s="11"/>
      <c r="AD82" s="11"/>
      <c r="AE82" s="11"/>
      <c r="AF82" s="57"/>
    </row>
    <row r="83" spans="1:32" x14ac:dyDescent="0.2">
      <c r="A83" s="8">
        <f>'Monthly Data'!A83</f>
        <v>45200</v>
      </c>
      <c r="B83">
        <f t="shared" si="24"/>
        <v>2023</v>
      </c>
      <c r="C83">
        <f t="shared" si="25"/>
        <v>10</v>
      </c>
      <c r="D83" s="19">
        <f>'Monthly Data'!X83</f>
        <v>14743057.004624922</v>
      </c>
      <c r="E83" s="21">
        <f>'Monthly Data'!BJ83</f>
        <v>126.92083333333335</v>
      </c>
      <c r="F83" s="21">
        <f>'Monthly Data'!BM83</f>
        <v>57.625</v>
      </c>
      <c r="G83" s="21">
        <f>'Monthly Data'!Z83</f>
        <v>2</v>
      </c>
      <c r="H83" s="21">
        <f>'Monthly Data'!CF83</f>
        <v>1</v>
      </c>
      <c r="I83" s="21">
        <f>'Monthly Data'!CV83</f>
        <v>0</v>
      </c>
      <c r="J83" s="21">
        <f>'Monthly Data'!CS83</f>
        <v>31</v>
      </c>
      <c r="K83" s="21">
        <f>'Monthly Data'!CM83</f>
        <v>82</v>
      </c>
      <c r="L83" s="21">
        <f>'Monthly Data'!CK83</f>
        <v>0</v>
      </c>
      <c r="N83" s="11">
        <f>'Large Use Predicted Monthly'!$AB$10</f>
        <v>-5783820.4539120998</v>
      </c>
      <c r="O83" s="11">
        <f t="shared" si="36"/>
        <v>78280.224905033043</v>
      </c>
      <c r="P83" s="11">
        <f t="shared" si="26"/>
        <v>788021.73312070384</v>
      </c>
      <c r="Q83" s="11">
        <f t="shared" si="27"/>
        <v>6999999.7151174396</v>
      </c>
      <c r="R83" s="11">
        <f t="shared" si="28"/>
        <v>387000.72715245897</v>
      </c>
      <c r="S83" s="11">
        <f t="shared" si="29"/>
        <v>0</v>
      </c>
      <c r="T83" s="11">
        <f t="shared" si="30"/>
        <v>10482494.861430187</v>
      </c>
      <c r="U83" s="11">
        <f t="shared" si="31"/>
        <v>1412071.8497590227</v>
      </c>
      <c r="V83" s="11">
        <f t="shared" si="32"/>
        <v>0</v>
      </c>
      <c r="W83" s="11">
        <f t="shared" si="33"/>
        <v>14364048.657572746</v>
      </c>
      <c r="X83" s="11">
        <f t="shared" si="34"/>
        <v>-379008.34705217555</v>
      </c>
      <c r="Y83" s="23">
        <f t="shared" si="35"/>
        <v>2.5707582011877183E-2</v>
      </c>
      <c r="AA83" s="11"/>
      <c r="AD83" s="11"/>
      <c r="AE83" s="11"/>
      <c r="AF83" s="57"/>
    </row>
    <row r="84" spans="1:32" x14ac:dyDescent="0.2">
      <c r="A84" s="8">
        <f>'Monthly Data'!A84</f>
        <v>45231</v>
      </c>
      <c r="B84">
        <f t="shared" si="24"/>
        <v>2023</v>
      </c>
      <c r="C84">
        <f t="shared" si="25"/>
        <v>11</v>
      </c>
      <c r="D84" s="19">
        <f>'Monthly Data'!X84</f>
        <v>13765936.609469777</v>
      </c>
      <c r="E84" s="21">
        <f>'Monthly Data'!BJ84</f>
        <v>323.11666666666673</v>
      </c>
      <c r="F84" s="21">
        <f>'Monthly Data'!BM84</f>
        <v>0</v>
      </c>
      <c r="G84" s="21">
        <f>'Monthly Data'!Z84</f>
        <v>2</v>
      </c>
      <c r="H84" s="21">
        <f>'Monthly Data'!CF84</f>
        <v>1</v>
      </c>
      <c r="I84" s="21">
        <f>'Monthly Data'!CV84</f>
        <v>0</v>
      </c>
      <c r="J84" s="21">
        <f>'Monthly Data'!CS84</f>
        <v>30</v>
      </c>
      <c r="K84" s="21">
        <f>'Monthly Data'!CM84</f>
        <v>83</v>
      </c>
      <c r="L84" s="21">
        <f>'Monthly Data'!CK84</f>
        <v>0</v>
      </c>
      <c r="N84" s="11">
        <f>'Large Use Predicted Monthly'!$AB$10</f>
        <v>-5783820.4539120998</v>
      </c>
      <c r="O84" s="11">
        <f t="shared" si="36"/>
        <v>199286.78903960812</v>
      </c>
      <c r="P84" s="11">
        <f t="shared" si="26"/>
        <v>0</v>
      </c>
      <c r="Q84" s="11">
        <f t="shared" si="27"/>
        <v>6999999.7151174396</v>
      </c>
      <c r="R84" s="11">
        <f t="shared" si="28"/>
        <v>387000.72715245897</v>
      </c>
      <c r="S84" s="11">
        <f t="shared" si="29"/>
        <v>0</v>
      </c>
      <c r="T84" s="11">
        <f t="shared" si="30"/>
        <v>10144349.865900181</v>
      </c>
      <c r="U84" s="11">
        <f t="shared" si="31"/>
        <v>1429292.2381707181</v>
      </c>
      <c r="V84" s="11">
        <f t="shared" si="32"/>
        <v>0</v>
      </c>
      <c r="W84" s="11">
        <f t="shared" si="33"/>
        <v>13376108.881468307</v>
      </c>
      <c r="X84" s="11">
        <f t="shared" si="34"/>
        <v>-389827.72800146975</v>
      </c>
      <c r="Y84" s="23">
        <f t="shared" si="35"/>
        <v>2.8318285857375072E-2</v>
      </c>
      <c r="AA84" s="11"/>
      <c r="AD84" s="11"/>
      <c r="AE84" s="11"/>
      <c r="AF84" s="57"/>
    </row>
    <row r="85" spans="1:32" x14ac:dyDescent="0.2">
      <c r="A85" s="8">
        <f>'Monthly Data'!A85</f>
        <v>45261</v>
      </c>
      <c r="B85">
        <f t="shared" si="24"/>
        <v>2023</v>
      </c>
      <c r="C85">
        <f t="shared" si="25"/>
        <v>12</v>
      </c>
      <c r="D85" s="19">
        <f>'Monthly Data'!X85</f>
        <v>13779390.384411534</v>
      </c>
      <c r="E85" s="21">
        <f>'Monthly Data'!BJ85</f>
        <v>356.10416666666674</v>
      </c>
      <c r="F85" s="21">
        <f>'Monthly Data'!BM85</f>
        <v>0</v>
      </c>
      <c r="G85" s="21">
        <f>'Monthly Data'!Z85</f>
        <v>2</v>
      </c>
      <c r="H85" s="21">
        <f>'Monthly Data'!CF85</f>
        <v>0</v>
      </c>
      <c r="I85" s="21">
        <f>'Monthly Data'!CV85</f>
        <v>0</v>
      </c>
      <c r="J85" s="21">
        <f>'Monthly Data'!CS85</f>
        <v>31</v>
      </c>
      <c r="K85" s="21">
        <f>'Monthly Data'!CM85</f>
        <v>84</v>
      </c>
      <c r="L85" s="21">
        <f>'Monthly Data'!CK85</f>
        <v>0</v>
      </c>
      <c r="N85" s="11">
        <f>'Large Use Predicted Monthly'!$AB$10</f>
        <v>-5783820.4539120998</v>
      </c>
      <c r="O85" s="11">
        <f t="shared" si="36"/>
        <v>219632.2977416582</v>
      </c>
      <c r="P85" s="11">
        <f t="shared" si="26"/>
        <v>0</v>
      </c>
      <c r="Q85" s="11">
        <f t="shared" si="27"/>
        <v>6999999.7151174396</v>
      </c>
      <c r="R85" s="11">
        <f t="shared" si="28"/>
        <v>0</v>
      </c>
      <c r="S85" s="11">
        <f t="shared" si="29"/>
        <v>0</v>
      </c>
      <c r="T85" s="11">
        <f t="shared" si="30"/>
        <v>10482494.861430187</v>
      </c>
      <c r="U85" s="11">
        <f t="shared" si="31"/>
        <v>1446512.6265824134</v>
      </c>
      <c r="V85" s="11">
        <f t="shared" si="32"/>
        <v>0</v>
      </c>
      <c r="W85" s="11">
        <f t="shared" si="33"/>
        <v>13364819.046959598</v>
      </c>
      <c r="X85" s="11">
        <f t="shared" si="34"/>
        <v>-414571.33745193668</v>
      </c>
      <c r="Y85" s="23">
        <f t="shared" si="35"/>
        <v>3.0086333711898929E-2</v>
      </c>
      <c r="AA85" s="11"/>
      <c r="AD85" s="11"/>
      <c r="AE85" s="11"/>
      <c r="AF85" s="57"/>
    </row>
    <row r="86" spans="1:32" x14ac:dyDescent="0.2">
      <c r="A86" s="8">
        <f>'Monthly Data'!A86</f>
        <v>45292</v>
      </c>
      <c r="B86">
        <f t="shared" si="24"/>
        <v>2024</v>
      </c>
      <c r="C86">
        <f t="shared" si="25"/>
        <v>1</v>
      </c>
      <c r="D86" s="19">
        <f>'Monthly Data'!X86</f>
        <v>14260589.724485524</v>
      </c>
      <c r="E86" s="21">
        <f>'Monthly Data'!BJ86</f>
        <v>530.65208333333339</v>
      </c>
      <c r="F86" s="21">
        <f>'Monthly Data'!BM86</f>
        <v>0</v>
      </c>
      <c r="G86" s="21">
        <f>'Monthly Data'!Z86</f>
        <v>2</v>
      </c>
      <c r="H86" s="21">
        <f>'Monthly Data'!CF86</f>
        <v>0</v>
      </c>
      <c r="I86" s="21">
        <f>'Monthly Data'!CV86</f>
        <v>0</v>
      </c>
      <c r="J86" s="21">
        <f>'Monthly Data'!CS86</f>
        <v>31</v>
      </c>
      <c r="K86" s="21">
        <f>'Monthly Data'!CM86</f>
        <v>85</v>
      </c>
      <c r="L86" s="21">
        <f>'Monthly Data'!CK86</f>
        <v>0</v>
      </c>
      <c r="N86" s="11">
        <f>'Large Use Predicted Monthly'!$AB$10</f>
        <v>-5783820.4539120998</v>
      </c>
      <c r="O86" s="11">
        <f t="shared" si="36"/>
        <v>327287.20209835004</v>
      </c>
      <c r="P86" s="11">
        <f t="shared" si="26"/>
        <v>0</v>
      </c>
      <c r="Q86" s="11">
        <f t="shared" si="27"/>
        <v>6999999.7151174396</v>
      </c>
      <c r="R86" s="11">
        <f t="shared" si="28"/>
        <v>0</v>
      </c>
      <c r="S86" s="11">
        <f t="shared" si="29"/>
        <v>0</v>
      </c>
      <c r="T86" s="11">
        <f t="shared" si="30"/>
        <v>10482494.861430187</v>
      </c>
      <c r="U86" s="11">
        <f t="shared" si="31"/>
        <v>1463733.014994109</v>
      </c>
      <c r="V86" s="11">
        <f t="shared" si="32"/>
        <v>0</v>
      </c>
      <c r="W86" s="11">
        <f t="shared" si="33"/>
        <v>13489694.339727985</v>
      </c>
      <c r="X86" s="11">
        <f t="shared" si="34"/>
        <v>-770895.38475753926</v>
      </c>
      <c r="Y86" s="23">
        <f t="shared" si="35"/>
        <v>5.4057749339349336E-2</v>
      </c>
      <c r="AA86" s="11"/>
      <c r="AD86" s="11"/>
      <c r="AE86" s="11"/>
      <c r="AF86" s="57"/>
    </row>
    <row r="87" spans="1:32" x14ac:dyDescent="0.2">
      <c r="A87" s="8">
        <f>'Monthly Data'!A87</f>
        <v>45323</v>
      </c>
      <c r="B87">
        <f t="shared" si="24"/>
        <v>2024</v>
      </c>
      <c r="C87">
        <f t="shared" si="25"/>
        <v>2</v>
      </c>
      <c r="D87" s="19">
        <f>'Monthly Data'!X87</f>
        <v>13283794.127959238</v>
      </c>
      <c r="E87" s="21">
        <f>'Monthly Data'!BJ87</f>
        <v>407.16041666666661</v>
      </c>
      <c r="F87" s="21">
        <f>'Monthly Data'!BM87</f>
        <v>0</v>
      </c>
      <c r="G87" s="21">
        <f>'Monthly Data'!Z87</f>
        <v>2</v>
      </c>
      <c r="H87" s="21">
        <f>'Monthly Data'!CF87</f>
        <v>0</v>
      </c>
      <c r="I87" s="21">
        <f>'Monthly Data'!CV87</f>
        <v>0</v>
      </c>
      <c r="J87" s="21">
        <f>'Monthly Data'!CS87</f>
        <v>29</v>
      </c>
      <c r="K87" s="21">
        <f>'Monthly Data'!CM87</f>
        <v>86</v>
      </c>
      <c r="L87" s="21">
        <f>'Monthly Data'!CK87</f>
        <v>0</v>
      </c>
      <c r="N87" s="11">
        <f>'Large Use Predicted Monthly'!$AB$10</f>
        <v>-5783820.4539120998</v>
      </c>
      <c r="O87" s="11">
        <f t="shared" si="36"/>
        <v>251121.96439323956</v>
      </c>
      <c r="P87" s="11">
        <f t="shared" si="26"/>
        <v>0</v>
      </c>
      <c r="Q87" s="11">
        <f t="shared" si="27"/>
        <v>6999999.7151174396</v>
      </c>
      <c r="R87" s="11">
        <f t="shared" si="28"/>
        <v>0</v>
      </c>
      <c r="S87" s="11">
        <f t="shared" si="29"/>
        <v>0</v>
      </c>
      <c r="T87" s="11">
        <f t="shared" si="30"/>
        <v>9806204.8703701738</v>
      </c>
      <c r="U87" s="11">
        <f t="shared" si="31"/>
        <v>1480953.4034058044</v>
      </c>
      <c r="V87" s="11">
        <f t="shared" si="32"/>
        <v>0</v>
      </c>
      <c r="W87" s="11">
        <f t="shared" si="33"/>
        <v>12754459.499374557</v>
      </c>
      <c r="X87" s="11">
        <f t="shared" si="34"/>
        <v>-529334.62858468108</v>
      </c>
      <c r="Y87" s="23">
        <f t="shared" si="35"/>
        <v>3.9848150572475156E-2</v>
      </c>
      <c r="AA87" s="11"/>
      <c r="AD87" s="11"/>
      <c r="AE87" s="11"/>
      <c r="AF87" s="57"/>
    </row>
    <row r="88" spans="1:32" x14ac:dyDescent="0.2">
      <c r="A88" s="8">
        <f>'Monthly Data'!A88</f>
        <v>45352</v>
      </c>
      <c r="B88">
        <f t="shared" si="24"/>
        <v>2024</v>
      </c>
      <c r="C88">
        <f t="shared" si="25"/>
        <v>3</v>
      </c>
      <c r="D88" s="19">
        <f>'Monthly Data'!X88</f>
        <v>14003296.408531051</v>
      </c>
      <c r="E88" s="21">
        <f>'Monthly Data'!BJ88</f>
        <v>332.44375000000008</v>
      </c>
      <c r="F88" s="21">
        <f>'Monthly Data'!BM88</f>
        <v>0</v>
      </c>
      <c r="G88" s="21">
        <f>'Monthly Data'!Z88</f>
        <v>2</v>
      </c>
      <c r="H88" s="21">
        <f>'Monthly Data'!CF88</f>
        <v>0</v>
      </c>
      <c r="I88" s="21">
        <f>'Monthly Data'!CV88</f>
        <v>0</v>
      </c>
      <c r="J88" s="21">
        <f>'Monthly Data'!CS88</f>
        <v>31</v>
      </c>
      <c r="K88" s="21">
        <f>'Monthly Data'!CM88</f>
        <v>87</v>
      </c>
      <c r="L88" s="21">
        <f>'Monthly Data'!CK88</f>
        <v>0</v>
      </c>
      <c r="N88" s="11">
        <f>'Large Use Predicted Monthly'!$AB$10</f>
        <v>-5783820.4539120998</v>
      </c>
      <c r="O88" s="11">
        <f t="shared" si="36"/>
        <v>205039.40003235021</v>
      </c>
      <c r="P88" s="11">
        <f t="shared" si="26"/>
        <v>0</v>
      </c>
      <c r="Q88" s="11">
        <f t="shared" si="27"/>
        <v>6999999.7151174396</v>
      </c>
      <c r="R88" s="11">
        <f t="shared" si="28"/>
        <v>0</v>
      </c>
      <c r="S88" s="11">
        <f t="shared" si="29"/>
        <v>0</v>
      </c>
      <c r="T88" s="11">
        <f t="shared" si="30"/>
        <v>10482494.861430187</v>
      </c>
      <c r="U88" s="11">
        <f t="shared" si="31"/>
        <v>1498173.7918174998</v>
      </c>
      <c r="V88" s="11">
        <f t="shared" si="32"/>
        <v>0</v>
      </c>
      <c r="W88" s="11">
        <f t="shared" si="33"/>
        <v>13401887.314485377</v>
      </c>
      <c r="X88" s="11">
        <f t="shared" si="34"/>
        <v>-601409.09404567443</v>
      </c>
      <c r="Y88" s="23">
        <f t="shared" si="35"/>
        <v>4.2947680067622188E-2</v>
      </c>
      <c r="AA88" s="11"/>
    </row>
    <row r="89" spans="1:32" x14ac:dyDescent="0.2">
      <c r="A89" s="8">
        <f>'Monthly Data'!A89</f>
        <v>45383</v>
      </c>
      <c r="B89">
        <f t="shared" si="24"/>
        <v>2024</v>
      </c>
      <c r="C89">
        <f t="shared" si="25"/>
        <v>4</v>
      </c>
      <c r="D89" s="19">
        <f>'Monthly Data'!X89</f>
        <v>13877323.379148966</v>
      </c>
      <c r="E89" s="21">
        <f>'Monthly Data'!BJ89</f>
        <v>158.17500000000004</v>
      </c>
      <c r="F89" s="21">
        <f>'Monthly Data'!BM89</f>
        <v>19.600000000000001</v>
      </c>
      <c r="G89" s="21">
        <f>'Monthly Data'!Z89</f>
        <v>2</v>
      </c>
      <c r="H89" s="21">
        <f>'Monthly Data'!CF89</f>
        <v>0</v>
      </c>
      <c r="I89" s="21">
        <f>'Monthly Data'!CV89</f>
        <v>0</v>
      </c>
      <c r="J89" s="21">
        <f>'Monthly Data'!CS89</f>
        <v>30</v>
      </c>
      <c r="K89" s="21">
        <f>'Monthly Data'!CM89</f>
        <v>88</v>
      </c>
      <c r="L89" s="21">
        <f>'Monthly Data'!CK89</f>
        <v>0</v>
      </c>
      <c r="N89" s="11">
        <f>'Large Use Predicted Monthly'!$AB$10</f>
        <v>-5783820.4539120998</v>
      </c>
      <c r="O89" s="11">
        <f t="shared" si="36"/>
        <v>97556.675678568165</v>
      </c>
      <c r="P89" s="11">
        <f t="shared" si="26"/>
        <v>268029.95174257347</v>
      </c>
      <c r="Q89" s="11">
        <f t="shared" si="27"/>
        <v>6999999.7151174396</v>
      </c>
      <c r="R89" s="11">
        <f t="shared" si="28"/>
        <v>0</v>
      </c>
      <c r="S89" s="11">
        <f t="shared" si="29"/>
        <v>0</v>
      </c>
      <c r="T89" s="11">
        <f t="shared" si="30"/>
        <v>10144349.865900181</v>
      </c>
      <c r="U89" s="11">
        <f t="shared" si="31"/>
        <v>1515394.1802291952</v>
      </c>
      <c r="V89" s="11">
        <f t="shared" si="32"/>
        <v>0</v>
      </c>
      <c r="W89" s="11">
        <f t="shared" si="33"/>
        <v>13241509.934755858</v>
      </c>
      <c r="X89" s="11">
        <f t="shared" si="34"/>
        <v>-635813.44439310767</v>
      </c>
      <c r="Y89" s="23">
        <f t="shared" si="35"/>
        <v>4.5816720344532269E-2</v>
      </c>
      <c r="AF89" s="49"/>
    </row>
    <row r="90" spans="1:32" x14ac:dyDescent="0.2">
      <c r="A90" s="8">
        <f>'Monthly Data'!A90</f>
        <v>45413</v>
      </c>
      <c r="B90">
        <f t="shared" si="24"/>
        <v>2024</v>
      </c>
      <c r="C90">
        <f t="shared" si="25"/>
        <v>5</v>
      </c>
      <c r="D90" s="19">
        <f>'Monthly Data'!X90</f>
        <v>15404708.31516158</v>
      </c>
      <c r="E90" s="21">
        <f>'Monthly Data'!BJ90</f>
        <v>14.683333333333328</v>
      </c>
      <c r="F90" s="21">
        <f>'Monthly Data'!BM90</f>
        <v>124.46666666666667</v>
      </c>
      <c r="G90" s="21">
        <f>'Monthly Data'!Z90</f>
        <v>2</v>
      </c>
      <c r="H90" s="21">
        <f>'Monthly Data'!CF90</f>
        <v>0</v>
      </c>
      <c r="I90" s="21">
        <f>'Monthly Data'!CV90</f>
        <v>0</v>
      </c>
      <c r="J90" s="21">
        <f>'Monthly Data'!CS90</f>
        <v>31</v>
      </c>
      <c r="K90" s="21">
        <f>'Monthly Data'!CM90</f>
        <v>89</v>
      </c>
      <c r="L90" s="21">
        <f>'Monthly Data'!CK90</f>
        <v>1</v>
      </c>
      <c r="N90" s="11">
        <f>'Large Use Predicted Monthly'!$AB$10</f>
        <v>-5783820.4539120998</v>
      </c>
      <c r="O90" s="11">
        <f t="shared" si="36"/>
        <v>9056.1541829006383</v>
      </c>
      <c r="P90" s="11">
        <f t="shared" si="26"/>
        <v>1702081.3602155941</v>
      </c>
      <c r="Q90" s="11">
        <f t="shared" si="27"/>
        <v>6999999.7151174396</v>
      </c>
      <c r="R90" s="11">
        <f t="shared" si="28"/>
        <v>0</v>
      </c>
      <c r="S90" s="11">
        <f t="shared" si="29"/>
        <v>0</v>
      </c>
      <c r="T90" s="11">
        <f t="shared" si="30"/>
        <v>10482494.861430187</v>
      </c>
      <c r="U90" s="11">
        <f t="shared" si="31"/>
        <v>1532614.5686408905</v>
      </c>
      <c r="V90" s="11">
        <f t="shared" si="32"/>
        <v>-352058.92944720201</v>
      </c>
      <c r="W90" s="11">
        <f t="shared" si="33"/>
        <v>14590367.276227711</v>
      </c>
      <c r="X90" s="11">
        <f t="shared" si="34"/>
        <v>-814341.03893386945</v>
      </c>
      <c r="Y90" s="23">
        <f t="shared" si="35"/>
        <v>5.2863126147762299E-2</v>
      </c>
    </row>
    <row r="91" spans="1:32" x14ac:dyDescent="0.2">
      <c r="A91" s="8">
        <f>'Monthly Data'!A91</f>
        <v>45444</v>
      </c>
      <c r="B91">
        <f t="shared" si="24"/>
        <v>2024</v>
      </c>
      <c r="C91">
        <f t="shared" si="25"/>
        <v>6</v>
      </c>
      <c r="D91" s="19">
        <f>'Monthly Data'!X91</f>
        <v>16166675.685287094</v>
      </c>
      <c r="E91" s="21">
        <f>'Monthly Data'!BJ91</f>
        <v>1.9666666666666686</v>
      </c>
      <c r="F91" s="21">
        <f>'Monthly Data'!BM91</f>
        <v>227.19791666666666</v>
      </c>
      <c r="G91" s="21">
        <f>'Monthly Data'!Z91</f>
        <v>2</v>
      </c>
      <c r="H91" s="21">
        <f>'Monthly Data'!CF91</f>
        <v>0</v>
      </c>
      <c r="I91" s="21">
        <f>'Monthly Data'!CV91</f>
        <v>0</v>
      </c>
      <c r="J91" s="21">
        <f>'Monthly Data'!CS91</f>
        <v>30</v>
      </c>
      <c r="K91" s="21">
        <f>'Monthly Data'!CM91</f>
        <v>90</v>
      </c>
      <c r="L91" s="21">
        <f>'Monthly Data'!CK91</f>
        <v>1</v>
      </c>
      <c r="N91" s="11">
        <f>'Large Use Predicted Monthly'!$AB$10</f>
        <v>-5783820.4539120998</v>
      </c>
      <c r="O91" s="11">
        <f t="shared" si="36"/>
        <v>1212.969572738112</v>
      </c>
      <c r="P91" s="11">
        <f t="shared" si="26"/>
        <v>3106930.9510295861</v>
      </c>
      <c r="Q91" s="11">
        <f t="shared" si="27"/>
        <v>6999999.7151174396</v>
      </c>
      <c r="R91" s="11">
        <f t="shared" si="28"/>
        <v>0</v>
      </c>
      <c r="S91" s="11">
        <f t="shared" si="29"/>
        <v>0</v>
      </c>
      <c r="T91" s="11">
        <f t="shared" si="30"/>
        <v>10144349.865900181</v>
      </c>
      <c r="U91" s="11">
        <f t="shared" si="31"/>
        <v>1549834.9570525859</v>
      </c>
      <c r="V91" s="11">
        <f t="shared" si="32"/>
        <v>-352058.92944720201</v>
      </c>
      <c r="W91" s="11">
        <f t="shared" si="33"/>
        <v>15666449.075313229</v>
      </c>
      <c r="X91" s="11">
        <f t="shared" si="34"/>
        <v>-500226.60997386463</v>
      </c>
      <c r="Y91" s="23">
        <f t="shared" si="35"/>
        <v>3.0941834902342289E-2</v>
      </c>
    </row>
    <row r="92" spans="1:32" x14ac:dyDescent="0.2">
      <c r="A92" s="8">
        <f>'Monthly Data'!A92</f>
        <v>45474</v>
      </c>
      <c r="B92">
        <f t="shared" si="24"/>
        <v>2024</v>
      </c>
      <c r="C92">
        <f t="shared" si="25"/>
        <v>7</v>
      </c>
      <c r="D92" s="19">
        <f>'Monthly Data'!X92</f>
        <v>17648326.53122801</v>
      </c>
      <c r="E92" s="21">
        <f>'Monthly Data'!BJ92</f>
        <v>0</v>
      </c>
      <c r="F92" s="21">
        <f>'Monthly Data'!BM92</f>
        <v>283.45416666666665</v>
      </c>
      <c r="G92" s="21">
        <f>'Monthly Data'!Z92</f>
        <v>2</v>
      </c>
      <c r="H92" s="21">
        <f>'Monthly Data'!CF92</f>
        <v>0</v>
      </c>
      <c r="I92" s="21">
        <f>'Monthly Data'!CV92</f>
        <v>0</v>
      </c>
      <c r="J92" s="21">
        <f>'Monthly Data'!CS92</f>
        <v>31</v>
      </c>
      <c r="K92" s="21">
        <f>'Monthly Data'!CM92</f>
        <v>91</v>
      </c>
      <c r="L92" s="21">
        <f>'Monthly Data'!CK92</f>
        <v>1</v>
      </c>
      <c r="N92" s="11">
        <f>'Large Use Predicted Monthly'!$AB$10</f>
        <v>-5783820.4539120998</v>
      </c>
      <c r="O92" s="11">
        <f t="shared" si="36"/>
        <v>0</v>
      </c>
      <c r="P92" s="11">
        <f t="shared" si="26"/>
        <v>3876235.031270308</v>
      </c>
      <c r="Q92" s="11">
        <f t="shared" si="27"/>
        <v>6999999.7151174396</v>
      </c>
      <c r="R92" s="11">
        <f t="shared" si="28"/>
        <v>0</v>
      </c>
      <c r="S92" s="11">
        <f t="shared" si="29"/>
        <v>0</v>
      </c>
      <c r="T92" s="11">
        <f t="shared" si="30"/>
        <v>10482494.861430187</v>
      </c>
      <c r="U92" s="11">
        <f t="shared" si="31"/>
        <v>1567055.3454642813</v>
      </c>
      <c r="V92" s="11">
        <f t="shared" si="32"/>
        <v>-352058.92944720201</v>
      </c>
      <c r="W92" s="11">
        <f t="shared" si="33"/>
        <v>16789905.569922917</v>
      </c>
      <c r="X92" s="11">
        <f t="shared" si="34"/>
        <v>-858420.96130509302</v>
      </c>
      <c r="Y92" s="23">
        <f t="shared" si="35"/>
        <v>4.8640360307599217E-2</v>
      </c>
    </row>
    <row r="93" spans="1:32" x14ac:dyDescent="0.2">
      <c r="A93" s="8">
        <f>'Monthly Data'!A93</f>
        <v>45505</v>
      </c>
      <c r="B93">
        <f t="shared" si="24"/>
        <v>2024</v>
      </c>
      <c r="C93">
        <f t="shared" si="25"/>
        <v>8</v>
      </c>
      <c r="D93" s="19">
        <f>'Monthly Data'!X93</f>
        <v>17363128.283993222</v>
      </c>
      <c r="E93" s="21">
        <f>'Monthly Data'!BJ93</f>
        <v>0.30000000000000426</v>
      </c>
      <c r="F93" s="21">
        <f>'Monthly Data'!BM93</f>
        <v>244.8520833333333</v>
      </c>
      <c r="G93" s="21">
        <f>'Monthly Data'!Z93</f>
        <v>2</v>
      </c>
      <c r="H93" s="21">
        <f>'Monthly Data'!CF93</f>
        <v>0</v>
      </c>
      <c r="I93" s="21">
        <f>'Monthly Data'!CV93</f>
        <v>0</v>
      </c>
      <c r="J93" s="21">
        <f>'Monthly Data'!CS93</f>
        <v>31</v>
      </c>
      <c r="K93" s="21">
        <f>'Monthly Data'!CM93</f>
        <v>92</v>
      </c>
      <c r="L93" s="21">
        <f>'Monthly Data'!CK93</f>
        <v>1</v>
      </c>
      <c r="N93" s="11">
        <f>'Large Use Predicted Monthly'!$AB$10</f>
        <v>-5783820.4539120998</v>
      </c>
      <c r="O93" s="11">
        <f t="shared" si="36"/>
        <v>185.02925685835854</v>
      </c>
      <c r="P93" s="11">
        <f t="shared" si="26"/>
        <v>3348351.6367296884</v>
      </c>
      <c r="Q93" s="11">
        <f t="shared" si="27"/>
        <v>6999999.7151174396</v>
      </c>
      <c r="R93" s="11">
        <f t="shared" si="28"/>
        <v>0</v>
      </c>
      <c r="S93" s="11">
        <f t="shared" si="29"/>
        <v>0</v>
      </c>
      <c r="T93" s="11">
        <f t="shared" si="30"/>
        <v>10482494.861430187</v>
      </c>
      <c r="U93" s="11">
        <f t="shared" si="31"/>
        <v>1584275.7338759769</v>
      </c>
      <c r="V93" s="11">
        <f t="shared" si="32"/>
        <v>-352058.92944720201</v>
      </c>
      <c r="W93" s="11">
        <f t="shared" si="33"/>
        <v>16279427.593050849</v>
      </c>
      <c r="X93" s="11">
        <f t="shared" si="34"/>
        <v>-1083700.6909423731</v>
      </c>
      <c r="Y93" s="23">
        <f t="shared" si="35"/>
        <v>6.2413907978864543E-2</v>
      </c>
    </row>
    <row r="94" spans="1:32" x14ac:dyDescent="0.2">
      <c r="A94" s="8">
        <f>'Monthly Data'!A94</f>
        <v>45536</v>
      </c>
      <c r="B94">
        <f t="shared" si="24"/>
        <v>2024</v>
      </c>
      <c r="C94">
        <f t="shared" si="25"/>
        <v>9</v>
      </c>
      <c r="D94" s="19">
        <f>'Monthly Data'!X94</f>
        <v>16364222.048419036</v>
      </c>
      <c r="E94" s="21">
        <f>'Monthly Data'!BJ94</f>
        <v>4.2874999999999979</v>
      </c>
      <c r="F94" s="21">
        <f>'Monthly Data'!BM94</f>
        <v>176.65208333333334</v>
      </c>
      <c r="G94" s="21">
        <f>'Monthly Data'!Z94</f>
        <v>2</v>
      </c>
      <c r="H94" s="21">
        <f>'Monthly Data'!CF94</f>
        <v>1</v>
      </c>
      <c r="I94" s="21">
        <f>'Monthly Data'!CV94</f>
        <v>0</v>
      </c>
      <c r="J94" s="21">
        <f>'Monthly Data'!CS94</f>
        <v>30</v>
      </c>
      <c r="K94" s="21">
        <f>'Monthly Data'!CM94</f>
        <v>93</v>
      </c>
      <c r="L94" s="21">
        <f>'Monthly Data'!CK94</f>
        <v>0</v>
      </c>
      <c r="N94" s="11">
        <f>'Large Use Predicted Monthly'!$AB$10</f>
        <v>-5783820.4539120998</v>
      </c>
      <c r="O94" s="11">
        <f t="shared" si="36"/>
        <v>2644.3764626006682</v>
      </c>
      <c r="P94" s="11">
        <f t="shared" si="26"/>
        <v>2415716.8046458364</v>
      </c>
      <c r="Q94" s="11">
        <f t="shared" si="27"/>
        <v>6999999.7151174396</v>
      </c>
      <c r="R94" s="11">
        <f t="shared" si="28"/>
        <v>387000.72715245897</v>
      </c>
      <c r="S94" s="11">
        <f t="shared" si="29"/>
        <v>0</v>
      </c>
      <c r="T94" s="11">
        <f t="shared" si="30"/>
        <v>10144349.865900181</v>
      </c>
      <c r="U94" s="11">
        <f t="shared" si="31"/>
        <v>1601496.1222876722</v>
      </c>
      <c r="V94" s="11">
        <f t="shared" si="32"/>
        <v>0</v>
      </c>
      <c r="W94" s="11">
        <f t="shared" si="33"/>
        <v>15767387.15765409</v>
      </c>
      <c r="X94" s="11">
        <f t="shared" si="34"/>
        <v>-596834.89076494612</v>
      </c>
      <c r="Y94" s="23">
        <f t="shared" si="35"/>
        <v>3.6471937926472159E-2</v>
      </c>
    </row>
    <row r="95" spans="1:32" x14ac:dyDescent="0.2">
      <c r="A95" s="8">
        <f>'Monthly Data'!A95</f>
        <v>45566</v>
      </c>
      <c r="B95">
        <f t="shared" si="24"/>
        <v>2024</v>
      </c>
      <c r="C95">
        <f t="shared" si="25"/>
        <v>10</v>
      </c>
      <c r="D95" s="19">
        <f>'Monthly Data'!X95</f>
        <v>14807290.144618651</v>
      </c>
      <c r="E95" s="21">
        <f>'Monthly Data'!BJ95</f>
        <v>109.52916666666667</v>
      </c>
      <c r="F95" s="21">
        <f>'Monthly Data'!BM95</f>
        <v>41.512500000000003</v>
      </c>
      <c r="G95" s="21">
        <f>'Monthly Data'!Z95</f>
        <v>2</v>
      </c>
      <c r="H95" s="21">
        <f>'Monthly Data'!CF95</f>
        <v>1</v>
      </c>
      <c r="I95" s="21">
        <f>'Monthly Data'!CV95</f>
        <v>0</v>
      </c>
      <c r="J95" s="21">
        <f>'Monthly Data'!CS95</f>
        <v>31</v>
      </c>
      <c r="K95" s="21">
        <f>'Monthly Data'!CM95</f>
        <v>94</v>
      </c>
      <c r="L95" s="21">
        <f>'Monthly Data'!CK95</f>
        <v>0</v>
      </c>
      <c r="N95" s="11">
        <f>'Large Use Predicted Monthly'!$AB$10</f>
        <v>-5783820.4539120998</v>
      </c>
      <c r="O95" s="11">
        <f t="shared" si="36"/>
        <v>67553.667708827794</v>
      </c>
      <c r="P95" s="11">
        <f t="shared" si="26"/>
        <v>567683.33529150917</v>
      </c>
      <c r="Q95" s="11">
        <f t="shared" si="27"/>
        <v>6999999.7151174396</v>
      </c>
      <c r="R95" s="11">
        <f t="shared" si="28"/>
        <v>387000.72715245897</v>
      </c>
      <c r="S95" s="11">
        <f t="shared" si="29"/>
        <v>0</v>
      </c>
      <c r="T95" s="11">
        <f t="shared" si="30"/>
        <v>10482494.861430187</v>
      </c>
      <c r="U95" s="11">
        <f t="shared" si="31"/>
        <v>1618716.5106993676</v>
      </c>
      <c r="V95" s="11">
        <f t="shared" si="32"/>
        <v>0</v>
      </c>
      <c r="W95" s="11">
        <f t="shared" si="33"/>
        <v>14339628.363487691</v>
      </c>
      <c r="X95" s="11">
        <f t="shared" si="34"/>
        <v>-467661.78113096021</v>
      </c>
      <c r="Y95" s="23">
        <f t="shared" si="35"/>
        <v>3.158321182089624E-2</v>
      </c>
    </row>
    <row r="96" spans="1:32" x14ac:dyDescent="0.2">
      <c r="A96" s="8">
        <f>'Monthly Data'!A96</f>
        <v>45597</v>
      </c>
      <c r="B96">
        <f t="shared" si="24"/>
        <v>2024</v>
      </c>
      <c r="C96">
        <f t="shared" si="25"/>
        <v>11</v>
      </c>
      <c r="D96" s="19">
        <f>'Monthly Data'!X96</f>
        <v>13992711.462041363</v>
      </c>
      <c r="E96" s="21">
        <f>'Monthly Data'!BJ96</f>
        <v>248.15208333333331</v>
      </c>
      <c r="F96" s="21">
        <f>'Monthly Data'!BM96</f>
        <v>12.462500000000004</v>
      </c>
      <c r="G96" s="21">
        <f>'Monthly Data'!Z96</f>
        <v>2</v>
      </c>
      <c r="H96" s="21">
        <f>'Monthly Data'!CF96</f>
        <v>1</v>
      </c>
      <c r="I96" s="21">
        <f>'Monthly Data'!CV96</f>
        <v>0</v>
      </c>
      <c r="J96" s="21">
        <f>'Monthly Data'!CS96</f>
        <v>30</v>
      </c>
      <c r="K96" s="21">
        <f>'Monthly Data'!CM96</f>
        <v>95</v>
      </c>
      <c r="L96" s="21">
        <f>'Monthly Data'!CK96</f>
        <v>0</v>
      </c>
      <c r="N96" s="11">
        <f>'Large Use Predicted Monthly'!$AB$10</f>
        <v>-5783820.4539120998</v>
      </c>
      <c r="O96" s="11">
        <f t="shared" si="36"/>
        <v>153051.31855673154</v>
      </c>
      <c r="P96" s="11">
        <f t="shared" si="26"/>
        <v>170424.65681590931</v>
      </c>
      <c r="Q96" s="11">
        <f t="shared" si="27"/>
        <v>6999999.7151174396</v>
      </c>
      <c r="R96" s="11">
        <f t="shared" si="28"/>
        <v>387000.72715245897</v>
      </c>
      <c r="S96" s="11">
        <f t="shared" si="29"/>
        <v>0</v>
      </c>
      <c r="T96" s="11">
        <f t="shared" si="30"/>
        <v>10144349.865900181</v>
      </c>
      <c r="U96" s="11">
        <f t="shared" si="31"/>
        <v>1635936.899111063</v>
      </c>
      <c r="V96" s="11">
        <f t="shared" si="32"/>
        <v>0</v>
      </c>
      <c r="W96" s="11">
        <f t="shared" si="33"/>
        <v>13706942.728741683</v>
      </c>
      <c r="X96" s="11">
        <f t="shared" si="34"/>
        <v>-285768.73329968005</v>
      </c>
      <c r="Y96" s="23">
        <f t="shared" si="35"/>
        <v>2.0422684629415631E-2</v>
      </c>
    </row>
    <row r="97" spans="1:25" x14ac:dyDescent="0.2">
      <c r="A97" s="8">
        <f>'Monthly Data'!A97</f>
        <v>45627</v>
      </c>
      <c r="B97">
        <f t="shared" si="24"/>
        <v>2024</v>
      </c>
      <c r="C97">
        <f t="shared" si="25"/>
        <v>12</v>
      </c>
      <c r="D97" s="19">
        <f>'Monthly Data'!X97</f>
        <v>13601921.748472378</v>
      </c>
      <c r="E97" s="21">
        <f>'Monthly Data'!BJ97</f>
        <v>477.23749999999995</v>
      </c>
      <c r="F97" s="21">
        <f>'Monthly Data'!BM97</f>
        <v>0</v>
      </c>
      <c r="G97" s="21">
        <f>'Monthly Data'!Z97</f>
        <v>2</v>
      </c>
      <c r="H97" s="21">
        <f>'Monthly Data'!CF97</f>
        <v>0</v>
      </c>
      <c r="I97" s="21">
        <f>'Monthly Data'!CV97</f>
        <v>0</v>
      </c>
      <c r="J97" s="21">
        <f>'Monthly Data'!CS97</f>
        <v>31</v>
      </c>
      <c r="K97" s="21">
        <f>'Monthly Data'!CM97</f>
        <v>96</v>
      </c>
      <c r="L97" s="21">
        <f>'Monthly Data'!CK97</f>
        <v>0</v>
      </c>
      <c r="N97" s="11">
        <f>'Large Use Predicted Monthly'!$AB$10</f>
        <v>-5783820.4539120998</v>
      </c>
      <c r="O97" s="11">
        <f t="shared" si="36"/>
        <v>294342.99989979871</v>
      </c>
      <c r="P97" s="11">
        <f t="shared" si="26"/>
        <v>0</v>
      </c>
      <c r="Q97" s="11">
        <f t="shared" si="27"/>
        <v>6999999.7151174396</v>
      </c>
      <c r="R97" s="11">
        <f t="shared" si="28"/>
        <v>0</v>
      </c>
      <c r="S97" s="11">
        <f t="shared" si="29"/>
        <v>0</v>
      </c>
      <c r="T97" s="11">
        <f t="shared" si="30"/>
        <v>10482494.861430187</v>
      </c>
      <c r="U97" s="11">
        <f t="shared" si="31"/>
        <v>1653157.2875227584</v>
      </c>
      <c r="V97" s="11">
        <f t="shared" si="32"/>
        <v>0</v>
      </c>
      <c r="W97" s="11">
        <f t="shared" si="33"/>
        <v>13646174.410058085</v>
      </c>
      <c r="X97" s="11">
        <f t="shared" si="34"/>
        <v>44252.661585707217</v>
      </c>
      <c r="Y97" s="23">
        <f t="shared" si="35"/>
        <v>3.2534124518601355E-3</v>
      </c>
    </row>
    <row r="98" spans="1:25" x14ac:dyDescent="0.2">
      <c r="A98" s="8">
        <f>'Monthly Data'!A98</f>
        <v>45658</v>
      </c>
      <c r="B98">
        <f t="shared" ref="B98:B109" si="37">YEAR(A98)</f>
        <v>2025</v>
      </c>
      <c r="C98">
        <f t="shared" ref="C98:C109" si="38">MONTH(A98)</f>
        <v>1</v>
      </c>
      <c r="D98" s="19">
        <f>'Monthly Data'!X98</f>
        <v>14361905.166353663</v>
      </c>
      <c r="E98" s="21">
        <f>'Monthly Data'!BJ98</f>
        <v>631.72708333333333</v>
      </c>
      <c r="F98" s="21">
        <f>'Monthly Data'!BM98</f>
        <v>0</v>
      </c>
      <c r="G98" s="21">
        <f>'Monthly Data'!Z98</f>
        <v>2</v>
      </c>
      <c r="H98" s="21">
        <f>'Monthly Data'!CF98</f>
        <v>0</v>
      </c>
      <c r="I98" s="21">
        <f>'Monthly Data'!CV98</f>
        <v>0</v>
      </c>
      <c r="J98" s="21">
        <f>'Monthly Data'!CS98</f>
        <v>31</v>
      </c>
      <c r="K98" s="21">
        <f>'Monthly Data'!CM98</f>
        <v>97</v>
      </c>
      <c r="L98" s="21">
        <f>'Monthly Data'!CK98</f>
        <v>0</v>
      </c>
      <c r="N98" s="11">
        <f>'Large Use Predicted Monthly'!$AB$10</f>
        <v>-5783820.4539120998</v>
      </c>
      <c r="O98" s="11">
        <f t="shared" si="36"/>
        <v>389626.64255487779</v>
      </c>
      <c r="P98" s="11">
        <f t="shared" ref="P98:P109" si="39">F98*$AB$12</f>
        <v>0</v>
      </c>
      <c r="Q98" s="11">
        <f t="shared" ref="Q98:Q109" si="40">G98*$AB$13</f>
        <v>6999999.7151174396</v>
      </c>
      <c r="R98" s="11">
        <f t="shared" ref="R98:R109" si="41">H98*$AB$14</f>
        <v>0</v>
      </c>
      <c r="S98" s="11">
        <f t="shared" ref="S98:S109" si="42">I98*$AB$15</f>
        <v>0</v>
      </c>
      <c r="T98" s="11">
        <f t="shared" ref="T98:T109" si="43">J98*$AB$16</f>
        <v>10482494.861430187</v>
      </c>
      <c r="U98" s="11">
        <f t="shared" ref="U98:U109" si="44">K98*$AB$17</f>
        <v>1670377.6759344537</v>
      </c>
      <c r="V98" s="11">
        <f t="shared" ref="V98:V109" si="45">L98*$AB$18</f>
        <v>0</v>
      </c>
      <c r="W98" s="11">
        <f t="shared" ref="W98:W109" si="46">SUM(N98:V98)</f>
        <v>13758678.441124858</v>
      </c>
      <c r="X98" s="11">
        <f t="shared" ref="X98:X109" si="47">W98-D98</f>
        <v>-603226.72522880509</v>
      </c>
      <c r="Y98" s="23">
        <f t="shared" ref="Y98:Y109" si="48">ABS(X98/D98)</f>
        <v>4.2001859658704184E-2</v>
      </c>
    </row>
    <row r="99" spans="1:25" x14ac:dyDescent="0.2">
      <c r="A99" s="8">
        <f>'Monthly Data'!A99</f>
        <v>45689</v>
      </c>
      <c r="B99">
        <f t="shared" si="37"/>
        <v>2025</v>
      </c>
      <c r="C99">
        <f t="shared" si="38"/>
        <v>2</v>
      </c>
      <c r="D99" s="19">
        <f>'Monthly Data'!X99</f>
        <v>12945592.518201813</v>
      </c>
      <c r="E99" s="21">
        <f>'Monthly Data'!BJ99</f>
        <v>547.18750000000011</v>
      </c>
      <c r="F99" s="21">
        <f>'Monthly Data'!BM99</f>
        <v>0</v>
      </c>
      <c r="G99" s="21">
        <f>'Monthly Data'!Z99</f>
        <v>2</v>
      </c>
      <c r="H99" s="21">
        <f>'Monthly Data'!CF99</f>
        <v>0</v>
      </c>
      <c r="I99" s="21">
        <f>'Monthly Data'!CV99</f>
        <v>0</v>
      </c>
      <c r="J99" s="21">
        <f>'Monthly Data'!CS99</f>
        <v>28</v>
      </c>
      <c r="K99" s="21">
        <f>'Monthly Data'!CM99</f>
        <v>98</v>
      </c>
      <c r="L99" s="21">
        <f>'Monthly Data'!CK99</f>
        <v>0</v>
      </c>
      <c r="N99" s="11">
        <f>'Large Use Predicted Monthly'!$AB$10</f>
        <v>-5783820.4539120998</v>
      </c>
      <c r="O99" s="11">
        <f t="shared" si="36"/>
        <v>337485.65495727211</v>
      </c>
      <c r="P99" s="11">
        <f t="shared" si="39"/>
        <v>0</v>
      </c>
      <c r="Q99" s="11">
        <f t="shared" si="40"/>
        <v>6999999.7151174396</v>
      </c>
      <c r="R99" s="11">
        <f t="shared" si="41"/>
        <v>0</v>
      </c>
      <c r="S99" s="11">
        <f t="shared" si="42"/>
        <v>0</v>
      </c>
      <c r="T99" s="11">
        <f t="shared" si="43"/>
        <v>9468059.8748401683</v>
      </c>
      <c r="U99" s="11">
        <f t="shared" si="44"/>
        <v>1687598.0643461491</v>
      </c>
      <c r="V99" s="11">
        <f t="shared" si="45"/>
        <v>0</v>
      </c>
      <c r="W99" s="11">
        <f t="shared" si="46"/>
        <v>12709322.85534893</v>
      </c>
      <c r="X99" s="11">
        <f t="shared" si="47"/>
        <v>-236269.66285288334</v>
      </c>
      <c r="Y99" s="23">
        <f t="shared" si="48"/>
        <v>1.8250973257553298E-2</v>
      </c>
    </row>
    <row r="100" spans="1:25" x14ac:dyDescent="0.2">
      <c r="A100" s="8">
        <f>'Monthly Data'!A100</f>
        <v>45717</v>
      </c>
      <c r="B100">
        <f t="shared" si="37"/>
        <v>2025</v>
      </c>
      <c r="C100">
        <f t="shared" si="38"/>
        <v>3</v>
      </c>
      <c r="D100" s="19">
        <f>'Monthly Data'!X100</f>
        <v>14237317.45575696</v>
      </c>
      <c r="E100" s="21">
        <f>'Monthly Data'!BJ100</f>
        <v>350.71041666666673</v>
      </c>
      <c r="F100" s="21">
        <f>'Monthly Data'!BM100</f>
        <v>2.4708333333333297</v>
      </c>
      <c r="G100" s="21">
        <f>'Monthly Data'!Z100</f>
        <v>2</v>
      </c>
      <c r="H100" s="21">
        <f>'Monthly Data'!CF100</f>
        <v>0</v>
      </c>
      <c r="I100" s="21">
        <f>'Monthly Data'!CV100</f>
        <v>0</v>
      </c>
      <c r="J100" s="21">
        <f>'Monthly Data'!CS100</f>
        <v>31</v>
      </c>
      <c r="K100" s="21">
        <f>'Monthly Data'!CM100</f>
        <v>99</v>
      </c>
      <c r="L100" s="21">
        <f>'Monthly Data'!CK100</f>
        <v>0</v>
      </c>
      <c r="N100" s="11">
        <f>'Large Use Predicted Monthly'!$AB$10</f>
        <v>-5783820.4539120998</v>
      </c>
      <c r="O100" s="11">
        <f t="shared" si="36"/>
        <v>216305.62589439232</v>
      </c>
      <c r="P100" s="11">
        <f t="shared" si="39"/>
        <v>33788.639749860929</v>
      </c>
      <c r="Q100" s="11">
        <f t="shared" si="40"/>
        <v>6999999.7151174396</v>
      </c>
      <c r="R100" s="11">
        <f t="shared" si="41"/>
        <v>0</v>
      </c>
      <c r="S100" s="11">
        <f t="shared" si="42"/>
        <v>0</v>
      </c>
      <c r="T100" s="11">
        <f t="shared" si="43"/>
        <v>10482494.861430187</v>
      </c>
      <c r="U100" s="11">
        <f t="shared" si="44"/>
        <v>1704818.4527578445</v>
      </c>
      <c r="V100" s="11">
        <f t="shared" si="45"/>
        <v>0</v>
      </c>
      <c r="W100" s="11">
        <f t="shared" si="46"/>
        <v>13653586.841037625</v>
      </c>
      <c r="X100" s="11">
        <f t="shared" si="47"/>
        <v>-583730.61471933499</v>
      </c>
      <c r="Y100" s="23">
        <f t="shared" si="48"/>
        <v>4.1000042074871297E-2</v>
      </c>
    </row>
    <row r="101" spans="1:25" x14ac:dyDescent="0.2">
      <c r="A101" s="8">
        <f>'Monthly Data'!A101</f>
        <v>45748</v>
      </c>
      <c r="B101">
        <f t="shared" si="37"/>
        <v>2025</v>
      </c>
      <c r="C101">
        <f t="shared" si="38"/>
        <v>4</v>
      </c>
      <c r="D101" s="19">
        <f>'Monthly Data'!X101</f>
        <v>14137926.302662909</v>
      </c>
      <c r="E101" s="21">
        <f>'Monthly Data'!BJ101</f>
        <v>209.11249999999995</v>
      </c>
      <c r="F101" s="21">
        <f>'Monthly Data'!BM101</f>
        <v>21.741666666666667</v>
      </c>
      <c r="G101" s="21">
        <f>'Monthly Data'!Z101</f>
        <v>2</v>
      </c>
      <c r="H101" s="21">
        <f>'Monthly Data'!CF101</f>
        <v>0</v>
      </c>
      <c r="I101" s="21">
        <f>'Monthly Data'!CV101</f>
        <v>0</v>
      </c>
      <c r="J101" s="21">
        <f>'Monthly Data'!CS101</f>
        <v>30</v>
      </c>
      <c r="K101" s="21">
        <f>'Monthly Data'!CM101</f>
        <v>100</v>
      </c>
      <c r="L101" s="21">
        <f>'Monthly Data'!CK101</f>
        <v>0</v>
      </c>
      <c r="N101" s="11">
        <f>'Large Use Predicted Monthly'!$AB$10</f>
        <v>-5783820.4539120998</v>
      </c>
      <c r="O101" s="11">
        <f t="shared" si="36"/>
        <v>128973.10158264312</v>
      </c>
      <c r="P101" s="11">
        <f t="shared" si="39"/>
        <v>297317.23813621351</v>
      </c>
      <c r="Q101" s="11">
        <f t="shared" si="40"/>
        <v>6999999.7151174396</v>
      </c>
      <c r="R101" s="11">
        <f t="shared" si="41"/>
        <v>0</v>
      </c>
      <c r="S101" s="11">
        <f t="shared" si="42"/>
        <v>0</v>
      </c>
      <c r="T101" s="11">
        <f t="shared" si="43"/>
        <v>10144349.865900181</v>
      </c>
      <c r="U101" s="11">
        <f t="shared" si="44"/>
        <v>1722038.8411695398</v>
      </c>
      <c r="V101" s="11">
        <f t="shared" si="45"/>
        <v>0</v>
      </c>
      <c r="W101" s="11">
        <f t="shared" si="46"/>
        <v>13508858.307993919</v>
      </c>
      <c r="X101" s="11">
        <f t="shared" si="47"/>
        <v>-629067.99466899037</v>
      </c>
      <c r="Y101" s="23">
        <f t="shared" si="48"/>
        <v>4.4495068173506042E-2</v>
      </c>
    </row>
    <row r="102" spans="1:25" x14ac:dyDescent="0.2">
      <c r="A102" s="8">
        <f>'Monthly Data'!A102</f>
        <v>45778</v>
      </c>
      <c r="B102">
        <f t="shared" si="37"/>
        <v>2025</v>
      </c>
      <c r="C102">
        <f t="shared" si="38"/>
        <v>5</v>
      </c>
      <c r="D102" s="19">
        <f>'Monthly Data'!X102</f>
        <v>14378587.136586657</v>
      </c>
      <c r="E102" s="21">
        <f>'Monthly Data'!BJ102</f>
        <v>73.445833333333326</v>
      </c>
      <c r="F102" s="21">
        <f>'Monthly Data'!BM102</f>
        <v>56.191666666666634</v>
      </c>
      <c r="G102" s="21">
        <f>'Monthly Data'!Z102</f>
        <v>2</v>
      </c>
      <c r="H102" s="21">
        <f>'Monthly Data'!CF102</f>
        <v>0</v>
      </c>
      <c r="I102" s="21">
        <f>'Monthly Data'!CV102</f>
        <v>0</v>
      </c>
      <c r="J102" s="21">
        <f>'Monthly Data'!CS102</f>
        <v>31</v>
      </c>
      <c r="K102" s="21">
        <f>'Monthly Data'!CM102</f>
        <v>101</v>
      </c>
      <c r="L102" s="21">
        <f>'Monthly Data'!CK102</f>
        <v>1</v>
      </c>
      <c r="N102" s="11">
        <f>'Large Use Predicted Monthly'!$AB$10</f>
        <v>-5783820.4539120998</v>
      </c>
      <c r="O102" s="11">
        <f t="shared" si="36"/>
        <v>45298.759870031099</v>
      </c>
      <c r="P102" s="11">
        <f t="shared" si="39"/>
        <v>768420.90331639955</v>
      </c>
      <c r="Q102" s="11">
        <f t="shared" si="40"/>
        <v>6999999.7151174396</v>
      </c>
      <c r="R102" s="11">
        <f t="shared" si="41"/>
        <v>0</v>
      </c>
      <c r="S102" s="11">
        <f t="shared" si="42"/>
        <v>0</v>
      </c>
      <c r="T102" s="11">
        <f t="shared" si="43"/>
        <v>10482494.861430187</v>
      </c>
      <c r="U102" s="11">
        <f t="shared" si="44"/>
        <v>1739259.2295812354</v>
      </c>
      <c r="V102" s="11">
        <f t="shared" si="45"/>
        <v>-352058.92944720201</v>
      </c>
      <c r="W102" s="11">
        <f t="shared" si="46"/>
        <v>13899594.08595599</v>
      </c>
      <c r="X102" s="11">
        <f t="shared" si="47"/>
        <v>-478993.05063066632</v>
      </c>
      <c r="Y102" s="23">
        <f t="shared" si="48"/>
        <v>3.3312942786420031E-2</v>
      </c>
    </row>
    <row r="103" spans="1:25" x14ac:dyDescent="0.2">
      <c r="A103" s="8">
        <f>'Monthly Data'!A103</f>
        <v>45809</v>
      </c>
      <c r="B103">
        <f t="shared" si="37"/>
        <v>2025</v>
      </c>
      <c r="C103">
        <f t="shared" si="38"/>
        <v>6</v>
      </c>
      <c r="D103" s="19">
        <f>'Monthly Data'!X103</f>
        <v>16220607.002538506</v>
      </c>
      <c r="E103" s="21">
        <f>'Monthly Data'!BJ103</f>
        <v>4.3041666666666671</v>
      </c>
      <c r="F103" s="21">
        <f>'Monthly Data'!BM103</f>
        <v>246.54999999999993</v>
      </c>
      <c r="G103" s="21">
        <f>'Monthly Data'!Z103</f>
        <v>2</v>
      </c>
      <c r="H103" s="21">
        <f>'Monthly Data'!CF103</f>
        <v>0</v>
      </c>
      <c r="I103" s="21">
        <f>'Monthly Data'!CV103</f>
        <v>0</v>
      </c>
      <c r="J103" s="21">
        <f>'Monthly Data'!CS103</f>
        <v>30</v>
      </c>
      <c r="K103" s="21">
        <f>'Monthly Data'!CM103</f>
        <v>102</v>
      </c>
      <c r="L103" s="21">
        <f>'Monthly Data'!CK103</f>
        <v>1</v>
      </c>
      <c r="N103" s="11">
        <f>'Large Use Predicted Monthly'!$AB$10</f>
        <v>-5783820.4539120998</v>
      </c>
      <c r="O103" s="11">
        <f t="shared" si="36"/>
        <v>2654.6558657594674</v>
      </c>
      <c r="P103" s="11">
        <f t="shared" si="39"/>
        <v>3371570.6429658909</v>
      </c>
      <c r="Q103" s="11">
        <f t="shared" si="40"/>
        <v>6999999.7151174396</v>
      </c>
      <c r="R103" s="11">
        <f t="shared" si="41"/>
        <v>0</v>
      </c>
      <c r="S103" s="11">
        <f t="shared" si="42"/>
        <v>0</v>
      </c>
      <c r="T103" s="11">
        <f t="shared" si="43"/>
        <v>10144349.865900181</v>
      </c>
      <c r="U103" s="11">
        <f t="shared" si="44"/>
        <v>1756479.6179929308</v>
      </c>
      <c r="V103" s="11">
        <f t="shared" si="45"/>
        <v>-352058.92944720201</v>
      </c>
      <c r="W103" s="11">
        <f t="shared" si="46"/>
        <v>16139175.1144829</v>
      </c>
      <c r="X103" s="11">
        <f t="shared" si="47"/>
        <v>-81431.888055605814</v>
      </c>
      <c r="Y103" s="23">
        <f t="shared" si="48"/>
        <v>5.0202737815460185E-3</v>
      </c>
    </row>
    <row r="104" spans="1:25" x14ac:dyDescent="0.2">
      <c r="A104" s="8">
        <f>'Monthly Data'!A104</f>
        <v>45839</v>
      </c>
      <c r="B104">
        <f t="shared" si="37"/>
        <v>2025</v>
      </c>
      <c r="C104">
        <f t="shared" si="38"/>
        <v>7</v>
      </c>
      <c r="D104" s="19">
        <f>'Monthly Data'!X104</f>
        <v>18141297.038824454</v>
      </c>
      <c r="E104" s="21">
        <f>'Monthly Data'!BJ104</f>
        <v>0</v>
      </c>
      <c r="F104" s="21">
        <f>'Monthly Data'!BM104</f>
        <v>317.57916666666665</v>
      </c>
      <c r="G104" s="21">
        <f>'Monthly Data'!Z104</f>
        <v>2</v>
      </c>
      <c r="H104" s="21">
        <f>'Monthly Data'!CF104</f>
        <v>0</v>
      </c>
      <c r="I104" s="21">
        <f>'Monthly Data'!CV104</f>
        <v>0</v>
      </c>
      <c r="J104" s="21">
        <f>'Monthly Data'!CS104</f>
        <v>31</v>
      </c>
      <c r="K104" s="21">
        <f>'Monthly Data'!CM104</f>
        <v>103</v>
      </c>
      <c r="L104" s="21">
        <f>'Monthly Data'!CK104</f>
        <v>1</v>
      </c>
      <c r="N104" s="11">
        <f>'Large Use Predicted Monthly'!$AB$10</f>
        <v>-5783820.4539120998</v>
      </c>
      <c r="O104" s="11">
        <f t="shared" si="36"/>
        <v>0</v>
      </c>
      <c r="P104" s="11">
        <f t="shared" si="39"/>
        <v>4342894.322250681</v>
      </c>
      <c r="Q104" s="11">
        <f t="shared" si="40"/>
        <v>6999999.7151174396</v>
      </c>
      <c r="R104" s="11">
        <f t="shared" si="41"/>
        <v>0</v>
      </c>
      <c r="S104" s="11">
        <f t="shared" si="42"/>
        <v>0</v>
      </c>
      <c r="T104" s="11">
        <f t="shared" si="43"/>
        <v>10482494.861430187</v>
      </c>
      <c r="U104" s="11">
        <f t="shared" si="44"/>
        <v>1773700.0064046262</v>
      </c>
      <c r="V104" s="11">
        <f t="shared" si="45"/>
        <v>-352058.92944720201</v>
      </c>
      <c r="W104" s="11">
        <f t="shared" si="46"/>
        <v>17463209.521843635</v>
      </c>
      <c r="X104" s="11">
        <f t="shared" si="47"/>
        <v>-678087.5169808194</v>
      </c>
      <c r="Y104" s="23">
        <f t="shared" si="48"/>
        <v>3.7378116654483658E-2</v>
      </c>
    </row>
    <row r="105" spans="1:25" x14ac:dyDescent="0.2">
      <c r="A105" s="8">
        <f>'Monthly Data'!A105</f>
        <v>45870</v>
      </c>
      <c r="B105">
        <f t="shared" si="37"/>
        <v>2025</v>
      </c>
      <c r="C105">
        <f t="shared" si="38"/>
        <v>8</v>
      </c>
      <c r="D105" s="19">
        <f>'Monthly Data'!X105</f>
        <v>16333866.322163202</v>
      </c>
      <c r="E105" s="21">
        <f>'Monthly Data'!BJ105</f>
        <v>2.4833333333333378</v>
      </c>
      <c r="F105" s="21">
        <f>'Monthly Data'!BM105</f>
        <v>238.4291666666667</v>
      </c>
      <c r="G105" s="21">
        <f>'Monthly Data'!Z105</f>
        <v>2</v>
      </c>
      <c r="H105" s="21">
        <f>'Monthly Data'!CF105</f>
        <v>0</v>
      </c>
      <c r="I105" s="21">
        <f>'Monthly Data'!CV105</f>
        <v>0</v>
      </c>
      <c r="J105" s="21">
        <f>'Monthly Data'!CS105</f>
        <v>31</v>
      </c>
      <c r="K105" s="21">
        <f>'Monthly Data'!CM105</f>
        <v>104</v>
      </c>
      <c r="L105" s="21">
        <f>'Monthly Data'!CK105</f>
        <v>1</v>
      </c>
      <c r="N105" s="11">
        <f>'Large Use Predicted Monthly'!$AB$10</f>
        <v>-5783820.4539120998</v>
      </c>
      <c r="O105" s="11">
        <f t="shared" si="36"/>
        <v>1531.6310706608376</v>
      </c>
      <c r="P105" s="11">
        <f t="shared" si="39"/>
        <v>3260518.2671269733</v>
      </c>
      <c r="Q105" s="11">
        <f t="shared" si="40"/>
        <v>6999999.7151174396</v>
      </c>
      <c r="R105" s="11">
        <f t="shared" si="41"/>
        <v>0</v>
      </c>
      <c r="S105" s="11">
        <f t="shared" si="42"/>
        <v>0</v>
      </c>
      <c r="T105" s="11">
        <f t="shared" si="43"/>
        <v>10482494.861430187</v>
      </c>
      <c r="U105" s="11">
        <f t="shared" si="44"/>
        <v>1790920.3948163216</v>
      </c>
      <c r="V105" s="11">
        <f t="shared" si="45"/>
        <v>-352058.92944720201</v>
      </c>
      <c r="W105" s="11">
        <f t="shared" si="46"/>
        <v>16399585.486202281</v>
      </c>
      <c r="X105" s="11">
        <f t="shared" si="47"/>
        <v>65719.1640390791</v>
      </c>
      <c r="Y105" s="23">
        <f t="shared" si="48"/>
        <v>4.0234909936727997E-3</v>
      </c>
    </row>
    <row r="106" spans="1:25" x14ac:dyDescent="0.2">
      <c r="A106" s="8">
        <f>'Monthly Data'!A106</f>
        <v>45901</v>
      </c>
      <c r="B106">
        <f t="shared" si="37"/>
        <v>2025</v>
      </c>
      <c r="C106">
        <f t="shared" si="38"/>
        <v>9</v>
      </c>
      <c r="D106" s="19">
        <f>'Monthly Data'!X106</f>
        <v>15806074.315778051</v>
      </c>
      <c r="E106" s="21">
        <f>'Monthly Data'!BJ106</f>
        <v>3.1125000000000025</v>
      </c>
      <c r="F106" s="21">
        <f>'Monthly Data'!BM106</f>
        <v>158.98333333333338</v>
      </c>
      <c r="G106" s="21">
        <f>'Monthly Data'!Z106</f>
        <v>2</v>
      </c>
      <c r="H106" s="21">
        <f>'Monthly Data'!CF106</f>
        <v>1</v>
      </c>
      <c r="I106" s="21">
        <f>'Monthly Data'!CV106</f>
        <v>0</v>
      </c>
      <c r="J106" s="21">
        <f>'Monthly Data'!CS106</f>
        <v>30</v>
      </c>
      <c r="K106" s="21">
        <f>'Monthly Data'!CM106</f>
        <v>105</v>
      </c>
      <c r="L106" s="21">
        <f>'Monthly Data'!CK106</f>
        <v>0</v>
      </c>
      <c r="N106" s="11">
        <f>'Large Use Predicted Monthly'!$AB$10</f>
        <v>-5783820.4539120998</v>
      </c>
      <c r="O106" s="11">
        <f t="shared" si="36"/>
        <v>1919.6785399054438</v>
      </c>
      <c r="P106" s="11">
        <f t="shared" si="39"/>
        <v>2174096.6918983068</v>
      </c>
      <c r="Q106" s="11">
        <f t="shared" si="40"/>
        <v>6999999.7151174396</v>
      </c>
      <c r="R106" s="11">
        <f t="shared" si="41"/>
        <v>387000.72715245897</v>
      </c>
      <c r="S106" s="11">
        <f t="shared" si="42"/>
        <v>0</v>
      </c>
      <c r="T106" s="11">
        <f t="shared" si="43"/>
        <v>10144349.865900181</v>
      </c>
      <c r="U106" s="11">
        <f t="shared" si="44"/>
        <v>1808140.7832280169</v>
      </c>
      <c r="V106" s="11">
        <f t="shared" si="45"/>
        <v>0</v>
      </c>
      <c r="W106" s="11">
        <f t="shared" si="46"/>
        <v>15731687.00792421</v>
      </c>
      <c r="X106" s="11">
        <f t="shared" si="47"/>
        <v>-74387.307853840292</v>
      </c>
      <c r="Y106" s="23">
        <f t="shared" si="48"/>
        <v>4.7062481402852111E-3</v>
      </c>
    </row>
    <row r="107" spans="1:25" x14ac:dyDescent="0.2">
      <c r="A107" s="8">
        <f>'Monthly Data'!A107</f>
        <v>45931</v>
      </c>
      <c r="B107">
        <f t="shared" si="37"/>
        <v>2025</v>
      </c>
      <c r="C107">
        <f t="shared" si="38"/>
        <v>10</v>
      </c>
      <c r="D107" s="19">
        <f>'Monthly Data'!X107</f>
        <v>14876887.0161887</v>
      </c>
      <c r="E107" s="21">
        <f>'Monthly Data'!BJ107</f>
        <v>119.57916666666667</v>
      </c>
      <c r="F107" s="21">
        <f>'Monthly Data'!BM107</f>
        <v>49.983333333333348</v>
      </c>
      <c r="G107" s="21">
        <f>'Monthly Data'!Z107</f>
        <v>2</v>
      </c>
      <c r="H107" s="21">
        <f>'Monthly Data'!CF107</f>
        <v>1</v>
      </c>
      <c r="I107" s="21">
        <f>'Monthly Data'!CV107</f>
        <v>0</v>
      </c>
      <c r="J107" s="21">
        <f>'Monthly Data'!CS107</f>
        <v>31</v>
      </c>
      <c r="K107" s="21">
        <f>'Monthly Data'!CM107</f>
        <v>106</v>
      </c>
      <c r="L107" s="21">
        <f>'Monthly Data'!CK107</f>
        <v>0</v>
      </c>
      <c r="N107" s="11">
        <f>'Large Use Predicted Monthly'!$AB$10</f>
        <v>-5783820.4539120998</v>
      </c>
      <c r="O107" s="11">
        <f t="shared" si="36"/>
        <v>73752.14781358272</v>
      </c>
      <c r="P107" s="11">
        <f t="shared" si="39"/>
        <v>683521.96026868874</v>
      </c>
      <c r="Q107" s="11">
        <f t="shared" si="40"/>
        <v>6999999.7151174396</v>
      </c>
      <c r="R107" s="11">
        <f t="shared" si="41"/>
        <v>387000.72715245897</v>
      </c>
      <c r="S107" s="11">
        <f t="shared" si="42"/>
        <v>0</v>
      </c>
      <c r="T107" s="11">
        <f t="shared" si="43"/>
        <v>10482494.861430187</v>
      </c>
      <c r="U107" s="11">
        <f t="shared" si="44"/>
        <v>1825361.1716397123</v>
      </c>
      <c r="V107" s="11">
        <f t="shared" si="45"/>
        <v>0</v>
      </c>
      <c r="W107" s="11">
        <f t="shared" si="46"/>
        <v>14668310.129509969</v>
      </c>
      <c r="X107" s="11">
        <f t="shared" si="47"/>
        <v>-208576.88667873107</v>
      </c>
      <c r="Y107" s="23">
        <f t="shared" si="48"/>
        <v>1.4020196997648924E-2</v>
      </c>
    </row>
    <row r="108" spans="1:25" x14ac:dyDescent="0.2">
      <c r="A108" s="8">
        <f>'Monthly Data'!A108</f>
        <v>45962</v>
      </c>
      <c r="B108">
        <f t="shared" si="37"/>
        <v>2025</v>
      </c>
      <c r="C108">
        <f t="shared" si="38"/>
        <v>11</v>
      </c>
      <c r="D108" s="19">
        <f>'Monthly Data'!X108</f>
        <v>13663366.431718748</v>
      </c>
      <c r="E108" s="21">
        <f>'Monthly Data'!BJ108</f>
        <v>326.6229166666667</v>
      </c>
      <c r="F108" s="21">
        <f>'Monthly Data'!BM108</f>
        <v>0</v>
      </c>
      <c r="G108" s="21">
        <f>'Monthly Data'!Z108</f>
        <v>2</v>
      </c>
      <c r="H108" s="21">
        <f>'Monthly Data'!CF108</f>
        <v>1</v>
      </c>
      <c r="I108" s="21">
        <f>'Monthly Data'!CV108</f>
        <v>0</v>
      </c>
      <c r="J108" s="21">
        <f>'Monthly Data'!CS108</f>
        <v>30</v>
      </c>
      <c r="K108" s="21">
        <f>'Monthly Data'!CM108</f>
        <v>107</v>
      </c>
      <c r="L108" s="21">
        <f>'Monthly Data'!CK108</f>
        <v>0</v>
      </c>
      <c r="N108" s="11">
        <f>'Large Use Predicted Monthly'!$AB$10</f>
        <v>-5783820.4539120998</v>
      </c>
      <c r="O108" s="11">
        <f t="shared" si="36"/>
        <v>201449.31847914014</v>
      </c>
      <c r="P108" s="11">
        <f t="shared" si="39"/>
        <v>0</v>
      </c>
      <c r="Q108" s="11">
        <f t="shared" si="40"/>
        <v>6999999.7151174396</v>
      </c>
      <c r="R108" s="11">
        <f t="shared" si="41"/>
        <v>387000.72715245897</v>
      </c>
      <c r="S108" s="11">
        <f t="shared" si="42"/>
        <v>0</v>
      </c>
      <c r="T108" s="11">
        <f t="shared" si="43"/>
        <v>10144349.865900181</v>
      </c>
      <c r="U108" s="11">
        <f t="shared" si="44"/>
        <v>1842581.5600514077</v>
      </c>
      <c r="V108" s="11">
        <f t="shared" si="45"/>
        <v>0</v>
      </c>
      <c r="W108" s="11">
        <f t="shared" si="46"/>
        <v>13791560.732788527</v>
      </c>
      <c r="X108" s="11">
        <f t="shared" si="47"/>
        <v>128194.30106977932</v>
      </c>
      <c r="Y108" s="23">
        <f t="shared" si="48"/>
        <v>9.3823364622779466E-3</v>
      </c>
    </row>
    <row r="109" spans="1:25" x14ac:dyDescent="0.2">
      <c r="A109" s="8">
        <f>'Monthly Data'!A109</f>
        <v>45992</v>
      </c>
      <c r="B109">
        <f t="shared" si="37"/>
        <v>2025</v>
      </c>
      <c r="C109">
        <f t="shared" si="38"/>
        <v>12</v>
      </c>
      <c r="D109" s="19">
        <f>'Monthly Data'!X109</f>
        <v>13605458.244193096</v>
      </c>
      <c r="E109" s="21">
        <f>'Monthly Data'!BJ109</f>
        <v>565.42916666666667</v>
      </c>
      <c r="F109" s="21">
        <f>'Monthly Data'!BM109</f>
        <v>0</v>
      </c>
      <c r="G109" s="21">
        <f>'Monthly Data'!Z109</f>
        <v>2</v>
      </c>
      <c r="H109" s="21">
        <f>'Monthly Data'!CF109</f>
        <v>0</v>
      </c>
      <c r="I109" s="21">
        <f>'Monthly Data'!CV109</f>
        <v>0</v>
      </c>
      <c r="J109" s="21">
        <f>'Monthly Data'!CS109</f>
        <v>31</v>
      </c>
      <c r="K109" s="21">
        <f>'Monthly Data'!CM109</f>
        <v>108</v>
      </c>
      <c r="L109" s="21">
        <f>'Monthly Data'!CK109</f>
        <v>0</v>
      </c>
      <c r="N109" s="11">
        <f>'Large Use Predicted Monthly'!$AB$10</f>
        <v>-5783820.4539120998</v>
      </c>
      <c r="O109" s="11">
        <f t="shared" si="36"/>
        <v>348736.461714576</v>
      </c>
      <c r="P109" s="11">
        <f t="shared" si="39"/>
        <v>0</v>
      </c>
      <c r="Q109" s="11">
        <f t="shared" si="40"/>
        <v>6999999.7151174396</v>
      </c>
      <c r="R109" s="11">
        <f t="shared" si="41"/>
        <v>0</v>
      </c>
      <c r="S109" s="11">
        <f t="shared" si="42"/>
        <v>0</v>
      </c>
      <c r="T109" s="11">
        <f t="shared" si="43"/>
        <v>10482494.861430187</v>
      </c>
      <c r="U109" s="11">
        <f t="shared" si="44"/>
        <v>1859801.9484631033</v>
      </c>
      <c r="V109" s="11">
        <f t="shared" si="45"/>
        <v>0</v>
      </c>
      <c r="W109" s="11">
        <f t="shared" si="46"/>
        <v>13907212.532813204</v>
      </c>
      <c r="X109" s="11">
        <f t="shared" si="47"/>
        <v>301754.28862010874</v>
      </c>
      <c r="Y109" s="23">
        <f t="shared" si="48"/>
        <v>2.2178914021429567E-2</v>
      </c>
    </row>
    <row r="110" spans="1:25" x14ac:dyDescent="0.2">
      <c r="A110" s="8"/>
      <c r="Y110" s="24">
        <f>AVERAGE(Y2:Y109)</f>
        <v>3.9060535372145704E-2</v>
      </c>
    </row>
    <row r="111" spans="1:25" x14ac:dyDescent="0.2">
      <c r="A111" s="8"/>
    </row>
    <row r="112" spans="1:25" x14ac:dyDescent="0.2">
      <c r="A112" s="8"/>
    </row>
    <row r="113" spans="1:1" x14ac:dyDescent="0.2">
      <c r="A113" s="8"/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8"/>
    </row>
    <row r="118" spans="1:1" x14ac:dyDescent="0.2">
      <c r="A118" s="8"/>
    </row>
    <row r="119" spans="1:1" x14ac:dyDescent="0.2">
      <c r="A119" s="8"/>
    </row>
    <row r="120" spans="1:1" x14ac:dyDescent="0.2">
      <c r="A120" s="8"/>
    </row>
    <row r="121" spans="1:1" x14ac:dyDescent="0.2">
      <c r="A121" s="8"/>
    </row>
    <row r="122" spans="1:1" x14ac:dyDescent="0.2">
      <c r="A122" s="8"/>
    </row>
    <row r="123" spans="1:1" x14ac:dyDescent="0.2">
      <c r="A123" s="8"/>
    </row>
    <row r="124" spans="1:1" x14ac:dyDescent="0.2">
      <c r="A124" s="8"/>
    </row>
    <row r="125" spans="1:1" x14ac:dyDescent="0.2">
      <c r="A125" s="8"/>
    </row>
    <row r="126" spans="1:1" x14ac:dyDescent="0.2">
      <c r="A126" s="8"/>
    </row>
    <row r="127" spans="1:1" x14ac:dyDescent="0.2">
      <c r="A127" s="8"/>
    </row>
    <row r="128" spans="1:1" x14ac:dyDescent="0.2">
      <c r="A128" s="8"/>
    </row>
    <row r="129" spans="1:1" x14ac:dyDescent="0.2">
      <c r="A129" s="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C390A-F667-4CED-AFD4-A748A049947A}">
  <sheetPr>
    <tabColor theme="3" tint="0.499984740745262"/>
  </sheetPr>
  <dimension ref="A1:Z267"/>
  <sheetViews>
    <sheetView topLeftCell="A87" workbookViewId="0">
      <selection activeCell="I41" sqref="I41"/>
    </sheetView>
  </sheetViews>
  <sheetFormatPr defaultRowHeight="12.75" x14ac:dyDescent="0.2"/>
  <cols>
    <col min="4" max="5" width="18.1640625" customWidth="1"/>
    <col min="6" max="6" width="10.83203125" customWidth="1"/>
    <col min="9" max="9" width="11.6640625" customWidth="1"/>
  </cols>
  <sheetData>
    <row r="1" spans="1:26" ht="15" thickBot="1" x14ac:dyDescent="0.25">
      <c r="A1" s="292"/>
      <c r="B1" s="293" t="s">
        <v>191</v>
      </c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</row>
    <row r="2" spans="1:26" ht="14.25" x14ac:dyDescent="0.2">
      <c r="A2" s="292"/>
      <c r="B2" s="293" t="s">
        <v>194</v>
      </c>
      <c r="C2" s="294"/>
      <c r="D2" s="554" t="s">
        <v>193</v>
      </c>
      <c r="E2" s="555"/>
      <c r="F2" s="555"/>
      <c r="G2" s="555"/>
      <c r="H2" s="555"/>
      <c r="I2" s="555"/>
      <c r="J2" s="555"/>
      <c r="K2" s="555"/>
      <c r="L2" s="555"/>
      <c r="M2" s="555"/>
      <c r="N2" s="555"/>
      <c r="O2" s="556"/>
      <c r="P2" s="554" t="s">
        <v>445</v>
      </c>
      <c r="Q2" s="555"/>
      <c r="R2" s="555"/>
      <c r="S2" s="555"/>
      <c r="T2" s="555"/>
      <c r="U2" s="555"/>
      <c r="V2" s="555"/>
      <c r="W2" s="555"/>
      <c r="X2" s="555"/>
      <c r="Y2" s="555"/>
      <c r="Z2" s="556"/>
    </row>
    <row r="3" spans="1:26" ht="14.25" x14ac:dyDescent="0.2">
      <c r="A3" s="292"/>
      <c r="B3" s="295"/>
      <c r="C3" s="296"/>
      <c r="D3" s="565" t="s">
        <v>473</v>
      </c>
      <c r="E3" s="565" t="s">
        <v>383</v>
      </c>
      <c r="F3" s="561" t="s">
        <v>195</v>
      </c>
      <c r="G3" s="562"/>
      <c r="H3" s="562"/>
      <c r="I3" s="562"/>
      <c r="J3" s="563"/>
      <c r="K3" s="561" t="s">
        <v>196</v>
      </c>
      <c r="L3" s="562"/>
      <c r="M3" s="562"/>
      <c r="N3" s="562"/>
      <c r="O3" s="564"/>
      <c r="P3" s="565" t="s">
        <v>383</v>
      </c>
      <c r="Q3" s="561" t="s">
        <v>195</v>
      </c>
      <c r="R3" s="562"/>
      <c r="S3" s="562"/>
      <c r="T3" s="562"/>
      <c r="U3" s="563"/>
      <c r="V3" s="561" t="s">
        <v>196</v>
      </c>
      <c r="W3" s="562"/>
      <c r="X3" s="562"/>
      <c r="Y3" s="562"/>
      <c r="Z3" s="564"/>
    </row>
    <row r="4" spans="1:26" ht="71.25" x14ac:dyDescent="0.2">
      <c r="A4" s="297"/>
      <c r="B4" s="298" t="s">
        <v>198</v>
      </c>
      <c r="C4" s="299"/>
      <c r="D4" s="566"/>
      <c r="E4" s="566"/>
      <c r="F4" s="300" t="s">
        <v>128</v>
      </c>
      <c r="G4" s="301" t="s">
        <v>199</v>
      </c>
      <c r="H4" s="301" t="s">
        <v>474</v>
      </c>
      <c r="I4" s="301" t="s">
        <v>475</v>
      </c>
      <c r="J4" s="302" t="s">
        <v>476</v>
      </c>
      <c r="K4" s="300" t="s">
        <v>128</v>
      </c>
      <c r="L4" s="301" t="s">
        <v>199</v>
      </c>
      <c r="M4" s="301" t="s">
        <v>474</v>
      </c>
      <c r="N4" s="301" t="s">
        <v>475</v>
      </c>
      <c r="O4" s="303" t="s">
        <v>476</v>
      </c>
      <c r="P4" s="566"/>
      <c r="Q4" s="300" t="s">
        <v>128</v>
      </c>
      <c r="R4" s="301" t="s">
        <v>199</v>
      </c>
      <c r="S4" s="301" t="s">
        <v>474</v>
      </c>
      <c r="T4" s="301" t="s">
        <v>475</v>
      </c>
      <c r="U4" s="302" t="s">
        <v>476</v>
      </c>
      <c r="V4" s="300" t="s">
        <v>128</v>
      </c>
      <c r="W4" s="301" t="s">
        <v>199</v>
      </c>
      <c r="X4" s="301" t="s">
        <v>474</v>
      </c>
      <c r="Y4" s="301" t="s">
        <v>475</v>
      </c>
      <c r="Z4" s="303" t="s">
        <v>476</v>
      </c>
    </row>
    <row r="5" spans="1:26" ht="14.25" x14ac:dyDescent="0.2">
      <c r="A5" s="292"/>
      <c r="B5" s="295" t="s">
        <v>197</v>
      </c>
      <c r="C5" s="296">
        <v>2017</v>
      </c>
      <c r="D5" s="304">
        <v>168225</v>
      </c>
      <c r="E5" s="305">
        <f>F5+K5</f>
        <v>1320</v>
      </c>
      <c r="F5" s="306">
        <v>595</v>
      </c>
      <c r="G5" s="307">
        <v>414</v>
      </c>
      <c r="H5" s="307">
        <v>0</v>
      </c>
      <c r="I5" s="307">
        <v>181</v>
      </c>
      <c r="J5" s="308">
        <v>0</v>
      </c>
      <c r="K5" s="306">
        <v>725</v>
      </c>
      <c r="L5" s="307">
        <v>628</v>
      </c>
      <c r="M5" s="307">
        <v>0</v>
      </c>
      <c r="N5" s="307">
        <v>88</v>
      </c>
      <c r="O5" s="309">
        <v>9</v>
      </c>
      <c r="P5" s="305">
        <f>Q5+V5</f>
        <v>28</v>
      </c>
      <c r="Q5" s="306">
        <v>5</v>
      </c>
      <c r="R5" s="307">
        <v>4</v>
      </c>
      <c r="S5" s="307">
        <v>0</v>
      </c>
      <c r="T5" s="307">
        <v>1</v>
      </c>
      <c r="U5" s="308">
        <v>0</v>
      </c>
      <c r="V5" s="306">
        <v>23</v>
      </c>
      <c r="W5" s="307">
        <v>22</v>
      </c>
      <c r="X5" s="307">
        <v>0</v>
      </c>
      <c r="Y5" s="307">
        <v>1</v>
      </c>
      <c r="Z5" s="309">
        <v>0</v>
      </c>
    </row>
    <row r="6" spans="1:26" ht="14.25" x14ac:dyDescent="0.2">
      <c r="A6" s="292"/>
      <c r="B6" s="295" t="s">
        <v>200</v>
      </c>
      <c r="C6" s="296">
        <v>2017</v>
      </c>
      <c r="D6" s="304">
        <v>234021</v>
      </c>
      <c r="E6" s="305">
        <f t="shared" ref="E6:E36" si="0">F6+K6</f>
        <v>2089</v>
      </c>
      <c r="F6" s="306">
        <v>832</v>
      </c>
      <c r="G6" s="307">
        <v>605</v>
      </c>
      <c r="H6" s="307">
        <v>0</v>
      </c>
      <c r="I6" s="307">
        <v>227</v>
      </c>
      <c r="J6" s="308">
        <v>0</v>
      </c>
      <c r="K6" s="306">
        <v>1257</v>
      </c>
      <c r="L6" s="307">
        <v>937</v>
      </c>
      <c r="M6" s="307">
        <v>0</v>
      </c>
      <c r="N6" s="307">
        <v>153</v>
      </c>
      <c r="O6" s="309">
        <v>167</v>
      </c>
      <c r="P6" s="305">
        <f t="shared" ref="P6:P37" si="1">Q6+V6</f>
        <v>66</v>
      </c>
      <c r="Q6" s="306">
        <v>18</v>
      </c>
      <c r="R6" s="307">
        <v>13</v>
      </c>
      <c r="S6" s="307">
        <v>0</v>
      </c>
      <c r="T6" s="307">
        <v>5</v>
      </c>
      <c r="U6" s="308">
        <v>0</v>
      </c>
      <c r="V6" s="306">
        <v>48</v>
      </c>
      <c r="W6" s="307">
        <v>38</v>
      </c>
      <c r="X6" s="307">
        <v>0</v>
      </c>
      <c r="Y6" s="307">
        <v>3</v>
      </c>
      <c r="Z6" s="309">
        <v>7</v>
      </c>
    </row>
    <row r="7" spans="1:26" ht="14.25" x14ac:dyDescent="0.2">
      <c r="A7" s="292"/>
      <c r="B7" s="295" t="s">
        <v>201</v>
      </c>
      <c r="C7" s="296">
        <v>2017</v>
      </c>
      <c r="D7" s="304">
        <v>219632</v>
      </c>
      <c r="E7" s="305">
        <f t="shared" si="0"/>
        <v>2129</v>
      </c>
      <c r="F7" s="306">
        <v>950</v>
      </c>
      <c r="G7" s="307">
        <v>685</v>
      </c>
      <c r="H7" s="307">
        <v>0</v>
      </c>
      <c r="I7" s="307">
        <v>265</v>
      </c>
      <c r="J7" s="308">
        <v>0</v>
      </c>
      <c r="K7" s="306">
        <v>1179</v>
      </c>
      <c r="L7" s="307">
        <v>984</v>
      </c>
      <c r="M7" s="307">
        <v>0</v>
      </c>
      <c r="N7" s="307">
        <v>98</v>
      </c>
      <c r="O7" s="309">
        <v>97</v>
      </c>
      <c r="P7" s="305">
        <f t="shared" si="1"/>
        <v>56</v>
      </c>
      <c r="Q7" s="306">
        <v>14</v>
      </c>
      <c r="R7" s="307">
        <v>10</v>
      </c>
      <c r="S7" s="307">
        <v>0</v>
      </c>
      <c r="T7" s="307">
        <v>4</v>
      </c>
      <c r="U7" s="308">
        <v>0</v>
      </c>
      <c r="V7" s="306">
        <v>42</v>
      </c>
      <c r="W7" s="307">
        <v>40</v>
      </c>
      <c r="X7" s="307">
        <v>0</v>
      </c>
      <c r="Y7" s="307">
        <v>0</v>
      </c>
      <c r="Z7" s="309">
        <v>2</v>
      </c>
    </row>
    <row r="8" spans="1:26" ht="14.25" x14ac:dyDescent="0.2">
      <c r="A8" s="292"/>
      <c r="B8" s="295" t="s">
        <v>202</v>
      </c>
      <c r="C8" s="296">
        <v>2017</v>
      </c>
      <c r="D8" s="304">
        <v>179517</v>
      </c>
      <c r="E8" s="305">
        <f t="shared" si="0"/>
        <v>2640</v>
      </c>
      <c r="F8" s="306">
        <v>1186</v>
      </c>
      <c r="G8" s="307">
        <v>828</v>
      </c>
      <c r="H8" s="307">
        <v>0</v>
      </c>
      <c r="I8" s="307">
        <v>358</v>
      </c>
      <c r="J8" s="308">
        <v>0</v>
      </c>
      <c r="K8" s="306">
        <v>1454</v>
      </c>
      <c r="L8" s="307">
        <v>1108</v>
      </c>
      <c r="M8" s="307">
        <v>0</v>
      </c>
      <c r="N8" s="307">
        <v>97</v>
      </c>
      <c r="O8" s="309">
        <v>249</v>
      </c>
      <c r="P8" s="305">
        <f t="shared" si="1"/>
        <v>56</v>
      </c>
      <c r="Q8" s="306">
        <v>11</v>
      </c>
      <c r="R8" s="307">
        <v>9</v>
      </c>
      <c r="S8" s="307">
        <v>0</v>
      </c>
      <c r="T8" s="307">
        <v>2</v>
      </c>
      <c r="U8" s="308">
        <v>0</v>
      </c>
      <c r="V8" s="306">
        <v>45</v>
      </c>
      <c r="W8" s="307">
        <v>40</v>
      </c>
      <c r="X8" s="307">
        <v>0</v>
      </c>
      <c r="Y8" s="307">
        <v>0</v>
      </c>
      <c r="Z8" s="309">
        <v>5</v>
      </c>
    </row>
    <row r="9" spans="1:26" ht="14.25" x14ac:dyDescent="0.2">
      <c r="A9" s="292"/>
      <c r="B9" s="295" t="s">
        <v>203</v>
      </c>
      <c r="C9" s="296">
        <v>2018</v>
      </c>
      <c r="D9" s="304">
        <v>165397</v>
      </c>
      <c r="E9" s="305">
        <f t="shared" si="0"/>
        <v>2747</v>
      </c>
      <c r="F9" s="306">
        <v>928</v>
      </c>
      <c r="G9" s="307">
        <v>754</v>
      </c>
      <c r="H9" s="307">
        <v>0</v>
      </c>
      <c r="I9" s="307">
        <v>174</v>
      </c>
      <c r="J9" s="308">
        <v>0</v>
      </c>
      <c r="K9" s="306">
        <v>1819</v>
      </c>
      <c r="L9" s="307">
        <v>1251</v>
      </c>
      <c r="M9" s="307">
        <v>0</v>
      </c>
      <c r="N9" s="307">
        <v>359</v>
      </c>
      <c r="O9" s="309">
        <v>209</v>
      </c>
      <c r="P9" s="305">
        <f t="shared" si="1"/>
        <v>57</v>
      </c>
      <c r="Q9" s="306">
        <v>14</v>
      </c>
      <c r="R9" s="307">
        <v>13</v>
      </c>
      <c r="S9" s="307">
        <v>0</v>
      </c>
      <c r="T9" s="307">
        <v>1</v>
      </c>
      <c r="U9" s="308">
        <v>0</v>
      </c>
      <c r="V9" s="306">
        <v>43</v>
      </c>
      <c r="W9" s="307">
        <v>31</v>
      </c>
      <c r="X9" s="307">
        <v>0</v>
      </c>
      <c r="Y9" s="307">
        <v>6</v>
      </c>
      <c r="Z9" s="309">
        <v>6</v>
      </c>
    </row>
    <row r="10" spans="1:26" ht="14.25" x14ac:dyDescent="0.2">
      <c r="A10" s="292"/>
      <c r="B10" s="295" t="s">
        <v>204</v>
      </c>
      <c r="C10" s="296">
        <v>2018</v>
      </c>
      <c r="D10" s="304">
        <v>239881</v>
      </c>
      <c r="E10" s="305">
        <f t="shared" si="0"/>
        <v>6949</v>
      </c>
      <c r="F10" s="306">
        <v>3617</v>
      </c>
      <c r="G10" s="307">
        <v>3306</v>
      </c>
      <c r="H10" s="307">
        <v>0</v>
      </c>
      <c r="I10" s="307">
        <v>311</v>
      </c>
      <c r="J10" s="308">
        <v>0</v>
      </c>
      <c r="K10" s="306">
        <v>3332</v>
      </c>
      <c r="L10" s="307">
        <v>2218</v>
      </c>
      <c r="M10" s="307">
        <v>0</v>
      </c>
      <c r="N10" s="307">
        <v>707</v>
      </c>
      <c r="O10" s="309">
        <v>407</v>
      </c>
      <c r="P10" s="305">
        <f t="shared" si="1"/>
        <v>151</v>
      </c>
      <c r="Q10" s="306">
        <v>61</v>
      </c>
      <c r="R10" s="307">
        <v>59</v>
      </c>
      <c r="S10" s="307">
        <v>0</v>
      </c>
      <c r="T10" s="307">
        <v>2</v>
      </c>
      <c r="U10" s="308">
        <v>0</v>
      </c>
      <c r="V10" s="306">
        <v>90</v>
      </c>
      <c r="W10" s="307">
        <v>59</v>
      </c>
      <c r="X10" s="307">
        <v>0</v>
      </c>
      <c r="Y10" s="307">
        <v>15</v>
      </c>
      <c r="Z10" s="309">
        <v>16</v>
      </c>
    </row>
    <row r="11" spans="1:26" ht="14.25" x14ac:dyDescent="0.2">
      <c r="A11" s="292"/>
      <c r="B11" s="295" t="s">
        <v>205</v>
      </c>
      <c r="C11" s="296">
        <v>2018</v>
      </c>
      <c r="D11" s="304">
        <v>218772</v>
      </c>
      <c r="E11" s="305">
        <f t="shared" si="0"/>
        <v>5178</v>
      </c>
      <c r="F11" s="306">
        <v>2526</v>
      </c>
      <c r="G11" s="307">
        <v>2275</v>
      </c>
      <c r="H11" s="307">
        <v>0</v>
      </c>
      <c r="I11" s="307">
        <v>251</v>
      </c>
      <c r="J11" s="308">
        <v>0</v>
      </c>
      <c r="K11" s="306">
        <v>2652</v>
      </c>
      <c r="L11" s="307">
        <v>1603</v>
      </c>
      <c r="M11" s="307">
        <v>0</v>
      </c>
      <c r="N11" s="307">
        <v>844</v>
      </c>
      <c r="O11" s="309">
        <v>205</v>
      </c>
      <c r="P11" s="305">
        <f t="shared" si="1"/>
        <v>127</v>
      </c>
      <c r="Q11" s="306">
        <v>42</v>
      </c>
      <c r="R11" s="307">
        <v>40</v>
      </c>
      <c r="S11" s="307">
        <v>0</v>
      </c>
      <c r="T11" s="307">
        <v>2</v>
      </c>
      <c r="U11" s="308">
        <v>0</v>
      </c>
      <c r="V11" s="306">
        <v>85</v>
      </c>
      <c r="W11" s="307">
        <v>52</v>
      </c>
      <c r="X11" s="307">
        <v>0</v>
      </c>
      <c r="Y11" s="307">
        <v>25</v>
      </c>
      <c r="Z11" s="309">
        <v>8</v>
      </c>
    </row>
    <row r="12" spans="1:26" ht="14.25" x14ac:dyDescent="0.2">
      <c r="A12" s="292"/>
      <c r="B12" s="295" t="s">
        <v>206</v>
      </c>
      <c r="C12" s="296">
        <v>2018</v>
      </c>
      <c r="D12" s="304">
        <v>174523</v>
      </c>
      <c r="E12" s="305">
        <f t="shared" si="0"/>
        <v>1886</v>
      </c>
      <c r="F12" s="306">
        <v>1145</v>
      </c>
      <c r="G12" s="307">
        <v>981</v>
      </c>
      <c r="H12" s="307">
        <v>0</v>
      </c>
      <c r="I12" s="307">
        <v>164</v>
      </c>
      <c r="J12" s="308">
        <v>0</v>
      </c>
      <c r="K12" s="306">
        <v>741</v>
      </c>
      <c r="L12" s="307">
        <v>446</v>
      </c>
      <c r="M12" s="307">
        <v>0</v>
      </c>
      <c r="N12" s="307">
        <v>242</v>
      </c>
      <c r="O12" s="309">
        <v>53</v>
      </c>
      <c r="P12" s="305">
        <f t="shared" si="1"/>
        <v>29</v>
      </c>
      <c r="Q12" s="306">
        <v>17</v>
      </c>
      <c r="R12" s="307">
        <v>15</v>
      </c>
      <c r="S12" s="307">
        <v>0</v>
      </c>
      <c r="T12" s="307">
        <v>2</v>
      </c>
      <c r="U12" s="308">
        <v>0</v>
      </c>
      <c r="V12" s="306">
        <v>12</v>
      </c>
      <c r="W12" s="307">
        <v>9</v>
      </c>
      <c r="X12" s="307">
        <v>0</v>
      </c>
      <c r="Y12" s="307">
        <v>3</v>
      </c>
      <c r="Z12" s="309">
        <v>0</v>
      </c>
    </row>
    <row r="13" spans="1:26" ht="14.25" x14ac:dyDescent="0.2">
      <c r="A13" s="292"/>
      <c r="B13" s="295" t="s">
        <v>207</v>
      </c>
      <c r="C13" s="296">
        <v>2019</v>
      </c>
      <c r="D13" s="304">
        <v>168959</v>
      </c>
      <c r="E13" s="305">
        <f t="shared" si="0"/>
        <v>1343</v>
      </c>
      <c r="F13" s="306">
        <v>850</v>
      </c>
      <c r="G13" s="307">
        <v>565</v>
      </c>
      <c r="H13" s="307">
        <v>0</v>
      </c>
      <c r="I13" s="307">
        <v>285</v>
      </c>
      <c r="J13" s="308">
        <v>0</v>
      </c>
      <c r="K13" s="306">
        <v>493</v>
      </c>
      <c r="L13" s="307">
        <v>280</v>
      </c>
      <c r="M13" s="307">
        <v>0</v>
      </c>
      <c r="N13" s="307">
        <v>189</v>
      </c>
      <c r="O13" s="309">
        <v>24</v>
      </c>
      <c r="P13" s="305">
        <f t="shared" si="1"/>
        <v>28</v>
      </c>
      <c r="Q13" s="306">
        <v>10</v>
      </c>
      <c r="R13" s="307">
        <v>8</v>
      </c>
      <c r="S13" s="307">
        <v>0</v>
      </c>
      <c r="T13" s="307">
        <v>2</v>
      </c>
      <c r="U13" s="308">
        <v>0</v>
      </c>
      <c r="V13" s="306">
        <v>18</v>
      </c>
      <c r="W13" s="307">
        <v>15</v>
      </c>
      <c r="X13" s="307">
        <v>0</v>
      </c>
      <c r="Y13" s="307">
        <v>3</v>
      </c>
      <c r="Z13" s="309">
        <v>0</v>
      </c>
    </row>
    <row r="14" spans="1:26" ht="14.25" x14ac:dyDescent="0.2">
      <c r="A14" s="292"/>
      <c r="B14" s="295" t="s">
        <v>208</v>
      </c>
      <c r="C14" s="296">
        <v>2019</v>
      </c>
      <c r="D14" s="304">
        <v>222792</v>
      </c>
      <c r="E14" s="305">
        <f t="shared" si="0"/>
        <v>2875</v>
      </c>
      <c r="F14" s="306">
        <v>1992</v>
      </c>
      <c r="G14" s="307">
        <v>1656</v>
      </c>
      <c r="H14" s="307">
        <v>0</v>
      </c>
      <c r="I14" s="307">
        <v>336</v>
      </c>
      <c r="J14" s="308">
        <v>0</v>
      </c>
      <c r="K14" s="306">
        <v>883</v>
      </c>
      <c r="L14" s="307">
        <v>497</v>
      </c>
      <c r="M14" s="307">
        <v>0</v>
      </c>
      <c r="N14" s="307">
        <v>349</v>
      </c>
      <c r="O14" s="309">
        <v>37</v>
      </c>
      <c r="P14" s="305">
        <f t="shared" si="1"/>
        <v>50</v>
      </c>
      <c r="Q14" s="306">
        <v>28</v>
      </c>
      <c r="R14" s="307">
        <v>24</v>
      </c>
      <c r="S14" s="307">
        <v>0</v>
      </c>
      <c r="T14" s="307">
        <v>4</v>
      </c>
      <c r="U14" s="308">
        <v>0</v>
      </c>
      <c r="V14" s="306">
        <v>22</v>
      </c>
      <c r="W14" s="307">
        <v>12</v>
      </c>
      <c r="X14" s="307">
        <v>0</v>
      </c>
      <c r="Y14" s="307">
        <v>9</v>
      </c>
      <c r="Z14" s="309">
        <v>1</v>
      </c>
    </row>
    <row r="15" spans="1:26" ht="14.25" x14ac:dyDescent="0.2">
      <c r="A15" s="292"/>
      <c r="B15" s="295" t="s">
        <v>209</v>
      </c>
      <c r="C15" s="296">
        <v>2019</v>
      </c>
      <c r="D15" s="304">
        <v>219590</v>
      </c>
      <c r="E15" s="305">
        <f t="shared" si="0"/>
        <v>3149</v>
      </c>
      <c r="F15" s="306">
        <v>2181</v>
      </c>
      <c r="G15" s="307">
        <v>1844</v>
      </c>
      <c r="H15" s="307">
        <v>0</v>
      </c>
      <c r="I15" s="307">
        <v>337</v>
      </c>
      <c r="J15" s="308">
        <v>0</v>
      </c>
      <c r="K15" s="306">
        <v>968</v>
      </c>
      <c r="L15" s="307">
        <v>644</v>
      </c>
      <c r="M15" s="307">
        <v>0</v>
      </c>
      <c r="N15" s="307">
        <v>306</v>
      </c>
      <c r="O15" s="309">
        <v>18</v>
      </c>
      <c r="P15" s="305">
        <f t="shared" si="1"/>
        <v>51</v>
      </c>
      <c r="Q15" s="306">
        <v>35</v>
      </c>
      <c r="R15" s="307">
        <v>27</v>
      </c>
      <c r="S15" s="307">
        <v>0</v>
      </c>
      <c r="T15" s="307">
        <v>8</v>
      </c>
      <c r="U15" s="308">
        <v>0</v>
      </c>
      <c r="V15" s="306">
        <v>16</v>
      </c>
      <c r="W15" s="307">
        <v>11</v>
      </c>
      <c r="X15" s="307">
        <v>0</v>
      </c>
      <c r="Y15" s="307">
        <v>5</v>
      </c>
      <c r="Z15" s="309">
        <v>0</v>
      </c>
    </row>
    <row r="16" spans="1:26" ht="14.25" x14ac:dyDescent="0.2">
      <c r="A16" s="292"/>
      <c r="B16" s="295" t="s">
        <v>210</v>
      </c>
      <c r="C16" s="296">
        <v>2019</v>
      </c>
      <c r="D16" s="304">
        <v>184737</v>
      </c>
      <c r="E16" s="305">
        <f t="shared" si="0"/>
        <v>2278</v>
      </c>
      <c r="F16" s="306">
        <v>1539</v>
      </c>
      <c r="G16" s="307">
        <v>1194</v>
      </c>
      <c r="H16" s="307">
        <v>0</v>
      </c>
      <c r="I16" s="307">
        <v>345</v>
      </c>
      <c r="J16" s="308">
        <v>0</v>
      </c>
      <c r="K16" s="306">
        <v>739</v>
      </c>
      <c r="L16" s="307">
        <v>442</v>
      </c>
      <c r="M16" s="307">
        <v>0</v>
      </c>
      <c r="N16" s="307">
        <v>284</v>
      </c>
      <c r="O16" s="309">
        <v>13</v>
      </c>
      <c r="P16" s="305">
        <f t="shared" si="1"/>
        <v>40</v>
      </c>
      <c r="Q16" s="306">
        <v>19</v>
      </c>
      <c r="R16" s="307">
        <v>13</v>
      </c>
      <c r="S16" s="307">
        <v>0</v>
      </c>
      <c r="T16" s="307">
        <v>6</v>
      </c>
      <c r="U16" s="308">
        <v>0</v>
      </c>
      <c r="V16" s="306">
        <v>21</v>
      </c>
      <c r="W16" s="307">
        <v>15</v>
      </c>
      <c r="X16" s="307">
        <v>0</v>
      </c>
      <c r="Y16" s="307">
        <v>5</v>
      </c>
      <c r="Z16" s="309">
        <v>1</v>
      </c>
    </row>
    <row r="17" spans="1:26" ht="14.25" x14ac:dyDescent="0.2">
      <c r="A17" s="292"/>
      <c r="B17" s="295" t="s">
        <v>211</v>
      </c>
      <c r="C17" s="296">
        <v>2020</v>
      </c>
      <c r="D17" s="304">
        <v>139080</v>
      </c>
      <c r="E17" s="305">
        <f t="shared" si="0"/>
        <v>1712</v>
      </c>
      <c r="F17" s="306">
        <v>1184</v>
      </c>
      <c r="G17" s="307">
        <v>740</v>
      </c>
      <c r="H17" s="307">
        <v>0</v>
      </c>
      <c r="I17" s="307">
        <v>444</v>
      </c>
      <c r="J17" s="308">
        <v>0</v>
      </c>
      <c r="K17" s="306">
        <v>528</v>
      </c>
      <c r="L17" s="307">
        <v>253</v>
      </c>
      <c r="M17" s="307">
        <v>0</v>
      </c>
      <c r="N17" s="307">
        <v>234</v>
      </c>
      <c r="O17" s="309">
        <v>41</v>
      </c>
      <c r="P17" s="305">
        <f t="shared" si="1"/>
        <v>31</v>
      </c>
      <c r="Q17" s="306">
        <v>16</v>
      </c>
      <c r="R17" s="307">
        <v>10</v>
      </c>
      <c r="S17" s="307">
        <v>0</v>
      </c>
      <c r="T17" s="307">
        <v>6</v>
      </c>
      <c r="U17" s="308">
        <v>0</v>
      </c>
      <c r="V17" s="306">
        <v>15</v>
      </c>
      <c r="W17" s="307">
        <v>6</v>
      </c>
      <c r="X17" s="307">
        <v>0</v>
      </c>
      <c r="Y17" s="307">
        <v>7</v>
      </c>
      <c r="Z17" s="309">
        <v>2</v>
      </c>
    </row>
    <row r="18" spans="1:26" ht="14.25" x14ac:dyDescent="0.2">
      <c r="A18" s="292"/>
      <c r="B18" s="295" t="s">
        <v>212</v>
      </c>
      <c r="C18" s="296">
        <v>2020</v>
      </c>
      <c r="D18" s="304">
        <v>109197</v>
      </c>
      <c r="E18" s="305">
        <f t="shared" si="0"/>
        <v>1761</v>
      </c>
      <c r="F18" s="306">
        <v>1337</v>
      </c>
      <c r="G18" s="307">
        <v>1122</v>
      </c>
      <c r="H18" s="307">
        <v>0</v>
      </c>
      <c r="I18" s="307">
        <v>215</v>
      </c>
      <c r="J18" s="308">
        <v>0</v>
      </c>
      <c r="K18" s="306">
        <v>424</v>
      </c>
      <c r="L18" s="307">
        <v>210</v>
      </c>
      <c r="M18" s="307">
        <v>0</v>
      </c>
      <c r="N18" s="307">
        <v>192</v>
      </c>
      <c r="O18" s="309">
        <v>22</v>
      </c>
      <c r="P18" s="305">
        <f t="shared" si="1"/>
        <v>34</v>
      </c>
      <c r="Q18" s="306">
        <v>20</v>
      </c>
      <c r="R18" s="307">
        <v>17</v>
      </c>
      <c r="S18" s="307">
        <v>0</v>
      </c>
      <c r="T18" s="307">
        <v>3</v>
      </c>
      <c r="U18" s="308">
        <v>0</v>
      </c>
      <c r="V18" s="306">
        <v>14</v>
      </c>
      <c r="W18" s="307">
        <v>9</v>
      </c>
      <c r="X18" s="307">
        <v>0</v>
      </c>
      <c r="Y18" s="307">
        <v>5</v>
      </c>
      <c r="Z18" s="309">
        <v>0</v>
      </c>
    </row>
    <row r="19" spans="1:26" ht="14.25" x14ac:dyDescent="0.2">
      <c r="A19" s="292"/>
      <c r="B19" s="295" t="s">
        <v>213</v>
      </c>
      <c r="C19" s="296">
        <v>2020</v>
      </c>
      <c r="D19" s="304">
        <v>198406</v>
      </c>
      <c r="E19" s="305">
        <f t="shared" si="0"/>
        <v>3568</v>
      </c>
      <c r="F19" s="306">
        <v>2807</v>
      </c>
      <c r="G19" s="307">
        <v>1479</v>
      </c>
      <c r="H19" s="307">
        <v>0</v>
      </c>
      <c r="I19" s="307">
        <v>1328</v>
      </c>
      <c r="J19" s="308">
        <v>0</v>
      </c>
      <c r="K19" s="306">
        <v>761</v>
      </c>
      <c r="L19" s="307">
        <v>324</v>
      </c>
      <c r="M19" s="307">
        <v>0</v>
      </c>
      <c r="N19" s="307">
        <v>405</v>
      </c>
      <c r="O19" s="309">
        <v>32</v>
      </c>
      <c r="P19" s="305">
        <f t="shared" si="1"/>
        <v>75</v>
      </c>
      <c r="Q19" s="306">
        <v>57</v>
      </c>
      <c r="R19" s="307">
        <v>32</v>
      </c>
      <c r="S19" s="307">
        <v>0</v>
      </c>
      <c r="T19" s="307">
        <v>25</v>
      </c>
      <c r="U19" s="308">
        <v>0</v>
      </c>
      <c r="V19" s="306">
        <v>18</v>
      </c>
      <c r="W19" s="307">
        <v>10</v>
      </c>
      <c r="X19" s="307">
        <v>0</v>
      </c>
      <c r="Y19" s="307">
        <v>8</v>
      </c>
      <c r="Z19" s="309">
        <v>0</v>
      </c>
    </row>
    <row r="20" spans="1:26" ht="14.25" x14ac:dyDescent="0.2">
      <c r="A20" s="292"/>
      <c r="B20" s="295" t="s">
        <v>214</v>
      </c>
      <c r="C20" s="296">
        <v>2020</v>
      </c>
      <c r="D20" s="304">
        <v>153874</v>
      </c>
      <c r="E20" s="305">
        <f t="shared" si="0"/>
        <v>3476</v>
      </c>
      <c r="F20" s="306">
        <v>2833</v>
      </c>
      <c r="G20" s="307">
        <v>1358</v>
      </c>
      <c r="H20" s="307">
        <v>0</v>
      </c>
      <c r="I20" s="307">
        <v>1475</v>
      </c>
      <c r="J20" s="308">
        <v>0</v>
      </c>
      <c r="K20" s="306">
        <v>643</v>
      </c>
      <c r="L20" s="307">
        <v>219</v>
      </c>
      <c r="M20" s="307">
        <v>0</v>
      </c>
      <c r="N20" s="307">
        <v>384</v>
      </c>
      <c r="O20" s="309">
        <v>40</v>
      </c>
      <c r="P20" s="305">
        <f t="shared" si="1"/>
        <v>68</v>
      </c>
      <c r="Q20" s="306">
        <v>46</v>
      </c>
      <c r="R20" s="307">
        <v>24</v>
      </c>
      <c r="S20" s="307">
        <v>0</v>
      </c>
      <c r="T20" s="307">
        <v>22</v>
      </c>
      <c r="U20" s="308">
        <v>0</v>
      </c>
      <c r="V20" s="306">
        <v>22</v>
      </c>
      <c r="W20" s="307">
        <v>10</v>
      </c>
      <c r="X20" s="307">
        <v>0</v>
      </c>
      <c r="Y20" s="307">
        <v>11</v>
      </c>
      <c r="Z20" s="309">
        <v>1</v>
      </c>
    </row>
    <row r="21" spans="1:26" ht="14.25" x14ac:dyDescent="0.2">
      <c r="A21" s="292"/>
      <c r="B21" s="295" t="s">
        <v>215</v>
      </c>
      <c r="C21" s="296">
        <v>2021</v>
      </c>
      <c r="D21" s="304">
        <v>141819</v>
      </c>
      <c r="E21" s="305">
        <f t="shared" si="0"/>
        <v>3362</v>
      </c>
      <c r="F21" s="306">
        <v>2600</v>
      </c>
      <c r="G21" s="307">
        <v>1018</v>
      </c>
      <c r="H21" s="307">
        <v>0</v>
      </c>
      <c r="I21" s="307">
        <v>1582</v>
      </c>
      <c r="J21" s="308">
        <v>0</v>
      </c>
      <c r="K21" s="306">
        <v>762</v>
      </c>
      <c r="L21" s="307">
        <v>183</v>
      </c>
      <c r="M21" s="307">
        <v>0</v>
      </c>
      <c r="N21" s="307">
        <v>512</v>
      </c>
      <c r="O21" s="309">
        <v>67</v>
      </c>
      <c r="P21" s="305">
        <f t="shared" si="1"/>
        <v>64</v>
      </c>
      <c r="Q21" s="306">
        <v>45</v>
      </c>
      <c r="R21" s="307">
        <v>20</v>
      </c>
      <c r="S21" s="307">
        <v>0</v>
      </c>
      <c r="T21" s="307">
        <v>25</v>
      </c>
      <c r="U21" s="308">
        <v>0</v>
      </c>
      <c r="V21" s="306">
        <v>19</v>
      </c>
      <c r="W21" s="307">
        <v>4</v>
      </c>
      <c r="X21" s="307">
        <v>0</v>
      </c>
      <c r="Y21" s="307">
        <v>15</v>
      </c>
      <c r="Z21" s="309">
        <v>0</v>
      </c>
    </row>
    <row r="22" spans="1:26" ht="14.25" x14ac:dyDescent="0.2">
      <c r="A22" s="292"/>
      <c r="B22" s="295" t="s">
        <v>216</v>
      </c>
      <c r="C22" s="296">
        <v>2021</v>
      </c>
      <c r="D22" s="304">
        <v>180181</v>
      </c>
      <c r="E22" s="305">
        <f t="shared" si="0"/>
        <v>5148</v>
      </c>
      <c r="F22" s="306">
        <v>3762</v>
      </c>
      <c r="G22" s="307">
        <v>1702</v>
      </c>
      <c r="H22" s="307">
        <v>0</v>
      </c>
      <c r="I22" s="307">
        <v>2060</v>
      </c>
      <c r="J22" s="308">
        <v>0</v>
      </c>
      <c r="K22" s="306">
        <v>1386</v>
      </c>
      <c r="L22" s="307">
        <v>267</v>
      </c>
      <c r="M22" s="307">
        <v>0</v>
      </c>
      <c r="N22" s="307">
        <v>1063</v>
      </c>
      <c r="O22" s="309">
        <v>56</v>
      </c>
      <c r="P22" s="305">
        <f t="shared" si="1"/>
        <v>109</v>
      </c>
      <c r="Q22" s="306">
        <v>70</v>
      </c>
      <c r="R22" s="307">
        <v>31</v>
      </c>
      <c r="S22" s="307">
        <v>0</v>
      </c>
      <c r="T22" s="307">
        <v>39</v>
      </c>
      <c r="U22" s="308">
        <v>0</v>
      </c>
      <c r="V22" s="306">
        <v>39</v>
      </c>
      <c r="W22" s="307">
        <v>8</v>
      </c>
      <c r="X22" s="307">
        <v>0</v>
      </c>
      <c r="Y22" s="307">
        <v>27</v>
      </c>
      <c r="Z22" s="309">
        <v>4</v>
      </c>
    </row>
    <row r="23" spans="1:26" ht="14.25" x14ac:dyDescent="0.2">
      <c r="A23" s="292"/>
      <c r="B23" s="295" t="s">
        <v>217</v>
      </c>
      <c r="C23" s="296">
        <v>2021</v>
      </c>
      <c r="D23" s="304">
        <v>174638</v>
      </c>
      <c r="E23" s="305">
        <f t="shared" si="0"/>
        <v>5171</v>
      </c>
      <c r="F23" s="306">
        <v>3672</v>
      </c>
      <c r="G23" s="307">
        <v>2018</v>
      </c>
      <c r="H23" s="307">
        <v>0</v>
      </c>
      <c r="I23" s="307">
        <v>1654</v>
      </c>
      <c r="J23" s="308">
        <v>0</v>
      </c>
      <c r="K23" s="306">
        <v>1499</v>
      </c>
      <c r="L23" s="307">
        <v>382</v>
      </c>
      <c r="M23" s="307">
        <v>0</v>
      </c>
      <c r="N23" s="307">
        <v>987</v>
      </c>
      <c r="O23" s="309">
        <v>130</v>
      </c>
      <c r="P23" s="305">
        <f t="shared" si="1"/>
        <v>102</v>
      </c>
      <c r="Q23" s="306">
        <v>59</v>
      </c>
      <c r="R23" s="307">
        <v>36</v>
      </c>
      <c r="S23" s="307">
        <v>0</v>
      </c>
      <c r="T23" s="307">
        <v>23</v>
      </c>
      <c r="U23" s="308">
        <v>0</v>
      </c>
      <c r="V23" s="306">
        <v>43</v>
      </c>
      <c r="W23" s="307">
        <v>12</v>
      </c>
      <c r="X23" s="307">
        <v>0</v>
      </c>
      <c r="Y23" s="307">
        <v>27</v>
      </c>
      <c r="Z23" s="309">
        <v>4</v>
      </c>
    </row>
    <row r="24" spans="1:26" ht="14.25" x14ac:dyDescent="0.2">
      <c r="A24" s="292"/>
      <c r="B24" s="295" t="s">
        <v>218</v>
      </c>
      <c r="C24" s="296">
        <v>2021</v>
      </c>
      <c r="D24" s="304">
        <v>130630</v>
      </c>
      <c r="E24" s="305">
        <f t="shared" si="0"/>
        <v>6129</v>
      </c>
      <c r="F24" s="306">
        <v>4787</v>
      </c>
      <c r="G24" s="307">
        <v>2342</v>
      </c>
      <c r="H24" s="307">
        <v>0</v>
      </c>
      <c r="I24" s="307">
        <v>2445</v>
      </c>
      <c r="J24" s="308">
        <v>0</v>
      </c>
      <c r="K24" s="306">
        <v>1342</v>
      </c>
      <c r="L24" s="307">
        <v>199</v>
      </c>
      <c r="M24" s="307">
        <v>0</v>
      </c>
      <c r="N24" s="307">
        <v>1114</v>
      </c>
      <c r="O24" s="309">
        <v>29</v>
      </c>
      <c r="P24" s="305">
        <f t="shared" si="1"/>
        <v>118</v>
      </c>
      <c r="Q24" s="306">
        <v>82</v>
      </c>
      <c r="R24" s="307">
        <v>35</v>
      </c>
      <c r="S24" s="307">
        <v>0</v>
      </c>
      <c r="T24" s="307">
        <v>47</v>
      </c>
      <c r="U24" s="308">
        <v>0</v>
      </c>
      <c r="V24" s="306">
        <v>36</v>
      </c>
      <c r="W24" s="307">
        <v>7</v>
      </c>
      <c r="X24" s="307">
        <v>0</v>
      </c>
      <c r="Y24" s="307">
        <v>28</v>
      </c>
      <c r="Z24" s="309">
        <v>1</v>
      </c>
    </row>
    <row r="25" spans="1:26" ht="14.25" x14ac:dyDescent="0.2">
      <c r="A25" s="292"/>
      <c r="B25" s="295" t="s">
        <v>219</v>
      </c>
      <c r="C25" s="296">
        <v>2022</v>
      </c>
      <c r="D25" s="304">
        <v>135138</v>
      </c>
      <c r="E25" s="305">
        <f t="shared" si="0"/>
        <v>7124</v>
      </c>
      <c r="F25" s="306">
        <v>5686</v>
      </c>
      <c r="G25" s="307">
        <v>2869</v>
      </c>
      <c r="H25" s="307">
        <v>0</v>
      </c>
      <c r="I25" s="307">
        <v>2813</v>
      </c>
      <c r="J25" s="308">
        <v>4</v>
      </c>
      <c r="K25" s="306">
        <v>1438</v>
      </c>
      <c r="L25" s="307">
        <v>152</v>
      </c>
      <c r="M25" s="307">
        <v>0</v>
      </c>
      <c r="N25" s="307">
        <v>1045</v>
      </c>
      <c r="O25" s="309">
        <v>241</v>
      </c>
      <c r="P25" s="305">
        <f t="shared" si="1"/>
        <v>127</v>
      </c>
      <c r="Q25" s="306">
        <v>96</v>
      </c>
      <c r="R25" s="307">
        <v>54</v>
      </c>
      <c r="S25" s="307">
        <v>0</v>
      </c>
      <c r="T25" s="307">
        <v>42</v>
      </c>
      <c r="U25" s="308">
        <v>0</v>
      </c>
      <c r="V25" s="306">
        <v>31</v>
      </c>
      <c r="W25" s="307">
        <v>1</v>
      </c>
      <c r="X25" s="307">
        <v>0</v>
      </c>
      <c r="Y25" s="307">
        <v>25</v>
      </c>
      <c r="Z25" s="309">
        <v>5</v>
      </c>
    </row>
    <row r="26" spans="1:26" ht="14.25" x14ac:dyDescent="0.2">
      <c r="A26" s="292"/>
      <c r="B26" s="295" t="s">
        <v>220</v>
      </c>
      <c r="C26" s="296">
        <v>2022</v>
      </c>
      <c r="D26" s="304">
        <v>169244</v>
      </c>
      <c r="E26" s="305">
        <f t="shared" si="0"/>
        <v>9534</v>
      </c>
      <c r="F26" s="306">
        <v>7875</v>
      </c>
      <c r="G26" s="307">
        <v>2904</v>
      </c>
      <c r="H26" s="307">
        <v>59</v>
      </c>
      <c r="I26" s="307">
        <v>4868</v>
      </c>
      <c r="J26" s="308">
        <v>44</v>
      </c>
      <c r="K26" s="306">
        <v>1659</v>
      </c>
      <c r="L26" s="307">
        <v>271</v>
      </c>
      <c r="M26" s="307">
        <v>0</v>
      </c>
      <c r="N26" s="307">
        <v>1271</v>
      </c>
      <c r="O26" s="309">
        <v>117</v>
      </c>
      <c r="P26" s="305">
        <f t="shared" si="1"/>
        <v>169</v>
      </c>
      <c r="Q26" s="306">
        <v>115</v>
      </c>
      <c r="R26" s="307">
        <v>43</v>
      </c>
      <c r="S26" s="307">
        <v>1</v>
      </c>
      <c r="T26" s="307">
        <v>69</v>
      </c>
      <c r="U26" s="308">
        <v>2</v>
      </c>
      <c r="V26" s="306">
        <v>54</v>
      </c>
      <c r="W26" s="307">
        <v>13</v>
      </c>
      <c r="X26" s="307">
        <v>0</v>
      </c>
      <c r="Y26" s="307">
        <v>38</v>
      </c>
      <c r="Z26" s="309">
        <v>3</v>
      </c>
    </row>
    <row r="27" spans="1:26" ht="14.25" x14ac:dyDescent="0.2">
      <c r="A27" s="292"/>
      <c r="B27" s="295" t="s">
        <v>221</v>
      </c>
      <c r="C27" s="296">
        <v>2022</v>
      </c>
      <c r="D27" s="304">
        <v>153779</v>
      </c>
      <c r="E27" s="305">
        <f t="shared" si="0"/>
        <v>11013</v>
      </c>
      <c r="F27" s="306">
        <v>9716</v>
      </c>
      <c r="G27" s="307">
        <v>3995</v>
      </c>
      <c r="H27" s="307">
        <v>469</v>
      </c>
      <c r="I27" s="307">
        <v>5206</v>
      </c>
      <c r="J27" s="308">
        <v>46</v>
      </c>
      <c r="K27" s="306">
        <v>1297</v>
      </c>
      <c r="L27" s="307">
        <v>201</v>
      </c>
      <c r="M27" s="307">
        <v>0</v>
      </c>
      <c r="N27" s="307">
        <v>1001</v>
      </c>
      <c r="O27" s="309">
        <v>95</v>
      </c>
      <c r="P27" s="305">
        <f t="shared" si="1"/>
        <v>197</v>
      </c>
      <c r="Q27" s="306">
        <v>171</v>
      </c>
      <c r="R27" s="307">
        <v>73</v>
      </c>
      <c r="S27" s="307">
        <v>18</v>
      </c>
      <c r="T27" s="307">
        <v>80</v>
      </c>
      <c r="U27" s="308">
        <v>0</v>
      </c>
      <c r="V27" s="306">
        <v>26</v>
      </c>
      <c r="W27" s="307">
        <v>2</v>
      </c>
      <c r="X27" s="307">
        <v>0</v>
      </c>
      <c r="Y27" s="307">
        <v>21</v>
      </c>
      <c r="Z27" s="309">
        <v>3</v>
      </c>
    </row>
    <row r="28" spans="1:26" ht="14.25" x14ac:dyDescent="0.2">
      <c r="A28" s="292"/>
      <c r="B28" s="295" t="s">
        <v>222</v>
      </c>
      <c r="C28" s="296">
        <v>2022</v>
      </c>
      <c r="D28" s="304">
        <v>136338</v>
      </c>
      <c r="E28" s="305">
        <f t="shared" si="0"/>
        <v>10991</v>
      </c>
      <c r="F28" s="306">
        <v>9506</v>
      </c>
      <c r="G28" s="307">
        <v>2594</v>
      </c>
      <c r="H28" s="307">
        <v>344</v>
      </c>
      <c r="I28" s="307">
        <v>6486</v>
      </c>
      <c r="J28" s="308">
        <v>82</v>
      </c>
      <c r="K28" s="306">
        <v>1485</v>
      </c>
      <c r="L28" s="307">
        <v>171</v>
      </c>
      <c r="M28" s="307">
        <v>0</v>
      </c>
      <c r="N28" s="307">
        <v>1248</v>
      </c>
      <c r="O28" s="309">
        <v>66</v>
      </c>
      <c r="P28" s="305">
        <f t="shared" si="1"/>
        <v>180</v>
      </c>
      <c r="Q28" s="306">
        <v>146</v>
      </c>
      <c r="R28" s="307">
        <v>47</v>
      </c>
      <c r="S28" s="307">
        <v>4</v>
      </c>
      <c r="T28" s="307">
        <v>91</v>
      </c>
      <c r="U28" s="308">
        <v>4</v>
      </c>
      <c r="V28" s="306">
        <v>34</v>
      </c>
      <c r="W28" s="307">
        <v>4</v>
      </c>
      <c r="X28" s="307">
        <v>0</v>
      </c>
      <c r="Y28" s="307">
        <v>28</v>
      </c>
      <c r="Z28" s="309">
        <v>2</v>
      </c>
    </row>
    <row r="29" spans="1:26" ht="14.25" x14ac:dyDescent="0.2">
      <c r="A29" s="292"/>
      <c r="B29" s="295" t="s">
        <v>223</v>
      </c>
      <c r="C29" s="296">
        <v>2023</v>
      </c>
      <c r="D29" s="304">
        <v>143618</v>
      </c>
      <c r="E29" s="305">
        <f t="shared" si="0"/>
        <v>8520</v>
      </c>
      <c r="F29" s="306">
        <v>6760</v>
      </c>
      <c r="G29" s="307">
        <v>2365</v>
      </c>
      <c r="H29" s="307">
        <v>354</v>
      </c>
      <c r="I29" s="307">
        <v>3938</v>
      </c>
      <c r="J29" s="308">
        <v>103</v>
      </c>
      <c r="K29" s="306">
        <v>1760</v>
      </c>
      <c r="L29" s="307">
        <v>85</v>
      </c>
      <c r="M29" s="307">
        <v>0</v>
      </c>
      <c r="N29" s="307">
        <v>1480</v>
      </c>
      <c r="O29" s="309">
        <v>195</v>
      </c>
      <c r="P29" s="305">
        <f t="shared" si="1"/>
        <v>158</v>
      </c>
      <c r="Q29" s="306">
        <v>114</v>
      </c>
      <c r="R29" s="307">
        <v>38</v>
      </c>
      <c r="S29" s="307">
        <v>12</v>
      </c>
      <c r="T29" s="307">
        <v>60</v>
      </c>
      <c r="U29" s="308">
        <v>4</v>
      </c>
      <c r="V29" s="306">
        <v>44</v>
      </c>
      <c r="W29" s="307">
        <v>2</v>
      </c>
      <c r="X29" s="307">
        <v>0</v>
      </c>
      <c r="Y29" s="307">
        <v>37</v>
      </c>
      <c r="Z29" s="309">
        <v>5</v>
      </c>
    </row>
    <row r="30" spans="1:26" ht="14.25" x14ac:dyDescent="0.2">
      <c r="A30" s="292"/>
      <c r="B30" s="295" t="s">
        <v>224</v>
      </c>
      <c r="C30" s="296">
        <v>2023</v>
      </c>
      <c r="D30" s="304">
        <v>183652</v>
      </c>
      <c r="E30" s="305">
        <f t="shared" si="0"/>
        <v>12797</v>
      </c>
      <c r="F30" s="306">
        <v>9486</v>
      </c>
      <c r="G30" s="307">
        <v>2192</v>
      </c>
      <c r="H30" s="307">
        <v>382</v>
      </c>
      <c r="I30" s="307">
        <v>6743</v>
      </c>
      <c r="J30" s="308">
        <v>169</v>
      </c>
      <c r="K30" s="306">
        <v>3311</v>
      </c>
      <c r="L30" s="307">
        <v>210</v>
      </c>
      <c r="M30" s="307">
        <v>0</v>
      </c>
      <c r="N30" s="307">
        <v>2843</v>
      </c>
      <c r="O30" s="309">
        <v>258</v>
      </c>
      <c r="P30" s="305">
        <f t="shared" si="1"/>
        <v>229</v>
      </c>
      <c r="Q30" s="306">
        <v>150</v>
      </c>
      <c r="R30" s="307">
        <v>31</v>
      </c>
      <c r="S30" s="307">
        <v>8</v>
      </c>
      <c r="T30" s="307">
        <v>108</v>
      </c>
      <c r="U30" s="308">
        <v>3</v>
      </c>
      <c r="V30" s="306">
        <v>79</v>
      </c>
      <c r="W30" s="307">
        <v>7</v>
      </c>
      <c r="X30" s="307">
        <v>0</v>
      </c>
      <c r="Y30" s="307">
        <v>65</v>
      </c>
      <c r="Z30" s="309">
        <v>7</v>
      </c>
    </row>
    <row r="31" spans="1:26" ht="14.25" x14ac:dyDescent="0.2">
      <c r="A31" s="292"/>
      <c r="B31" s="295" t="s">
        <v>225</v>
      </c>
      <c r="C31" s="296">
        <v>2023</v>
      </c>
      <c r="D31" s="304">
        <v>178596</v>
      </c>
      <c r="E31" s="305">
        <f t="shared" si="0"/>
        <v>14710</v>
      </c>
      <c r="F31" s="306">
        <v>11458</v>
      </c>
      <c r="G31" s="307">
        <v>3129</v>
      </c>
      <c r="H31" s="307">
        <v>523</v>
      </c>
      <c r="I31" s="307">
        <v>7730</v>
      </c>
      <c r="J31" s="308">
        <v>76</v>
      </c>
      <c r="K31" s="306">
        <v>3252</v>
      </c>
      <c r="L31" s="307">
        <v>322</v>
      </c>
      <c r="M31" s="307">
        <v>0</v>
      </c>
      <c r="N31" s="307">
        <v>2825</v>
      </c>
      <c r="O31" s="309">
        <v>105</v>
      </c>
      <c r="P31" s="305">
        <f t="shared" si="1"/>
        <v>258</v>
      </c>
      <c r="Q31" s="306">
        <v>185</v>
      </c>
      <c r="R31" s="307">
        <v>60</v>
      </c>
      <c r="S31" s="307">
        <v>6</v>
      </c>
      <c r="T31" s="307">
        <v>117</v>
      </c>
      <c r="U31" s="308">
        <v>2</v>
      </c>
      <c r="V31" s="306">
        <v>73</v>
      </c>
      <c r="W31" s="307">
        <v>10</v>
      </c>
      <c r="X31" s="307">
        <v>0</v>
      </c>
      <c r="Y31" s="307">
        <v>59</v>
      </c>
      <c r="Z31" s="309">
        <v>4</v>
      </c>
    </row>
    <row r="32" spans="1:26" ht="14.25" x14ac:dyDescent="0.2">
      <c r="A32" s="292"/>
      <c r="B32" s="295" t="s">
        <v>226</v>
      </c>
      <c r="C32" s="296">
        <v>2023</v>
      </c>
      <c r="D32" s="304">
        <v>171135</v>
      </c>
      <c r="E32" s="305">
        <f t="shared" si="0"/>
        <v>14105</v>
      </c>
      <c r="F32" s="306">
        <v>10931</v>
      </c>
      <c r="G32" s="307">
        <v>2488</v>
      </c>
      <c r="H32" s="307">
        <v>550</v>
      </c>
      <c r="I32" s="307">
        <v>7734</v>
      </c>
      <c r="J32" s="308">
        <v>159</v>
      </c>
      <c r="K32" s="306">
        <v>3174</v>
      </c>
      <c r="L32" s="307">
        <v>210</v>
      </c>
      <c r="M32" s="307">
        <v>0</v>
      </c>
      <c r="N32" s="307">
        <v>2902</v>
      </c>
      <c r="O32" s="309">
        <v>62</v>
      </c>
      <c r="P32" s="305">
        <f t="shared" si="1"/>
        <v>304</v>
      </c>
      <c r="Q32" s="306">
        <v>203</v>
      </c>
      <c r="R32" s="307">
        <v>40</v>
      </c>
      <c r="S32" s="307">
        <v>9</v>
      </c>
      <c r="T32" s="307">
        <v>150</v>
      </c>
      <c r="U32" s="308">
        <v>4</v>
      </c>
      <c r="V32" s="306">
        <v>101</v>
      </c>
      <c r="W32" s="307">
        <v>5</v>
      </c>
      <c r="X32" s="307">
        <v>0</v>
      </c>
      <c r="Y32" s="307">
        <v>92</v>
      </c>
      <c r="Z32" s="309">
        <v>4</v>
      </c>
    </row>
    <row r="33" spans="1:26" ht="14.25" x14ac:dyDescent="0.2">
      <c r="A33" s="292"/>
      <c r="B33" s="295" t="s">
        <v>377</v>
      </c>
      <c r="C33" s="296">
        <v>2024</v>
      </c>
      <c r="D33" s="304">
        <v>163027</v>
      </c>
      <c r="E33" s="305">
        <f t="shared" si="0"/>
        <v>11026</v>
      </c>
      <c r="F33" s="306">
        <v>8144</v>
      </c>
      <c r="G33" s="307">
        <v>1596</v>
      </c>
      <c r="H33" s="307">
        <v>469</v>
      </c>
      <c r="I33" s="307">
        <v>6030</v>
      </c>
      <c r="J33" s="308">
        <v>49</v>
      </c>
      <c r="K33" s="306">
        <v>2882</v>
      </c>
      <c r="L33" s="307">
        <v>388</v>
      </c>
      <c r="M33" s="307">
        <v>0</v>
      </c>
      <c r="N33" s="307">
        <v>2423</v>
      </c>
      <c r="O33" s="309">
        <v>71</v>
      </c>
      <c r="P33" s="305">
        <f t="shared" si="1"/>
        <v>252</v>
      </c>
      <c r="Q33" s="306">
        <v>160</v>
      </c>
      <c r="R33" s="307">
        <v>28</v>
      </c>
      <c r="S33" s="307">
        <v>8</v>
      </c>
      <c r="T33" s="307">
        <v>123</v>
      </c>
      <c r="U33" s="308">
        <v>1</v>
      </c>
      <c r="V33" s="306">
        <v>92</v>
      </c>
      <c r="W33" s="307">
        <v>12</v>
      </c>
      <c r="X33" s="307">
        <v>0</v>
      </c>
      <c r="Y33" s="307">
        <v>76</v>
      </c>
      <c r="Z33" s="309">
        <v>4</v>
      </c>
    </row>
    <row r="34" spans="1:26" ht="14.25" x14ac:dyDescent="0.2">
      <c r="A34" s="292"/>
      <c r="B34" s="295" t="s">
        <v>378</v>
      </c>
      <c r="C34" s="296">
        <v>2024</v>
      </c>
      <c r="D34" s="304">
        <v>190530</v>
      </c>
      <c r="E34" s="305">
        <f t="shared" si="0"/>
        <v>14370</v>
      </c>
      <c r="F34" s="306">
        <v>10462</v>
      </c>
      <c r="G34" s="307">
        <v>2474</v>
      </c>
      <c r="H34" s="307">
        <v>730</v>
      </c>
      <c r="I34" s="307">
        <v>7209</v>
      </c>
      <c r="J34" s="308">
        <v>49</v>
      </c>
      <c r="K34" s="306">
        <v>3908</v>
      </c>
      <c r="L34" s="307">
        <v>196</v>
      </c>
      <c r="M34" s="307">
        <v>0</v>
      </c>
      <c r="N34" s="307">
        <v>3578</v>
      </c>
      <c r="O34" s="309">
        <v>134</v>
      </c>
      <c r="P34" s="305">
        <f t="shared" si="1"/>
        <v>315</v>
      </c>
      <c r="Q34" s="306">
        <v>210</v>
      </c>
      <c r="R34" s="307">
        <v>44</v>
      </c>
      <c r="S34" s="307">
        <v>14</v>
      </c>
      <c r="T34" s="307">
        <v>151</v>
      </c>
      <c r="U34" s="308">
        <v>1</v>
      </c>
      <c r="V34" s="306">
        <v>105</v>
      </c>
      <c r="W34" s="307">
        <v>5</v>
      </c>
      <c r="X34" s="307">
        <v>0</v>
      </c>
      <c r="Y34" s="307">
        <v>97</v>
      </c>
      <c r="Z34" s="309">
        <v>3</v>
      </c>
    </row>
    <row r="35" spans="1:26" ht="14.25" x14ac:dyDescent="0.2">
      <c r="A35" s="292"/>
      <c r="B35" s="295" t="s">
        <v>390</v>
      </c>
      <c r="C35" s="296">
        <v>2024</v>
      </c>
      <c r="D35" s="304">
        <v>182361</v>
      </c>
      <c r="E35" s="305">
        <f t="shared" si="0"/>
        <v>15946</v>
      </c>
      <c r="F35" s="306">
        <v>11771</v>
      </c>
      <c r="G35" s="307">
        <v>2542</v>
      </c>
      <c r="H35" s="307">
        <v>967</v>
      </c>
      <c r="I35" s="307">
        <v>8192</v>
      </c>
      <c r="J35" s="308">
        <v>70</v>
      </c>
      <c r="K35" s="306">
        <v>4175</v>
      </c>
      <c r="L35" s="307">
        <v>435</v>
      </c>
      <c r="M35" s="307">
        <v>0</v>
      </c>
      <c r="N35" s="307">
        <v>3645</v>
      </c>
      <c r="O35" s="309">
        <v>95</v>
      </c>
      <c r="P35" s="305">
        <f t="shared" si="1"/>
        <v>315</v>
      </c>
      <c r="Q35" s="306">
        <v>211</v>
      </c>
      <c r="R35" s="307">
        <v>40</v>
      </c>
      <c r="S35" s="307">
        <v>26</v>
      </c>
      <c r="T35" s="307">
        <v>143</v>
      </c>
      <c r="U35" s="308">
        <v>2</v>
      </c>
      <c r="V35" s="306">
        <v>104</v>
      </c>
      <c r="W35" s="307">
        <v>8</v>
      </c>
      <c r="X35" s="307">
        <v>0</v>
      </c>
      <c r="Y35" s="307">
        <v>93</v>
      </c>
      <c r="Z35" s="309">
        <v>3</v>
      </c>
    </row>
    <row r="36" spans="1:26" ht="14.25" x14ac:dyDescent="0.2">
      <c r="A36" s="292"/>
      <c r="B36" s="295" t="s">
        <v>391</v>
      </c>
      <c r="C36" s="296">
        <v>2024</v>
      </c>
      <c r="D36" s="305">
        <v>163345</v>
      </c>
      <c r="E36" s="305">
        <f t="shared" si="0"/>
        <v>15251</v>
      </c>
      <c r="F36" s="306">
        <v>11282</v>
      </c>
      <c r="G36" s="307">
        <v>1816</v>
      </c>
      <c r="H36" s="307">
        <v>1914</v>
      </c>
      <c r="I36" s="307">
        <v>7442</v>
      </c>
      <c r="J36" s="308">
        <v>110</v>
      </c>
      <c r="K36" s="306">
        <v>3969</v>
      </c>
      <c r="L36" s="307">
        <v>341</v>
      </c>
      <c r="M36" s="307">
        <v>0</v>
      </c>
      <c r="N36" s="307">
        <v>3574</v>
      </c>
      <c r="O36" s="309">
        <v>54</v>
      </c>
      <c r="P36" s="305">
        <f t="shared" si="1"/>
        <v>374</v>
      </c>
      <c r="Q36" s="306">
        <v>240</v>
      </c>
      <c r="R36" s="307">
        <v>39</v>
      </c>
      <c r="S36" s="307">
        <v>37</v>
      </c>
      <c r="T36" s="307">
        <v>160</v>
      </c>
      <c r="U36" s="308">
        <v>4</v>
      </c>
      <c r="V36" s="306">
        <v>134</v>
      </c>
      <c r="W36" s="307">
        <v>16</v>
      </c>
      <c r="X36" s="307">
        <v>0</v>
      </c>
      <c r="Y36" s="307">
        <v>117</v>
      </c>
      <c r="Z36" s="309">
        <v>1</v>
      </c>
    </row>
    <row r="37" spans="1:26" ht="14.25" x14ac:dyDescent="0.2">
      <c r="A37" s="292"/>
      <c r="B37" s="295" t="s">
        <v>482</v>
      </c>
      <c r="C37" s="296">
        <v>2025</v>
      </c>
      <c r="D37" s="305">
        <v>173667</v>
      </c>
      <c r="E37" s="305">
        <v>12006</v>
      </c>
      <c r="F37" s="306">
        <v>8450</v>
      </c>
      <c r="G37" s="307">
        <v>1121</v>
      </c>
      <c r="H37" s="307">
        <v>1188</v>
      </c>
      <c r="I37" s="307">
        <v>5991</v>
      </c>
      <c r="J37" s="308">
        <v>150</v>
      </c>
      <c r="K37" s="306">
        <v>3556</v>
      </c>
      <c r="L37" s="307">
        <v>404</v>
      </c>
      <c r="M37" s="307">
        <v>0</v>
      </c>
      <c r="N37" s="307">
        <v>3061</v>
      </c>
      <c r="O37" s="309">
        <v>91</v>
      </c>
      <c r="P37" s="305">
        <f t="shared" si="1"/>
        <v>300</v>
      </c>
      <c r="Q37" s="306">
        <v>201</v>
      </c>
      <c r="R37" s="307">
        <v>18</v>
      </c>
      <c r="S37" s="307">
        <v>41</v>
      </c>
      <c r="T37" s="307">
        <v>137</v>
      </c>
      <c r="U37" s="308">
        <v>5</v>
      </c>
      <c r="V37" s="306">
        <v>99</v>
      </c>
      <c r="W37" s="307">
        <v>9</v>
      </c>
      <c r="X37" s="307">
        <v>0</v>
      </c>
      <c r="Y37" s="307">
        <v>89</v>
      </c>
      <c r="Z37" s="309">
        <v>1</v>
      </c>
    </row>
    <row r="38" spans="1:26" ht="14.25" x14ac:dyDescent="0.2">
      <c r="A38" s="292"/>
      <c r="B38" s="295" t="s">
        <v>483</v>
      </c>
      <c r="C38" s="296">
        <v>2025</v>
      </c>
      <c r="D38" s="305">
        <v>202204</v>
      </c>
      <c r="E38" s="305">
        <v>11694</v>
      </c>
      <c r="F38" s="306">
        <v>7530</v>
      </c>
      <c r="G38" s="307">
        <v>1093</v>
      </c>
      <c r="H38" s="307">
        <v>1082</v>
      </c>
      <c r="I38" s="307">
        <v>5176</v>
      </c>
      <c r="J38" s="308">
        <v>179</v>
      </c>
      <c r="K38" s="306">
        <v>4164</v>
      </c>
      <c r="L38" s="307">
        <v>708</v>
      </c>
      <c r="M38" s="307">
        <v>0</v>
      </c>
      <c r="N38" s="307">
        <v>3389</v>
      </c>
      <c r="O38" s="309">
        <v>67</v>
      </c>
      <c r="P38" s="305">
        <f>Q38+V38</f>
        <v>275</v>
      </c>
      <c r="Q38" s="306">
        <v>182</v>
      </c>
      <c r="R38" s="307">
        <v>20</v>
      </c>
      <c r="S38" s="307">
        <v>27</v>
      </c>
      <c r="T38" s="307">
        <v>123</v>
      </c>
      <c r="U38" s="308">
        <v>12</v>
      </c>
      <c r="V38" s="306">
        <v>93</v>
      </c>
      <c r="W38" s="307">
        <v>12</v>
      </c>
      <c r="X38" s="307">
        <v>0</v>
      </c>
      <c r="Y38" s="307">
        <v>80</v>
      </c>
      <c r="Z38" s="309">
        <v>1</v>
      </c>
    </row>
    <row r="39" spans="1:26" ht="14.25" x14ac:dyDescent="0.2">
      <c r="A39" s="292"/>
      <c r="B39" s="295" t="s">
        <v>484</v>
      </c>
      <c r="C39" s="296">
        <v>2025</v>
      </c>
      <c r="D39" s="305">
        <v>184799</v>
      </c>
      <c r="E39" s="305">
        <v>11890</v>
      </c>
      <c r="F39" s="306">
        <v>7426</v>
      </c>
      <c r="G39" s="307">
        <v>1158</v>
      </c>
      <c r="H39" s="307">
        <v>808</v>
      </c>
      <c r="I39" s="307">
        <v>5108</v>
      </c>
      <c r="J39" s="308">
        <v>352</v>
      </c>
      <c r="K39" s="306">
        <v>4464</v>
      </c>
      <c r="L39" s="307">
        <v>861</v>
      </c>
      <c r="M39" s="307">
        <v>0</v>
      </c>
      <c r="N39" s="307">
        <v>3539</v>
      </c>
      <c r="O39" s="309">
        <v>64</v>
      </c>
      <c r="P39" s="305">
        <f>Q39+V39</f>
        <v>346</v>
      </c>
      <c r="Q39" s="306">
        <v>203</v>
      </c>
      <c r="R39" s="307">
        <v>28</v>
      </c>
      <c r="S39" s="307">
        <v>15</v>
      </c>
      <c r="T39" s="307">
        <v>127</v>
      </c>
      <c r="U39" s="308">
        <v>33</v>
      </c>
      <c r="V39" s="306">
        <v>143</v>
      </c>
      <c r="W39" s="307">
        <v>37</v>
      </c>
      <c r="X39" s="307">
        <v>0</v>
      </c>
      <c r="Y39" s="307">
        <v>105</v>
      </c>
      <c r="Z39" s="309">
        <v>1</v>
      </c>
    </row>
    <row r="40" spans="1:26" ht="15" thickBot="1" x14ac:dyDescent="0.25">
      <c r="A40" s="292"/>
      <c r="B40" s="493" t="s">
        <v>485</v>
      </c>
      <c r="C40" s="494">
        <v>2025</v>
      </c>
      <c r="D40" s="310">
        <v>154190</v>
      </c>
      <c r="E40" s="310">
        <v>11261</v>
      </c>
      <c r="F40" s="311">
        <v>7488</v>
      </c>
      <c r="G40" s="312">
        <v>740</v>
      </c>
      <c r="H40" s="312">
        <v>627</v>
      </c>
      <c r="I40" s="312">
        <v>5784</v>
      </c>
      <c r="J40" s="313">
        <v>337</v>
      </c>
      <c r="K40" s="311">
        <v>3773</v>
      </c>
      <c r="L40" s="312">
        <v>728</v>
      </c>
      <c r="M40" s="312">
        <v>0</v>
      </c>
      <c r="N40" s="312">
        <v>2980</v>
      </c>
      <c r="O40" s="314">
        <v>65</v>
      </c>
      <c r="P40" s="310">
        <f>Q40+V40</f>
        <v>306</v>
      </c>
      <c r="Q40" s="311">
        <v>156</v>
      </c>
      <c r="R40" s="312">
        <v>17</v>
      </c>
      <c r="S40" s="312">
        <v>6</v>
      </c>
      <c r="T40" s="312">
        <v>126</v>
      </c>
      <c r="U40" s="313">
        <v>7</v>
      </c>
      <c r="V40" s="311">
        <v>150</v>
      </c>
      <c r="W40" s="312">
        <v>54</v>
      </c>
      <c r="X40" s="312">
        <v>0</v>
      </c>
      <c r="Y40" s="312">
        <v>95</v>
      </c>
      <c r="Z40" s="314">
        <v>1</v>
      </c>
    </row>
    <row r="41" spans="1:26" ht="14.25" x14ac:dyDescent="0.2">
      <c r="A41" s="292"/>
      <c r="B41" s="292"/>
      <c r="C41" s="292"/>
      <c r="D41" s="292"/>
      <c r="E41" s="292"/>
      <c r="F41" s="292"/>
      <c r="G41" s="292"/>
      <c r="H41" s="292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  <c r="W41" s="292"/>
      <c r="X41" s="292"/>
      <c r="Y41" s="292"/>
      <c r="Z41" s="292"/>
    </row>
    <row r="42" spans="1:26" ht="15" x14ac:dyDescent="0.25">
      <c r="A42" s="560" t="s">
        <v>477</v>
      </c>
      <c r="B42" s="560"/>
      <c r="C42" s="560"/>
      <c r="D42" s="560"/>
      <c r="E42" s="560"/>
      <c r="F42" s="560"/>
      <c r="G42" s="560"/>
      <c r="H42" s="560"/>
      <c r="I42" s="560"/>
      <c r="J42" s="560"/>
      <c r="K42" s="560"/>
      <c r="L42" s="560"/>
      <c r="M42" s="560"/>
      <c r="N42" s="560"/>
      <c r="O42" s="560"/>
      <c r="P42" s="560"/>
      <c r="Q42" s="560"/>
      <c r="R42" s="560"/>
      <c r="S42" s="560"/>
      <c r="T42" s="560"/>
      <c r="U42" s="560"/>
      <c r="V42" s="560"/>
      <c r="W42" s="560"/>
      <c r="X42" s="560"/>
      <c r="Y42" s="560"/>
      <c r="Z42" s="560"/>
    </row>
    <row r="43" spans="1:26" ht="15" thickBot="1" x14ac:dyDescent="0.25">
      <c r="A43" s="292"/>
      <c r="B43" s="292"/>
      <c r="C43" s="292"/>
      <c r="D43" s="292"/>
      <c r="E43" s="292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2"/>
      <c r="W43" s="292"/>
      <c r="X43" s="292"/>
      <c r="Y43" s="292"/>
      <c r="Z43" s="292"/>
    </row>
    <row r="44" spans="1:26" ht="14.25" x14ac:dyDescent="0.2">
      <c r="A44" s="315" t="s">
        <v>197</v>
      </c>
      <c r="B44" s="316">
        <v>42736</v>
      </c>
      <c r="C44" s="317">
        <v>2017</v>
      </c>
      <c r="D44" s="318">
        <f t="shared" ref="D44:M53" si="2">SUMIFS(D$5:D$40,$B$5:$B$40,$A44)</f>
        <v>168225</v>
      </c>
      <c r="E44" s="318">
        <f t="shared" si="2"/>
        <v>1320</v>
      </c>
      <c r="F44" s="319">
        <f t="shared" si="2"/>
        <v>595</v>
      </c>
      <c r="G44" s="320">
        <f t="shared" si="2"/>
        <v>414</v>
      </c>
      <c r="H44" s="320">
        <f t="shared" si="2"/>
        <v>0</v>
      </c>
      <c r="I44" s="320">
        <f t="shared" si="2"/>
        <v>181</v>
      </c>
      <c r="J44" s="321">
        <f t="shared" si="2"/>
        <v>0</v>
      </c>
      <c r="K44" s="319">
        <f t="shared" si="2"/>
        <v>725</v>
      </c>
      <c r="L44" s="320">
        <f t="shared" si="2"/>
        <v>628</v>
      </c>
      <c r="M44" s="320">
        <f t="shared" si="2"/>
        <v>0</v>
      </c>
      <c r="N44" s="320">
        <f t="shared" ref="N44:Z53" si="3">SUMIFS(N$5:N$40,$B$5:$B$40,$A44)</f>
        <v>88</v>
      </c>
      <c r="O44" s="322">
        <f t="shared" si="3"/>
        <v>9</v>
      </c>
      <c r="P44" s="318">
        <f t="shared" si="3"/>
        <v>28</v>
      </c>
      <c r="Q44" s="319">
        <f t="shared" si="3"/>
        <v>5</v>
      </c>
      <c r="R44" s="320">
        <f t="shared" si="3"/>
        <v>4</v>
      </c>
      <c r="S44" s="320">
        <f t="shared" si="3"/>
        <v>0</v>
      </c>
      <c r="T44" s="320">
        <f t="shared" si="3"/>
        <v>1</v>
      </c>
      <c r="U44" s="321">
        <f t="shared" si="3"/>
        <v>0</v>
      </c>
      <c r="V44" s="319">
        <f t="shared" si="3"/>
        <v>23</v>
      </c>
      <c r="W44" s="320">
        <f t="shared" si="3"/>
        <v>22</v>
      </c>
      <c r="X44" s="320">
        <f t="shared" si="3"/>
        <v>0</v>
      </c>
      <c r="Y44" s="320">
        <f t="shared" si="3"/>
        <v>1</v>
      </c>
      <c r="Z44" s="322">
        <f t="shared" si="3"/>
        <v>0</v>
      </c>
    </row>
    <row r="45" spans="1:26" ht="14.25" x14ac:dyDescent="0.2">
      <c r="A45" s="323" t="s">
        <v>197</v>
      </c>
      <c r="B45" s="324">
        <v>42767</v>
      </c>
      <c r="C45" s="325">
        <v>2017</v>
      </c>
      <c r="D45" s="305">
        <f t="shared" si="2"/>
        <v>168225</v>
      </c>
      <c r="E45" s="305">
        <f t="shared" si="2"/>
        <v>1320</v>
      </c>
      <c r="F45" s="306">
        <f t="shared" si="2"/>
        <v>595</v>
      </c>
      <c r="G45" s="307">
        <f t="shared" si="2"/>
        <v>414</v>
      </c>
      <c r="H45" s="307">
        <f t="shared" si="2"/>
        <v>0</v>
      </c>
      <c r="I45" s="307">
        <f t="shared" si="2"/>
        <v>181</v>
      </c>
      <c r="J45" s="308">
        <f t="shared" si="2"/>
        <v>0</v>
      </c>
      <c r="K45" s="306">
        <f t="shared" si="2"/>
        <v>725</v>
      </c>
      <c r="L45" s="307">
        <f t="shared" si="2"/>
        <v>628</v>
      </c>
      <c r="M45" s="307">
        <f t="shared" si="2"/>
        <v>0</v>
      </c>
      <c r="N45" s="307">
        <f t="shared" si="3"/>
        <v>88</v>
      </c>
      <c r="O45" s="309">
        <f t="shared" si="3"/>
        <v>9</v>
      </c>
      <c r="P45" s="305">
        <f t="shared" si="3"/>
        <v>28</v>
      </c>
      <c r="Q45" s="306">
        <f t="shared" si="3"/>
        <v>5</v>
      </c>
      <c r="R45" s="307">
        <f t="shared" si="3"/>
        <v>4</v>
      </c>
      <c r="S45" s="307">
        <f t="shared" si="3"/>
        <v>0</v>
      </c>
      <c r="T45" s="307">
        <f t="shared" si="3"/>
        <v>1</v>
      </c>
      <c r="U45" s="308">
        <f t="shared" si="3"/>
        <v>0</v>
      </c>
      <c r="V45" s="306">
        <f t="shared" si="3"/>
        <v>23</v>
      </c>
      <c r="W45" s="307">
        <f t="shared" si="3"/>
        <v>22</v>
      </c>
      <c r="X45" s="307">
        <f t="shared" si="3"/>
        <v>0</v>
      </c>
      <c r="Y45" s="307">
        <f t="shared" si="3"/>
        <v>1</v>
      </c>
      <c r="Z45" s="309">
        <f t="shared" si="3"/>
        <v>0</v>
      </c>
    </row>
    <row r="46" spans="1:26" ht="14.25" x14ac:dyDescent="0.2">
      <c r="A46" s="323" t="s">
        <v>197</v>
      </c>
      <c r="B46" s="324">
        <v>42795</v>
      </c>
      <c r="C46" s="325">
        <v>2017</v>
      </c>
      <c r="D46" s="305">
        <f t="shared" si="2"/>
        <v>168225</v>
      </c>
      <c r="E46" s="305">
        <f t="shared" si="2"/>
        <v>1320</v>
      </c>
      <c r="F46" s="306">
        <f t="shared" si="2"/>
        <v>595</v>
      </c>
      <c r="G46" s="307">
        <f t="shared" si="2"/>
        <v>414</v>
      </c>
      <c r="H46" s="307">
        <f t="shared" si="2"/>
        <v>0</v>
      </c>
      <c r="I46" s="307">
        <f t="shared" si="2"/>
        <v>181</v>
      </c>
      <c r="J46" s="308">
        <f t="shared" si="2"/>
        <v>0</v>
      </c>
      <c r="K46" s="306">
        <f t="shared" si="2"/>
        <v>725</v>
      </c>
      <c r="L46" s="307">
        <f t="shared" si="2"/>
        <v>628</v>
      </c>
      <c r="M46" s="307">
        <f t="shared" si="2"/>
        <v>0</v>
      </c>
      <c r="N46" s="307">
        <f t="shared" si="3"/>
        <v>88</v>
      </c>
      <c r="O46" s="309">
        <f t="shared" si="3"/>
        <v>9</v>
      </c>
      <c r="P46" s="305">
        <f t="shared" si="3"/>
        <v>28</v>
      </c>
      <c r="Q46" s="306">
        <f t="shared" si="3"/>
        <v>5</v>
      </c>
      <c r="R46" s="307">
        <f t="shared" si="3"/>
        <v>4</v>
      </c>
      <c r="S46" s="307">
        <f t="shared" si="3"/>
        <v>0</v>
      </c>
      <c r="T46" s="307">
        <f t="shared" si="3"/>
        <v>1</v>
      </c>
      <c r="U46" s="308">
        <f t="shared" si="3"/>
        <v>0</v>
      </c>
      <c r="V46" s="306">
        <f t="shared" si="3"/>
        <v>23</v>
      </c>
      <c r="W46" s="307">
        <f t="shared" si="3"/>
        <v>22</v>
      </c>
      <c r="X46" s="307">
        <f t="shared" si="3"/>
        <v>0</v>
      </c>
      <c r="Y46" s="307">
        <f t="shared" si="3"/>
        <v>1</v>
      </c>
      <c r="Z46" s="309">
        <f t="shared" si="3"/>
        <v>0</v>
      </c>
    </row>
    <row r="47" spans="1:26" ht="14.25" x14ac:dyDescent="0.2">
      <c r="A47" s="323" t="s">
        <v>200</v>
      </c>
      <c r="B47" s="324">
        <v>42826</v>
      </c>
      <c r="C47" s="325">
        <v>2017</v>
      </c>
      <c r="D47" s="305">
        <f t="shared" si="2"/>
        <v>234021</v>
      </c>
      <c r="E47" s="305">
        <f t="shared" si="2"/>
        <v>2089</v>
      </c>
      <c r="F47" s="306">
        <f t="shared" si="2"/>
        <v>832</v>
      </c>
      <c r="G47" s="307">
        <f t="shared" si="2"/>
        <v>605</v>
      </c>
      <c r="H47" s="307">
        <f t="shared" si="2"/>
        <v>0</v>
      </c>
      <c r="I47" s="307">
        <f t="shared" si="2"/>
        <v>227</v>
      </c>
      <c r="J47" s="308">
        <f t="shared" si="2"/>
        <v>0</v>
      </c>
      <c r="K47" s="306">
        <f t="shared" si="2"/>
        <v>1257</v>
      </c>
      <c r="L47" s="307">
        <f t="shared" si="2"/>
        <v>937</v>
      </c>
      <c r="M47" s="307">
        <f t="shared" si="2"/>
        <v>0</v>
      </c>
      <c r="N47" s="307">
        <f t="shared" si="3"/>
        <v>153</v>
      </c>
      <c r="O47" s="309">
        <f t="shared" si="3"/>
        <v>167</v>
      </c>
      <c r="P47" s="305">
        <f t="shared" si="3"/>
        <v>66</v>
      </c>
      <c r="Q47" s="306">
        <f t="shared" si="3"/>
        <v>18</v>
      </c>
      <c r="R47" s="307">
        <f t="shared" si="3"/>
        <v>13</v>
      </c>
      <c r="S47" s="307">
        <f t="shared" si="3"/>
        <v>0</v>
      </c>
      <c r="T47" s="307">
        <f t="shared" si="3"/>
        <v>5</v>
      </c>
      <c r="U47" s="308">
        <f t="shared" si="3"/>
        <v>0</v>
      </c>
      <c r="V47" s="306">
        <f t="shared" si="3"/>
        <v>48</v>
      </c>
      <c r="W47" s="307">
        <f t="shared" si="3"/>
        <v>38</v>
      </c>
      <c r="X47" s="307">
        <f t="shared" si="3"/>
        <v>0</v>
      </c>
      <c r="Y47" s="307">
        <f t="shared" si="3"/>
        <v>3</v>
      </c>
      <c r="Z47" s="309">
        <f t="shared" si="3"/>
        <v>7</v>
      </c>
    </row>
    <row r="48" spans="1:26" ht="14.25" x14ac:dyDescent="0.2">
      <c r="A48" s="323" t="s">
        <v>200</v>
      </c>
      <c r="B48" s="324">
        <v>42856</v>
      </c>
      <c r="C48" s="325">
        <v>2017</v>
      </c>
      <c r="D48" s="305">
        <f t="shared" si="2"/>
        <v>234021</v>
      </c>
      <c r="E48" s="305">
        <f t="shared" si="2"/>
        <v>2089</v>
      </c>
      <c r="F48" s="306">
        <f t="shared" si="2"/>
        <v>832</v>
      </c>
      <c r="G48" s="307">
        <f t="shared" si="2"/>
        <v>605</v>
      </c>
      <c r="H48" s="307">
        <f t="shared" si="2"/>
        <v>0</v>
      </c>
      <c r="I48" s="307">
        <f t="shared" si="2"/>
        <v>227</v>
      </c>
      <c r="J48" s="308">
        <f t="shared" si="2"/>
        <v>0</v>
      </c>
      <c r="K48" s="306">
        <f t="shared" si="2"/>
        <v>1257</v>
      </c>
      <c r="L48" s="307">
        <f t="shared" si="2"/>
        <v>937</v>
      </c>
      <c r="M48" s="307">
        <f t="shared" si="2"/>
        <v>0</v>
      </c>
      <c r="N48" s="307">
        <f t="shared" si="3"/>
        <v>153</v>
      </c>
      <c r="O48" s="309">
        <f t="shared" si="3"/>
        <v>167</v>
      </c>
      <c r="P48" s="305">
        <f t="shared" si="3"/>
        <v>66</v>
      </c>
      <c r="Q48" s="306">
        <f t="shared" si="3"/>
        <v>18</v>
      </c>
      <c r="R48" s="307">
        <f t="shared" si="3"/>
        <v>13</v>
      </c>
      <c r="S48" s="307">
        <f t="shared" si="3"/>
        <v>0</v>
      </c>
      <c r="T48" s="307">
        <f t="shared" si="3"/>
        <v>5</v>
      </c>
      <c r="U48" s="308">
        <f t="shared" si="3"/>
        <v>0</v>
      </c>
      <c r="V48" s="306">
        <f t="shared" si="3"/>
        <v>48</v>
      </c>
      <c r="W48" s="307">
        <f t="shared" si="3"/>
        <v>38</v>
      </c>
      <c r="X48" s="307">
        <f t="shared" si="3"/>
        <v>0</v>
      </c>
      <c r="Y48" s="307">
        <f t="shared" si="3"/>
        <v>3</v>
      </c>
      <c r="Z48" s="309">
        <f t="shared" si="3"/>
        <v>7</v>
      </c>
    </row>
    <row r="49" spans="1:26" ht="14.25" x14ac:dyDescent="0.2">
      <c r="A49" s="323" t="s">
        <v>200</v>
      </c>
      <c r="B49" s="324">
        <v>42887</v>
      </c>
      <c r="C49" s="325">
        <v>2017</v>
      </c>
      <c r="D49" s="305">
        <f t="shared" si="2"/>
        <v>234021</v>
      </c>
      <c r="E49" s="305">
        <f t="shared" si="2"/>
        <v>2089</v>
      </c>
      <c r="F49" s="306">
        <f t="shared" si="2"/>
        <v>832</v>
      </c>
      <c r="G49" s="307">
        <f t="shared" si="2"/>
        <v>605</v>
      </c>
      <c r="H49" s="307">
        <f t="shared" si="2"/>
        <v>0</v>
      </c>
      <c r="I49" s="307">
        <f t="shared" si="2"/>
        <v>227</v>
      </c>
      <c r="J49" s="308">
        <f t="shared" si="2"/>
        <v>0</v>
      </c>
      <c r="K49" s="306">
        <f t="shared" si="2"/>
        <v>1257</v>
      </c>
      <c r="L49" s="307">
        <f t="shared" si="2"/>
        <v>937</v>
      </c>
      <c r="M49" s="307">
        <f t="shared" si="2"/>
        <v>0</v>
      </c>
      <c r="N49" s="307">
        <f t="shared" si="3"/>
        <v>153</v>
      </c>
      <c r="O49" s="309">
        <f t="shared" si="3"/>
        <v>167</v>
      </c>
      <c r="P49" s="305">
        <f t="shared" si="3"/>
        <v>66</v>
      </c>
      <c r="Q49" s="306">
        <f t="shared" si="3"/>
        <v>18</v>
      </c>
      <c r="R49" s="307">
        <f t="shared" si="3"/>
        <v>13</v>
      </c>
      <c r="S49" s="307">
        <f t="shared" si="3"/>
        <v>0</v>
      </c>
      <c r="T49" s="307">
        <f t="shared" si="3"/>
        <v>5</v>
      </c>
      <c r="U49" s="308">
        <f t="shared" si="3"/>
        <v>0</v>
      </c>
      <c r="V49" s="306">
        <f t="shared" si="3"/>
        <v>48</v>
      </c>
      <c r="W49" s="307">
        <f t="shared" si="3"/>
        <v>38</v>
      </c>
      <c r="X49" s="307">
        <f t="shared" si="3"/>
        <v>0</v>
      </c>
      <c r="Y49" s="307">
        <f t="shared" si="3"/>
        <v>3</v>
      </c>
      <c r="Z49" s="309">
        <f t="shared" si="3"/>
        <v>7</v>
      </c>
    </row>
    <row r="50" spans="1:26" ht="14.25" x14ac:dyDescent="0.2">
      <c r="A50" s="323" t="s">
        <v>201</v>
      </c>
      <c r="B50" s="324">
        <v>42917</v>
      </c>
      <c r="C50" s="325">
        <v>2017</v>
      </c>
      <c r="D50" s="305">
        <f t="shared" si="2"/>
        <v>219632</v>
      </c>
      <c r="E50" s="305">
        <f t="shared" si="2"/>
        <v>2129</v>
      </c>
      <c r="F50" s="306">
        <f t="shared" si="2"/>
        <v>950</v>
      </c>
      <c r="G50" s="307">
        <f t="shared" si="2"/>
        <v>685</v>
      </c>
      <c r="H50" s="307">
        <f t="shared" si="2"/>
        <v>0</v>
      </c>
      <c r="I50" s="307">
        <f t="shared" si="2"/>
        <v>265</v>
      </c>
      <c r="J50" s="308">
        <f t="shared" si="2"/>
        <v>0</v>
      </c>
      <c r="K50" s="306">
        <f t="shared" si="2"/>
        <v>1179</v>
      </c>
      <c r="L50" s="307">
        <f t="shared" si="2"/>
        <v>984</v>
      </c>
      <c r="M50" s="307">
        <f t="shared" si="2"/>
        <v>0</v>
      </c>
      <c r="N50" s="307">
        <f t="shared" si="3"/>
        <v>98</v>
      </c>
      <c r="O50" s="309">
        <f t="shared" si="3"/>
        <v>97</v>
      </c>
      <c r="P50" s="305">
        <f t="shared" si="3"/>
        <v>56</v>
      </c>
      <c r="Q50" s="306">
        <f t="shared" si="3"/>
        <v>14</v>
      </c>
      <c r="R50" s="307">
        <f t="shared" si="3"/>
        <v>10</v>
      </c>
      <c r="S50" s="307">
        <f t="shared" si="3"/>
        <v>0</v>
      </c>
      <c r="T50" s="307">
        <f t="shared" si="3"/>
        <v>4</v>
      </c>
      <c r="U50" s="308">
        <f t="shared" si="3"/>
        <v>0</v>
      </c>
      <c r="V50" s="306">
        <f t="shared" si="3"/>
        <v>42</v>
      </c>
      <c r="W50" s="307">
        <f t="shared" si="3"/>
        <v>40</v>
      </c>
      <c r="X50" s="307">
        <f t="shared" si="3"/>
        <v>0</v>
      </c>
      <c r="Y50" s="307">
        <f t="shared" si="3"/>
        <v>0</v>
      </c>
      <c r="Z50" s="309">
        <f t="shared" si="3"/>
        <v>2</v>
      </c>
    </row>
    <row r="51" spans="1:26" ht="14.25" x14ac:dyDescent="0.2">
      <c r="A51" s="323" t="s">
        <v>201</v>
      </c>
      <c r="B51" s="324">
        <v>42948</v>
      </c>
      <c r="C51" s="325">
        <v>2017</v>
      </c>
      <c r="D51" s="305">
        <f t="shared" si="2"/>
        <v>219632</v>
      </c>
      <c r="E51" s="305">
        <f t="shared" si="2"/>
        <v>2129</v>
      </c>
      <c r="F51" s="306">
        <f t="shared" si="2"/>
        <v>950</v>
      </c>
      <c r="G51" s="307">
        <f t="shared" si="2"/>
        <v>685</v>
      </c>
      <c r="H51" s="307">
        <f t="shared" si="2"/>
        <v>0</v>
      </c>
      <c r="I51" s="307">
        <f t="shared" si="2"/>
        <v>265</v>
      </c>
      <c r="J51" s="308">
        <f t="shared" si="2"/>
        <v>0</v>
      </c>
      <c r="K51" s="306">
        <f t="shared" si="2"/>
        <v>1179</v>
      </c>
      <c r="L51" s="307">
        <f t="shared" si="2"/>
        <v>984</v>
      </c>
      <c r="M51" s="307">
        <f t="shared" si="2"/>
        <v>0</v>
      </c>
      <c r="N51" s="307">
        <f t="shared" si="3"/>
        <v>98</v>
      </c>
      <c r="O51" s="309">
        <f t="shared" si="3"/>
        <v>97</v>
      </c>
      <c r="P51" s="305">
        <f t="shared" si="3"/>
        <v>56</v>
      </c>
      <c r="Q51" s="306">
        <f t="shared" si="3"/>
        <v>14</v>
      </c>
      <c r="R51" s="307">
        <f t="shared" si="3"/>
        <v>10</v>
      </c>
      <c r="S51" s="307">
        <f t="shared" si="3"/>
        <v>0</v>
      </c>
      <c r="T51" s="307">
        <f t="shared" si="3"/>
        <v>4</v>
      </c>
      <c r="U51" s="308">
        <f t="shared" si="3"/>
        <v>0</v>
      </c>
      <c r="V51" s="306">
        <f t="shared" si="3"/>
        <v>42</v>
      </c>
      <c r="W51" s="307">
        <f t="shared" si="3"/>
        <v>40</v>
      </c>
      <c r="X51" s="307">
        <f t="shared" si="3"/>
        <v>0</v>
      </c>
      <c r="Y51" s="307">
        <f t="shared" si="3"/>
        <v>0</v>
      </c>
      <c r="Z51" s="309">
        <f t="shared" si="3"/>
        <v>2</v>
      </c>
    </row>
    <row r="52" spans="1:26" ht="14.25" x14ac:dyDescent="0.2">
      <c r="A52" s="323" t="s">
        <v>201</v>
      </c>
      <c r="B52" s="324">
        <v>42979</v>
      </c>
      <c r="C52" s="325">
        <v>2017</v>
      </c>
      <c r="D52" s="305">
        <f t="shared" si="2"/>
        <v>219632</v>
      </c>
      <c r="E52" s="305">
        <f t="shared" si="2"/>
        <v>2129</v>
      </c>
      <c r="F52" s="306">
        <f t="shared" si="2"/>
        <v>950</v>
      </c>
      <c r="G52" s="307">
        <f t="shared" si="2"/>
        <v>685</v>
      </c>
      <c r="H52" s="307">
        <f t="shared" si="2"/>
        <v>0</v>
      </c>
      <c r="I52" s="307">
        <f t="shared" si="2"/>
        <v>265</v>
      </c>
      <c r="J52" s="308">
        <f t="shared" si="2"/>
        <v>0</v>
      </c>
      <c r="K52" s="306">
        <f t="shared" si="2"/>
        <v>1179</v>
      </c>
      <c r="L52" s="307">
        <f t="shared" si="2"/>
        <v>984</v>
      </c>
      <c r="M52" s="307">
        <f t="shared" si="2"/>
        <v>0</v>
      </c>
      <c r="N52" s="307">
        <f t="shared" si="3"/>
        <v>98</v>
      </c>
      <c r="O52" s="309">
        <f t="shared" si="3"/>
        <v>97</v>
      </c>
      <c r="P52" s="305">
        <f t="shared" si="3"/>
        <v>56</v>
      </c>
      <c r="Q52" s="306">
        <f t="shared" si="3"/>
        <v>14</v>
      </c>
      <c r="R52" s="307">
        <f t="shared" si="3"/>
        <v>10</v>
      </c>
      <c r="S52" s="307">
        <f t="shared" si="3"/>
        <v>0</v>
      </c>
      <c r="T52" s="307">
        <f t="shared" si="3"/>
        <v>4</v>
      </c>
      <c r="U52" s="308">
        <f t="shared" si="3"/>
        <v>0</v>
      </c>
      <c r="V52" s="306">
        <f t="shared" si="3"/>
        <v>42</v>
      </c>
      <c r="W52" s="307">
        <f t="shared" si="3"/>
        <v>40</v>
      </c>
      <c r="X52" s="307">
        <f t="shared" si="3"/>
        <v>0</v>
      </c>
      <c r="Y52" s="307">
        <f t="shared" si="3"/>
        <v>0</v>
      </c>
      <c r="Z52" s="309">
        <f t="shared" si="3"/>
        <v>2</v>
      </c>
    </row>
    <row r="53" spans="1:26" ht="14.25" x14ac:dyDescent="0.2">
      <c r="A53" s="323" t="s">
        <v>202</v>
      </c>
      <c r="B53" s="324">
        <v>43009</v>
      </c>
      <c r="C53" s="325">
        <v>2017</v>
      </c>
      <c r="D53" s="305">
        <f t="shared" si="2"/>
        <v>179517</v>
      </c>
      <c r="E53" s="305">
        <f t="shared" si="2"/>
        <v>2640</v>
      </c>
      <c r="F53" s="306">
        <f t="shared" si="2"/>
        <v>1186</v>
      </c>
      <c r="G53" s="307">
        <f t="shared" si="2"/>
        <v>828</v>
      </c>
      <c r="H53" s="307">
        <f t="shared" si="2"/>
        <v>0</v>
      </c>
      <c r="I53" s="307">
        <f t="shared" si="2"/>
        <v>358</v>
      </c>
      <c r="J53" s="308">
        <f t="shared" si="2"/>
        <v>0</v>
      </c>
      <c r="K53" s="306">
        <f t="shared" si="2"/>
        <v>1454</v>
      </c>
      <c r="L53" s="307">
        <f t="shared" si="2"/>
        <v>1108</v>
      </c>
      <c r="M53" s="307">
        <f t="shared" si="2"/>
        <v>0</v>
      </c>
      <c r="N53" s="307">
        <f t="shared" si="3"/>
        <v>97</v>
      </c>
      <c r="O53" s="309">
        <f t="shared" si="3"/>
        <v>249</v>
      </c>
      <c r="P53" s="305">
        <f t="shared" si="3"/>
        <v>56</v>
      </c>
      <c r="Q53" s="306">
        <f t="shared" si="3"/>
        <v>11</v>
      </c>
      <c r="R53" s="307">
        <f t="shared" si="3"/>
        <v>9</v>
      </c>
      <c r="S53" s="307">
        <f t="shared" si="3"/>
        <v>0</v>
      </c>
      <c r="T53" s="307">
        <f t="shared" si="3"/>
        <v>2</v>
      </c>
      <c r="U53" s="308">
        <f t="shared" si="3"/>
        <v>0</v>
      </c>
      <c r="V53" s="306">
        <f t="shared" si="3"/>
        <v>45</v>
      </c>
      <c r="W53" s="307">
        <f t="shared" si="3"/>
        <v>40</v>
      </c>
      <c r="X53" s="307">
        <f t="shared" si="3"/>
        <v>0</v>
      </c>
      <c r="Y53" s="307">
        <f t="shared" si="3"/>
        <v>0</v>
      </c>
      <c r="Z53" s="309">
        <f t="shared" si="3"/>
        <v>5</v>
      </c>
    </row>
    <row r="54" spans="1:26" ht="14.25" x14ac:dyDescent="0.2">
      <c r="A54" s="323" t="s">
        <v>202</v>
      </c>
      <c r="B54" s="324">
        <v>43040</v>
      </c>
      <c r="C54" s="325">
        <v>2017</v>
      </c>
      <c r="D54" s="305">
        <f t="shared" ref="D54:M63" si="4">SUMIFS(D$5:D$40,$B$5:$B$40,$A54)</f>
        <v>179517</v>
      </c>
      <c r="E54" s="305">
        <f t="shared" si="4"/>
        <v>2640</v>
      </c>
      <c r="F54" s="306">
        <f t="shared" si="4"/>
        <v>1186</v>
      </c>
      <c r="G54" s="307">
        <f t="shared" si="4"/>
        <v>828</v>
      </c>
      <c r="H54" s="307">
        <f t="shared" si="4"/>
        <v>0</v>
      </c>
      <c r="I54" s="307">
        <f t="shared" si="4"/>
        <v>358</v>
      </c>
      <c r="J54" s="308">
        <f t="shared" si="4"/>
        <v>0</v>
      </c>
      <c r="K54" s="306">
        <f t="shared" si="4"/>
        <v>1454</v>
      </c>
      <c r="L54" s="307">
        <f t="shared" si="4"/>
        <v>1108</v>
      </c>
      <c r="M54" s="307">
        <f t="shared" si="4"/>
        <v>0</v>
      </c>
      <c r="N54" s="307">
        <f t="shared" ref="N54:Z63" si="5">SUMIFS(N$5:N$40,$B$5:$B$40,$A54)</f>
        <v>97</v>
      </c>
      <c r="O54" s="309">
        <f t="shared" si="5"/>
        <v>249</v>
      </c>
      <c r="P54" s="305">
        <f t="shared" si="5"/>
        <v>56</v>
      </c>
      <c r="Q54" s="306">
        <f t="shared" si="5"/>
        <v>11</v>
      </c>
      <c r="R54" s="307">
        <f t="shared" si="5"/>
        <v>9</v>
      </c>
      <c r="S54" s="307">
        <f t="shared" si="5"/>
        <v>0</v>
      </c>
      <c r="T54" s="307">
        <f t="shared" si="5"/>
        <v>2</v>
      </c>
      <c r="U54" s="308">
        <f t="shared" si="5"/>
        <v>0</v>
      </c>
      <c r="V54" s="306">
        <f t="shared" si="5"/>
        <v>45</v>
      </c>
      <c r="W54" s="307">
        <f t="shared" si="5"/>
        <v>40</v>
      </c>
      <c r="X54" s="307">
        <f t="shared" si="5"/>
        <v>0</v>
      </c>
      <c r="Y54" s="307">
        <f t="shared" si="5"/>
        <v>0</v>
      </c>
      <c r="Z54" s="309">
        <f t="shared" si="5"/>
        <v>5</v>
      </c>
    </row>
    <row r="55" spans="1:26" ht="14.25" x14ac:dyDescent="0.2">
      <c r="A55" s="323" t="s">
        <v>202</v>
      </c>
      <c r="B55" s="324">
        <v>43070</v>
      </c>
      <c r="C55" s="325">
        <v>2017</v>
      </c>
      <c r="D55" s="305">
        <f t="shared" si="4"/>
        <v>179517</v>
      </c>
      <c r="E55" s="305">
        <f t="shared" si="4"/>
        <v>2640</v>
      </c>
      <c r="F55" s="306">
        <f t="shared" si="4"/>
        <v>1186</v>
      </c>
      <c r="G55" s="307">
        <f t="shared" si="4"/>
        <v>828</v>
      </c>
      <c r="H55" s="307">
        <f t="shared" si="4"/>
        <v>0</v>
      </c>
      <c r="I55" s="307">
        <f t="shared" si="4"/>
        <v>358</v>
      </c>
      <c r="J55" s="308">
        <f t="shared" si="4"/>
        <v>0</v>
      </c>
      <c r="K55" s="306">
        <f t="shared" si="4"/>
        <v>1454</v>
      </c>
      <c r="L55" s="307">
        <f t="shared" si="4"/>
        <v>1108</v>
      </c>
      <c r="M55" s="307">
        <f t="shared" si="4"/>
        <v>0</v>
      </c>
      <c r="N55" s="307">
        <f t="shared" si="5"/>
        <v>97</v>
      </c>
      <c r="O55" s="309">
        <f t="shared" si="5"/>
        <v>249</v>
      </c>
      <c r="P55" s="305">
        <f t="shared" si="5"/>
        <v>56</v>
      </c>
      <c r="Q55" s="306">
        <f t="shared" si="5"/>
        <v>11</v>
      </c>
      <c r="R55" s="307">
        <f t="shared" si="5"/>
        <v>9</v>
      </c>
      <c r="S55" s="307">
        <f t="shared" si="5"/>
        <v>0</v>
      </c>
      <c r="T55" s="307">
        <f t="shared" si="5"/>
        <v>2</v>
      </c>
      <c r="U55" s="308">
        <f t="shared" si="5"/>
        <v>0</v>
      </c>
      <c r="V55" s="306">
        <f t="shared" si="5"/>
        <v>45</v>
      </c>
      <c r="W55" s="307">
        <f t="shared" si="5"/>
        <v>40</v>
      </c>
      <c r="X55" s="307">
        <f t="shared" si="5"/>
        <v>0</v>
      </c>
      <c r="Y55" s="307">
        <f t="shared" si="5"/>
        <v>0</v>
      </c>
      <c r="Z55" s="309">
        <f t="shared" si="5"/>
        <v>5</v>
      </c>
    </row>
    <row r="56" spans="1:26" ht="14.25" x14ac:dyDescent="0.2">
      <c r="A56" s="323" t="s">
        <v>203</v>
      </c>
      <c r="B56" s="324">
        <v>43101</v>
      </c>
      <c r="C56" s="325">
        <v>2018</v>
      </c>
      <c r="D56" s="305">
        <f t="shared" si="4"/>
        <v>165397</v>
      </c>
      <c r="E56" s="305">
        <f t="shared" si="4"/>
        <v>2747</v>
      </c>
      <c r="F56" s="306">
        <f t="shared" si="4"/>
        <v>928</v>
      </c>
      <c r="G56" s="307">
        <f t="shared" si="4"/>
        <v>754</v>
      </c>
      <c r="H56" s="307">
        <f t="shared" si="4"/>
        <v>0</v>
      </c>
      <c r="I56" s="307">
        <f t="shared" si="4"/>
        <v>174</v>
      </c>
      <c r="J56" s="308">
        <f t="shared" si="4"/>
        <v>0</v>
      </c>
      <c r="K56" s="306">
        <f t="shared" si="4"/>
        <v>1819</v>
      </c>
      <c r="L56" s="307">
        <f t="shared" si="4"/>
        <v>1251</v>
      </c>
      <c r="M56" s="307">
        <f t="shared" si="4"/>
        <v>0</v>
      </c>
      <c r="N56" s="307">
        <f t="shared" si="5"/>
        <v>359</v>
      </c>
      <c r="O56" s="309">
        <f t="shared" si="5"/>
        <v>209</v>
      </c>
      <c r="P56" s="305">
        <f t="shared" si="5"/>
        <v>57</v>
      </c>
      <c r="Q56" s="306">
        <f t="shared" si="5"/>
        <v>14</v>
      </c>
      <c r="R56" s="307">
        <f t="shared" si="5"/>
        <v>13</v>
      </c>
      <c r="S56" s="307">
        <f t="shared" si="5"/>
        <v>0</v>
      </c>
      <c r="T56" s="307">
        <f t="shared" si="5"/>
        <v>1</v>
      </c>
      <c r="U56" s="308">
        <f t="shared" si="5"/>
        <v>0</v>
      </c>
      <c r="V56" s="306">
        <f t="shared" si="5"/>
        <v>43</v>
      </c>
      <c r="W56" s="307">
        <f t="shared" si="5"/>
        <v>31</v>
      </c>
      <c r="X56" s="307">
        <f t="shared" si="5"/>
        <v>0</v>
      </c>
      <c r="Y56" s="307">
        <f t="shared" si="5"/>
        <v>6</v>
      </c>
      <c r="Z56" s="309">
        <f t="shared" si="5"/>
        <v>6</v>
      </c>
    </row>
    <row r="57" spans="1:26" ht="14.25" x14ac:dyDescent="0.2">
      <c r="A57" s="323" t="s">
        <v>203</v>
      </c>
      <c r="B57" s="324">
        <v>43132</v>
      </c>
      <c r="C57" s="325">
        <v>2018</v>
      </c>
      <c r="D57" s="305">
        <f t="shared" si="4"/>
        <v>165397</v>
      </c>
      <c r="E57" s="305">
        <f t="shared" si="4"/>
        <v>2747</v>
      </c>
      <c r="F57" s="306">
        <f t="shared" si="4"/>
        <v>928</v>
      </c>
      <c r="G57" s="307">
        <f t="shared" si="4"/>
        <v>754</v>
      </c>
      <c r="H57" s="307">
        <f t="shared" si="4"/>
        <v>0</v>
      </c>
      <c r="I57" s="307">
        <f t="shared" si="4"/>
        <v>174</v>
      </c>
      <c r="J57" s="308">
        <f t="shared" si="4"/>
        <v>0</v>
      </c>
      <c r="K57" s="306">
        <f t="shared" si="4"/>
        <v>1819</v>
      </c>
      <c r="L57" s="307">
        <f t="shared" si="4"/>
        <v>1251</v>
      </c>
      <c r="M57" s="307">
        <f t="shared" si="4"/>
        <v>0</v>
      </c>
      <c r="N57" s="307">
        <f t="shared" si="5"/>
        <v>359</v>
      </c>
      <c r="O57" s="309">
        <f t="shared" si="5"/>
        <v>209</v>
      </c>
      <c r="P57" s="305">
        <f t="shared" si="5"/>
        <v>57</v>
      </c>
      <c r="Q57" s="306">
        <f t="shared" si="5"/>
        <v>14</v>
      </c>
      <c r="R57" s="307">
        <f t="shared" si="5"/>
        <v>13</v>
      </c>
      <c r="S57" s="307">
        <f t="shared" si="5"/>
        <v>0</v>
      </c>
      <c r="T57" s="307">
        <f t="shared" si="5"/>
        <v>1</v>
      </c>
      <c r="U57" s="308">
        <f t="shared" si="5"/>
        <v>0</v>
      </c>
      <c r="V57" s="306">
        <f t="shared" si="5"/>
        <v>43</v>
      </c>
      <c r="W57" s="307">
        <f t="shared" si="5"/>
        <v>31</v>
      </c>
      <c r="X57" s="307">
        <f t="shared" si="5"/>
        <v>0</v>
      </c>
      <c r="Y57" s="307">
        <f t="shared" si="5"/>
        <v>6</v>
      </c>
      <c r="Z57" s="309">
        <f t="shared" si="5"/>
        <v>6</v>
      </c>
    </row>
    <row r="58" spans="1:26" ht="14.25" x14ac:dyDescent="0.2">
      <c r="A58" s="323" t="s">
        <v>203</v>
      </c>
      <c r="B58" s="324">
        <v>43160</v>
      </c>
      <c r="C58" s="325">
        <v>2018</v>
      </c>
      <c r="D58" s="305">
        <f t="shared" si="4"/>
        <v>165397</v>
      </c>
      <c r="E58" s="305">
        <f t="shared" si="4"/>
        <v>2747</v>
      </c>
      <c r="F58" s="306">
        <f t="shared" si="4"/>
        <v>928</v>
      </c>
      <c r="G58" s="307">
        <f t="shared" si="4"/>
        <v>754</v>
      </c>
      <c r="H58" s="307">
        <f t="shared" si="4"/>
        <v>0</v>
      </c>
      <c r="I58" s="307">
        <f t="shared" si="4"/>
        <v>174</v>
      </c>
      <c r="J58" s="308">
        <f t="shared" si="4"/>
        <v>0</v>
      </c>
      <c r="K58" s="306">
        <f t="shared" si="4"/>
        <v>1819</v>
      </c>
      <c r="L58" s="307">
        <f t="shared" si="4"/>
        <v>1251</v>
      </c>
      <c r="M58" s="307">
        <f t="shared" si="4"/>
        <v>0</v>
      </c>
      <c r="N58" s="307">
        <f t="shared" si="5"/>
        <v>359</v>
      </c>
      <c r="O58" s="309">
        <f t="shared" si="5"/>
        <v>209</v>
      </c>
      <c r="P58" s="305">
        <f t="shared" si="5"/>
        <v>57</v>
      </c>
      <c r="Q58" s="306">
        <f t="shared" si="5"/>
        <v>14</v>
      </c>
      <c r="R58" s="307">
        <f t="shared" si="5"/>
        <v>13</v>
      </c>
      <c r="S58" s="307">
        <f t="shared" si="5"/>
        <v>0</v>
      </c>
      <c r="T58" s="307">
        <f t="shared" si="5"/>
        <v>1</v>
      </c>
      <c r="U58" s="308">
        <f t="shared" si="5"/>
        <v>0</v>
      </c>
      <c r="V58" s="306">
        <f t="shared" si="5"/>
        <v>43</v>
      </c>
      <c r="W58" s="307">
        <f t="shared" si="5"/>
        <v>31</v>
      </c>
      <c r="X58" s="307">
        <f t="shared" si="5"/>
        <v>0</v>
      </c>
      <c r="Y58" s="307">
        <f t="shared" si="5"/>
        <v>6</v>
      </c>
      <c r="Z58" s="309">
        <f t="shared" si="5"/>
        <v>6</v>
      </c>
    </row>
    <row r="59" spans="1:26" ht="14.25" x14ac:dyDescent="0.2">
      <c r="A59" s="323" t="s">
        <v>204</v>
      </c>
      <c r="B59" s="324">
        <v>43191</v>
      </c>
      <c r="C59" s="325">
        <v>2018</v>
      </c>
      <c r="D59" s="305">
        <f t="shared" si="4"/>
        <v>239881</v>
      </c>
      <c r="E59" s="305">
        <f t="shared" si="4"/>
        <v>6949</v>
      </c>
      <c r="F59" s="306">
        <f t="shared" si="4"/>
        <v>3617</v>
      </c>
      <c r="G59" s="307">
        <f t="shared" si="4"/>
        <v>3306</v>
      </c>
      <c r="H59" s="307">
        <f t="shared" si="4"/>
        <v>0</v>
      </c>
      <c r="I59" s="307">
        <f t="shared" si="4"/>
        <v>311</v>
      </c>
      <c r="J59" s="308">
        <f t="shared" si="4"/>
        <v>0</v>
      </c>
      <c r="K59" s="306">
        <f t="shared" si="4"/>
        <v>3332</v>
      </c>
      <c r="L59" s="307">
        <f t="shared" si="4"/>
        <v>2218</v>
      </c>
      <c r="M59" s="307">
        <f t="shared" si="4"/>
        <v>0</v>
      </c>
      <c r="N59" s="307">
        <f t="shared" si="5"/>
        <v>707</v>
      </c>
      <c r="O59" s="309">
        <f t="shared" si="5"/>
        <v>407</v>
      </c>
      <c r="P59" s="305">
        <f t="shared" si="5"/>
        <v>151</v>
      </c>
      <c r="Q59" s="306">
        <f t="shared" si="5"/>
        <v>61</v>
      </c>
      <c r="R59" s="307">
        <f t="shared" si="5"/>
        <v>59</v>
      </c>
      <c r="S59" s="307">
        <f t="shared" si="5"/>
        <v>0</v>
      </c>
      <c r="T59" s="307">
        <f t="shared" si="5"/>
        <v>2</v>
      </c>
      <c r="U59" s="308">
        <f t="shared" si="5"/>
        <v>0</v>
      </c>
      <c r="V59" s="306">
        <f t="shared" si="5"/>
        <v>90</v>
      </c>
      <c r="W59" s="307">
        <f t="shared" si="5"/>
        <v>59</v>
      </c>
      <c r="X59" s="307">
        <f t="shared" si="5"/>
        <v>0</v>
      </c>
      <c r="Y59" s="307">
        <f t="shared" si="5"/>
        <v>15</v>
      </c>
      <c r="Z59" s="309">
        <f t="shared" si="5"/>
        <v>16</v>
      </c>
    </row>
    <row r="60" spans="1:26" ht="14.25" x14ac:dyDescent="0.2">
      <c r="A60" s="323" t="s">
        <v>204</v>
      </c>
      <c r="B60" s="324">
        <v>43221</v>
      </c>
      <c r="C60" s="325">
        <v>2018</v>
      </c>
      <c r="D60" s="305">
        <f t="shared" si="4"/>
        <v>239881</v>
      </c>
      <c r="E60" s="305">
        <f t="shared" si="4"/>
        <v>6949</v>
      </c>
      <c r="F60" s="306">
        <f t="shared" si="4"/>
        <v>3617</v>
      </c>
      <c r="G60" s="307">
        <f t="shared" si="4"/>
        <v>3306</v>
      </c>
      <c r="H60" s="307">
        <f t="shared" si="4"/>
        <v>0</v>
      </c>
      <c r="I60" s="307">
        <f t="shared" si="4"/>
        <v>311</v>
      </c>
      <c r="J60" s="308">
        <f t="shared" si="4"/>
        <v>0</v>
      </c>
      <c r="K60" s="306">
        <f t="shared" si="4"/>
        <v>3332</v>
      </c>
      <c r="L60" s="307">
        <f t="shared" si="4"/>
        <v>2218</v>
      </c>
      <c r="M60" s="307">
        <f t="shared" si="4"/>
        <v>0</v>
      </c>
      <c r="N60" s="307">
        <f t="shared" si="5"/>
        <v>707</v>
      </c>
      <c r="O60" s="309">
        <f t="shared" si="5"/>
        <v>407</v>
      </c>
      <c r="P60" s="305">
        <f t="shared" si="5"/>
        <v>151</v>
      </c>
      <c r="Q60" s="306">
        <f t="shared" si="5"/>
        <v>61</v>
      </c>
      <c r="R60" s="307">
        <f t="shared" si="5"/>
        <v>59</v>
      </c>
      <c r="S60" s="307">
        <f t="shared" si="5"/>
        <v>0</v>
      </c>
      <c r="T60" s="307">
        <f t="shared" si="5"/>
        <v>2</v>
      </c>
      <c r="U60" s="308">
        <f t="shared" si="5"/>
        <v>0</v>
      </c>
      <c r="V60" s="306">
        <f t="shared" si="5"/>
        <v>90</v>
      </c>
      <c r="W60" s="307">
        <f t="shared" si="5"/>
        <v>59</v>
      </c>
      <c r="X60" s="307">
        <f t="shared" si="5"/>
        <v>0</v>
      </c>
      <c r="Y60" s="307">
        <f t="shared" si="5"/>
        <v>15</v>
      </c>
      <c r="Z60" s="309">
        <f t="shared" si="5"/>
        <v>16</v>
      </c>
    </row>
    <row r="61" spans="1:26" ht="14.25" x14ac:dyDescent="0.2">
      <c r="A61" s="323" t="s">
        <v>204</v>
      </c>
      <c r="B61" s="324">
        <v>43252</v>
      </c>
      <c r="C61" s="325">
        <v>2018</v>
      </c>
      <c r="D61" s="305">
        <f t="shared" si="4"/>
        <v>239881</v>
      </c>
      <c r="E61" s="305">
        <f t="shared" si="4"/>
        <v>6949</v>
      </c>
      <c r="F61" s="306">
        <f t="shared" si="4"/>
        <v>3617</v>
      </c>
      <c r="G61" s="307">
        <f t="shared" si="4"/>
        <v>3306</v>
      </c>
      <c r="H61" s="307">
        <f t="shared" si="4"/>
        <v>0</v>
      </c>
      <c r="I61" s="307">
        <f t="shared" si="4"/>
        <v>311</v>
      </c>
      <c r="J61" s="308">
        <f t="shared" si="4"/>
        <v>0</v>
      </c>
      <c r="K61" s="306">
        <f t="shared" si="4"/>
        <v>3332</v>
      </c>
      <c r="L61" s="307">
        <f t="shared" si="4"/>
        <v>2218</v>
      </c>
      <c r="M61" s="307">
        <f t="shared" si="4"/>
        <v>0</v>
      </c>
      <c r="N61" s="307">
        <f t="shared" si="5"/>
        <v>707</v>
      </c>
      <c r="O61" s="309">
        <f t="shared" si="5"/>
        <v>407</v>
      </c>
      <c r="P61" s="305">
        <f t="shared" si="5"/>
        <v>151</v>
      </c>
      <c r="Q61" s="306">
        <f t="shared" si="5"/>
        <v>61</v>
      </c>
      <c r="R61" s="307">
        <f t="shared" si="5"/>
        <v>59</v>
      </c>
      <c r="S61" s="307">
        <f t="shared" si="5"/>
        <v>0</v>
      </c>
      <c r="T61" s="307">
        <f t="shared" si="5"/>
        <v>2</v>
      </c>
      <c r="U61" s="308">
        <f t="shared" si="5"/>
        <v>0</v>
      </c>
      <c r="V61" s="306">
        <f t="shared" si="5"/>
        <v>90</v>
      </c>
      <c r="W61" s="307">
        <f t="shared" si="5"/>
        <v>59</v>
      </c>
      <c r="X61" s="307">
        <f t="shared" si="5"/>
        <v>0</v>
      </c>
      <c r="Y61" s="307">
        <f t="shared" si="5"/>
        <v>15</v>
      </c>
      <c r="Z61" s="309">
        <f t="shared" si="5"/>
        <v>16</v>
      </c>
    </row>
    <row r="62" spans="1:26" ht="14.25" x14ac:dyDescent="0.2">
      <c r="A62" s="323" t="s">
        <v>205</v>
      </c>
      <c r="B62" s="324">
        <v>43282</v>
      </c>
      <c r="C62" s="325">
        <v>2018</v>
      </c>
      <c r="D62" s="305">
        <f t="shared" si="4"/>
        <v>218772</v>
      </c>
      <c r="E62" s="305">
        <f t="shared" si="4"/>
        <v>5178</v>
      </c>
      <c r="F62" s="306">
        <f t="shared" si="4"/>
        <v>2526</v>
      </c>
      <c r="G62" s="307">
        <f t="shared" si="4"/>
        <v>2275</v>
      </c>
      <c r="H62" s="307">
        <f t="shared" si="4"/>
        <v>0</v>
      </c>
      <c r="I62" s="307">
        <f t="shared" si="4"/>
        <v>251</v>
      </c>
      <c r="J62" s="308">
        <f t="shared" si="4"/>
        <v>0</v>
      </c>
      <c r="K62" s="306">
        <f t="shared" si="4"/>
        <v>2652</v>
      </c>
      <c r="L62" s="307">
        <f t="shared" si="4"/>
        <v>1603</v>
      </c>
      <c r="M62" s="307">
        <f t="shared" si="4"/>
        <v>0</v>
      </c>
      <c r="N62" s="307">
        <f t="shared" si="5"/>
        <v>844</v>
      </c>
      <c r="O62" s="309">
        <f t="shared" si="5"/>
        <v>205</v>
      </c>
      <c r="P62" s="305">
        <f t="shared" si="5"/>
        <v>127</v>
      </c>
      <c r="Q62" s="306">
        <f t="shared" si="5"/>
        <v>42</v>
      </c>
      <c r="R62" s="307">
        <f t="shared" si="5"/>
        <v>40</v>
      </c>
      <c r="S62" s="307">
        <f t="shared" si="5"/>
        <v>0</v>
      </c>
      <c r="T62" s="307">
        <f t="shared" si="5"/>
        <v>2</v>
      </c>
      <c r="U62" s="308">
        <f t="shared" si="5"/>
        <v>0</v>
      </c>
      <c r="V62" s="306">
        <f t="shared" si="5"/>
        <v>85</v>
      </c>
      <c r="W62" s="307">
        <f t="shared" si="5"/>
        <v>52</v>
      </c>
      <c r="X62" s="307">
        <f t="shared" si="5"/>
        <v>0</v>
      </c>
      <c r="Y62" s="307">
        <f t="shared" si="5"/>
        <v>25</v>
      </c>
      <c r="Z62" s="309">
        <f t="shared" si="5"/>
        <v>8</v>
      </c>
    </row>
    <row r="63" spans="1:26" ht="14.25" x14ac:dyDescent="0.2">
      <c r="A63" s="323" t="s">
        <v>205</v>
      </c>
      <c r="B63" s="324">
        <v>43313</v>
      </c>
      <c r="C63" s="325">
        <v>2018</v>
      </c>
      <c r="D63" s="305">
        <f t="shared" si="4"/>
        <v>218772</v>
      </c>
      <c r="E63" s="305">
        <f t="shared" si="4"/>
        <v>5178</v>
      </c>
      <c r="F63" s="306">
        <f t="shared" si="4"/>
        <v>2526</v>
      </c>
      <c r="G63" s="307">
        <f t="shared" si="4"/>
        <v>2275</v>
      </c>
      <c r="H63" s="307">
        <f t="shared" si="4"/>
        <v>0</v>
      </c>
      <c r="I63" s="307">
        <f t="shared" si="4"/>
        <v>251</v>
      </c>
      <c r="J63" s="308">
        <f t="shared" si="4"/>
        <v>0</v>
      </c>
      <c r="K63" s="306">
        <f t="shared" si="4"/>
        <v>2652</v>
      </c>
      <c r="L63" s="307">
        <f t="shared" si="4"/>
        <v>1603</v>
      </c>
      <c r="M63" s="307">
        <f t="shared" si="4"/>
        <v>0</v>
      </c>
      <c r="N63" s="307">
        <f t="shared" si="5"/>
        <v>844</v>
      </c>
      <c r="O63" s="309">
        <f t="shared" si="5"/>
        <v>205</v>
      </c>
      <c r="P63" s="305">
        <f t="shared" si="5"/>
        <v>127</v>
      </c>
      <c r="Q63" s="306">
        <f t="shared" si="5"/>
        <v>42</v>
      </c>
      <c r="R63" s="307">
        <f t="shared" si="5"/>
        <v>40</v>
      </c>
      <c r="S63" s="307">
        <f t="shared" si="5"/>
        <v>0</v>
      </c>
      <c r="T63" s="307">
        <f t="shared" si="5"/>
        <v>2</v>
      </c>
      <c r="U63" s="308">
        <f t="shared" si="5"/>
        <v>0</v>
      </c>
      <c r="V63" s="306">
        <f t="shared" si="5"/>
        <v>85</v>
      </c>
      <c r="W63" s="307">
        <f t="shared" si="5"/>
        <v>52</v>
      </c>
      <c r="X63" s="307">
        <f t="shared" si="5"/>
        <v>0</v>
      </c>
      <c r="Y63" s="307">
        <f t="shared" si="5"/>
        <v>25</v>
      </c>
      <c r="Z63" s="309">
        <f t="shared" si="5"/>
        <v>8</v>
      </c>
    </row>
    <row r="64" spans="1:26" ht="14.25" x14ac:dyDescent="0.2">
      <c r="A64" s="323" t="s">
        <v>205</v>
      </c>
      <c r="B64" s="324">
        <v>43344</v>
      </c>
      <c r="C64" s="325">
        <v>2018</v>
      </c>
      <c r="D64" s="305">
        <f t="shared" ref="D64:M73" si="6">SUMIFS(D$5:D$40,$B$5:$B$40,$A64)</f>
        <v>218772</v>
      </c>
      <c r="E64" s="305">
        <f t="shared" si="6"/>
        <v>5178</v>
      </c>
      <c r="F64" s="306">
        <f t="shared" si="6"/>
        <v>2526</v>
      </c>
      <c r="G64" s="307">
        <f t="shared" si="6"/>
        <v>2275</v>
      </c>
      <c r="H64" s="307">
        <f t="shared" si="6"/>
        <v>0</v>
      </c>
      <c r="I64" s="307">
        <f t="shared" si="6"/>
        <v>251</v>
      </c>
      <c r="J64" s="308">
        <f t="shared" si="6"/>
        <v>0</v>
      </c>
      <c r="K64" s="306">
        <f t="shared" si="6"/>
        <v>2652</v>
      </c>
      <c r="L64" s="307">
        <f t="shared" si="6"/>
        <v>1603</v>
      </c>
      <c r="M64" s="307">
        <f t="shared" si="6"/>
        <v>0</v>
      </c>
      <c r="N64" s="307">
        <f t="shared" ref="N64:Z73" si="7">SUMIFS(N$5:N$40,$B$5:$B$40,$A64)</f>
        <v>844</v>
      </c>
      <c r="O64" s="309">
        <f t="shared" si="7"/>
        <v>205</v>
      </c>
      <c r="P64" s="305">
        <f t="shared" si="7"/>
        <v>127</v>
      </c>
      <c r="Q64" s="306">
        <f t="shared" si="7"/>
        <v>42</v>
      </c>
      <c r="R64" s="307">
        <f t="shared" si="7"/>
        <v>40</v>
      </c>
      <c r="S64" s="307">
        <f t="shared" si="7"/>
        <v>0</v>
      </c>
      <c r="T64" s="307">
        <f t="shared" si="7"/>
        <v>2</v>
      </c>
      <c r="U64" s="308">
        <f t="shared" si="7"/>
        <v>0</v>
      </c>
      <c r="V64" s="306">
        <f t="shared" si="7"/>
        <v>85</v>
      </c>
      <c r="W64" s="307">
        <f t="shared" si="7"/>
        <v>52</v>
      </c>
      <c r="X64" s="307">
        <f t="shared" si="7"/>
        <v>0</v>
      </c>
      <c r="Y64" s="307">
        <f t="shared" si="7"/>
        <v>25</v>
      </c>
      <c r="Z64" s="309">
        <f t="shared" si="7"/>
        <v>8</v>
      </c>
    </row>
    <row r="65" spans="1:26" ht="14.25" x14ac:dyDescent="0.2">
      <c r="A65" s="323" t="s">
        <v>206</v>
      </c>
      <c r="B65" s="324">
        <v>43374</v>
      </c>
      <c r="C65" s="325">
        <v>2018</v>
      </c>
      <c r="D65" s="305">
        <f t="shared" si="6"/>
        <v>174523</v>
      </c>
      <c r="E65" s="305">
        <f t="shared" si="6"/>
        <v>1886</v>
      </c>
      <c r="F65" s="306">
        <f t="shared" si="6"/>
        <v>1145</v>
      </c>
      <c r="G65" s="307">
        <f t="shared" si="6"/>
        <v>981</v>
      </c>
      <c r="H65" s="307">
        <f t="shared" si="6"/>
        <v>0</v>
      </c>
      <c r="I65" s="307">
        <f t="shared" si="6"/>
        <v>164</v>
      </c>
      <c r="J65" s="308">
        <f t="shared" si="6"/>
        <v>0</v>
      </c>
      <c r="K65" s="306">
        <f t="shared" si="6"/>
        <v>741</v>
      </c>
      <c r="L65" s="307">
        <f t="shared" si="6"/>
        <v>446</v>
      </c>
      <c r="M65" s="307">
        <f t="shared" si="6"/>
        <v>0</v>
      </c>
      <c r="N65" s="307">
        <f t="shared" si="7"/>
        <v>242</v>
      </c>
      <c r="O65" s="309">
        <f t="shared" si="7"/>
        <v>53</v>
      </c>
      <c r="P65" s="305">
        <f t="shared" si="7"/>
        <v>29</v>
      </c>
      <c r="Q65" s="306">
        <f t="shared" si="7"/>
        <v>17</v>
      </c>
      <c r="R65" s="307">
        <f t="shared" si="7"/>
        <v>15</v>
      </c>
      <c r="S65" s="307">
        <f t="shared" si="7"/>
        <v>0</v>
      </c>
      <c r="T65" s="307">
        <f t="shared" si="7"/>
        <v>2</v>
      </c>
      <c r="U65" s="308">
        <f t="shared" si="7"/>
        <v>0</v>
      </c>
      <c r="V65" s="306">
        <f t="shared" si="7"/>
        <v>12</v>
      </c>
      <c r="W65" s="307">
        <f t="shared" si="7"/>
        <v>9</v>
      </c>
      <c r="X65" s="307">
        <f t="shared" si="7"/>
        <v>0</v>
      </c>
      <c r="Y65" s="307">
        <f t="shared" si="7"/>
        <v>3</v>
      </c>
      <c r="Z65" s="309">
        <f t="shared" si="7"/>
        <v>0</v>
      </c>
    </row>
    <row r="66" spans="1:26" ht="14.25" x14ac:dyDescent="0.2">
      <c r="A66" s="323" t="s">
        <v>206</v>
      </c>
      <c r="B66" s="324">
        <v>43405</v>
      </c>
      <c r="C66" s="325">
        <v>2018</v>
      </c>
      <c r="D66" s="305">
        <f t="shared" si="6"/>
        <v>174523</v>
      </c>
      <c r="E66" s="305">
        <f t="shared" si="6"/>
        <v>1886</v>
      </c>
      <c r="F66" s="306">
        <f t="shared" si="6"/>
        <v>1145</v>
      </c>
      <c r="G66" s="307">
        <f t="shared" si="6"/>
        <v>981</v>
      </c>
      <c r="H66" s="307">
        <f t="shared" si="6"/>
        <v>0</v>
      </c>
      <c r="I66" s="307">
        <f t="shared" si="6"/>
        <v>164</v>
      </c>
      <c r="J66" s="308">
        <f t="shared" si="6"/>
        <v>0</v>
      </c>
      <c r="K66" s="306">
        <f t="shared" si="6"/>
        <v>741</v>
      </c>
      <c r="L66" s="307">
        <f t="shared" si="6"/>
        <v>446</v>
      </c>
      <c r="M66" s="307">
        <f t="shared" si="6"/>
        <v>0</v>
      </c>
      <c r="N66" s="307">
        <f t="shared" si="7"/>
        <v>242</v>
      </c>
      <c r="O66" s="309">
        <f t="shared" si="7"/>
        <v>53</v>
      </c>
      <c r="P66" s="305">
        <f t="shared" si="7"/>
        <v>29</v>
      </c>
      <c r="Q66" s="306">
        <f t="shared" si="7"/>
        <v>17</v>
      </c>
      <c r="R66" s="307">
        <f t="shared" si="7"/>
        <v>15</v>
      </c>
      <c r="S66" s="307">
        <f t="shared" si="7"/>
        <v>0</v>
      </c>
      <c r="T66" s="307">
        <f t="shared" si="7"/>
        <v>2</v>
      </c>
      <c r="U66" s="308">
        <f t="shared" si="7"/>
        <v>0</v>
      </c>
      <c r="V66" s="306">
        <f t="shared" si="7"/>
        <v>12</v>
      </c>
      <c r="W66" s="307">
        <f t="shared" si="7"/>
        <v>9</v>
      </c>
      <c r="X66" s="307">
        <f t="shared" si="7"/>
        <v>0</v>
      </c>
      <c r="Y66" s="307">
        <f t="shared" si="7"/>
        <v>3</v>
      </c>
      <c r="Z66" s="309">
        <f t="shared" si="7"/>
        <v>0</v>
      </c>
    </row>
    <row r="67" spans="1:26" ht="14.25" x14ac:dyDescent="0.2">
      <c r="A67" s="323" t="s">
        <v>206</v>
      </c>
      <c r="B67" s="324">
        <v>43435</v>
      </c>
      <c r="C67" s="325">
        <v>2018</v>
      </c>
      <c r="D67" s="305">
        <f t="shared" si="6"/>
        <v>174523</v>
      </c>
      <c r="E67" s="305">
        <f t="shared" si="6"/>
        <v>1886</v>
      </c>
      <c r="F67" s="306">
        <f t="shared" si="6"/>
        <v>1145</v>
      </c>
      <c r="G67" s="307">
        <f t="shared" si="6"/>
        <v>981</v>
      </c>
      <c r="H67" s="307">
        <f t="shared" si="6"/>
        <v>0</v>
      </c>
      <c r="I67" s="307">
        <f t="shared" si="6"/>
        <v>164</v>
      </c>
      <c r="J67" s="308">
        <f t="shared" si="6"/>
        <v>0</v>
      </c>
      <c r="K67" s="306">
        <f t="shared" si="6"/>
        <v>741</v>
      </c>
      <c r="L67" s="307">
        <f t="shared" si="6"/>
        <v>446</v>
      </c>
      <c r="M67" s="307">
        <f t="shared" si="6"/>
        <v>0</v>
      </c>
      <c r="N67" s="307">
        <f t="shared" si="7"/>
        <v>242</v>
      </c>
      <c r="O67" s="309">
        <f t="shared" si="7"/>
        <v>53</v>
      </c>
      <c r="P67" s="305">
        <f t="shared" si="7"/>
        <v>29</v>
      </c>
      <c r="Q67" s="306">
        <f t="shared" si="7"/>
        <v>17</v>
      </c>
      <c r="R67" s="307">
        <f t="shared" si="7"/>
        <v>15</v>
      </c>
      <c r="S67" s="307">
        <f t="shared" si="7"/>
        <v>0</v>
      </c>
      <c r="T67" s="307">
        <f t="shared" si="7"/>
        <v>2</v>
      </c>
      <c r="U67" s="308">
        <f t="shared" si="7"/>
        <v>0</v>
      </c>
      <c r="V67" s="306">
        <f t="shared" si="7"/>
        <v>12</v>
      </c>
      <c r="W67" s="307">
        <f t="shared" si="7"/>
        <v>9</v>
      </c>
      <c r="X67" s="307">
        <f t="shared" si="7"/>
        <v>0</v>
      </c>
      <c r="Y67" s="307">
        <f t="shared" si="7"/>
        <v>3</v>
      </c>
      <c r="Z67" s="309">
        <f t="shared" si="7"/>
        <v>0</v>
      </c>
    </row>
    <row r="68" spans="1:26" ht="14.25" x14ac:dyDescent="0.2">
      <c r="A68" s="323" t="s">
        <v>207</v>
      </c>
      <c r="B68" s="324">
        <v>43466</v>
      </c>
      <c r="C68" s="325">
        <v>2019</v>
      </c>
      <c r="D68" s="305">
        <f t="shared" si="6"/>
        <v>168959</v>
      </c>
      <c r="E68" s="305">
        <f t="shared" si="6"/>
        <v>1343</v>
      </c>
      <c r="F68" s="306">
        <f t="shared" si="6"/>
        <v>850</v>
      </c>
      <c r="G68" s="307">
        <f t="shared" si="6"/>
        <v>565</v>
      </c>
      <c r="H68" s="307">
        <f t="shared" si="6"/>
        <v>0</v>
      </c>
      <c r="I68" s="307">
        <f t="shared" si="6"/>
        <v>285</v>
      </c>
      <c r="J68" s="308">
        <f t="shared" si="6"/>
        <v>0</v>
      </c>
      <c r="K68" s="306">
        <f t="shared" si="6"/>
        <v>493</v>
      </c>
      <c r="L68" s="307">
        <f t="shared" si="6"/>
        <v>280</v>
      </c>
      <c r="M68" s="307">
        <f t="shared" si="6"/>
        <v>0</v>
      </c>
      <c r="N68" s="307">
        <f t="shared" si="7"/>
        <v>189</v>
      </c>
      <c r="O68" s="309">
        <f t="shared" si="7"/>
        <v>24</v>
      </c>
      <c r="P68" s="305">
        <f t="shared" si="7"/>
        <v>28</v>
      </c>
      <c r="Q68" s="306">
        <f t="shared" si="7"/>
        <v>10</v>
      </c>
      <c r="R68" s="307">
        <f t="shared" si="7"/>
        <v>8</v>
      </c>
      <c r="S68" s="307">
        <f t="shared" si="7"/>
        <v>0</v>
      </c>
      <c r="T68" s="307">
        <f t="shared" si="7"/>
        <v>2</v>
      </c>
      <c r="U68" s="308">
        <f t="shared" si="7"/>
        <v>0</v>
      </c>
      <c r="V68" s="306">
        <f t="shared" si="7"/>
        <v>18</v>
      </c>
      <c r="W68" s="307">
        <f t="shared" si="7"/>
        <v>15</v>
      </c>
      <c r="X68" s="307">
        <f t="shared" si="7"/>
        <v>0</v>
      </c>
      <c r="Y68" s="307">
        <f t="shared" si="7"/>
        <v>3</v>
      </c>
      <c r="Z68" s="309">
        <f t="shared" si="7"/>
        <v>0</v>
      </c>
    </row>
    <row r="69" spans="1:26" ht="14.25" x14ac:dyDescent="0.2">
      <c r="A69" s="323" t="s">
        <v>207</v>
      </c>
      <c r="B69" s="324">
        <v>43497</v>
      </c>
      <c r="C69" s="325">
        <v>2019</v>
      </c>
      <c r="D69" s="305">
        <f t="shared" si="6"/>
        <v>168959</v>
      </c>
      <c r="E69" s="305">
        <f t="shared" si="6"/>
        <v>1343</v>
      </c>
      <c r="F69" s="306">
        <f t="shared" si="6"/>
        <v>850</v>
      </c>
      <c r="G69" s="307">
        <f t="shared" si="6"/>
        <v>565</v>
      </c>
      <c r="H69" s="307">
        <f t="shared" si="6"/>
        <v>0</v>
      </c>
      <c r="I69" s="307">
        <f t="shared" si="6"/>
        <v>285</v>
      </c>
      <c r="J69" s="308">
        <f t="shared" si="6"/>
        <v>0</v>
      </c>
      <c r="K69" s="306">
        <f t="shared" si="6"/>
        <v>493</v>
      </c>
      <c r="L69" s="307">
        <f t="shared" si="6"/>
        <v>280</v>
      </c>
      <c r="M69" s="307">
        <f t="shared" si="6"/>
        <v>0</v>
      </c>
      <c r="N69" s="307">
        <f t="shared" si="7"/>
        <v>189</v>
      </c>
      <c r="O69" s="309">
        <f t="shared" si="7"/>
        <v>24</v>
      </c>
      <c r="P69" s="305">
        <f t="shared" si="7"/>
        <v>28</v>
      </c>
      <c r="Q69" s="306">
        <f t="shared" si="7"/>
        <v>10</v>
      </c>
      <c r="R69" s="307">
        <f t="shared" si="7"/>
        <v>8</v>
      </c>
      <c r="S69" s="307">
        <f t="shared" si="7"/>
        <v>0</v>
      </c>
      <c r="T69" s="307">
        <f t="shared" si="7"/>
        <v>2</v>
      </c>
      <c r="U69" s="308">
        <f t="shared" si="7"/>
        <v>0</v>
      </c>
      <c r="V69" s="306">
        <f t="shared" si="7"/>
        <v>18</v>
      </c>
      <c r="W69" s="307">
        <f t="shared" si="7"/>
        <v>15</v>
      </c>
      <c r="X69" s="307">
        <f t="shared" si="7"/>
        <v>0</v>
      </c>
      <c r="Y69" s="307">
        <f t="shared" si="7"/>
        <v>3</v>
      </c>
      <c r="Z69" s="309">
        <f t="shared" si="7"/>
        <v>0</v>
      </c>
    </row>
    <row r="70" spans="1:26" ht="14.25" x14ac:dyDescent="0.2">
      <c r="A70" s="323" t="s">
        <v>207</v>
      </c>
      <c r="B70" s="324">
        <v>43525</v>
      </c>
      <c r="C70" s="325">
        <v>2019</v>
      </c>
      <c r="D70" s="305">
        <f t="shared" si="6"/>
        <v>168959</v>
      </c>
      <c r="E70" s="305">
        <f t="shared" si="6"/>
        <v>1343</v>
      </c>
      <c r="F70" s="306">
        <f t="shared" si="6"/>
        <v>850</v>
      </c>
      <c r="G70" s="307">
        <f t="shared" si="6"/>
        <v>565</v>
      </c>
      <c r="H70" s="307">
        <f t="shared" si="6"/>
        <v>0</v>
      </c>
      <c r="I70" s="307">
        <f t="shared" si="6"/>
        <v>285</v>
      </c>
      <c r="J70" s="308">
        <f t="shared" si="6"/>
        <v>0</v>
      </c>
      <c r="K70" s="306">
        <f t="shared" si="6"/>
        <v>493</v>
      </c>
      <c r="L70" s="307">
        <f t="shared" si="6"/>
        <v>280</v>
      </c>
      <c r="M70" s="307">
        <f t="shared" si="6"/>
        <v>0</v>
      </c>
      <c r="N70" s="307">
        <f t="shared" si="7"/>
        <v>189</v>
      </c>
      <c r="O70" s="309">
        <f t="shared" si="7"/>
        <v>24</v>
      </c>
      <c r="P70" s="305">
        <f t="shared" si="7"/>
        <v>28</v>
      </c>
      <c r="Q70" s="306">
        <f t="shared" si="7"/>
        <v>10</v>
      </c>
      <c r="R70" s="307">
        <f t="shared" si="7"/>
        <v>8</v>
      </c>
      <c r="S70" s="307">
        <f t="shared" si="7"/>
        <v>0</v>
      </c>
      <c r="T70" s="307">
        <f t="shared" si="7"/>
        <v>2</v>
      </c>
      <c r="U70" s="308">
        <f t="shared" si="7"/>
        <v>0</v>
      </c>
      <c r="V70" s="306">
        <f t="shared" si="7"/>
        <v>18</v>
      </c>
      <c r="W70" s="307">
        <f t="shared" si="7"/>
        <v>15</v>
      </c>
      <c r="X70" s="307">
        <f t="shared" si="7"/>
        <v>0</v>
      </c>
      <c r="Y70" s="307">
        <f t="shared" si="7"/>
        <v>3</v>
      </c>
      <c r="Z70" s="309">
        <f t="shared" si="7"/>
        <v>0</v>
      </c>
    </row>
    <row r="71" spans="1:26" ht="14.25" x14ac:dyDescent="0.2">
      <c r="A71" s="323" t="s">
        <v>208</v>
      </c>
      <c r="B71" s="324">
        <v>43556</v>
      </c>
      <c r="C71" s="325">
        <v>2019</v>
      </c>
      <c r="D71" s="305">
        <f t="shared" si="6"/>
        <v>222792</v>
      </c>
      <c r="E71" s="305">
        <f t="shared" si="6"/>
        <v>2875</v>
      </c>
      <c r="F71" s="306">
        <f t="shared" si="6"/>
        <v>1992</v>
      </c>
      <c r="G71" s="307">
        <f t="shared" si="6"/>
        <v>1656</v>
      </c>
      <c r="H71" s="307">
        <f t="shared" si="6"/>
        <v>0</v>
      </c>
      <c r="I71" s="307">
        <f t="shared" si="6"/>
        <v>336</v>
      </c>
      <c r="J71" s="308">
        <f t="shared" si="6"/>
        <v>0</v>
      </c>
      <c r="K71" s="306">
        <f t="shared" si="6"/>
        <v>883</v>
      </c>
      <c r="L71" s="307">
        <f t="shared" si="6"/>
        <v>497</v>
      </c>
      <c r="M71" s="307">
        <f t="shared" si="6"/>
        <v>0</v>
      </c>
      <c r="N71" s="307">
        <f t="shared" si="7"/>
        <v>349</v>
      </c>
      <c r="O71" s="309">
        <f t="shared" si="7"/>
        <v>37</v>
      </c>
      <c r="P71" s="305">
        <f t="shared" si="7"/>
        <v>50</v>
      </c>
      <c r="Q71" s="306">
        <f t="shared" si="7"/>
        <v>28</v>
      </c>
      <c r="R71" s="307">
        <f t="shared" si="7"/>
        <v>24</v>
      </c>
      <c r="S71" s="307">
        <f t="shared" si="7"/>
        <v>0</v>
      </c>
      <c r="T71" s="307">
        <f t="shared" si="7"/>
        <v>4</v>
      </c>
      <c r="U71" s="308">
        <f t="shared" si="7"/>
        <v>0</v>
      </c>
      <c r="V71" s="306">
        <f t="shared" si="7"/>
        <v>22</v>
      </c>
      <c r="W71" s="307">
        <f t="shared" si="7"/>
        <v>12</v>
      </c>
      <c r="X71" s="307">
        <f t="shared" si="7"/>
        <v>0</v>
      </c>
      <c r="Y71" s="307">
        <f t="shared" si="7"/>
        <v>9</v>
      </c>
      <c r="Z71" s="309">
        <f t="shared" si="7"/>
        <v>1</v>
      </c>
    </row>
    <row r="72" spans="1:26" ht="14.25" x14ac:dyDescent="0.2">
      <c r="A72" s="323" t="s">
        <v>208</v>
      </c>
      <c r="B72" s="324">
        <v>43586</v>
      </c>
      <c r="C72" s="325">
        <v>2019</v>
      </c>
      <c r="D72" s="305">
        <f t="shared" si="6"/>
        <v>222792</v>
      </c>
      <c r="E72" s="305">
        <f t="shared" si="6"/>
        <v>2875</v>
      </c>
      <c r="F72" s="306">
        <f t="shared" si="6"/>
        <v>1992</v>
      </c>
      <c r="G72" s="307">
        <f t="shared" si="6"/>
        <v>1656</v>
      </c>
      <c r="H72" s="307">
        <f t="shared" si="6"/>
        <v>0</v>
      </c>
      <c r="I72" s="307">
        <f t="shared" si="6"/>
        <v>336</v>
      </c>
      <c r="J72" s="308">
        <f t="shared" si="6"/>
        <v>0</v>
      </c>
      <c r="K72" s="306">
        <f t="shared" si="6"/>
        <v>883</v>
      </c>
      <c r="L72" s="307">
        <f t="shared" si="6"/>
        <v>497</v>
      </c>
      <c r="M72" s="307">
        <f t="shared" si="6"/>
        <v>0</v>
      </c>
      <c r="N72" s="307">
        <f t="shared" si="7"/>
        <v>349</v>
      </c>
      <c r="O72" s="309">
        <f t="shared" si="7"/>
        <v>37</v>
      </c>
      <c r="P72" s="305">
        <f t="shared" si="7"/>
        <v>50</v>
      </c>
      <c r="Q72" s="306">
        <f t="shared" si="7"/>
        <v>28</v>
      </c>
      <c r="R72" s="307">
        <f t="shared" si="7"/>
        <v>24</v>
      </c>
      <c r="S72" s="307">
        <f t="shared" si="7"/>
        <v>0</v>
      </c>
      <c r="T72" s="307">
        <f t="shared" si="7"/>
        <v>4</v>
      </c>
      <c r="U72" s="308">
        <f t="shared" si="7"/>
        <v>0</v>
      </c>
      <c r="V72" s="306">
        <f t="shared" si="7"/>
        <v>22</v>
      </c>
      <c r="W72" s="307">
        <f t="shared" si="7"/>
        <v>12</v>
      </c>
      <c r="X72" s="307">
        <f t="shared" si="7"/>
        <v>0</v>
      </c>
      <c r="Y72" s="307">
        <f t="shared" si="7"/>
        <v>9</v>
      </c>
      <c r="Z72" s="309">
        <f t="shared" si="7"/>
        <v>1</v>
      </c>
    </row>
    <row r="73" spans="1:26" ht="14.25" x14ac:dyDescent="0.2">
      <c r="A73" s="323" t="s">
        <v>208</v>
      </c>
      <c r="B73" s="324">
        <v>43617</v>
      </c>
      <c r="C73" s="325">
        <v>2019</v>
      </c>
      <c r="D73" s="305">
        <f t="shared" si="6"/>
        <v>222792</v>
      </c>
      <c r="E73" s="305">
        <f t="shared" si="6"/>
        <v>2875</v>
      </c>
      <c r="F73" s="306">
        <f t="shared" si="6"/>
        <v>1992</v>
      </c>
      <c r="G73" s="307">
        <f t="shared" si="6"/>
        <v>1656</v>
      </c>
      <c r="H73" s="307">
        <f t="shared" si="6"/>
        <v>0</v>
      </c>
      <c r="I73" s="307">
        <f t="shared" si="6"/>
        <v>336</v>
      </c>
      <c r="J73" s="308">
        <f t="shared" si="6"/>
        <v>0</v>
      </c>
      <c r="K73" s="306">
        <f t="shared" si="6"/>
        <v>883</v>
      </c>
      <c r="L73" s="307">
        <f t="shared" si="6"/>
        <v>497</v>
      </c>
      <c r="M73" s="307">
        <f t="shared" si="6"/>
        <v>0</v>
      </c>
      <c r="N73" s="307">
        <f t="shared" si="7"/>
        <v>349</v>
      </c>
      <c r="O73" s="309">
        <f t="shared" si="7"/>
        <v>37</v>
      </c>
      <c r="P73" s="305">
        <f t="shared" si="7"/>
        <v>50</v>
      </c>
      <c r="Q73" s="306">
        <f t="shared" si="7"/>
        <v>28</v>
      </c>
      <c r="R73" s="307">
        <f t="shared" si="7"/>
        <v>24</v>
      </c>
      <c r="S73" s="307">
        <f t="shared" si="7"/>
        <v>0</v>
      </c>
      <c r="T73" s="307">
        <f t="shared" si="7"/>
        <v>4</v>
      </c>
      <c r="U73" s="308">
        <f t="shared" si="7"/>
        <v>0</v>
      </c>
      <c r="V73" s="306">
        <f t="shared" si="7"/>
        <v>22</v>
      </c>
      <c r="W73" s="307">
        <f t="shared" si="7"/>
        <v>12</v>
      </c>
      <c r="X73" s="307">
        <f t="shared" si="7"/>
        <v>0</v>
      </c>
      <c r="Y73" s="307">
        <f t="shared" si="7"/>
        <v>9</v>
      </c>
      <c r="Z73" s="309">
        <f t="shared" si="7"/>
        <v>1</v>
      </c>
    </row>
    <row r="74" spans="1:26" ht="14.25" x14ac:dyDescent="0.2">
      <c r="A74" s="323" t="s">
        <v>209</v>
      </c>
      <c r="B74" s="324">
        <v>43647</v>
      </c>
      <c r="C74" s="325">
        <v>2019</v>
      </c>
      <c r="D74" s="305">
        <f t="shared" ref="D74:M83" si="8">SUMIFS(D$5:D$40,$B$5:$B$40,$A74)</f>
        <v>219590</v>
      </c>
      <c r="E74" s="305">
        <f t="shared" si="8"/>
        <v>3149</v>
      </c>
      <c r="F74" s="306">
        <f t="shared" si="8"/>
        <v>2181</v>
      </c>
      <c r="G74" s="307">
        <f t="shared" si="8"/>
        <v>1844</v>
      </c>
      <c r="H74" s="307">
        <f t="shared" si="8"/>
        <v>0</v>
      </c>
      <c r="I74" s="307">
        <f t="shared" si="8"/>
        <v>337</v>
      </c>
      <c r="J74" s="308">
        <f t="shared" si="8"/>
        <v>0</v>
      </c>
      <c r="K74" s="306">
        <f t="shared" si="8"/>
        <v>968</v>
      </c>
      <c r="L74" s="307">
        <f t="shared" si="8"/>
        <v>644</v>
      </c>
      <c r="M74" s="307">
        <f t="shared" si="8"/>
        <v>0</v>
      </c>
      <c r="N74" s="307">
        <f t="shared" ref="N74:Z83" si="9">SUMIFS(N$5:N$40,$B$5:$B$40,$A74)</f>
        <v>306</v>
      </c>
      <c r="O74" s="309">
        <f t="shared" si="9"/>
        <v>18</v>
      </c>
      <c r="P74" s="305">
        <f t="shared" si="9"/>
        <v>51</v>
      </c>
      <c r="Q74" s="306">
        <f t="shared" si="9"/>
        <v>35</v>
      </c>
      <c r="R74" s="307">
        <f t="shared" si="9"/>
        <v>27</v>
      </c>
      <c r="S74" s="307">
        <f t="shared" si="9"/>
        <v>0</v>
      </c>
      <c r="T74" s="307">
        <f t="shared" si="9"/>
        <v>8</v>
      </c>
      <c r="U74" s="308">
        <f t="shared" si="9"/>
        <v>0</v>
      </c>
      <c r="V74" s="306">
        <f t="shared" si="9"/>
        <v>16</v>
      </c>
      <c r="W74" s="307">
        <f t="shared" si="9"/>
        <v>11</v>
      </c>
      <c r="X74" s="307">
        <f t="shared" si="9"/>
        <v>0</v>
      </c>
      <c r="Y74" s="307">
        <f t="shared" si="9"/>
        <v>5</v>
      </c>
      <c r="Z74" s="309">
        <f t="shared" si="9"/>
        <v>0</v>
      </c>
    </row>
    <row r="75" spans="1:26" ht="14.25" x14ac:dyDescent="0.2">
      <c r="A75" s="323" t="s">
        <v>209</v>
      </c>
      <c r="B75" s="324">
        <v>43678</v>
      </c>
      <c r="C75" s="325">
        <v>2019</v>
      </c>
      <c r="D75" s="305">
        <f t="shared" si="8"/>
        <v>219590</v>
      </c>
      <c r="E75" s="305">
        <f t="shared" si="8"/>
        <v>3149</v>
      </c>
      <c r="F75" s="306">
        <f t="shared" si="8"/>
        <v>2181</v>
      </c>
      <c r="G75" s="307">
        <f t="shared" si="8"/>
        <v>1844</v>
      </c>
      <c r="H75" s="307">
        <f t="shared" si="8"/>
        <v>0</v>
      </c>
      <c r="I75" s="307">
        <f t="shared" si="8"/>
        <v>337</v>
      </c>
      <c r="J75" s="308">
        <f t="shared" si="8"/>
        <v>0</v>
      </c>
      <c r="K75" s="306">
        <f t="shared" si="8"/>
        <v>968</v>
      </c>
      <c r="L75" s="307">
        <f t="shared" si="8"/>
        <v>644</v>
      </c>
      <c r="M75" s="307">
        <f t="shared" si="8"/>
        <v>0</v>
      </c>
      <c r="N75" s="307">
        <f t="shared" si="9"/>
        <v>306</v>
      </c>
      <c r="O75" s="309">
        <f t="shared" si="9"/>
        <v>18</v>
      </c>
      <c r="P75" s="305">
        <f t="shared" si="9"/>
        <v>51</v>
      </c>
      <c r="Q75" s="306">
        <f t="shared" si="9"/>
        <v>35</v>
      </c>
      <c r="R75" s="307">
        <f t="shared" si="9"/>
        <v>27</v>
      </c>
      <c r="S75" s="307">
        <f t="shared" si="9"/>
        <v>0</v>
      </c>
      <c r="T75" s="307">
        <f t="shared" si="9"/>
        <v>8</v>
      </c>
      <c r="U75" s="308">
        <f t="shared" si="9"/>
        <v>0</v>
      </c>
      <c r="V75" s="306">
        <f t="shared" si="9"/>
        <v>16</v>
      </c>
      <c r="W75" s="307">
        <f t="shared" si="9"/>
        <v>11</v>
      </c>
      <c r="X75" s="307">
        <f t="shared" si="9"/>
        <v>0</v>
      </c>
      <c r="Y75" s="307">
        <f t="shared" si="9"/>
        <v>5</v>
      </c>
      <c r="Z75" s="309">
        <f t="shared" si="9"/>
        <v>0</v>
      </c>
    </row>
    <row r="76" spans="1:26" ht="14.25" x14ac:dyDescent="0.2">
      <c r="A76" s="323" t="s">
        <v>209</v>
      </c>
      <c r="B76" s="324">
        <v>43709</v>
      </c>
      <c r="C76" s="325">
        <v>2019</v>
      </c>
      <c r="D76" s="305">
        <f t="shared" si="8"/>
        <v>219590</v>
      </c>
      <c r="E76" s="305">
        <f t="shared" si="8"/>
        <v>3149</v>
      </c>
      <c r="F76" s="306">
        <f t="shared" si="8"/>
        <v>2181</v>
      </c>
      <c r="G76" s="307">
        <f t="shared" si="8"/>
        <v>1844</v>
      </c>
      <c r="H76" s="307">
        <f t="shared" si="8"/>
        <v>0</v>
      </c>
      <c r="I76" s="307">
        <f t="shared" si="8"/>
        <v>337</v>
      </c>
      <c r="J76" s="308">
        <f t="shared" si="8"/>
        <v>0</v>
      </c>
      <c r="K76" s="306">
        <f t="shared" si="8"/>
        <v>968</v>
      </c>
      <c r="L76" s="307">
        <f t="shared" si="8"/>
        <v>644</v>
      </c>
      <c r="M76" s="307">
        <f t="shared" si="8"/>
        <v>0</v>
      </c>
      <c r="N76" s="307">
        <f t="shared" si="9"/>
        <v>306</v>
      </c>
      <c r="O76" s="309">
        <f t="shared" si="9"/>
        <v>18</v>
      </c>
      <c r="P76" s="305">
        <f t="shared" si="9"/>
        <v>51</v>
      </c>
      <c r="Q76" s="306">
        <f t="shared" si="9"/>
        <v>35</v>
      </c>
      <c r="R76" s="307">
        <f t="shared" si="9"/>
        <v>27</v>
      </c>
      <c r="S76" s="307">
        <f t="shared" si="9"/>
        <v>0</v>
      </c>
      <c r="T76" s="307">
        <f t="shared" si="9"/>
        <v>8</v>
      </c>
      <c r="U76" s="308">
        <f t="shared" si="9"/>
        <v>0</v>
      </c>
      <c r="V76" s="306">
        <f t="shared" si="9"/>
        <v>16</v>
      </c>
      <c r="W76" s="307">
        <f t="shared" si="9"/>
        <v>11</v>
      </c>
      <c r="X76" s="307">
        <f t="shared" si="9"/>
        <v>0</v>
      </c>
      <c r="Y76" s="307">
        <f t="shared" si="9"/>
        <v>5</v>
      </c>
      <c r="Z76" s="309">
        <f t="shared" si="9"/>
        <v>0</v>
      </c>
    </row>
    <row r="77" spans="1:26" ht="14.25" x14ac:dyDescent="0.2">
      <c r="A77" s="323" t="s">
        <v>210</v>
      </c>
      <c r="B77" s="324">
        <v>43739</v>
      </c>
      <c r="C77" s="325">
        <v>2019</v>
      </c>
      <c r="D77" s="305">
        <f t="shared" si="8"/>
        <v>184737</v>
      </c>
      <c r="E77" s="305">
        <f t="shared" si="8"/>
        <v>2278</v>
      </c>
      <c r="F77" s="306">
        <f t="shared" si="8"/>
        <v>1539</v>
      </c>
      <c r="G77" s="307">
        <f t="shared" si="8"/>
        <v>1194</v>
      </c>
      <c r="H77" s="307">
        <f t="shared" si="8"/>
        <v>0</v>
      </c>
      <c r="I77" s="307">
        <f t="shared" si="8"/>
        <v>345</v>
      </c>
      <c r="J77" s="308">
        <f t="shared" si="8"/>
        <v>0</v>
      </c>
      <c r="K77" s="306">
        <f t="shared" si="8"/>
        <v>739</v>
      </c>
      <c r="L77" s="307">
        <f t="shared" si="8"/>
        <v>442</v>
      </c>
      <c r="M77" s="307">
        <f t="shared" si="8"/>
        <v>0</v>
      </c>
      <c r="N77" s="307">
        <f t="shared" si="9"/>
        <v>284</v>
      </c>
      <c r="O77" s="309">
        <f t="shared" si="9"/>
        <v>13</v>
      </c>
      <c r="P77" s="305">
        <f t="shared" si="9"/>
        <v>40</v>
      </c>
      <c r="Q77" s="306">
        <f t="shared" si="9"/>
        <v>19</v>
      </c>
      <c r="R77" s="307">
        <f t="shared" si="9"/>
        <v>13</v>
      </c>
      <c r="S77" s="307">
        <f t="shared" si="9"/>
        <v>0</v>
      </c>
      <c r="T77" s="307">
        <f t="shared" si="9"/>
        <v>6</v>
      </c>
      <c r="U77" s="308">
        <f t="shared" si="9"/>
        <v>0</v>
      </c>
      <c r="V77" s="306">
        <f t="shared" si="9"/>
        <v>21</v>
      </c>
      <c r="W77" s="307">
        <f t="shared" si="9"/>
        <v>15</v>
      </c>
      <c r="X77" s="307">
        <f t="shared" si="9"/>
        <v>0</v>
      </c>
      <c r="Y77" s="307">
        <f t="shared" si="9"/>
        <v>5</v>
      </c>
      <c r="Z77" s="309">
        <f t="shared" si="9"/>
        <v>1</v>
      </c>
    </row>
    <row r="78" spans="1:26" ht="14.25" x14ac:dyDescent="0.2">
      <c r="A78" s="323" t="s">
        <v>210</v>
      </c>
      <c r="B78" s="324">
        <v>43770</v>
      </c>
      <c r="C78" s="325">
        <v>2019</v>
      </c>
      <c r="D78" s="305">
        <f t="shared" si="8"/>
        <v>184737</v>
      </c>
      <c r="E78" s="305">
        <f t="shared" si="8"/>
        <v>2278</v>
      </c>
      <c r="F78" s="306">
        <f t="shared" si="8"/>
        <v>1539</v>
      </c>
      <c r="G78" s="307">
        <f t="shared" si="8"/>
        <v>1194</v>
      </c>
      <c r="H78" s="307">
        <f t="shared" si="8"/>
        <v>0</v>
      </c>
      <c r="I78" s="307">
        <f t="shared" si="8"/>
        <v>345</v>
      </c>
      <c r="J78" s="308">
        <f t="shared" si="8"/>
        <v>0</v>
      </c>
      <c r="K78" s="306">
        <f t="shared" si="8"/>
        <v>739</v>
      </c>
      <c r="L78" s="307">
        <f t="shared" si="8"/>
        <v>442</v>
      </c>
      <c r="M78" s="307">
        <f t="shared" si="8"/>
        <v>0</v>
      </c>
      <c r="N78" s="307">
        <f t="shared" si="9"/>
        <v>284</v>
      </c>
      <c r="O78" s="309">
        <f t="shared" si="9"/>
        <v>13</v>
      </c>
      <c r="P78" s="305">
        <f t="shared" si="9"/>
        <v>40</v>
      </c>
      <c r="Q78" s="306">
        <f t="shared" si="9"/>
        <v>19</v>
      </c>
      <c r="R78" s="307">
        <f t="shared" si="9"/>
        <v>13</v>
      </c>
      <c r="S78" s="307">
        <f t="shared" si="9"/>
        <v>0</v>
      </c>
      <c r="T78" s="307">
        <f t="shared" si="9"/>
        <v>6</v>
      </c>
      <c r="U78" s="308">
        <f t="shared" si="9"/>
        <v>0</v>
      </c>
      <c r="V78" s="306">
        <f t="shared" si="9"/>
        <v>21</v>
      </c>
      <c r="W78" s="307">
        <f t="shared" si="9"/>
        <v>15</v>
      </c>
      <c r="X78" s="307">
        <f t="shared" si="9"/>
        <v>0</v>
      </c>
      <c r="Y78" s="307">
        <f t="shared" si="9"/>
        <v>5</v>
      </c>
      <c r="Z78" s="309">
        <f t="shared" si="9"/>
        <v>1</v>
      </c>
    </row>
    <row r="79" spans="1:26" ht="14.25" x14ac:dyDescent="0.2">
      <c r="A79" s="323" t="s">
        <v>210</v>
      </c>
      <c r="B79" s="324">
        <v>43800</v>
      </c>
      <c r="C79" s="325">
        <v>2019</v>
      </c>
      <c r="D79" s="305">
        <f t="shared" si="8"/>
        <v>184737</v>
      </c>
      <c r="E79" s="305">
        <f t="shared" si="8"/>
        <v>2278</v>
      </c>
      <c r="F79" s="306">
        <f t="shared" si="8"/>
        <v>1539</v>
      </c>
      <c r="G79" s="307">
        <f t="shared" si="8"/>
        <v>1194</v>
      </c>
      <c r="H79" s="307">
        <f t="shared" si="8"/>
        <v>0</v>
      </c>
      <c r="I79" s="307">
        <f t="shared" si="8"/>
        <v>345</v>
      </c>
      <c r="J79" s="308">
        <f t="shared" si="8"/>
        <v>0</v>
      </c>
      <c r="K79" s="306">
        <f t="shared" si="8"/>
        <v>739</v>
      </c>
      <c r="L79" s="307">
        <f t="shared" si="8"/>
        <v>442</v>
      </c>
      <c r="M79" s="307">
        <f t="shared" si="8"/>
        <v>0</v>
      </c>
      <c r="N79" s="307">
        <f t="shared" si="9"/>
        <v>284</v>
      </c>
      <c r="O79" s="309">
        <f t="shared" si="9"/>
        <v>13</v>
      </c>
      <c r="P79" s="305">
        <f t="shared" si="9"/>
        <v>40</v>
      </c>
      <c r="Q79" s="306">
        <f t="shared" si="9"/>
        <v>19</v>
      </c>
      <c r="R79" s="307">
        <f t="shared" si="9"/>
        <v>13</v>
      </c>
      <c r="S79" s="307">
        <f t="shared" si="9"/>
        <v>0</v>
      </c>
      <c r="T79" s="307">
        <f t="shared" si="9"/>
        <v>6</v>
      </c>
      <c r="U79" s="308">
        <f t="shared" si="9"/>
        <v>0</v>
      </c>
      <c r="V79" s="306">
        <f t="shared" si="9"/>
        <v>21</v>
      </c>
      <c r="W79" s="307">
        <f t="shared" si="9"/>
        <v>15</v>
      </c>
      <c r="X79" s="307">
        <f t="shared" si="9"/>
        <v>0</v>
      </c>
      <c r="Y79" s="307">
        <f t="shared" si="9"/>
        <v>5</v>
      </c>
      <c r="Z79" s="309">
        <f t="shared" si="9"/>
        <v>1</v>
      </c>
    </row>
    <row r="80" spans="1:26" ht="14.25" x14ac:dyDescent="0.2">
      <c r="A80" s="323" t="s">
        <v>211</v>
      </c>
      <c r="B80" s="324">
        <v>43831</v>
      </c>
      <c r="C80" s="325">
        <v>2020</v>
      </c>
      <c r="D80" s="305">
        <f t="shared" si="8"/>
        <v>139080</v>
      </c>
      <c r="E80" s="305">
        <f t="shared" si="8"/>
        <v>1712</v>
      </c>
      <c r="F80" s="306">
        <f t="shared" si="8"/>
        <v>1184</v>
      </c>
      <c r="G80" s="307">
        <f t="shared" si="8"/>
        <v>740</v>
      </c>
      <c r="H80" s="307">
        <f t="shared" si="8"/>
        <v>0</v>
      </c>
      <c r="I80" s="307">
        <f t="shared" si="8"/>
        <v>444</v>
      </c>
      <c r="J80" s="308">
        <f t="shared" si="8"/>
        <v>0</v>
      </c>
      <c r="K80" s="306">
        <f t="shared" si="8"/>
        <v>528</v>
      </c>
      <c r="L80" s="307">
        <f t="shared" si="8"/>
        <v>253</v>
      </c>
      <c r="M80" s="307">
        <f t="shared" si="8"/>
        <v>0</v>
      </c>
      <c r="N80" s="307">
        <f t="shared" si="9"/>
        <v>234</v>
      </c>
      <c r="O80" s="309">
        <f t="shared" si="9"/>
        <v>41</v>
      </c>
      <c r="P80" s="305">
        <f t="shared" si="9"/>
        <v>31</v>
      </c>
      <c r="Q80" s="306">
        <f t="shared" si="9"/>
        <v>16</v>
      </c>
      <c r="R80" s="307">
        <f t="shared" si="9"/>
        <v>10</v>
      </c>
      <c r="S80" s="307">
        <f t="shared" si="9"/>
        <v>0</v>
      </c>
      <c r="T80" s="307">
        <f t="shared" si="9"/>
        <v>6</v>
      </c>
      <c r="U80" s="308">
        <f t="shared" si="9"/>
        <v>0</v>
      </c>
      <c r="V80" s="306">
        <f t="shared" si="9"/>
        <v>15</v>
      </c>
      <c r="W80" s="307">
        <f t="shared" si="9"/>
        <v>6</v>
      </c>
      <c r="X80" s="307">
        <f t="shared" si="9"/>
        <v>0</v>
      </c>
      <c r="Y80" s="307">
        <f t="shared" si="9"/>
        <v>7</v>
      </c>
      <c r="Z80" s="309">
        <f t="shared" si="9"/>
        <v>2</v>
      </c>
    </row>
    <row r="81" spans="1:26" ht="14.25" x14ac:dyDescent="0.2">
      <c r="A81" s="323" t="s">
        <v>211</v>
      </c>
      <c r="B81" s="324">
        <v>43862</v>
      </c>
      <c r="C81" s="325">
        <v>2020</v>
      </c>
      <c r="D81" s="305">
        <f t="shared" si="8"/>
        <v>139080</v>
      </c>
      <c r="E81" s="305">
        <f t="shared" si="8"/>
        <v>1712</v>
      </c>
      <c r="F81" s="306">
        <f t="shared" si="8"/>
        <v>1184</v>
      </c>
      <c r="G81" s="307">
        <f t="shared" si="8"/>
        <v>740</v>
      </c>
      <c r="H81" s="307">
        <f t="shared" si="8"/>
        <v>0</v>
      </c>
      <c r="I81" s="307">
        <f t="shared" si="8"/>
        <v>444</v>
      </c>
      <c r="J81" s="308">
        <f t="shared" si="8"/>
        <v>0</v>
      </c>
      <c r="K81" s="306">
        <f t="shared" si="8"/>
        <v>528</v>
      </c>
      <c r="L81" s="307">
        <f t="shared" si="8"/>
        <v>253</v>
      </c>
      <c r="M81" s="307">
        <f t="shared" si="8"/>
        <v>0</v>
      </c>
      <c r="N81" s="307">
        <f t="shared" si="9"/>
        <v>234</v>
      </c>
      <c r="O81" s="309">
        <f t="shared" si="9"/>
        <v>41</v>
      </c>
      <c r="P81" s="305">
        <f t="shared" si="9"/>
        <v>31</v>
      </c>
      <c r="Q81" s="306">
        <f t="shared" si="9"/>
        <v>16</v>
      </c>
      <c r="R81" s="307">
        <f t="shared" si="9"/>
        <v>10</v>
      </c>
      <c r="S81" s="307">
        <f t="shared" si="9"/>
        <v>0</v>
      </c>
      <c r="T81" s="307">
        <f t="shared" si="9"/>
        <v>6</v>
      </c>
      <c r="U81" s="308">
        <f t="shared" si="9"/>
        <v>0</v>
      </c>
      <c r="V81" s="306">
        <f t="shared" si="9"/>
        <v>15</v>
      </c>
      <c r="W81" s="307">
        <f t="shared" si="9"/>
        <v>6</v>
      </c>
      <c r="X81" s="307">
        <f t="shared" si="9"/>
        <v>0</v>
      </c>
      <c r="Y81" s="307">
        <f t="shared" si="9"/>
        <v>7</v>
      </c>
      <c r="Z81" s="309">
        <f t="shared" si="9"/>
        <v>2</v>
      </c>
    </row>
    <row r="82" spans="1:26" ht="14.25" x14ac:dyDescent="0.2">
      <c r="A82" s="323" t="s">
        <v>211</v>
      </c>
      <c r="B82" s="324">
        <v>43891</v>
      </c>
      <c r="C82" s="325">
        <v>2020</v>
      </c>
      <c r="D82" s="305">
        <f t="shared" si="8"/>
        <v>139080</v>
      </c>
      <c r="E82" s="305">
        <f t="shared" si="8"/>
        <v>1712</v>
      </c>
      <c r="F82" s="306">
        <f t="shared" si="8"/>
        <v>1184</v>
      </c>
      <c r="G82" s="307">
        <f t="shared" si="8"/>
        <v>740</v>
      </c>
      <c r="H82" s="307">
        <f t="shared" si="8"/>
        <v>0</v>
      </c>
      <c r="I82" s="307">
        <f t="shared" si="8"/>
        <v>444</v>
      </c>
      <c r="J82" s="308">
        <f t="shared" si="8"/>
        <v>0</v>
      </c>
      <c r="K82" s="306">
        <f t="shared" si="8"/>
        <v>528</v>
      </c>
      <c r="L82" s="307">
        <f t="shared" si="8"/>
        <v>253</v>
      </c>
      <c r="M82" s="307">
        <f t="shared" si="8"/>
        <v>0</v>
      </c>
      <c r="N82" s="307">
        <f t="shared" si="9"/>
        <v>234</v>
      </c>
      <c r="O82" s="309">
        <f t="shared" si="9"/>
        <v>41</v>
      </c>
      <c r="P82" s="305">
        <f t="shared" si="9"/>
        <v>31</v>
      </c>
      <c r="Q82" s="306">
        <f t="shared" si="9"/>
        <v>16</v>
      </c>
      <c r="R82" s="307">
        <f t="shared" si="9"/>
        <v>10</v>
      </c>
      <c r="S82" s="307">
        <f t="shared" si="9"/>
        <v>0</v>
      </c>
      <c r="T82" s="307">
        <f t="shared" si="9"/>
        <v>6</v>
      </c>
      <c r="U82" s="308">
        <f t="shared" si="9"/>
        <v>0</v>
      </c>
      <c r="V82" s="306">
        <f t="shared" si="9"/>
        <v>15</v>
      </c>
      <c r="W82" s="307">
        <f t="shared" si="9"/>
        <v>6</v>
      </c>
      <c r="X82" s="307">
        <f t="shared" si="9"/>
        <v>0</v>
      </c>
      <c r="Y82" s="307">
        <f t="shared" si="9"/>
        <v>7</v>
      </c>
      <c r="Z82" s="309">
        <f t="shared" si="9"/>
        <v>2</v>
      </c>
    </row>
    <row r="83" spans="1:26" ht="14.25" x14ac:dyDescent="0.2">
      <c r="A83" s="323" t="s">
        <v>212</v>
      </c>
      <c r="B83" s="324">
        <v>43922</v>
      </c>
      <c r="C83" s="325">
        <v>2020</v>
      </c>
      <c r="D83" s="305">
        <f t="shared" si="8"/>
        <v>109197</v>
      </c>
      <c r="E83" s="305">
        <f t="shared" si="8"/>
        <v>1761</v>
      </c>
      <c r="F83" s="306">
        <f t="shared" si="8"/>
        <v>1337</v>
      </c>
      <c r="G83" s="307">
        <f t="shared" si="8"/>
        <v>1122</v>
      </c>
      <c r="H83" s="307">
        <f t="shared" si="8"/>
        <v>0</v>
      </c>
      <c r="I83" s="307">
        <f t="shared" si="8"/>
        <v>215</v>
      </c>
      <c r="J83" s="308">
        <f t="shared" si="8"/>
        <v>0</v>
      </c>
      <c r="K83" s="306">
        <f t="shared" si="8"/>
        <v>424</v>
      </c>
      <c r="L83" s="307">
        <f t="shared" si="8"/>
        <v>210</v>
      </c>
      <c r="M83" s="307">
        <f t="shared" si="8"/>
        <v>0</v>
      </c>
      <c r="N83" s="307">
        <f t="shared" si="9"/>
        <v>192</v>
      </c>
      <c r="O83" s="309">
        <f t="shared" si="9"/>
        <v>22</v>
      </c>
      <c r="P83" s="305">
        <f t="shared" si="9"/>
        <v>34</v>
      </c>
      <c r="Q83" s="306">
        <f t="shared" si="9"/>
        <v>20</v>
      </c>
      <c r="R83" s="307">
        <f t="shared" si="9"/>
        <v>17</v>
      </c>
      <c r="S83" s="307">
        <f t="shared" si="9"/>
        <v>0</v>
      </c>
      <c r="T83" s="307">
        <f t="shared" si="9"/>
        <v>3</v>
      </c>
      <c r="U83" s="308">
        <f t="shared" si="9"/>
        <v>0</v>
      </c>
      <c r="V83" s="306">
        <f t="shared" si="9"/>
        <v>14</v>
      </c>
      <c r="W83" s="307">
        <f t="shared" si="9"/>
        <v>9</v>
      </c>
      <c r="X83" s="307">
        <f t="shared" si="9"/>
        <v>0</v>
      </c>
      <c r="Y83" s="307">
        <f t="shared" si="9"/>
        <v>5</v>
      </c>
      <c r="Z83" s="309">
        <f t="shared" si="9"/>
        <v>0</v>
      </c>
    </row>
    <row r="84" spans="1:26" ht="14.25" x14ac:dyDescent="0.2">
      <c r="A84" s="323" t="s">
        <v>212</v>
      </c>
      <c r="B84" s="324">
        <v>43952</v>
      </c>
      <c r="C84" s="325">
        <v>2020</v>
      </c>
      <c r="D84" s="305">
        <f t="shared" ref="D84:M93" si="10">SUMIFS(D$5:D$40,$B$5:$B$40,$A84)</f>
        <v>109197</v>
      </c>
      <c r="E84" s="305">
        <f t="shared" si="10"/>
        <v>1761</v>
      </c>
      <c r="F84" s="306">
        <f t="shared" si="10"/>
        <v>1337</v>
      </c>
      <c r="G84" s="307">
        <f t="shared" si="10"/>
        <v>1122</v>
      </c>
      <c r="H84" s="307">
        <f t="shared" si="10"/>
        <v>0</v>
      </c>
      <c r="I84" s="307">
        <f t="shared" si="10"/>
        <v>215</v>
      </c>
      <c r="J84" s="308">
        <f t="shared" si="10"/>
        <v>0</v>
      </c>
      <c r="K84" s="306">
        <f t="shared" si="10"/>
        <v>424</v>
      </c>
      <c r="L84" s="307">
        <f t="shared" si="10"/>
        <v>210</v>
      </c>
      <c r="M84" s="307">
        <f t="shared" si="10"/>
        <v>0</v>
      </c>
      <c r="N84" s="307">
        <f t="shared" ref="N84:Z93" si="11">SUMIFS(N$5:N$40,$B$5:$B$40,$A84)</f>
        <v>192</v>
      </c>
      <c r="O84" s="309">
        <f t="shared" si="11"/>
        <v>22</v>
      </c>
      <c r="P84" s="305">
        <f t="shared" si="11"/>
        <v>34</v>
      </c>
      <c r="Q84" s="306">
        <f t="shared" si="11"/>
        <v>20</v>
      </c>
      <c r="R84" s="307">
        <f t="shared" si="11"/>
        <v>17</v>
      </c>
      <c r="S84" s="307">
        <f t="shared" si="11"/>
        <v>0</v>
      </c>
      <c r="T84" s="307">
        <f t="shared" si="11"/>
        <v>3</v>
      </c>
      <c r="U84" s="308">
        <f t="shared" si="11"/>
        <v>0</v>
      </c>
      <c r="V84" s="306">
        <f t="shared" si="11"/>
        <v>14</v>
      </c>
      <c r="W84" s="307">
        <f t="shared" si="11"/>
        <v>9</v>
      </c>
      <c r="X84" s="307">
        <f t="shared" si="11"/>
        <v>0</v>
      </c>
      <c r="Y84" s="307">
        <f t="shared" si="11"/>
        <v>5</v>
      </c>
      <c r="Z84" s="309">
        <f t="shared" si="11"/>
        <v>0</v>
      </c>
    </row>
    <row r="85" spans="1:26" ht="14.25" x14ac:dyDescent="0.2">
      <c r="A85" s="323" t="s">
        <v>212</v>
      </c>
      <c r="B85" s="324">
        <v>43983</v>
      </c>
      <c r="C85" s="325">
        <v>2020</v>
      </c>
      <c r="D85" s="305">
        <f t="shared" si="10"/>
        <v>109197</v>
      </c>
      <c r="E85" s="305">
        <f t="shared" si="10"/>
        <v>1761</v>
      </c>
      <c r="F85" s="306">
        <f t="shared" si="10"/>
        <v>1337</v>
      </c>
      <c r="G85" s="307">
        <f t="shared" si="10"/>
        <v>1122</v>
      </c>
      <c r="H85" s="307">
        <f t="shared" si="10"/>
        <v>0</v>
      </c>
      <c r="I85" s="307">
        <f t="shared" si="10"/>
        <v>215</v>
      </c>
      <c r="J85" s="308">
        <f t="shared" si="10"/>
        <v>0</v>
      </c>
      <c r="K85" s="306">
        <f t="shared" si="10"/>
        <v>424</v>
      </c>
      <c r="L85" s="307">
        <f t="shared" si="10"/>
        <v>210</v>
      </c>
      <c r="M85" s="307">
        <f t="shared" si="10"/>
        <v>0</v>
      </c>
      <c r="N85" s="307">
        <f t="shared" si="11"/>
        <v>192</v>
      </c>
      <c r="O85" s="309">
        <f t="shared" si="11"/>
        <v>22</v>
      </c>
      <c r="P85" s="305">
        <f t="shared" si="11"/>
        <v>34</v>
      </c>
      <c r="Q85" s="306">
        <f t="shared" si="11"/>
        <v>20</v>
      </c>
      <c r="R85" s="307">
        <f t="shared" si="11"/>
        <v>17</v>
      </c>
      <c r="S85" s="307">
        <f t="shared" si="11"/>
        <v>0</v>
      </c>
      <c r="T85" s="307">
        <f t="shared" si="11"/>
        <v>3</v>
      </c>
      <c r="U85" s="308">
        <f t="shared" si="11"/>
        <v>0</v>
      </c>
      <c r="V85" s="306">
        <f t="shared" si="11"/>
        <v>14</v>
      </c>
      <c r="W85" s="307">
        <f t="shared" si="11"/>
        <v>9</v>
      </c>
      <c r="X85" s="307">
        <f t="shared" si="11"/>
        <v>0</v>
      </c>
      <c r="Y85" s="307">
        <f t="shared" si="11"/>
        <v>5</v>
      </c>
      <c r="Z85" s="309">
        <f t="shared" si="11"/>
        <v>0</v>
      </c>
    </row>
    <row r="86" spans="1:26" ht="14.25" x14ac:dyDescent="0.2">
      <c r="A86" s="323" t="s">
        <v>213</v>
      </c>
      <c r="B86" s="324">
        <v>44013</v>
      </c>
      <c r="C86" s="325">
        <v>2020</v>
      </c>
      <c r="D86" s="305">
        <f t="shared" si="10"/>
        <v>198406</v>
      </c>
      <c r="E86" s="305">
        <f t="shared" si="10"/>
        <v>3568</v>
      </c>
      <c r="F86" s="306">
        <f t="shared" si="10"/>
        <v>2807</v>
      </c>
      <c r="G86" s="307">
        <f t="shared" si="10"/>
        <v>1479</v>
      </c>
      <c r="H86" s="307">
        <f t="shared" si="10"/>
        <v>0</v>
      </c>
      <c r="I86" s="307">
        <f t="shared" si="10"/>
        <v>1328</v>
      </c>
      <c r="J86" s="308">
        <f t="shared" si="10"/>
        <v>0</v>
      </c>
      <c r="K86" s="306">
        <f t="shared" si="10"/>
        <v>761</v>
      </c>
      <c r="L86" s="307">
        <f t="shared" si="10"/>
        <v>324</v>
      </c>
      <c r="M86" s="307">
        <f t="shared" si="10"/>
        <v>0</v>
      </c>
      <c r="N86" s="307">
        <f t="shared" si="11"/>
        <v>405</v>
      </c>
      <c r="O86" s="309">
        <f t="shared" si="11"/>
        <v>32</v>
      </c>
      <c r="P86" s="305">
        <f t="shared" si="11"/>
        <v>75</v>
      </c>
      <c r="Q86" s="306">
        <f t="shared" si="11"/>
        <v>57</v>
      </c>
      <c r="R86" s="307">
        <f t="shared" si="11"/>
        <v>32</v>
      </c>
      <c r="S86" s="307">
        <f t="shared" si="11"/>
        <v>0</v>
      </c>
      <c r="T86" s="307">
        <f t="shared" si="11"/>
        <v>25</v>
      </c>
      <c r="U86" s="308">
        <f t="shared" si="11"/>
        <v>0</v>
      </c>
      <c r="V86" s="306">
        <f t="shared" si="11"/>
        <v>18</v>
      </c>
      <c r="W86" s="307">
        <f t="shared" si="11"/>
        <v>10</v>
      </c>
      <c r="X86" s="307">
        <f t="shared" si="11"/>
        <v>0</v>
      </c>
      <c r="Y86" s="307">
        <f t="shared" si="11"/>
        <v>8</v>
      </c>
      <c r="Z86" s="309">
        <f t="shared" si="11"/>
        <v>0</v>
      </c>
    </row>
    <row r="87" spans="1:26" ht="14.25" x14ac:dyDescent="0.2">
      <c r="A87" s="323" t="s">
        <v>213</v>
      </c>
      <c r="B87" s="324">
        <v>44044</v>
      </c>
      <c r="C87" s="325">
        <v>2020</v>
      </c>
      <c r="D87" s="305">
        <f t="shared" si="10"/>
        <v>198406</v>
      </c>
      <c r="E87" s="305">
        <f t="shared" si="10"/>
        <v>3568</v>
      </c>
      <c r="F87" s="306">
        <f t="shared" si="10"/>
        <v>2807</v>
      </c>
      <c r="G87" s="307">
        <f t="shared" si="10"/>
        <v>1479</v>
      </c>
      <c r="H87" s="307">
        <f t="shared" si="10"/>
        <v>0</v>
      </c>
      <c r="I87" s="307">
        <f t="shared" si="10"/>
        <v>1328</v>
      </c>
      <c r="J87" s="308">
        <f t="shared" si="10"/>
        <v>0</v>
      </c>
      <c r="K87" s="306">
        <f t="shared" si="10"/>
        <v>761</v>
      </c>
      <c r="L87" s="307">
        <f t="shared" si="10"/>
        <v>324</v>
      </c>
      <c r="M87" s="307">
        <f t="shared" si="10"/>
        <v>0</v>
      </c>
      <c r="N87" s="307">
        <f t="shared" si="11"/>
        <v>405</v>
      </c>
      <c r="O87" s="309">
        <f t="shared" si="11"/>
        <v>32</v>
      </c>
      <c r="P87" s="305">
        <f t="shared" si="11"/>
        <v>75</v>
      </c>
      <c r="Q87" s="306">
        <f t="shared" si="11"/>
        <v>57</v>
      </c>
      <c r="R87" s="307">
        <f t="shared" si="11"/>
        <v>32</v>
      </c>
      <c r="S87" s="307">
        <f t="shared" si="11"/>
        <v>0</v>
      </c>
      <c r="T87" s="307">
        <f t="shared" si="11"/>
        <v>25</v>
      </c>
      <c r="U87" s="308">
        <f t="shared" si="11"/>
        <v>0</v>
      </c>
      <c r="V87" s="306">
        <f t="shared" si="11"/>
        <v>18</v>
      </c>
      <c r="W87" s="307">
        <f t="shared" si="11"/>
        <v>10</v>
      </c>
      <c r="X87" s="307">
        <f t="shared" si="11"/>
        <v>0</v>
      </c>
      <c r="Y87" s="307">
        <f t="shared" si="11"/>
        <v>8</v>
      </c>
      <c r="Z87" s="309">
        <f t="shared" si="11"/>
        <v>0</v>
      </c>
    </row>
    <row r="88" spans="1:26" ht="14.25" x14ac:dyDescent="0.2">
      <c r="A88" s="323" t="s">
        <v>213</v>
      </c>
      <c r="B88" s="324">
        <v>44075</v>
      </c>
      <c r="C88" s="325">
        <v>2020</v>
      </c>
      <c r="D88" s="305">
        <f t="shared" si="10"/>
        <v>198406</v>
      </c>
      <c r="E88" s="305">
        <f t="shared" si="10"/>
        <v>3568</v>
      </c>
      <c r="F88" s="306">
        <f t="shared" si="10"/>
        <v>2807</v>
      </c>
      <c r="G88" s="307">
        <f t="shared" si="10"/>
        <v>1479</v>
      </c>
      <c r="H88" s="307">
        <f t="shared" si="10"/>
        <v>0</v>
      </c>
      <c r="I88" s="307">
        <f t="shared" si="10"/>
        <v>1328</v>
      </c>
      <c r="J88" s="308">
        <f t="shared" si="10"/>
        <v>0</v>
      </c>
      <c r="K88" s="306">
        <f t="shared" si="10"/>
        <v>761</v>
      </c>
      <c r="L88" s="307">
        <f t="shared" si="10"/>
        <v>324</v>
      </c>
      <c r="M88" s="307">
        <f t="shared" si="10"/>
        <v>0</v>
      </c>
      <c r="N88" s="307">
        <f t="shared" si="11"/>
        <v>405</v>
      </c>
      <c r="O88" s="309">
        <f t="shared" si="11"/>
        <v>32</v>
      </c>
      <c r="P88" s="305">
        <f t="shared" si="11"/>
        <v>75</v>
      </c>
      <c r="Q88" s="306">
        <f t="shared" si="11"/>
        <v>57</v>
      </c>
      <c r="R88" s="307">
        <f t="shared" si="11"/>
        <v>32</v>
      </c>
      <c r="S88" s="307">
        <f t="shared" si="11"/>
        <v>0</v>
      </c>
      <c r="T88" s="307">
        <f t="shared" si="11"/>
        <v>25</v>
      </c>
      <c r="U88" s="308">
        <f t="shared" si="11"/>
        <v>0</v>
      </c>
      <c r="V88" s="306">
        <f t="shared" si="11"/>
        <v>18</v>
      </c>
      <c r="W88" s="307">
        <f t="shared" si="11"/>
        <v>10</v>
      </c>
      <c r="X88" s="307">
        <f t="shared" si="11"/>
        <v>0</v>
      </c>
      <c r="Y88" s="307">
        <f t="shared" si="11"/>
        <v>8</v>
      </c>
      <c r="Z88" s="309">
        <f t="shared" si="11"/>
        <v>0</v>
      </c>
    </row>
    <row r="89" spans="1:26" ht="14.25" x14ac:dyDescent="0.2">
      <c r="A89" s="323" t="s">
        <v>214</v>
      </c>
      <c r="B89" s="324">
        <v>44105</v>
      </c>
      <c r="C89" s="325">
        <v>2020</v>
      </c>
      <c r="D89" s="305">
        <f t="shared" si="10"/>
        <v>153874</v>
      </c>
      <c r="E89" s="305">
        <f t="shared" si="10"/>
        <v>3476</v>
      </c>
      <c r="F89" s="306">
        <f t="shared" si="10"/>
        <v>2833</v>
      </c>
      <c r="G89" s="307">
        <f t="shared" si="10"/>
        <v>1358</v>
      </c>
      <c r="H89" s="307">
        <f t="shared" si="10"/>
        <v>0</v>
      </c>
      <c r="I89" s="307">
        <f t="shared" si="10"/>
        <v>1475</v>
      </c>
      <c r="J89" s="308">
        <f t="shared" si="10"/>
        <v>0</v>
      </c>
      <c r="K89" s="306">
        <f t="shared" si="10"/>
        <v>643</v>
      </c>
      <c r="L89" s="307">
        <f t="shared" si="10"/>
        <v>219</v>
      </c>
      <c r="M89" s="307">
        <f t="shared" si="10"/>
        <v>0</v>
      </c>
      <c r="N89" s="307">
        <f t="shared" si="11"/>
        <v>384</v>
      </c>
      <c r="O89" s="309">
        <f t="shared" si="11"/>
        <v>40</v>
      </c>
      <c r="P89" s="305">
        <f t="shared" si="11"/>
        <v>68</v>
      </c>
      <c r="Q89" s="306">
        <f t="shared" si="11"/>
        <v>46</v>
      </c>
      <c r="R89" s="307">
        <f t="shared" si="11"/>
        <v>24</v>
      </c>
      <c r="S89" s="307">
        <f t="shared" si="11"/>
        <v>0</v>
      </c>
      <c r="T89" s="307">
        <f t="shared" si="11"/>
        <v>22</v>
      </c>
      <c r="U89" s="308">
        <f t="shared" si="11"/>
        <v>0</v>
      </c>
      <c r="V89" s="306">
        <f t="shared" si="11"/>
        <v>22</v>
      </c>
      <c r="W89" s="307">
        <f t="shared" si="11"/>
        <v>10</v>
      </c>
      <c r="X89" s="307">
        <f t="shared" si="11"/>
        <v>0</v>
      </c>
      <c r="Y89" s="307">
        <f t="shared" si="11"/>
        <v>11</v>
      </c>
      <c r="Z89" s="309">
        <f t="shared" si="11"/>
        <v>1</v>
      </c>
    </row>
    <row r="90" spans="1:26" ht="14.25" x14ac:dyDescent="0.2">
      <c r="A90" s="323" t="s">
        <v>214</v>
      </c>
      <c r="B90" s="324">
        <v>44136</v>
      </c>
      <c r="C90" s="325">
        <v>2020</v>
      </c>
      <c r="D90" s="305">
        <f t="shared" si="10"/>
        <v>153874</v>
      </c>
      <c r="E90" s="305">
        <f t="shared" si="10"/>
        <v>3476</v>
      </c>
      <c r="F90" s="306">
        <f t="shared" si="10"/>
        <v>2833</v>
      </c>
      <c r="G90" s="307">
        <f t="shared" si="10"/>
        <v>1358</v>
      </c>
      <c r="H90" s="307">
        <f t="shared" si="10"/>
        <v>0</v>
      </c>
      <c r="I90" s="307">
        <f t="shared" si="10"/>
        <v>1475</v>
      </c>
      <c r="J90" s="308">
        <f t="shared" si="10"/>
        <v>0</v>
      </c>
      <c r="K90" s="306">
        <f t="shared" si="10"/>
        <v>643</v>
      </c>
      <c r="L90" s="307">
        <f t="shared" si="10"/>
        <v>219</v>
      </c>
      <c r="M90" s="307">
        <f t="shared" si="10"/>
        <v>0</v>
      </c>
      <c r="N90" s="307">
        <f t="shared" si="11"/>
        <v>384</v>
      </c>
      <c r="O90" s="309">
        <f t="shared" si="11"/>
        <v>40</v>
      </c>
      <c r="P90" s="305">
        <f t="shared" si="11"/>
        <v>68</v>
      </c>
      <c r="Q90" s="306">
        <f t="shared" si="11"/>
        <v>46</v>
      </c>
      <c r="R90" s="307">
        <f t="shared" si="11"/>
        <v>24</v>
      </c>
      <c r="S90" s="307">
        <f t="shared" si="11"/>
        <v>0</v>
      </c>
      <c r="T90" s="307">
        <f t="shared" si="11"/>
        <v>22</v>
      </c>
      <c r="U90" s="308">
        <f t="shared" si="11"/>
        <v>0</v>
      </c>
      <c r="V90" s="306">
        <f t="shared" si="11"/>
        <v>22</v>
      </c>
      <c r="W90" s="307">
        <f t="shared" si="11"/>
        <v>10</v>
      </c>
      <c r="X90" s="307">
        <f t="shared" si="11"/>
        <v>0</v>
      </c>
      <c r="Y90" s="307">
        <f t="shared" si="11"/>
        <v>11</v>
      </c>
      <c r="Z90" s="309">
        <f t="shared" si="11"/>
        <v>1</v>
      </c>
    </row>
    <row r="91" spans="1:26" ht="14.25" x14ac:dyDescent="0.2">
      <c r="A91" s="323" t="s">
        <v>214</v>
      </c>
      <c r="B91" s="324">
        <v>44166</v>
      </c>
      <c r="C91" s="325">
        <v>2020</v>
      </c>
      <c r="D91" s="305">
        <f t="shared" si="10"/>
        <v>153874</v>
      </c>
      <c r="E91" s="305">
        <f t="shared" si="10"/>
        <v>3476</v>
      </c>
      <c r="F91" s="306">
        <f t="shared" si="10"/>
        <v>2833</v>
      </c>
      <c r="G91" s="307">
        <f t="shared" si="10"/>
        <v>1358</v>
      </c>
      <c r="H91" s="307">
        <f t="shared" si="10"/>
        <v>0</v>
      </c>
      <c r="I91" s="307">
        <f t="shared" si="10"/>
        <v>1475</v>
      </c>
      <c r="J91" s="308">
        <f t="shared" si="10"/>
        <v>0</v>
      </c>
      <c r="K91" s="306">
        <f t="shared" si="10"/>
        <v>643</v>
      </c>
      <c r="L91" s="307">
        <f t="shared" si="10"/>
        <v>219</v>
      </c>
      <c r="M91" s="307">
        <f t="shared" si="10"/>
        <v>0</v>
      </c>
      <c r="N91" s="307">
        <f t="shared" si="11"/>
        <v>384</v>
      </c>
      <c r="O91" s="309">
        <f t="shared" si="11"/>
        <v>40</v>
      </c>
      <c r="P91" s="305">
        <f t="shared" si="11"/>
        <v>68</v>
      </c>
      <c r="Q91" s="306">
        <f t="shared" si="11"/>
        <v>46</v>
      </c>
      <c r="R91" s="307">
        <f t="shared" si="11"/>
        <v>24</v>
      </c>
      <c r="S91" s="307">
        <f t="shared" si="11"/>
        <v>0</v>
      </c>
      <c r="T91" s="307">
        <f t="shared" si="11"/>
        <v>22</v>
      </c>
      <c r="U91" s="308">
        <f t="shared" si="11"/>
        <v>0</v>
      </c>
      <c r="V91" s="306">
        <f t="shared" si="11"/>
        <v>22</v>
      </c>
      <c r="W91" s="307">
        <f t="shared" si="11"/>
        <v>10</v>
      </c>
      <c r="X91" s="307">
        <f t="shared" si="11"/>
        <v>0</v>
      </c>
      <c r="Y91" s="307">
        <f t="shared" si="11"/>
        <v>11</v>
      </c>
      <c r="Z91" s="309">
        <f t="shared" si="11"/>
        <v>1</v>
      </c>
    </row>
    <row r="92" spans="1:26" ht="14.25" x14ac:dyDescent="0.2">
      <c r="A92" s="323" t="s">
        <v>215</v>
      </c>
      <c r="B92" s="324">
        <v>44197</v>
      </c>
      <c r="C92" s="325">
        <v>2021</v>
      </c>
      <c r="D92" s="305">
        <f t="shared" si="10"/>
        <v>141819</v>
      </c>
      <c r="E92" s="305">
        <f t="shared" si="10"/>
        <v>3362</v>
      </c>
      <c r="F92" s="306">
        <f t="shared" si="10"/>
        <v>2600</v>
      </c>
      <c r="G92" s="307">
        <f t="shared" si="10"/>
        <v>1018</v>
      </c>
      <c r="H92" s="307">
        <f t="shared" si="10"/>
        <v>0</v>
      </c>
      <c r="I92" s="307">
        <f t="shared" si="10"/>
        <v>1582</v>
      </c>
      <c r="J92" s="308">
        <f t="shared" si="10"/>
        <v>0</v>
      </c>
      <c r="K92" s="306">
        <f t="shared" si="10"/>
        <v>762</v>
      </c>
      <c r="L92" s="307">
        <f t="shared" si="10"/>
        <v>183</v>
      </c>
      <c r="M92" s="307">
        <f t="shared" si="10"/>
        <v>0</v>
      </c>
      <c r="N92" s="307">
        <f t="shared" si="11"/>
        <v>512</v>
      </c>
      <c r="O92" s="309">
        <f t="shared" si="11"/>
        <v>67</v>
      </c>
      <c r="P92" s="305">
        <f t="shared" si="11"/>
        <v>64</v>
      </c>
      <c r="Q92" s="306">
        <f t="shared" si="11"/>
        <v>45</v>
      </c>
      <c r="R92" s="307">
        <f t="shared" si="11"/>
        <v>20</v>
      </c>
      <c r="S92" s="307">
        <f t="shared" si="11"/>
        <v>0</v>
      </c>
      <c r="T92" s="307">
        <f t="shared" si="11"/>
        <v>25</v>
      </c>
      <c r="U92" s="308">
        <f t="shared" si="11"/>
        <v>0</v>
      </c>
      <c r="V92" s="306">
        <f t="shared" si="11"/>
        <v>19</v>
      </c>
      <c r="W92" s="307">
        <f t="shared" si="11"/>
        <v>4</v>
      </c>
      <c r="X92" s="307">
        <f t="shared" si="11"/>
        <v>0</v>
      </c>
      <c r="Y92" s="307">
        <f t="shared" si="11"/>
        <v>15</v>
      </c>
      <c r="Z92" s="309">
        <f t="shared" si="11"/>
        <v>0</v>
      </c>
    </row>
    <row r="93" spans="1:26" ht="14.25" x14ac:dyDescent="0.2">
      <c r="A93" s="323" t="s">
        <v>215</v>
      </c>
      <c r="B93" s="324">
        <v>44228</v>
      </c>
      <c r="C93" s="325">
        <v>2021</v>
      </c>
      <c r="D93" s="305">
        <f t="shared" si="10"/>
        <v>141819</v>
      </c>
      <c r="E93" s="305">
        <f t="shared" si="10"/>
        <v>3362</v>
      </c>
      <c r="F93" s="306">
        <f t="shared" si="10"/>
        <v>2600</v>
      </c>
      <c r="G93" s="307">
        <f t="shared" si="10"/>
        <v>1018</v>
      </c>
      <c r="H93" s="307">
        <f t="shared" si="10"/>
        <v>0</v>
      </c>
      <c r="I93" s="307">
        <f t="shared" si="10"/>
        <v>1582</v>
      </c>
      <c r="J93" s="308">
        <f t="shared" si="10"/>
        <v>0</v>
      </c>
      <c r="K93" s="306">
        <f t="shared" si="10"/>
        <v>762</v>
      </c>
      <c r="L93" s="307">
        <f t="shared" si="10"/>
        <v>183</v>
      </c>
      <c r="M93" s="307">
        <f t="shared" si="10"/>
        <v>0</v>
      </c>
      <c r="N93" s="307">
        <f t="shared" si="11"/>
        <v>512</v>
      </c>
      <c r="O93" s="309">
        <f t="shared" si="11"/>
        <v>67</v>
      </c>
      <c r="P93" s="305">
        <f t="shared" si="11"/>
        <v>64</v>
      </c>
      <c r="Q93" s="306">
        <f t="shared" si="11"/>
        <v>45</v>
      </c>
      <c r="R93" s="307">
        <f t="shared" si="11"/>
        <v>20</v>
      </c>
      <c r="S93" s="307">
        <f t="shared" si="11"/>
        <v>0</v>
      </c>
      <c r="T93" s="307">
        <f t="shared" si="11"/>
        <v>25</v>
      </c>
      <c r="U93" s="308">
        <f t="shared" si="11"/>
        <v>0</v>
      </c>
      <c r="V93" s="306">
        <f t="shared" si="11"/>
        <v>19</v>
      </c>
      <c r="W93" s="307">
        <f t="shared" si="11"/>
        <v>4</v>
      </c>
      <c r="X93" s="307">
        <f t="shared" si="11"/>
        <v>0</v>
      </c>
      <c r="Y93" s="307">
        <f t="shared" si="11"/>
        <v>15</v>
      </c>
      <c r="Z93" s="309">
        <f t="shared" si="11"/>
        <v>0</v>
      </c>
    </row>
    <row r="94" spans="1:26" ht="14.25" x14ac:dyDescent="0.2">
      <c r="A94" s="323" t="s">
        <v>215</v>
      </c>
      <c r="B94" s="324">
        <v>44256</v>
      </c>
      <c r="C94" s="325">
        <v>2021</v>
      </c>
      <c r="D94" s="305">
        <f t="shared" ref="D94:M103" si="12">SUMIFS(D$5:D$40,$B$5:$B$40,$A94)</f>
        <v>141819</v>
      </c>
      <c r="E94" s="305">
        <f t="shared" si="12"/>
        <v>3362</v>
      </c>
      <c r="F94" s="306">
        <f t="shared" si="12"/>
        <v>2600</v>
      </c>
      <c r="G94" s="307">
        <f t="shared" si="12"/>
        <v>1018</v>
      </c>
      <c r="H94" s="307">
        <f t="shared" si="12"/>
        <v>0</v>
      </c>
      <c r="I94" s="307">
        <f t="shared" si="12"/>
        <v>1582</v>
      </c>
      <c r="J94" s="308">
        <f t="shared" si="12"/>
        <v>0</v>
      </c>
      <c r="K94" s="306">
        <f t="shared" si="12"/>
        <v>762</v>
      </c>
      <c r="L94" s="307">
        <f t="shared" si="12"/>
        <v>183</v>
      </c>
      <c r="M94" s="307">
        <f t="shared" si="12"/>
        <v>0</v>
      </c>
      <c r="N94" s="307">
        <f t="shared" ref="N94:Z103" si="13">SUMIFS(N$5:N$40,$B$5:$B$40,$A94)</f>
        <v>512</v>
      </c>
      <c r="O94" s="309">
        <f t="shared" si="13"/>
        <v>67</v>
      </c>
      <c r="P94" s="305">
        <f t="shared" si="13"/>
        <v>64</v>
      </c>
      <c r="Q94" s="306">
        <f t="shared" si="13"/>
        <v>45</v>
      </c>
      <c r="R94" s="307">
        <f t="shared" si="13"/>
        <v>20</v>
      </c>
      <c r="S94" s="307">
        <f t="shared" si="13"/>
        <v>0</v>
      </c>
      <c r="T94" s="307">
        <f t="shared" si="13"/>
        <v>25</v>
      </c>
      <c r="U94" s="308">
        <f t="shared" si="13"/>
        <v>0</v>
      </c>
      <c r="V94" s="306">
        <f t="shared" si="13"/>
        <v>19</v>
      </c>
      <c r="W94" s="307">
        <f t="shared" si="13"/>
        <v>4</v>
      </c>
      <c r="X94" s="307">
        <f t="shared" si="13"/>
        <v>0</v>
      </c>
      <c r="Y94" s="307">
        <f t="shared" si="13"/>
        <v>15</v>
      </c>
      <c r="Z94" s="309">
        <f t="shared" si="13"/>
        <v>0</v>
      </c>
    </row>
    <row r="95" spans="1:26" ht="14.25" x14ac:dyDescent="0.2">
      <c r="A95" s="323" t="s">
        <v>216</v>
      </c>
      <c r="B95" s="324">
        <v>44287</v>
      </c>
      <c r="C95" s="325">
        <v>2021</v>
      </c>
      <c r="D95" s="305">
        <f t="shared" si="12"/>
        <v>180181</v>
      </c>
      <c r="E95" s="305">
        <f t="shared" si="12"/>
        <v>5148</v>
      </c>
      <c r="F95" s="306">
        <f t="shared" si="12"/>
        <v>3762</v>
      </c>
      <c r="G95" s="307">
        <f t="shared" si="12"/>
        <v>1702</v>
      </c>
      <c r="H95" s="307">
        <f t="shared" si="12"/>
        <v>0</v>
      </c>
      <c r="I95" s="307">
        <f t="shared" si="12"/>
        <v>2060</v>
      </c>
      <c r="J95" s="308">
        <f t="shared" si="12"/>
        <v>0</v>
      </c>
      <c r="K95" s="306">
        <f t="shared" si="12"/>
        <v>1386</v>
      </c>
      <c r="L95" s="307">
        <f t="shared" si="12"/>
        <v>267</v>
      </c>
      <c r="M95" s="307">
        <f t="shared" si="12"/>
        <v>0</v>
      </c>
      <c r="N95" s="307">
        <f t="shared" si="13"/>
        <v>1063</v>
      </c>
      <c r="O95" s="309">
        <f t="shared" si="13"/>
        <v>56</v>
      </c>
      <c r="P95" s="305">
        <f t="shared" si="13"/>
        <v>109</v>
      </c>
      <c r="Q95" s="306">
        <f t="shared" si="13"/>
        <v>70</v>
      </c>
      <c r="R95" s="307">
        <f t="shared" si="13"/>
        <v>31</v>
      </c>
      <c r="S95" s="307">
        <f t="shared" si="13"/>
        <v>0</v>
      </c>
      <c r="T95" s="307">
        <f t="shared" si="13"/>
        <v>39</v>
      </c>
      <c r="U95" s="308">
        <f t="shared" si="13"/>
        <v>0</v>
      </c>
      <c r="V95" s="306">
        <f t="shared" si="13"/>
        <v>39</v>
      </c>
      <c r="W95" s="307">
        <f t="shared" si="13"/>
        <v>8</v>
      </c>
      <c r="X95" s="307">
        <f t="shared" si="13"/>
        <v>0</v>
      </c>
      <c r="Y95" s="307">
        <f t="shared" si="13"/>
        <v>27</v>
      </c>
      <c r="Z95" s="309">
        <f t="shared" si="13"/>
        <v>4</v>
      </c>
    </row>
    <row r="96" spans="1:26" ht="14.25" x14ac:dyDescent="0.2">
      <c r="A96" s="323" t="s">
        <v>216</v>
      </c>
      <c r="B96" s="324">
        <v>44317</v>
      </c>
      <c r="C96" s="325">
        <v>2021</v>
      </c>
      <c r="D96" s="305">
        <f t="shared" si="12"/>
        <v>180181</v>
      </c>
      <c r="E96" s="305">
        <f t="shared" si="12"/>
        <v>5148</v>
      </c>
      <c r="F96" s="306">
        <f t="shared" si="12"/>
        <v>3762</v>
      </c>
      <c r="G96" s="307">
        <f t="shared" si="12"/>
        <v>1702</v>
      </c>
      <c r="H96" s="307">
        <f t="shared" si="12"/>
        <v>0</v>
      </c>
      <c r="I96" s="307">
        <f t="shared" si="12"/>
        <v>2060</v>
      </c>
      <c r="J96" s="308">
        <f t="shared" si="12"/>
        <v>0</v>
      </c>
      <c r="K96" s="306">
        <f t="shared" si="12"/>
        <v>1386</v>
      </c>
      <c r="L96" s="307">
        <f t="shared" si="12"/>
        <v>267</v>
      </c>
      <c r="M96" s="307">
        <f t="shared" si="12"/>
        <v>0</v>
      </c>
      <c r="N96" s="307">
        <f t="shared" si="13"/>
        <v>1063</v>
      </c>
      <c r="O96" s="309">
        <f t="shared" si="13"/>
        <v>56</v>
      </c>
      <c r="P96" s="305">
        <f t="shared" si="13"/>
        <v>109</v>
      </c>
      <c r="Q96" s="306">
        <f t="shared" si="13"/>
        <v>70</v>
      </c>
      <c r="R96" s="307">
        <f t="shared" si="13"/>
        <v>31</v>
      </c>
      <c r="S96" s="307">
        <f t="shared" si="13"/>
        <v>0</v>
      </c>
      <c r="T96" s="307">
        <f t="shared" si="13"/>
        <v>39</v>
      </c>
      <c r="U96" s="308">
        <f t="shared" si="13"/>
        <v>0</v>
      </c>
      <c r="V96" s="306">
        <f t="shared" si="13"/>
        <v>39</v>
      </c>
      <c r="W96" s="307">
        <f t="shared" si="13"/>
        <v>8</v>
      </c>
      <c r="X96" s="307">
        <f t="shared" si="13"/>
        <v>0</v>
      </c>
      <c r="Y96" s="307">
        <f t="shared" si="13"/>
        <v>27</v>
      </c>
      <c r="Z96" s="309">
        <f t="shared" si="13"/>
        <v>4</v>
      </c>
    </row>
    <row r="97" spans="1:26" ht="14.25" x14ac:dyDescent="0.2">
      <c r="A97" s="323" t="s">
        <v>216</v>
      </c>
      <c r="B97" s="324">
        <v>44348</v>
      </c>
      <c r="C97" s="325">
        <v>2021</v>
      </c>
      <c r="D97" s="305">
        <f t="shared" si="12"/>
        <v>180181</v>
      </c>
      <c r="E97" s="305">
        <f t="shared" si="12"/>
        <v>5148</v>
      </c>
      <c r="F97" s="306">
        <f t="shared" si="12"/>
        <v>3762</v>
      </c>
      <c r="G97" s="307">
        <f t="shared" si="12"/>
        <v>1702</v>
      </c>
      <c r="H97" s="307">
        <f t="shared" si="12"/>
        <v>0</v>
      </c>
      <c r="I97" s="307">
        <f t="shared" si="12"/>
        <v>2060</v>
      </c>
      <c r="J97" s="308">
        <f t="shared" si="12"/>
        <v>0</v>
      </c>
      <c r="K97" s="306">
        <f t="shared" si="12"/>
        <v>1386</v>
      </c>
      <c r="L97" s="307">
        <f t="shared" si="12"/>
        <v>267</v>
      </c>
      <c r="M97" s="307">
        <f t="shared" si="12"/>
        <v>0</v>
      </c>
      <c r="N97" s="307">
        <f t="shared" si="13"/>
        <v>1063</v>
      </c>
      <c r="O97" s="309">
        <f t="shared" si="13"/>
        <v>56</v>
      </c>
      <c r="P97" s="305">
        <f t="shared" si="13"/>
        <v>109</v>
      </c>
      <c r="Q97" s="306">
        <f t="shared" si="13"/>
        <v>70</v>
      </c>
      <c r="R97" s="307">
        <f t="shared" si="13"/>
        <v>31</v>
      </c>
      <c r="S97" s="307">
        <f t="shared" si="13"/>
        <v>0</v>
      </c>
      <c r="T97" s="307">
        <f t="shared" si="13"/>
        <v>39</v>
      </c>
      <c r="U97" s="308">
        <f t="shared" si="13"/>
        <v>0</v>
      </c>
      <c r="V97" s="306">
        <f t="shared" si="13"/>
        <v>39</v>
      </c>
      <c r="W97" s="307">
        <f t="shared" si="13"/>
        <v>8</v>
      </c>
      <c r="X97" s="307">
        <f t="shared" si="13"/>
        <v>0</v>
      </c>
      <c r="Y97" s="307">
        <f t="shared" si="13"/>
        <v>27</v>
      </c>
      <c r="Z97" s="309">
        <f t="shared" si="13"/>
        <v>4</v>
      </c>
    </row>
    <row r="98" spans="1:26" ht="14.25" x14ac:dyDescent="0.2">
      <c r="A98" s="323" t="s">
        <v>217</v>
      </c>
      <c r="B98" s="324">
        <v>44378</v>
      </c>
      <c r="C98" s="325">
        <v>2021</v>
      </c>
      <c r="D98" s="305">
        <f t="shared" si="12"/>
        <v>174638</v>
      </c>
      <c r="E98" s="305">
        <f t="shared" si="12"/>
        <v>5171</v>
      </c>
      <c r="F98" s="306">
        <f t="shared" si="12"/>
        <v>3672</v>
      </c>
      <c r="G98" s="307">
        <f t="shared" si="12"/>
        <v>2018</v>
      </c>
      <c r="H98" s="307">
        <f t="shared" si="12"/>
        <v>0</v>
      </c>
      <c r="I98" s="307">
        <f t="shared" si="12"/>
        <v>1654</v>
      </c>
      <c r="J98" s="308">
        <f t="shared" si="12"/>
        <v>0</v>
      </c>
      <c r="K98" s="306">
        <f t="shared" si="12"/>
        <v>1499</v>
      </c>
      <c r="L98" s="307">
        <f t="shared" si="12"/>
        <v>382</v>
      </c>
      <c r="M98" s="307">
        <f t="shared" si="12"/>
        <v>0</v>
      </c>
      <c r="N98" s="307">
        <f t="shared" si="13"/>
        <v>987</v>
      </c>
      <c r="O98" s="309">
        <f t="shared" si="13"/>
        <v>130</v>
      </c>
      <c r="P98" s="305">
        <f t="shared" si="13"/>
        <v>102</v>
      </c>
      <c r="Q98" s="306">
        <f t="shared" si="13"/>
        <v>59</v>
      </c>
      <c r="R98" s="307">
        <f t="shared" si="13"/>
        <v>36</v>
      </c>
      <c r="S98" s="307">
        <f t="shared" si="13"/>
        <v>0</v>
      </c>
      <c r="T98" s="307">
        <f t="shared" si="13"/>
        <v>23</v>
      </c>
      <c r="U98" s="308">
        <f t="shared" si="13"/>
        <v>0</v>
      </c>
      <c r="V98" s="306">
        <f t="shared" si="13"/>
        <v>43</v>
      </c>
      <c r="W98" s="307">
        <f t="shared" si="13"/>
        <v>12</v>
      </c>
      <c r="X98" s="307">
        <f t="shared" si="13"/>
        <v>0</v>
      </c>
      <c r="Y98" s="307">
        <f t="shared" si="13"/>
        <v>27</v>
      </c>
      <c r="Z98" s="309">
        <f t="shared" si="13"/>
        <v>4</v>
      </c>
    </row>
    <row r="99" spans="1:26" ht="14.25" x14ac:dyDescent="0.2">
      <c r="A99" s="323" t="s">
        <v>217</v>
      </c>
      <c r="B99" s="324">
        <v>44409</v>
      </c>
      <c r="C99" s="325">
        <v>2021</v>
      </c>
      <c r="D99" s="305">
        <f t="shared" si="12"/>
        <v>174638</v>
      </c>
      <c r="E99" s="305">
        <f t="shared" si="12"/>
        <v>5171</v>
      </c>
      <c r="F99" s="306">
        <f t="shared" si="12"/>
        <v>3672</v>
      </c>
      <c r="G99" s="307">
        <f t="shared" si="12"/>
        <v>2018</v>
      </c>
      <c r="H99" s="307">
        <f t="shared" si="12"/>
        <v>0</v>
      </c>
      <c r="I99" s="307">
        <f t="shared" si="12"/>
        <v>1654</v>
      </c>
      <c r="J99" s="308">
        <f t="shared" si="12"/>
        <v>0</v>
      </c>
      <c r="K99" s="306">
        <f t="shared" si="12"/>
        <v>1499</v>
      </c>
      <c r="L99" s="307">
        <f t="shared" si="12"/>
        <v>382</v>
      </c>
      <c r="M99" s="307">
        <f t="shared" si="12"/>
        <v>0</v>
      </c>
      <c r="N99" s="307">
        <f t="shared" si="13"/>
        <v>987</v>
      </c>
      <c r="O99" s="309">
        <f t="shared" si="13"/>
        <v>130</v>
      </c>
      <c r="P99" s="305">
        <f t="shared" si="13"/>
        <v>102</v>
      </c>
      <c r="Q99" s="306">
        <f t="shared" si="13"/>
        <v>59</v>
      </c>
      <c r="R99" s="307">
        <f t="shared" si="13"/>
        <v>36</v>
      </c>
      <c r="S99" s="307">
        <f t="shared" si="13"/>
        <v>0</v>
      </c>
      <c r="T99" s="307">
        <f t="shared" si="13"/>
        <v>23</v>
      </c>
      <c r="U99" s="308">
        <f t="shared" si="13"/>
        <v>0</v>
      </c>
      <c r="V99" s="306">
        <f t="shared" si="13"/>
        <v>43</v>
      </c>
      <c r="W99" s="307">
        <f t="shared" si="13"/>
        <v>12</v>
      </c>
      <c r="X99" s="307">
        <f t="shared" si="13"/>
        <v>0</v>
      </c>
      <c r="Y99" s="307">
        <f t="shared" si="13"/>
        <v>27</v>
      </c>
      <c r="Z99" s="309">
        <f t="shared" si="13"/>
        <v>4</v>
      </c>
    </row>
    <row r="100" spans="1:26" ht="14.25" x14ac:dyDescent="0.2">
      <c r="A100" s="323" t="s">
        <v>217</v>
      </c>
      <c r="B100" s="324">
        <v>44440</v>
      </c>
      <c r="C100" s="325">
        <v>2021</v>
      </c>
      <c r="D100" s="305">
        <f t="shared" si="12"/>
        <v>174638</v>
      </c>
      <c r="E100" s="305">
        <f t="shared" si="12"/>
        <v>5171</v>
      </c>
      <c r="F100" s="306">
        <f t="shared" si="12"/>
        <v>3672</v>
      </c>
      <c r="G100" s="307">
        <f t="shared" si="12"/>
        <v>2018</v>
      </c>
      <c r="H100" s="307">
        <f t="shared" si="12"/>
        <v>0</v>
      </c>
      <c r="I100" s="307">
        <f t="shared" si="12"/>
        <v>1654</v>
      </c>
      <c r="J100" s="308">
        <f t="shared" si="12"/>
        <v>0</v>
      </c>
      <c r="K100" s="306">
        <f t="shared" si="12"/>
        <v>1499</v>
      </c>
      <c r="L100" s="307">
        <f t="shared" si="12"/>
        <v>382</v>
      </c>
      <c r="M100" s="307">
        <f t="shared" si="12"/>
        <v>0</v>
      </c>
      <c r="N100" s="307">
        <f t="shared" si="13"/>
        <v>987</v>
      </c>
      <c r="O100" s="309">
        <f t="shared" si="13"/>
        <v>130</v>
      </c>
      <c r="P100" s="305">
        <f t="shared" si="13"/>
        <v>102</v>
      </c>
      <c r="Q100" s="306">
        <f t="shared" si="13"/>
        <v>59</v>
      </c>
      <c r="R100" s="307">
        <f t="shared" si="13"/>
        <v>36</v>
      </c>
      <c r="S100" s="307">
        <f t="shared" si="13"/>
        <v>0</v>
      </c>
      <c r="T100" s="307">
        <f t="shared" si="13"/>
        <v>23</v>
      </c>
      <c r="U100" s="308">
        <f t="shared" si="13"/>
        <v>0</v>
      </c>
      <c r="V100" s="306">
        <f t="shared" si="13"/>
        <v>43</v>
      </c>
      <c r="W100" s="307">
        <f t="shared" si="13"/>
        <v>12</v>
      </c>
      <c r="X100" s="307">
        <f t="shared" si="13"/>
        <v>0</v>
      </c>
      <c r="Y100" s="307">
        <f t="shared" si="13"/>
        <v>27</v>
      </c>
      <c r="Z100" s="309">
        <f t="shared" si="13"/>
        <v>4</v>
      </c>
    </row>
    <row r="101" spans="1:26" ht="14.25" x14ac:dyDescent="0.2">
      <c r="A101" s="323" t="s">
        <v>218</v>
      </c>
      <c r="B101" s="324">
        <v>44470</v>
      </c>
      <c r="C101" s="325">
        <v>2021</v>
      </c>
      <c r="D101" s="305">
        <f t="shared" si="12"/>
        <v>130630</v>
      </c>
      <c r="E101" s="305">
        <f t="shared" si="12"/>
        <v>6129</v>
      </c>
      <c r="F101" s="306">
        <f t="shared" si="12"/>
        <v>4787</v>
      </c>
      <c r="G101" s="307">
        <f t="shared" si="12"/>
        <v>2342</v>
      </c>
      <c r="H101" s="307">
        <f t="shared" si="12"/>
        <v>0</v>
      </c>
      <c r="I101" s="307">
        <f t="shared" si="12"/>
        <v>2445</v>
      </c>
      <c r="J101" s="308">
        <f t="shared" si="12"/>
        <v>0</v>
      </c>
      <c r="K101" s="306">
        <f t="shared" si="12"/>
        <v>1342</v>
      </c>
      <c r="L101" s="307">
        <f t="shared" si="12"/>
        <v>199</v>
      </c>
      <c r="M101" s="307">
        <f t="shared" si="12"/>
        <v>0</v>
      </c>
      <c r="N101" s="307">
        <f t="shared" si="13"/>
        <v>1114</v>
      </c>
      <c r="O101" s="309">
        <f t="shared" si="13"/>
        <v>29</v>
      </c>
      <c r="P101" s="305">
        <f t="shared" si="13"/>
        <v>118</v>
      </c>
      <c r="Q101" s="306">
        <f t="shared" si="13"/>
        <v>82</v>
      </c>
      <c r="R101" s="307">
        <f t="shared" si="13"/>
        <v>35</v>
      </c>
      <c r="S101" s="307">
        <f t="shared" si="13"/>
        <v>0</v>
      </c>
      <c r="T101" s="307">
        <f t="shared" si="13"/>
        <v>47</v>
      </c>
      <c r="U101" s="308">
        <f t="shared" si="13"/>
        <v>0</v>
      </c>
      <c r="V101" s="306">
        <f t="shared" si="13"/>
        <v>36</v>
      </c>
      <c r="W101" s="307">
        <f t="shared" si="13"/>
        <v>7</v>
      </c>
      <c r="X101" s="307">
        <f t="shared" si="13"/>
        <v>0</v>
      </c>
      <c r="Y101" s="307">
        <f t="shared" si="13"/>
        <v>28</v>
      </c>
      <c r="Z101" s="309">
        <f t="shared" si="13"/>
        <v>1</v>
      </c>
    </row>
    <row r="102" spans="1:26" ht="14.25" x14ac:dyDescent="0.2">
      <c r="A102" s="323" t="s">
        <v>218</v>
      </c>
      <c r="B102" s="324">
        <v>44501</v>
      </c>
      <c r="C102" s="325">
        <v>2021</v>
      </c>
      <c r="D102" s="305">
        <f t="shared" si="12"/>
        <v>130630</v>
      </c>
      <c r="E102" s="305">
        <f t="shared" si="12"/>
        <v>6129</v>
      </c>
      <c r="F102" s="306">
        <f t="shared" si="12"/>
        <v>4787</v>
      </c>
      <c r="G102" s="307">
        <f t="shared" si="12"/>
        <v>2342</v>
      </c>
      <c r="H102" s="307">
        <f t="shared" si="12"/>
        <v>0</v>
      </c>
      <c r="I102" s="307">
        <f t="shared" si="12"/>
        <v>2445</v>
      </c>
      <c r="J102" s="308">
        <f t="shared" si="12"/>
        <v>0</v>
      </c>
      <c r="K102" s="306">
        <f t="shared" si="12"/>
        <v>1342</v>
      </c>
      <c r="L102" s="307">
        <f t="shared" si="12"/>
        <v>199</v>
      </c>
      <c r="M102" s="307">
        <f t="shared" si="12"/>
        <v>0</v>
      </c>
      <c r="N102" s="307">
        <f t="shared" si="13"/>
        <v>1114</v>
      </c>
      <c r="O102" s="309">
        <f t="shared" si="13"/>
        <v>29</v>
      </c>
      <c r="P102" s="305">
        <f t="shared" si="13"/>
        <v>118</v>
      </c>
      <c r="Q102" s="306">
        <f t="shared" si="13"/>
        <v>82</v>
      </c>
      <c r="R102" s="307">
        <f t="shared" si="13"/>
        <v>35</v>
      </c>
      <c r="S102" s="307">
        <f t="shared" si="13"/>
        <v>0</v>
      </c>
      <c r="T102" s="307">
        <f t="shared" si="13"/>
        <v>47</v>
      </c>
      <c r="U102" s="308">
        <f t="shared" si="13"/>
        <v>0</v>
      </c>
      <c r="V102" s="306">
        <f t="shared" si="13"/>
        <v>36</v>
      </c>
      <c r="W102" s="307">
        <f t="shared" si="13"/>
        <v>7</v>
      </c>
      <c r="X102" s="307">
        <f t="shared" si="13"/>
        <v>0</v>
      </c>
      <c r="Y102" s="307">
        <f t="shared" si="13"/>
        <v>28</v>
      </c>
      <c r="Z102" s="309">
        <f t="shared" si="13"/>
        <v>1</v>
      </c>
    </row>
    <row r="103" spans="1:26" ht="14.25" x14ac:dyDescent="0.2">
      <c r="A103" s="323" t="s">
        <v>218</v>
      </c>
      <c r="B103" s="324">
        <v>44531</v>
      </c>
      <c r="C103" s="325">
        <v>2021</v>
      </c>
      <c r="D103" s="305">
        <f t="shared" si="12"/>
        <v>130630</v>
      </c>
      <c r="E103" s="305">
        <f t="shared" si="12"/>
        <v>6129</v>
      </c>
      <c r="F103" s="306">
        <f t="shared" si="12"/>
        <v>4787</v>
      </c>
      <c r="G103" s="307">
        <f t="shared" si="12"/>
        <v>2342</v>
      </c>
      <c r="H103" s="307">
        <f t="shared" si="12"/>
        <v>0</v>
      </c>
      <c r="I103" s="307">
        <f t="shared" si="12"/>
        <v>2445</v>
      </c>
      <c r="J103" s="308">
        <f t="shared" si="12"/>
        <v>0</v>
      </c>
      <c r="K103" s="306">
        <f t="shared" si="12"/>
        <v>1342</v>
      </c>
      <c r="L103" s="307">
        <f t="shared" si="12"/>
        <v>199</v>
      </c>
      <c r="M103" s="307">
        <f t="shared" si="12"/>
        <v>0</v>
      </c>
      <c r="N103" s="307">
        <f t="shared" si="13"/>
        <v>1114</v>
      </c>
      <c r="O103" s="309">
        <f t="shared" si="13"/>
        <v>29</v>
      </c>
      <c r="P103" s="305">
        <f t="shared" si="13"/>
        <v>118</v>
      </c>
      <c r="Q103" s="306">
        <f t="shared" si="13"/>
        <v>82</v>
      </c>
      <c r="R103" s="307">
        <f t="shared" si="13"/>
        <v>35</v>
      </c>
      <c r="S103" s="307">
        <f t="shared" si="13"/>
        <v>0</v>
      </c>
      <c r="T103" s="307">
        <f t="shared" si="13"/>
        <v>47</v>
      </c>
      <c r="U103" s="308">
        <f t="shared" si="13"/>
        <v>0</v>
      </c>
      <c r="V103" s="306">
        <f t="shared" si="13"/>
        <v>36</v>
      </c>
      <c r="W103" s="307">
        <f t="shared" si="13"/>
        <v>7</v>
      </c>
      <c r="X103" s="307">
        <f t="shared" si="13"/>
        <v>0</v>
      </c>
      <c r="Y103" s="307">
        <f t="shared" si="13"/>
        <v>28</v>
      </c>
      <c r="Z103" s="309">
        <f t="shared" si="13"/>
        <v>1</v>
      </c>
    </row>
    <row r="104" spans="1:26" ht="14.25" x14ac:dyDescent="0.2">
      <c r="A104" s="323" t="s">
        <v>219</v>
      </c>
      <c r="B104" s="324">
        <v>44562</v>
      </c>
      <c r="C104" s="325">
        <v>2022</v>
      </c>
      <c r="D104" s="305">
        <f t="shared" ref="D104:M113" si="14">SUMIFS(D$5:D$40,$B$5:$B$40,$A104)</f>
        <v>135138</v>
      </c>
      <c r="E104" s="305">
        <f t="shared" si="14"/>
        <v>7124</v>
      </c>
      <c r="F104" s="306">
        <f t="shared" si="14"/>
        <v>5686</v>
      </c>
      <c r="G104" s="307">
        <f t="shared" si="14"/>
        <v>2869</v>
      </c>
      <c r="H104" s="307">
        <f t="shared" si="14"/>
        <v>0</v>
      </c>
      <c r="I104" s="307">
        <f t="shared" si="14"/>
        <v>2813</v>
      </c>
      <c r="J104" s="308">
        <f t="shared" si="14"/>
        <v>4</v>
      </c>
      <c r="K104" s="306">
        <f t="shared" si="14"/>
        <v>1438</v>
      </c>
      <c r="L104" s="307">
        <f t="shared" si="14"/>
        <v>152</v>
      </c>
      <c r="M104" s="307">
        <f t="shared" si="14"/>
        <v>0</v>
      </c>
      <c r="N104" s="307">
        <f t="shared" ref="N104:Z113" si="15">SUMIFS(N$5:N$40,$B$5:$B$40,$A104)</f>
        <v>1045</v>
      </c>
      <c r="O104" s="309">
        <f t="shared" si="15"/>
        <v>241</v>
      </c>
      <c r="P104" s="305">
        <f t="shared" si="15"/>
        <v>127</v>
      </c>
      <c r="Q104" s="306">
        <f t="shared" si="15"/>
        <v>96</v>
      </c>
      <c r="R104" s="307">
        <f t="shared" si="15"/>
        <v>54</v>
      </c>
      <c r="S104" s="307">
        <f t="shared" si="15"/>
        <v>0</v>
      </c>
      <c r="T104" s="307">
        <f t="shared" si="15"/>
        <v>42</v>
      </c>
      <c r="U104" s="308">
        <f t="shared" si="15"/>
        <v>0</v>
      </c>
      <c r="V104" s="306">
        <f t="shared" si="15"/>
        <v>31</v>
      </c>
      <c r="W104" s="307">
        <f t="shared" si="15"/>
        <v>1</v>
      </c>
      <c r="X104" s="307">
        <f t="shared" si="15"/>
        <v>0</v>
      </c>
      <c r="Y104" s="307">
        <f t="shared" si="15"/>
        <v>25</v>
      </c>
      <c r="Z104" s="309">
        <f t="shared" si="15"/>
        <v>5</v>
      </c>
    </row>
    <row r="105" spans="1:26" ht="14.25" x14ac:dyDescent="0.2">
      <c r="A105" s="323" t="s">
        <v>219</v>
      </c>
      <c r="B105" s="324">
        <v>44593</v>
      </c>
      <c r="C105" s="325">
        <v>2022</v>
      </c>
      <c r="D105" s="305">
        <f t="shared" si="14"/>
        <v>135138</v>
      </c>
      <c r="E105" s="305">
        <f t="shared" si="14"/>
        <v>7124</v>
      </c>
      <c r="F105" s="306">
        <f t="shared" si="14"/>
        <v>5686</v>
      </c>
      <c r="G105" s="307">
        <f t="shared" si="14"/>
        <v>2869</v>
      </c>
      <c r="H105" s="307">
        <f t="shared" si="14"/>
        <v>0</v>
      </c>
      <c r="I105" s="307">
        <f t="shared" si="14"/>
        <v>2813</v>
      </c>
      <c r="J105" s="308">
        <f t="shared" si="14"/>
        <v>4</v>
      </c>
      <c r="K105" s="306">
        <f t="shared" si="14"/>
        <v>1438</v>
      </c>
      <c r="L105" s="307">
        <f t="shared" si="14"/>
        <v>152</v>
      </c>
      <c r="M105" s="307">
        <f t="shared" si="14"/>
        <v>0</v>
      </c>
      <c r="N105" s="307">
        <f t="shared" si="15"/>
        <v>1045</v>
      </c>
      <c r="O105" s="309">
        <f t="shared" si="15"/>
        <v>241</v>
      </c>
      <c r="P105" s="305">
        <f t="shared" si="15"/>
        <v>127</v>
      </c>
      <c r="Q105" s="306">
        <f t="shared" si="15"/>
        <v>96</v>
      </c>
      <c r="R105" s="307">
        <f t="shared" si="15"/>
        <v>54</v>
      </c>
      <c r="S105" s="307">
        <f t="shared" si="15"/>
        <v>0</v>
      </c>
      <c r="T105" s="307">
        <f t="shared" si="15"/>
        <v>42</v>
      </c>
      <c r="U105" s="308">
        <f t="shared" si="15"/>
        <v>0</v>
      </c>
      <c r="V105" s="306">
        <f t="shared" si="15"/>
        <v>31</v>
      </c>
      <c r="W105" s="307">
        <f t="shared" si="15"/>
        <v>1</v>
      </c>
      <c r="X105" s="307">
        <f t="shared" si="15"/>
        <v>0</v>
      </c>
      <c r="Y105" s="307">
        <f t="shared" si="15"/>
        <v>25</v>
      </c>
      <c r="Z105" s="309">
        <f t="shared" si="15"/>
        <v>5</v>
      </c>
    </row>
    <row r="106" spans="1:26" ht="14.25" x14ac:dyDescent="0.2">
      <c r="A106" s="323" t="s">
        <v>219</v>
      </c>
      <c r="B106" s="324">
        <v>44621</v>
      </c>
      <c r="C106" s="325">
        <v>2022</v>
      </c>
      <c r="D106" s="305">
        <f t="shared" si="14"/>
        <v>135138</v>
      </c>
      <c r="E106" s="305">
        <f t="shared" si="14"/>
        <v>7124</v>
      </c>
      <c r="F106" s="306">
        <f t="shared" si="14"/>
        <v>5686</v>
      </c>
      <c r="G106" s="307">
        <f t="shared" si="14"/>
        <v>2869</v>
      </c>
      <c r="H106" s="307">
        <f t="shared" si="14"/>
        <v>0</v>
      </c>
      <c r="I106" s="307">
        <f t="shared" si="14"/>
        <v>2813</v>
      </c>
      <c r="J106" s="308">
        <f t="shared" si="14"/>
        <v>4</v>
      </c>
      <c r="K106" s="306">
        <f t="shared" si="14"/>
        <v>1438</v>
      </c>
      <c r="L106" s="307">
        <f t="shared" si="14"/>
        <v>152</v>
      </c>
      <c r="M106" s="307">
        <f t="shared" si="14"/>
        <v>0</v>
      </c>
      <c r="N106" s="307">
        <f t="shared" si="15"/>
        <v>1045</v>
      </c>
      <c r="O106" s="309">
        <f t="shared" si="15"/>
        <v>241</v>
      </c>
      <c r="P106" s="305">
        <f t="shared" si="15"/>
        <v>127</v>
      </c>
      <c r="Q106" s="306">
        <f t="shared" si="15"/>
        <v>96</v>
      </c>
      <c r="R106" s="307">
        <f t="shared" si="15"/>
        <v>54</v>
      </c>
      <c r="S106" s="307">
        <f t="shared" si="15"/>
        <v>0</v>
      </c>
      <c r="T106" s="307">
        <f t="shared" si="15"/>
        <v>42</v>
      </c>
      <c r="U106" s="308">
        <f t="shared" si="15"/>
        <v>0</v>
      </c>
      <c r="V106" s="306">
        <f t="shared" si="15"/>
        <v>31</v>
      </c>
      <c r="W106" s="307">
        <f t="shared" si="15"/>
        <v>1</v>
      </c>
      <c r="X106" s="307">
        <f t="shared" si="15"/>
        <v>0</v>
      </c>
      <c r="Y106" s="307">
        <f t="shared" si="15"/>
        <v>25</v>
      </c>
      <c r="Z106" s="309">
        <f t="shared" si="15"/>
        <v>5</v>
      </c>
    </row>
    <row r="107" spans="1:26" ht="14.25" x14ac:dyDescent="0.2">
      <c r="A107" s="323" t="s">
        <v>220</v>
      </c>
      <c r="B107" s="324">
        <v>44652</v>
      </c>
      <c r="C107" s="325">
        <v>2022</v>
      </c>
      <c r="D107" s="305">
        <f t="shared" si="14"/>
        <v>169244</v>
      </c>
      <c r="E107" s="305">
        <f t="shared" si="14"/>
        <v>9534</v>
      </c>
      <c r="F107" s="306">
        <f t="shared" si="14"/>
        <v>7875</v>
      </c>
      <c r="G107" s="307">
        <f t="shared" si="14"/>
        <v>2904</v>
      </c>
      <c r="H107" s="307">
        <f t="shared" si="14"/>
        <v>59</v>
      </c>
      <c r="I107" s="307">
        <f t="shared" si="14"/>
        <v>4868</v>
      </c>
      <c r="J107" s="308">
        <f t="shared" si="14"/>
        <v>44</v>
      </c>
      <c r="K107" s="306">
        <f t="shared" si="14"/>
        <v>1659</v>
      </c>
      <c r="L107" s="307">
        <f t="shared" si="14"/>
        <v>271</v>
      </c>
      <c r="M107" s="307">
        <f t="shared" si="14"/>
        <v>0</v>
      </c>
      <c r="N107" s="307">
        <f t="shared" si="15"/>
        <v>1271</v>
      </c>
      <c r="O107" s="309">
        <f t="shared" si="15"/>
        <v>117</v>
      </c>
      <c r="P107" s="305">
        <f t="shared" si="15"/>
        <v>169</v>
      </c>
      <c r="Q107" s="306">
        <f t="shared" si="15"/>
        <v>115</v>
      </c>
      <c r="R107" s="307">
        <f t="shared" si="15"/>
        <v>43</v>
      </c>
      <c r="S107" s="307">
        <f t="shared" si="15"/>
        <v>1</v>
      </c>
      <c r="T107" s="307">
        <f t="shared" si="15"/>
        <v>69</v>
      </c>
      <c r="U107" s="308">
        <f t="shared" si="15"/>
        <v>2</v>
      </c>
      <c r="V107" s="306">
        <f t="shared" si="15"/>
        <v>54</v>
      </c>
      <c r="W107" s="307">
        <f t="shared" si="15"/>
        <v>13</v>
      </c>
      <c r="X107" s="307">
        <f t="shared" si="15"/>
        <v>0</v>
      </c>
      <c r="Y107" s="307">
        <f t="shared" si="15"/>
        <v>38</v>
      </c>
      <c r="Z107" s="309">
        <f t="shared" si="15"/>
        <v>3</v>
      </c>
    </row>
    <row r="108" spans="1:26" ht="14.25" x14ac:dyDescent="0.2">
      <c r="A108" s="323" t="s">
        <v>220</v>
      </c>
      <c r="B108" s="324">
        <v>44682</v>
      </c>
      <c r="C108" s="325">
        <v>2022</v>
      </c>
      <c r="D108" s="305">
        <f t="shared" si="14"/>
        <v>169244</v>
      </c>
      <c r="E108" s="305">
        <f t="shared" si="14"/>
        <v>9534</v>
      </c>
      <c r="F108" s="306">
        <f t="shared" si="14"/>
        <v>7875</v>
      </c>
      <c r="G108" s="307">
        <f t="shared" si="14"/>
        <v>2904</v>
      </c>
      <c r="H108" s="307">
        <f t="shared" si="14"/>
        <v>59</v>
      </c>
      <c r="I108" s="307">
        <f t="shared" si="14"/>
        <v>4868</v>
      </c>
      <c r="J108" s="308">
        <f t="shared" si="14"/>
        <v>44</v>
      </c>
      <c r="K108" s="306">
        <f t="shared" si="14"/>
        <v>1659</v>
      </c>
      <c r="L108" s="307">
        <f t="shared" si="14"/>
        <v>271</v>
      </c>
      <c r="M108" s="307">
        <f t="shared" si="14"/>
        <v>0</v>
      </c>
      <c r="N108" s="307">
        <f t="shared" si="15"/>
        <v>1271</v>
      </c>
      <c r="O108" s="309">
        <f t="shared" si="15"/>
        <v>117</v>
      </c>
      <c r="P108" s="305">
        <f t="shared" si="15"/>
        <v>169</v>
      </c>
      <c r="Q108" s="306">
        <f t="shared" si="15"/>
        <v>115</v>
      </c>
      <c r="R108" s="307">
        <f t="shared" si="15"/>
        <v>43</v>
      </c>
      <c r="S108" s="307">
        <f t="shared" si="15"/>
        <v>1</v>
      </c>
      <c r="T108" s="307">
        <f t="shared" si="15"/>
        <v>69</v>
      </c>
      <c r="U108" s="308">
        <f t="shared" si="15"/>
        <v>2</v>
      </c>
      <c r="V108" s="306">
        <f t="shared" si="15"/>
        <v>54</v>
      </c>
      <c r="W108" s="307">
        <f t="shared" si="15"/>
        <v>13</v>
      </c>
      <c r="X108" s="307">
        <f t="shared" si="15"/>
        <v>0</v>
      </c>
      <c r="Y108" s="307">
        <f t="shared" si="15"/>
        <v>38</v>
      </c>
      <c r="Z108" s="309">
        <f t="shared" si="15"/>
        <v>3</v>
      </c>
    </row>
    <row r="109" spans="1:26" ht="14.25" x14ac:dyDescent="0.2">
      <c r="A109" s="323" t="s">
        <v>220</v>
      </c>
      <c r="B109" s="324">
        <v>44713</v>
      </c>
      <c r="C109" s="325">
        <v>2022</v>
      </c>
      <c r="D109" s="305">
        <f t="shared" si="14"/>
        <v>169244</v>
      </c>
      <c r="E109" s="305">
        <f t="shared" si="14"/>
        <v>9534</v>
      </c>
      <c r="F109" s="306">
        <f t="shared" si="14"/>
        <v>7875</v>
      </c>
      <c r="G109" s="307">
        <f t="shared" si="14"/>
        <v>2904</v>
      </c>
      <c r="H109" s="307">
        <f t="shared" si="14"/>
        <v>59</v>
      </c>
      <c r="I109" s="307">
        <f t="shared" si="14"/>
        <v>4868</v>
      </c>
      <c r="J109" s="308">
        <f t="shared" si="14"/>
        <v>44</v>
      </c>
      <c r="K109" s="306">
        <f t="shared" si="14"/>
        <v>1659</v>
      </c>
      <c r="L109" s="307">
        <f t="shared" si="14"/>
        <v>271</v>
      </c>
      <c r="M109" s="307">
        <f t="shared" si="14"/>
        <v>0</v>
      </c>
      <c r="N109" s="307">
        <f t="shared" si="15"/>
        <v>1271</v>
      </c>
      <c r="O109" s="309">
        <f t="shared" si="15"/>
        <v>117</v>
      </c>
      <c r="P109" s="305">
        <f t="shared" si="15"/>
        <v>169</v>
      </c>
      <c r="Q109" s="306">
        <f t="shared" si="15"/>
        <v>115</v>
      </c>
      <c r="R109" s="307">
        <f t="shared" si="15"/>
        <v>43</v>
      </c>
      <c r="S109" s="307">
        <f t="shared" si="15"/>
        <v>1</v>
      </c>
      <c r="T109" s="307">
        <f t="shared" si="15"/>
        <v>69</v>
      </c>
      <c r="U109" s="308">
        <f t="shared" si="15"/>
        <v>2</v>
      </c>
      <c r="V109" s="306">
        <f t="shared" si="15"/>
        <v>54</v>
      </c>
      <c r="W109" s="307">
        <f t="shared" si="15"/>
        <v>13</v>
      </c>
      <c r="X109" s="307">
        <f t="shared" si="15"/>
        <v>0</v>
      </c>
      <c r="Y109" s="307">
        <f t="shared" si="15"/>
        <v>38</v>
      </c>
      <c r="Z109" s="309">
        <f t="shared" si="15"/>
        <v>3</v>
      </c>
    </row>
    <row r="110" spans="1:26" ht="14.25" x14ac:dyDescent="0.2">
      <c r="A110" s="323" t="s">
        <v>221</v>
      </c>
      <c r="B110" s="324">
        <v>44743</v>
      </c>
      <c r="C110" s="325">
        <v>2022</v>
      </c>
      <c r="D110" s="305">
        <f t="shared" si="14"/>
        <v>153779</v>
      </c>
      <c r="E110" s="305">
        <f t="shared" si="14"/>
        <v>11013</v>
      </c>
      <c r="F110" s="306">
        <f t="shared" si="14"/>
        <v>9716</v>
      </c>
      <c r="G110" s="307">
        <f t="shared" si="14"/>
        <v>3995</v>
      </c>
      <c r="H110" s="307">
        <f t="shared" si="14"/>
        <v>469</v>
      </c>
      <c r="I110" s="307">
        <f t="shared" si="14"/>
        <v>5206</v>
      </c>
      <c r="J110" s="308">
        <f t="shared" si="14"/>
        <v>46</v>
      </c>
      <c r="K110" s="306">
        <f t="shared" si="14"/>
        <v>1297</v>
      </c>
      <c r="L110" s="307">
        <f t="shared" si="14"/>
        <v>201</v>
      </c>
      <c r="M110" s="307">
        <f t="shared" si="14"/>
        <v>0</v>
      </c>
      <c r="N110" s="307">
        <f t="shared" si="15"/>
        <v>1001</v>
      </c>
      <c r="O110" s="309">
        <f t="shared" si="15"/>
        <v>95</v>
      </c>
      <c r="P110" s="305">
        <f t="shared" si="15"/>
        <v>197</v>
      </c>
      <c r="Q110" s="306">
        <f t="shared" si="15"/>
        <v>171</v>
      </c>
      <c r="R110" s="307">
        <f t="shared" si="15"/>
        <v>73</v>
      </c>
      <c r="S110" s="307">
        <f t="shared" si="15"/>
        <v>18</v>
      </c>
      <c r="T110" s="307">
        <f t="shared" si="15"/>
        <v>80</v>
      </c>
      <c r="U110" s="308">
        <f t="shared" si="15"/>
        <v>0</v>
      </c>
      <c r="V110" s="306">
        <f t="shared" si="15"/>
        <v>26</v>
      </c>
      <c r="W110" s="307">
        <f t="shared" si="15"/>
        <v>2</v>
      </c>
      <c r="X110" s="307">
        <f t="shared" si="15"/>
        <v>0</v>
      </c>
      <c r="Y110" s="307">
        <f t="shared" si="15"/>
        <v>21</v>
      </c>
      <c r="Z110" s="309">
        <f t="shared" si="15"/>
        <v>3</v>
      </c>
    </row>
    <row r="111" spans="1:26" ht="14.25" x14ac:dyDescent="0.2">
      <c r="A111" s="323" t="s">
        <v>221</v>
      </c>
      <c r="B111" s="324">
        <v>44774</v>
      </c>
      <c r="C111" s="325">
        <v>2022</v>
      </c>
      <c r="D111" s="305">
        <f t="shared" si="14"/>
        <v>153779</v>
      </c>
      <c r="E111" s="305">
        <f t="shared" si="14"/>
        <v>11013</v>
      </c>
      <c r="F111" s="306">
        <f t="shared" si="14"/>
        <v>9716</v>
      </c>
      <c r="G111" s="307">
        <f t="shared" si="14"/>
        <v>3995</v>
      </c>
      <c r="H111" s="307">
        <f t="shared" si="14"/>
        <v>469</v>
      </c>
      <c r="I111" s="307">
        <f t="shared" si="14"/>
        <v>5206</v>
      </c>
      <c r="J111" s="308">
        <f t="shared" si="14"/>
        <v>46</v>
      </c>
      <c r="K111" s="306">
        <f t="shared" si="14"/>
        <v>1297</v>
      </c>
      <c r="L111" s="307">
        <f t="shared" si="14"/>
        <v>201</v>
      </c>
      <c r="M111" s="307">
        <f t="shared" si="14"/>
        <v>0</v>
      </c>
      <c r="N111" s="307">
        <f t="shared" si="15"/>
        <v>1001</v>
      </c>
      <c r="O111" s="309">
        <f t="shared" si="15"/>
        <v>95</v>
      </c>
      <c r="P111" s="305">
        <f t="shared" si="15"/>
        <v>197</v>
      </c>
      <c r="Q111" s="306">
        <f t="shared" si="15"/>
        <v>171</v>
      </c>
      <c r="R111" s="307">
        <f t="shared" si="15"/>
        <v>73</v>
      </c>
      <c r="S111" s="307">
        <f t="shared" si="15"/>
        <v>18</v>
      </c>
      <c r="T111" s="307">
        <f t="shared" si="15"/>
        <v>80</v>
      </c>
      <c r="U111" s="308">
        <f t="shared" si="15"/>
        <v>0</v>
      </c>
      <c r="V111" s="306">
        <f t="shared" si="15"/>
        <v>26</v>
      </c>
      <c r="W111" s="307">
        <f t="shared" si="15"/>
        <v>2</v>
      </c>
      <c r="X111" s="307">
        <f t="shared" si="15"/>
        <v>0</v>
      </c>
      <c r="Y111" s="307">
        <f t="shared" si="15"/>
        <v>21</v>
      </c>
      <c r="Z111" s="309">
        <f t="shared" si="15"/>
        <v>3</v>
      </c>
    </row>
    <row r="112" spans="1:26" ht="14.25" x14ac:dyDescent="0.2">
      <c r="A112" s="323" t="s">
        <v>221</v>
      </c>
      <c r="B112" s="324">
        <v>44805</v>
      </c>
      <c r="C112" s="325">
        <v>2022</v>
      </c>
      <c r="D112" s="305">
        <f t="shared" si="14"/>
        <v>153779</v>
      </c>
      <c r="E112" s="305">
        <f t="shared" si="14"/>
        <v>11013</v>
      </c>
      <c r="F112" s="306">
        <f t="shared" si="14"/>
        <v>9716</v>
      </c>
      <c r="G112" s="307">
        <f t="shared" si="14"/>
        <v>3995</v>
      </c>
      <c r="H112" s="307">
        <f t="shared" si="14"/>
        <v>469</v>
      </c>
      <c r="I112" s="307">
        <f t="shared" si="14"/>
        <v>5206</v>
      </c>
      <c r="J112" s="308">
        <f t="shared" si="14"/>
        <v>46</v>
      </c>
      <c r="K112" s="306">
        <f t="shared" si="14"/>
        <v>1297</v>
      </c>
      <c r="L112" s="307">
        <f t="shared" si="14"/>
        <v>201</v>
      </c>
      <c r="M112" s="307">
        <f t="shared" si="14"/>
        <v>0</v>
      </c>
      <c r="N112" s="307">
        <f t="shared" si="15"/>
        <v>1001</v>
      </c>
      <c r="O112" s="309">
        <f t="shared" si="15"/>
        <v>95</v>
      </c>
      <c r="P112" s="305">
        <f t="shared" si="15"/>
        <v>197</v>
      </c>
      <c r="Q112" s="306">
        <f t="shared" si="15"/>
        <v>171</v>
      </c>
      <c r="R112" s="307">
        <f t="shared" si="15"/>
        <v>73</v>
      </c>
      <c r="S112" s="307">
        <f t="shared" si="15"/>
        <v>18</v>
      </c>
      <c r="T112" s="307">
        <f t="shared" si="15"/>
        <v>80</v>
      </c>
      <c r="U112" s="308">
        <f t="shared" si="15"/>
        <v>0</v>
      </c>
      <c r="V112" s="306">
        <f t="shared" si="15"/>
        <v>26</v>
      </c>
      <c r="W112" s="307">
        <f t="shared" si="15"/>
        <v>2</v>
      </c>
      <c r="X112" s="307">
        <f t="shared" si="15"/>
        <v>0</v>
      </c>
      <c r="Y112" s="307">
        <f t="shared" si="15"/>
        <v>21</v>
      </c>
      <c r="Z112" s="309">
        <f t="shared" si="15"/>
        <v>3</v>
      </c>
    </row>
    <row r="113" spans="1:26" ht="14.25" x14ac:dyDescent="0.2">
      <c r="A113" s="323" t="s">
        <v>222</v>
      </c>
      <c r="B113" s="324">
        <v>44835</v>
      </c>
      <c r="C113" s="325">
        <v>2022</v>
      </c>
      <c r="D113" s="305">
        <f t="shared" si="14"/>
        <v>136338</v>
      </c>
      <c r="E113" s="305">
        <f t="shared" si="14"/>
        <v>10991</v>
      </c>
      <c r="F113" s="306">
        <f t="shared" si="14"/>
        <v>9506</v>
      </c>
      <c r="G113" s="307">
        <f t="shared" si="14"/>
        <v>2594</v>
      </c>
      <c r="H113" s="307">
        <f t="shared" si="14"/>
        <v>344</v>
      </c>
      <c r="I113" s="307">
        <f t="shared" si="14"/>
        <v>6486</v>
      </c>
      <c r="J113" s="308">
        <f t="shared" si="14"/>
        <v>82</v>
      </c>
      <c r="K113" s="306">
        <f t="shared" si="14"/>
        <v>1485</v>
      </c>
      <c r="L113" s="307">
        <f t="shared" si="14"/>
        <v>171</v>
      </c>
      <c r="M113" s="307">
        <f t="shared" si="14"/>
        <v>0</v>
      </c>
      <c r="N113" s="307">
        <f t="shared" si="15"/>
        <v>1248</v>
      </c>
      <c r="O113" s="309">
        <f t="shared" si="15"/>
        <v>66</v>
      </c>
      <c r="P113" s="305">
        <f t="shared" si="15"/>
        <v>180</v>
      </c>
      <c r="Q113" s="306">
        <f t="shared" si="15"/>
        <v>146</v>
      </c>
      <c r="R113" s="307">
        <f t="shared" si="15"/>
        <v>47</v>
      </c>
      <c r="S113" s="307">
        <f t="shared" si="15"/>
        <v>4</v>
      </c>
      <c r="T113" s="307">
        <f t="shared" si="15"/>
        <v>91</v>
      </c>
      <c r="U113" s="308">
        <f t="shared" si="15"/>
        <v>4</v>
      </c>
      <c r="V113" s="306">
        <f t="shared" si="15"/>
        <v>34</v>
      </c>
      <c r="W113" s="307">
        <f t="shared" si="15"/>
        <v>4</v>
      </c>
      <c r="X113" s="307">
        <f t="shared" si="15"/>
        <v>0</v>
      </c>
      <c r="Y113" s="307">
        <f t="shared" si="15"/>
        <v>28</v>
      </c>
      <c r="Z113" s="309">
        <f t="shared" si="15"/>
        <v>2</v>
      </c>
    </row>
    <row r="114" spans="1:26" ht="14.25" x14ac:dyDescent="0.2">
      <c r="A114" s="323" t="s">
        <v>222</v>
      </c>
      <c r="B114" s="324">
        <v>44866</v>
      </c>
      <c r="C114" s="325">
        <v>2022</v>
      </c>
      <c r="D114" s="305">
        <f t="shared" ref="D114:M123" si="16">SUMIFS(D$5:D$40,$B$5:$B$40,$A114)</f>
        <v>136338</v>
      </c>
      <c r="E114" s="305">
        <f t="shared" si="16"/>
        <v>10991</v>
      </c>
      <c r="F114" s="306">
        <f t="shared" si="16"/>
        <v>9506</v>
      </c>
      <c r="G114" s="307">
        <f t="shared" si="16"/>
        <v>2594</v>
      </c>
      <c r="H114" s="307">
        <f t="shared" si="16"/>
        <v>344</v>
      </c>
      <c r="I114" s="307">
        <f t="shared" si="16"/>
        <v>6486</v>
      </c>
      <c r="J114" s="308">
        <f t="shared" si="16"/>
        <v>82</v>
      </c>
      <c r="K114" s="306">
        <f t="shared" si="16"/>
        <v>1485</v>
      </c>
      <c r="L114" s="307">
        <f t="shared" si="16"/>
        <v>171</v>
      </c>
      <c r="M114" s="307">
        <f t="shared" si="16"/>
        <v>0</v>
      </c>
      <c r="N114" s="307">
        <f t="shared" ref="N114:Z123" si="17">SUMIFS(N$5:N$40,$B$5:$B$40,$A114)</f>
        <v>1248</v>
      </c>
      <c r="O114" s="309">
        <f t="shared" si="17"/>
        <v>66</v>
      </c>
      <c r="P114" s="305">
        <f t="shared" si="17"/>
        <v>180</v>
      </c>
      <c r="Q114" s="306">
        <f t="shared" si="17"/>
        <v>146</v>
      </c>
      <c r="R114" s="307">
        <f t="shared" si="17"/>
        <v>47</v>
      </c>
      <c r="S114" s="307">
        <f t="shared" si="17"/>
        <v>4</v>
      </c>
      <c r="T114" s="307">
        <f t="shared" si="17"/>
        <v>91</v>
      </c>
      <c r="U114" s="308">
        <f t="shared" si="17"/>
        <v>4</v>
      </c>
      <c r="V114" s="306">
        <f t="shared" si="17"/>
        <v>34</v>
      </c>
      <c r="W114" s="307">
        <f t="shared" si="17"/>
        <v>4</v>
      </c>
      <c r="X114" s="307">
        <f t="shared" si="17"/>
        <v>0</v>
      </c>
      <c r="Y114" s="307">
        <f t="shared" si="17"/>
        <v>28</v>
      </c>
      <c r="Z114" s="309">
        <f t="shared" si="17"/>
        <v>2</v>
      </c>
    </row>
    <row r="115" spans="1:26" ht="14.25" x14ac:dyDescent="0.2">
      <c r="A115" s="323" t="s">
        <v>222</v>
      </c>
      <c r="B115" s="324">
        <v>44896</v>
      </c>
      <c r="C115" s="325">
        <v>2022</v>
      </c>
      <c r="D115" s="305">
        <f t="shared" si="16"/>
        <v>136338</v>
      </c>
      <c r="E115" s="305">
        <f t="shared" si="16"/>
        <v>10991</v>
      </c>
      <c r="F115" s="306">
        <f t="shared" si="16"/>
        <v>9506</v>
      </c>
      <c r="G115" s="307">
        <f t="shared" si="16"/>
        <v>2594</v>
      </c>
      <c r="H115" s="307">
        <f t="shared" si="16"/>
        <v>344</v>
      </c>
      <c r="I115" s="307">
        <f t="shared" si="16"/>
        <v>6486</v>
      </c>
      <c r="J115" s="308">
        <f t="shared" si="16"/>
        <v>82</v>
      </c>
      <c r="K115" s="306">
        <f t="shared" si="16"/>
        <v>1485</v>
      </c>
      <c r="L115" s="307">
        <f t="shared" si="16"/>
        <v>171</v>
      </c>
      <c r="M115" s="307">
        <f t="shared" si="16"/>
        <v>0</v>
      </c>
      <c r="N115" s="307">
        <f t="shared" si="17"/>
        <v>1248</v>
      </c>
      <c r="O115" s="309">
        <f t="shared" si="17"/>
        <v>66</v>
      </c>
      <c r="P115" s="305">
        <f t="shared" si="17"/>
        <v>180</v>
      </c>
      <c r="Q115" s="306">
        <f t="shared" si="17"/>
        <v>146</v>
      </c>
      <c r="R115" s="307">
        <f t="shared" si="17"/>
        <v>47</v>
      </c>
      <c r="S115" s="307">
        <f t="shared" si="17"/>
        <v>4</v>
      </c>
      <c r="T115" s="307">
        <f t="shared" si="17"/>
        <v>91</v>
      </c>
      <c r="U115" s="308">
        <f t="shared" si="17"/>
        <v>4</v>
      </c>
      <c r="V115" s="306">
        <f t="shared" si="17"/>
        <v>34</v>
      </c>
      <c r="W115" s="307">
        <f t="shared" si="17"/>
        <v>4</v>
      </c>
      <c r="X115" s="307">
        <f t="shared" si="17"/>
        <v>0</v>
      </c>
      <c r="Y115" s="307">
        <f t="shared" si="17"/>
        <v>28</v>
      </c>
      <c r="Z115" s="309">
        <f t="shared" si="17"/>
        <v>2</v>
      </c>
    </row>
    <row r="116" spans="1:26" ht="14.25" x14ac:dyDescent="0.2">
      <c r="A116" s="323" t="s">
        <v>223</v>
      </c>
      <c r="B116" s="324">
        <v>44927</v>
      </c>
      <c r="C116" s="325">
        <v>2023</v>
      </c>
      <c r="D116" s="305">
        <f t="shared" si="16"/>
        <v>143618</v>
      </c>
      <c r="E116" s="305">
        <f t="shared" si="16"/>
        <v>8520</v>
      </c>
      <c r="F116" s="306">
        <f t="shared" si="16"/>
        <v>6760</v>
      </c>
      <c r="G116" s="307">
        <f t="shared" si="16"/>
        <v>2365</v>
      </c>
      <c r="H116" s="307">
        <f t="shared" si="16"/>
        <v>354</v>
      </c>
      <c r="I116" s="307">
        <f t="shared" si="16"/>
        <v>3938</v>
      </c>
      <c r="J116" s="308">
        <f t="shared" si="16"/>
        <v>103</v>
      </c>
      <c r="K116" s="306">
        <f t="shared" si="16"/>
        <v>1760</v>
      </c>
      <c r="L116" s="307">
        <f t="shared" si="16"/>
        <v>85</v>
      </c>
      <c r="M116" s="307">
        <f t="shared" si="16"/>
        <v>0</v>
      </c>
      <c r="N116" s="307">
        <f t="shared" si="17"/>
        <v>1480</v>
      </c>
      <c r="O116" s="309">
        <f t="shared" si="17"/>
        <v>195</v>
      </c>
      <c r="P116" s="305">
        <f t="shared" si="17"/>
        <v>158</v>
      </c>
      <c r="Q116" s="306">
        <f t="shared" si="17"/>
        <v>114</v>
      </c>
      <c r="R116" s="307">
        <f t="shared" si="17"/>
        <v>38</v>
      </c>
      <c r="S116" s="307">
        <f t="shared" si="17"/>
        <v>12</v>
      </c>
      <c r="T116" s="307">
        <f t="shared" si="17"/>
        <v>60</v>
      </c>
      <c r="U116" s="308">
        <f t="shared" si="17"/>
        <v>4</v>
      </c>
      <c r="V116" s="306">
        <f t="shared" si="17"/>
        <v>44</v>
      </c>
      <c r="W116" s="307">
        <f t="shared" si="17"/>
        <v>2</v>
      </c>
      <c r="X116" s="307">
        <f t="shared" si="17"/>
        <v>0</v>
      </c>
      <c r="Y116" s="307">
        <f t="shared" si="17"/>
        <v>37</v>
      </c>
      <c r="Z116" s="309">
        <f t="shared" si="17"/>
        <v>5</v>
      </c>
    </row>
    <row r="117" spans="1:26" ht="14.25" x14ac:dyDescent="0.2">
      <c r="A117" s="323" t="s">
        <v>223</v>
      </c>
      <c r="B117" s="324">
        <v>44958</v>
      </c>
      <c r="C117" s="325">
        <v>2023</v>
      </c>
      <c r="D117" s="305">
        <f t="shared" si="16"/>
        <v>143618</v>
      </c>
      <c r="E117" s="305">
        <f t="shared" si="16"/>
        <v>8520</v>
      </c>
      <c r="F117" s="306">
        <f t="shared" si="16"/>
        <v>6760</v>
      </c>
      <c r="G117" s="307">
        <f t="shared" si="16"/>
        <v>2365</v>
      </c>
      <c r="H117" s="307">
        <f t="shared" si="16"/>
        <v>354</v>
      </c>
      <c r="I117" s="307">
        <f t="shared" si="16"/>
        <v>3938</v>
      </c>
      <c r="J117" s="308">
        <f t="shared" si="16"/>
        <v>103</v>
      </c>
      <c r="K117" s="306">
        <f t="shared" si="16"/>
        <v>1760</v>
      </c>
      <c r="L117" s="307">
        <f t="shared" si="16"/>
        <v>85</v>
      </c>
      <c r="M117" s="307">
        <f t="shared" si="16"/>
        <v>0</v>
      </c>
      <c r="N117" s="307">
        <f t="shared" si="17"/>
        <v>1480</v>
      </c>
      <c r="O117" s="309">
        <f t="shared" si="17"/>
        <v>195</v>
      </c>
      <c r="P117" s="305">
        <f t="shared" si="17"/>
        <v>158</v>
      </c>
      <c r="Q117" s="306">
        <f t="shared" si="17"/>
        <v>114</v>
      </c>
      <c r="R117" s="307">
        <f t="shared" si="17"/>
        <v>38</v>
      </c>
      <c r="S117" s="307">
        <f t="shared" si="17"/>
        <v>12</v>
      </c>
      <c r="T117" s="307">
        <f t="shared" si="17"/>
        <v>60</v>
      </c>
      <c r="U117" s="308">
        <f t="shared" si="17"/>
        <v>4</v>
      </c>
      <c r="V117" s="306">
        <f t="shared" si="17"/>
        <v>44</v>
      </c>
      <c r="W117" s="307">
        <f t="shared" si="17"/>
        <v>2</v>
      </c>
      <c r="X117" s="307">
        <f t="shared" si="17"/>
        <v>0</v>
      </c>
      <c r="Y117" s="307">
        <f t="shared" si="17"/>
        <v>37</v>
      </c>
      <c r="Z117" s="309">
        <f t="shared" si="17"/>
        <v>5</v>
      </c>
    </row>
    <row r="118" spans="1:26" ht="14.25" x14ac:dyDescent="0.2">
      <c r="A118" s="323" t="s">
        <v>223</v>
      </c>
      <c r="B118" s="324">
        <v>44986</v>
      </c>
      <c r="C118" s="325">
        <v>2023</v>
      </c>
      <c r="D118" s="305">
        <f t="shared" si="16"/>
        <v>143618</v>
      </c>
      <c r="E118" s="305">
        <f t="shared" si="16"/>
        <v>8520</v>
      </c>
      <c r="F118" s="306">
        <f t="shared" si="16"/>
        <v>6760</v>
      </c>
      <c r="G118" s="307">
        <f t="shared" si="16"/>
        <v>2365</v>
      </c>
      <c r="H118" s="307">
        <f t="shared" si="16"/>
        <v>354</v>
      </c>
      <c r="I118" s="307">
        <f t="shared" si="16"/>
        <v>3938</v>
      </c>
      <c r="J118" s="308">
        <f t="shared" si="16"/>
        <v>103</v>
      </c>
      <c r="K118" s="306">
        <f t="shared" si="16"/>
        <v>1760</v>
      </c>
      <c r="L118" s="307">
        <f t="shared" si="16"/>
        <v>85</v>
      </c>
      <c r="M118" s="307">
        <f t="shared" si="16"/>
        <v>0</v>
      </c>
      <c r="N118" s="307">
        <f t="shared" si="17"/>
        <v>1480</v>
      </c>
      <c r="O118" s="309">
        <f t="shared" si="17"/>
        <v>195</v>
      </c>
      <c r="P118" s="305">
        <f t="shared" si="17"/>
        <v>158</v>
      </c>
      <c r="Q118" s="306">
        <f t="shared" si="17"/>
        <v>114</v>
      </c>
      <c r="R118" s="307">
        <f t="shared" si="17"/>
        <v>38</v>
      </c>
      <c r="S118" s="307">
        <f t="shared" si="17"/>
        <v>12</v>
      </c>
      <c r="T118" s="307">
        <f t="shared" si="17"/>
        <v>60</v>
      </c>
      <c r="U118" s="308">
        <f t="shared" si="17"/>
        <v>4</v>
      </c>
      <c r="V118" s="306">
        <f t="shared" si="17"/>
        <v>44</v>
      </c>
      <c r="W118" s="307">
        <f t="shared" si="17"/>
        <v>2</v>
      </c>
      <c r="X118" s="307">
        <f t="shared" si="17"/>
        <v>0</v>
      </c>
      <c r="Y118" s="307">
        <f t="shared" si="17"/>
        <v>37</v>
      </c>
      <c r="Z118" s="309">
        <f t="shared" si="17"/>
        <v>5</v>
      </c>
    </row>
    <row r="119" spans="1:26" ht="14.25" x14ac:dyDescent="0.2">
      <c r="A119" s="323" t="s">
        <v>224</v>
      </c>
      <c r="B119" s="324">
        <v>45017</v>
      </c>
      <c r="C119" s="325">
        <v>2023</v>
      </c>
      <c r="D119" s="305">
        <f t="shared" si="16"/>
        <v>183652</v>
      </c>
      <c r="E119" s="305">
        <f t="shared" si="16"/>
        <v>12797</v>
      </c>
      <c r="F119" s="306">
        <f t="shared" si="16"/>
        <v>9486</v>
      </c>
      <c r="G119" s="307">
        <f t="shared" si="16"/>
        <v>2192</v>
      </c>
      <c r="H119" s="307">
        <f t="shared" si="16"/>
        <v>382</v>
      </c>
      <c r="I119" s="307">
        <f t="shared" si="16"/>
        <v>6743</v>
      </c>
      <c r="J119" s="308">
        <f t="shared" si="16"/>
        <v>169</v>
      </c>
      <c r="K119" s="306">
        <f t="shared" si="16"/>
        <v>3311</v>
      </c>
      <c r="L119" s="307">
        <f t="shared" si="16"/>
        <v>210</v>
      </c>
      <c r="M119" s="307">
        <f t="shared" si="16"/>
        <v>0</v>
      </c>
      <c r="N119" s="307">
        <f t="shared" si="17"/>
        <v>2843</v>
      </c>
      <c r="O119" s="309">
        <f t="shared" si="17"/>
        <v>258</v>
      </c>
      <c r="P119" s="305">
        <f t="shared" si="17"/>
        <v>229</v>
      </c>
      <c r="Q119" s="306">
        <f t="shared" si="17"/>
        <v>150</v>
      </c>
      <c r="R119" s="307">
        <f t="shared" si="17"/>
        <v>31</v>
      </c>
      <c r="S119" s="307">
        <f t="shared" si="17"/>
        <v>8</v>
      </c>
      <c r="T119" s="307">
        <f t="shared" si="17"/>
        <v>108</v>
      </c>
      <c r="U119" s="308">
        <f t="shared" si="17"/>
        <v>3</v>
      </c>
      <c r="V119" s="306">
        <f t="shared" si="17"/>
        <v>79</v>
      </c>
      <c r="W119" s="307">
        <f t="shared" si="17"/>
        <v>7</v>
      </c>
      <c r="X119" s="307">
        <f t="shared" si="17"/>
        <v>0</v>
      </c>
      <c r="Y119" s="307">
        <f t="shared" si="17"/>
        <v>65</v>
      </c>
      <c r="Z119" s="309">
        <f t="shared" si="17"/>
        <v>7</v>
      </c>
    </row>
    <row r="120" spans="1:26" ht="14.25" x14ac:dyDescent="0.2">
      <c r="A120" s="323" t="s">
        <v>224</v>
      </c>
      <c r="B120" s="324">
        <v>45047</v>
      </c>
      <c r="C120" s="325">
        <v>2023</v>
      </c>
      <c r="D120" s="305">
        <f t="shared" si="16"/>
        <v>183652</v>
      </c>
      <c r="E120" s="305">
        <f t="shared" si="16"/>
        <v>12797</v>
      </c>
      <c r="F120" s="306">
        <f t="shared" si="16"/>
        <v>9486</v>
      </c>
      <c r="G120" s="307">
        <f t="shared" si="16"/>
        <v>2192</v>
      </c>
      <c r="H120" s="307">
        <f t="shared" si="16"/>
        <v>382</v>
      </c>
      <c r="I120" s="307">
        <f t="shared" si="16"/>
        <v>6743</v>
      </c>
      <c r="J120" s="308">
        <f t="shared" si="16"/>
        <v>169</v>
      </c>
      <c r="K120" s="306">
        <f t="shared" si="16"/>
        <v>3311</v>
      </c>
      <c r="L120" s="307">
        <f t="shared" si="16"/>
        <v>210</v>
      </c>
      <c r="M120" s="307">
        <f t="shared" si="16"/>
        <v>0</v>
      </c>
      <c r="N120" s="307">
        <f t="shared" si="17"/>
        <v>2843</v>
      </c>
      <c r="O120" s="309">
        <f t="shared" si="17"/>
        <v>258</v>
      </c>
      <c r="P120" s="305">
        <f t="shared" si="17"/>
        <v>229</v>
      </c>
      <c r="Q120" s="306">
        <f t="shared" si="17"/>
        <v>150</v>
      </c>
      <c r="R120" s="307">
        <f t="shared" si="17"/>
        <v>31</v>
      </c>
      <c r="S120" s="307">
        <f t="shared" si="17"/>
        <v>8</v>
      </c>
      <c r="T120" s="307">
        <f t="shared" si="17"/>
        <v>108</v>
      </c>
      <c r="U120" s="308">
        <f t="shared" si="17"/>
        <v>3</v>
      </c>
      <c r="V120" s="306">
        <f t="shared" si="17"/>
        <v>79</v>
      </c>
      <c r="W120" s="307">
        <f t="shared" si="17"/>
        <v>7</v>
      </c>
      <c r="X120" s="307">
        <f t="shared" si="17"/>
        <v>0</v>
      </c>
      <c r="Y120" s="307">
        <f t="shared" si="17"/>
        <v>65</v>
      </c>
      <c r="Z120" s="309">
        <f t="shared" si="17"/>
        <v>7</v>
      </c>
    </row>
    <row r="121" spans="1:26" ht="14.25" x14ac:dyDescent="0.2">
      <c r="A121" s="323" t="s">
        <v>224</v>
      </c>
      <c r="B121" s="324">
        <v>45078</v>
      </c>
      <c r="C121" s="325">
        <v>2023</v>
      </c>
      <c r="D121" s="305">
        <f t="shared" si="16"/>
        <v>183652</v>
      </c>
      <c r="E121" s="305">
        <f t="shared" si="16"/>
        <v>12797</v>
      </c>
      <c r="F121" s="306">
        <f t="shared" si="16"/>
        <v>9486</v>
      </c>
      <c r="G121" s="307">
        <f t="shared" si="16"/>
        <v>2192</v>
      </c>
      <c r="H121" s="307">
        <f t="shared" si="16"/>
        <v>382</v>
      </c>
      <c r="I121" s="307">
        <f t="shared" si="16"/>
        <v>6743</v>
      </c>
      <c r="J121" s="308">
        <f t="shared" si="16"/>
        <v>169</v>
      </c>
      <c r="K121" s="306">
        <f t="shared" si="16"/>
        <v>3311</v>
      </c>
      <c r="L121" s="307">
        <f t="shared" si="16"/>
        <v>210</v>
      </c>
      <c r="M121" s="307">
        <f t="shared" si="16"/>
        <v>0</v>
      </c>
      <c r="N121" s="307">
        <f t="shared" si="17"/>
        <v>2843</v>
      </c>
      <c r="O121" s="309">
        <f t="shared" si="17"/>
        <v>258</v>
      </c>
      <c r="P121" s="305">
        <f t="shared" si="17"/>
        <v>229</v>
      </c>
      <c r="Q121" s="306">
        <f t="shared" si="17"/>
        <v>150</v>
      </c>
      <c r="R121" s="307">
        <f t="shared" si="17"/>
        <v>31</v>
      </c>
      <c r="S121" s="307">
        <f t="shared" si="17"/>
        <v>8</v>
      </c>
      <c r="T121" s="307">
        <f t="shared" si="17"/>
        <v>108</v>
      </c>
      <c r="U121" s="308">
        <f t="shared" si="17"/>
        <v>3</v>
      </c>
      <c r="V121" s="306">
        <f t="shared" si="17"/>
        <v>79</v>
      </c>
      <c r="W121" s="307">
        <f t="shared" si="17"/>
        <v>7</v>
      </c>
      <c r="X121" s="307">
        <f t="shared" si="17"/>
        <v>0</v>
      </c>
      <c r="Y121" s="307">
        <f t="shared" si="17"/>
        <v>65</v>
      </c>
      <c r="Z121" s="309">
        <f t="shared" si="17"/>
        <v>7</v>
      </c>
    </row>
    <row r="122" spans="1:26" ht="14.25" x14ac:dyDescent="0.2">
      <c r="A122" s="323" t="s">
        <v>225</v>
      </c>
      <c r="B122" s="324">
        <v>45108</v>
      </c>
      <c r="C122" s="325">
        <v>2023</v>
      </c>
      <c r="D122" s="305">
        <f t="shared" si="16"/>
        <v>178596</v>
      </c>
      <c r="E122" s="305">
        <f t="shared" si="16"/>
        <v>14710</v>
      </c>
      <c r="F122" s="306">
        <f t="shared" si="16"/>
        <v>11458</v>
      </c>
      <c r="G122" s="307">
        <f t="shared" si="16"/>
        <v>3129</v>
      </c>
      <c r="H122" s="307">
        <f t="shared" si="16"/>
        <v>523</v>
      </c>
      <c r="I122" s="307">
        <f t="shared" si="16"/>
        <v>7730</v>
      </c>
      <c r="J122" s="308">
        <f t="shared" si="16"/>
        <v>76</v>
      </c>
      <c r="K122" s="306">
        <f t="shared" si="16"/>
        <v>3252</v>
      </c>
      <c r="L122" s="307">
        <f t="shared" si="16"/>
        <v>322</v>
      </c>
      <c r="M122" s="307">
        <f t="shared" si="16"/>
        <v>0</v>
      </c>
      <c r="N122" s="307">
        <f t="shared" si="17"/>
        <v>2825</v>
      </c>
      <c r="O122" s="309">
        <f t="shared" si="17"/>
        <v>105</v>
      </c>
      <c r="P122" s="305">
        <f t="shared" si="17"/>
        <v>258</v>
      </c>
      <c r="Q122" s="306">
        <f t="shared" si="17"/>
        <v>185</v>
      </c>
      <c r="R122" s="307">
        <f t="shared" si="17"/>
        <v>60</v>
      </c>
      <c r="S122" s="307">
        <f t="shared" si="17"/>
        <v>6</v>
      </c>
      <c r="T122" s="307">
        <f t="shared" si="17"/>
        <v>117</v>
      </c>
      <c r="U122" s="308">
        <f t="shared" si="17"/>
        <v>2</v>
      </c>
      <c r="V122" s="306">
        <f t="shared" si="17"/>
        <v>73</v>
      </c>
      <c r="W122" s="307">
        <f t="shared" si="17"/>
        <v>10</v>
      </c>
      <c r="X122" s="307">
        <f t="shared" si="17"/>
        <v>0</v>
      </c>
      <c r="Y122" s="307">
        <f t="shared" si="17"/>
        <v>59</v>
      </c>
      <c r="Z122" s="309">
        <f t="shared" si="17"/>
        <v>4</v>
      </c>
    </row>
    <row r="123" spans="1:26" ht="14.25" x14ac:dyDescent="0.2">
      <c r="A123" s="323" t="s">
        <v>225</v>
      </c>
      <c r="B123" s="324">
        <v>45139</v>
      </c>
      <c r="C123" s="325">
        <v>2023</v>
      </c>
      <c r="D123" s="305">
        <f t="shared" si="16"/>
        <v>178596</v>
      </c>
      <c r="E123" s="305">
        <f t="shared" si="16"/>
        <v>14710</v>
      </c>
      <c r="F123" s="306">
        <f t="shared" si="16"/>
        <v>11458</v>
      </c>
      <c r="G123" s="307">
        <f t="shared" si="16"/>
        <v>3129</v>
      </c>
      <c r="H123" s="307">
        <f t="shared" si="16"/>
        <v>523</v>
      </c>
      <c r="I123" s="307">
        <f t="shared" si="16"/>
        <v>7730</v>
      </c>
      <c r="J123" s="308">
        <f t="shared" si="16"/>
        <v>76</v>
      </c>
      <c r="K123" s="306">
        <f t="shared" si="16"/>
        <v>3252</v>
      </c>
      <c r="L123" s="307">
        <f t="shared" si="16"/>
        <v>322</v>
      </c>
      <c r="M123" s="307">
        <f t="shared" si="16"/>
        <v>0</v>
      </c>
      <c r="N123" s="307">
        <f t="shared" si="17"/>
        <v>2825</v>
      </c>
      <c r="O123" s="309">
        <f t="shared" si="17"/>
        <v>105</v>
      </c>
      <c r="P123" s="305">
        <f t="shared" si="17"/>
        <v>258</v>
      </c>
      <c r="Q123" s="306">
        <f t="shared" si="17"/>
        <v>185</v>
      </c>
      <c r="R123" s="307">
        <f t="shared" si="17"/>
        <v>60</v>
      </c>
      <c r="S123" s="307">
        <f t="shared" si="17"/>
        <v>6</v>
      </c>
      <c r="T123" s="307">
        <f t="shared" si="17"/>
        <v>117</v>
      </c>
      <c r="U123" s="308">
        <f t="shared" si="17"/>
        <v>2</v>
      </c>
      <c r="V123" s="306">
        <f t="shared" si="17"/>
        <v>73</v>
      </c>
      <c r="W123" s="307">
        <f t="shared" si="17"/>
        <v>10</v>
      </c>
      <c r="X123" s="307">
        <f t="shared" si="17"/>
        <v>0</v>
      </c>
      <c r="Y123" s="307">
        <f t="shared" si="17"/>
        <v>59</v>
      </c>
      <c r="Z123" s="309">
        <f t="shared" si="17"/>
        <v>4</v>
      </c>
    </row>
    <row r="124" spans="1:26" ht="14.25" x14ac:dyDescent="0.2">
      <c r="A124" s="323" t="s">
        <v>225</v>
      </c>
      <c r="B124" s="324">
        <v>45170</v>
      </c>
      <c r="C124" s="325">
        <v>2023</v>
      </c>
      <c r="D124" s="305">
        <f t="shared" ref="D124:M138" si="18">SUMIFS(D$5:D$40,$B$5:$B$40,$A124)</f>
        <v>178596</v>
      </c>
      <c r="E124" s="305">
        <f t="shared" si="18"/>
        <v>14710</v>
      </c>
      <c r="F124" s="306">
        <f t="shared" si="18"/>
        <v>11458</v>
      </c>
      <c r="G124" s="307">
        <f t="shared" si="18"/>
        <v>3129</v>
      </c>
      <c r="H124" s="307">
        <f t="shared" si="18"/>
        <v>523</v>
      </c>
      <c r="I124" s="307">
        <f t="shared" si="18"/>
        <v>7730</v>
      </c>
      <c r="J124" s="308">
        <f t="shared" si="18"/>
        <v>76</v>
      </c>
      <c r="K124" s="306">
        <f t="shared" si="18"/>
        <v>3252</v>
      </c>
      <c r="L124" s="307">
        <f t="shared" si="18"/>
        <v>322</v>
      </c>
      <c r="M124" s="307">
        <f t="shared" si="18"/>
        <v>0</v>
      </c>
      <c r="N124" s="307">
        <f t="shared" ref="N124:Z138" si="19">SUMIFS(N$5:N$40,$B$5:$B$40,$A124)</f>
        <v>2825</v>
      </c>
      <c r="O124" s="309">
        <f t="shared" si="19"/>
        <v>105</v>
      </c>
      <c r="P124" s="305">
        <f t="shared" si="19"/>
        <v>258</v>
      </c>
      <c r="Q124" s="306">
        <f t="shared" si="19"/>
        <v>185</v>
      </c>
      <c r="R124" s="307">
        <f t="shared" si="19"/>
        <v>60</v>
      </c>
      <c r="S124" s="307">
        <f t="shared" si="19"/>
        <v>6</v>
      </c>
      <c r="T124" s="307">
        <f t="shared" si="19"/>
        <v>117</v>
      </c>
      <c r="U124" s="308">
        <f t="shared" si="19"/>
        <v>2</v>
      </c>
      <c r="V124" s="306">
        <f t="shared" si="19"/>
        <v>73</v>
      </c>
      <c r="W124" s="307">
        <f t="shared" si="19"/>
        <v>10</v>
      </c>
      <c r="X124" s="307">
        <f t="shared" si="19"/>
        <v>0</v>
      </c>
      <c r="Y124" s="307">
        <f t="shared" si="19"/>
        <v>59</v>
      </c>
      <c r="Z124" s="309">
        <f t="shared" si="19"/>
        <v>4</v>
      </c>
    </row>
    <row r="125" spans="1:26" ht="14.25" x14ac:dyDescent="0.2">
      <c r="A125" s="323" t="s">
        <v>226</v>
      </c>
      <c r="B125" s="324">
        <v>45200</v>
      </c>
      <c r="C125" s="325">
        <v>2023</v>
      </c>
      <c r="D125" s="305">
        <f t="shared" si="18"/>
        <v>171135</v>
      </c>
      <c r="E125" s="305">
        <f t="shared" si="18"/>
        <v>14105</v>
      </c>
      <c r="F125" s="306">
        <f t="shared" si="18"/>
        <v>10931</v>
      </c>
      <c r="G125" s="307">
        <f t="shared" si="18"/>
        <v>2488</v>
      </c>
      <c r="H125" s="307">
        <f t="shared" si="18"/>
        <v>550</v>
      </c>
      <c r="I125" s="307">
        <f t="shared" si="18"/>
        <v>7734</v>
      </c>
      <c r="J125" s="308">
        <f t="shared" si="18"/>
        <v>159</v>
      </c>
      <c r="K125" s="306">
        <f t="shared" si="18"/>
        <v>3174</v>
      </c>
      <c r="L125" s="307">
        <f t="shared" si="18"/>
        <v>210</v>
      </c>
      <c r="M125" s="307">
        <f t="shared" si="18"/>
        <v>0</v>
      </c>
      <c r="N125" s="307">
        <f t="shared" si="19"/>
        <v>2902</v>
      </c>
      <c r="O125" s="309">
        <f t="shared" si="19"/>
        <v>62</v>
      </c>
      <c r="P125" s="305">
        <f t="shared" si="19"/>
        <v>304</v>
      </c>
      <c r="Q125" s="306">
        <f t="shared" si="19"/>
        <v>203</v>
      </c>
      <c r="R125" s="307">
        <f t="shared" si="19"/>
        <v>40</v>
      </c>
      <c r="S125" s="307">
        <f t="shared" si="19"/>
        <v>9</v>
      </c>
      <c r="T125" s="307">
        <f t="shared" si="19"/>
        <v>150</v>
      </c>
      <c r="U125" s="308">
        <f t="shared" si="19"/>
        <v>4</v>
      </c>
      <c r="V125" s="306">
        <f t="shared" si="19"/>
        <v>101</v>
      </c>
      <c r="W125" s="307">
        <f t="shared" si="19"/>
        <v>5</v>
      </c>
      <c r="X125" s="307">
        <f t="shared" si="19"/>
        <v>0</v>
      </c>
      <c r="Y125" s="307">
        <f t="shared" si="19"/>
        <v>92</v>
      </c>
      <c r="Z125" s="309">
        <f t="shared" si="19"/>
        <v>4</v>
      </c>
    </row>
    <row r="126" spans="1:26" ht="14.25" x14ac:dyDescent="0.2">
      <c r="A126" s="323" t="s">
        <v>226</v>
      </c>
      <c r="B126" s="324">
        <v>45231</v>
      </c>
      <c r="C126" s="325">
        <v>2023</v>
      </c>
      <c r="D126" s="305">
        <f t="shared" si="18"/>
        <v>171135</v>
      </c>
      <c r="E126" s="305">
        <f t="shared" si="18"/>
        <v>14105</v>
      </c>
      <c r="F126" s="306">
        <f t="shared" si="18"/>
        <v>10931</v>
      </c>
      <c r="G126" s="307">
        <f t="shared" si="18"/>
        <v>2488</v>
      </c>
      <c r="H126" s="307">
        <f t="shared" si="18"/>
        <v>550</v>
      </c>
      <c r="I126" s="307">
        <f t="shared" si="18"/>
        <v>7734</v>
      </c>
      <c r="J126" s="308">
        <f t="shared" si="18"/>
        <v>159</v>
      </c>
      <c r="K126" s="306">
        <f t="shared" si="18"/>
        <v>3174</v>
      </c>
      <c r="L126" s="307">
        <f t="shared" si="18"/>
        <v>210</v>
      </c>
      <c r="M126" s="307">
        <f t="shared" si="18"/>
        <v>0</v>
      </c>
      <c r="N126" s="307">
        <f t="shared" si="19"/>
        <v>2902</v>
      </c>
      <c r="O126" s="309">
        <f t="shared" si="19"/>
        <v>62</v>
      </c>
      <c r="P126" s="305">
        <f t="shared" si="19"/>
        <v>304</v>
      </c>
      <c r="Q126" s="306">
        <f t="shared" si="19"/>
        <v>203</v>
      </c>
      <c r="R126" s="307">
        <f t="shared" si="19"/>
        <v>40</v>
      </c>
      <c r="S126" s="307">
        <f t="shared" si="19"/>
        <v>9</v>
      </c>
      <c r="T126" s="307">
        <f t="shared" si="19"/>
        <v>150</v>
      </c>
      <c r="U126" s="308">
        <f t="shared" si="19"/>
        <v>4</v>
      </c>
      <c r="V126" s="306">
        <f t="shared" si="19"/>
        <v>101</v>
      </c>
      <c r="W126" s="307">
        <f t="shared" si="19"/>
        <v>5</v>
      </c>
      <c r="X126" s="307">
        <f t="shared" si="19"/>
        <v>0</v>
      </c>
      <c r="Y126" s="307">
        <f t="shared" si="19"/>
        <v>92</v>
      </c>
      <c r="Z126" s="309">
        <f t="shared" si="19"/>
        <v>4</v>
      </c>
    </row>
    <row r="127" spans="1:26" ht="14.25" x14ac:dyDescent="0.2">
      <c r="A127" s="323" t="s">
        <v>226</v>
      </c>
      <c r="B127" s="324">
        <v>45261</v>
      </c>
      <c r="C127" s="325">
        <v>2023</v>
      </c>
      <c r="D127" s="305">
        <f t="shared" si="18"/>
        <v>171135</v>
      </c>
      <c r="E127" s="305">
        <f t="shared" si="18"/>
        <v>14105</v>
      </c>
      <c r="F127" s="306">
        <f t="shared" si="18"/>
        <v>10931</v>
      </c>
      <c r="G127" s="307">
        <f t="shared" si="18"/>
        <v>2488</v>
      </c>
      <c r="H127" s="307">
        <f t="shared" si="18"/>
        <v>550</v>
      </c>
      <c r="I127" s="307">
        <f t="shared" si="18"/>
        <v>7734</v>
      </c>
      <c r="J127" s="308">
        <f t="shared" si="18"/>
        <v>159</v>
      </c>
      <c r="K127" s="306">
        <f t="shared" si="18"/>
        <v>3174</v>
      </c>
      <c r="L127" s="307">
        <f t="shared" si="18"/>
        <v>210</v>
      </c>
      <c r="M127" s="307">
        <f t="shared" si="18"/>
        <v>0</v>
      </c>
      <c r="N127" s="307">
        <f t="shared" si="19"/>
        <v>2902</v>
      </c>
      <c r="O127" s="309">
        <f t="shared" si="19"/>
        <v>62</v>
      </c>
      <c r="P127" s="305">
        <f t="shared" si="19"/>
        <v>304</v>
      </c>
      <c r="Q127" s="306">
        <f t="shared" si="19"/>
        <v>203</v>
      </c>
      <c r="R127" s="307">
        <f t="shared" si="19"/>
        <v>40</v>
      </c>
      <c r="S127" s="307">
        <f t="shared" si="19"/>
        <v>9</v>
      </c>
      <c r="T127" s="307">
        <f t="shared" si="19"/>
        <v>150</v>
      </c>
      <c r="U127" s="308">
        <f t="shared" si="19"/>
        <v>4</v>
      </c>
      <c r="V127" s="306">
        <f t="shared" si="19"/>
        <v>101</v>
      </c>
      <c r="W127" s="307">
        <f t="shared" si="19"/>
        <v>5</v>
      </c>
      <c r="X127" s="307">
        <f t="shared" si="19"/>
        <v>0</v>
      </c>
      <c r="Y127" s="307">
        <f t="shared" si="19"/>
        <v>92</v>
      </c>
      <c r="Z127" s="309">
        <f t="shared" si="19"/>
        <v>4</v>
      </c>
    </row>
    <row r="128" spans="1:26" ht="14.25" x14ac:dyDescent="0.2">
      <c r="A128" s="323" t="s">
        <v>377</v>
      </c>
      <c r="B128" s="324">
        <v>45292</v>
      </c>
      <c r="C128" s="325">
        <v>2024</v>
      </c>
      <c r="D128" s="305">
        <f t="shared" si="18"/>
        <v>163027</v>
      </c>
      <c r="E128" s="305">
        <f t="shared" si="18"/>
        <v>11026</v>
      </c>
      <c r="F128" s="306">
        <f t="shared" si="18"/>
        <v>8144</v>
      </c>
      <c r="G128" s="307">
        <f t="shared" si="18"/>
        <v>1596</v>
      </c>
      <c r="H128" s="307">
        <f t="shared" si="18"/>
        <v>469</v>
      </c>
      <c r="I128" s="307">
        <f t="shared" si="18"/>
        <v>6030</v>
      </c>
      <c r="J128" s="308">
        <f t="shared" si="18"/>
        <v>49</v>
      </c>
      <c r="K128" s="306">
        <f t="shared" si="18"/>
        <v>2882</v>
      </c>
      <c r="L128" s="307">
        <f t="shared" si="18"/>
        <v>388</v>
      </c>
      <c r="M128" s="307">
        <f t="shared" si="18"/>
        <v>0</v>
      </c>
      <c r="N128" s="307">
        <f t="shared" si="19"/>
        <v>2423</v>
      </c>
      <c r="O128" s="309">
        <f t="shared" si="19"/>
        <v>71</v>
      </c>
      <c r="P128" s="305">
        <f t="shared" si="19"/>
        <v>252</v>
      </c>
      <c r="Q128" s="306">
        <f t="shared" si="19"/>
        <v>160</v>
      </c>
      <c r="R128" s="307">
        <f t="shared" si="19"/>
        <v>28</v>
      </c>
      <c r="S128" s="307">
        <f t="shared" si="19"/>
        <v>8</v>
      </c>
      <c r="T128" s="307">
        <f t="shared" si="19"/>
        <v>123</v>
      </c>
      <c r="U128" s="308">
        <f t="shared" si="19"/>
        <v>1</v>
      </c>
      <c r="V128" s="306">
        <f t="shared" si="19"/>
        <v>92</v>
      </c>
      <c r="W128" s="307">
        <f t="shared" si="19"/>
        <v>12</v>
      </c>
      <c r="X128" s="307">
        <f t="shared" si="19"/>
        <v>0</v>
      </c>
      <c r="Y128" s="307">
        <f t="shared" si="19"/>
        <v>76</v>
      </c>
      <c r="Z128" s="309">
        <f t="shared" si="19"/>
        <v>4</v>
      </c>
    </row>
    <row r="129" spans="1:26" ht="14.25" x14ac:dyDescent="0.2">
      <c r="A129" s="323" t="s">
        <v>377</v>
      </c>
      <c r="B129" s="324">
        <v>45323</v>
      </c>
      <c r="C129" s="325">
        <v>2024</v>
      </c>
      <c r="D129" s="305">
        <f t="shared" si="18"/>
        <v>163027</v>
      </c>
      <c r="E129" s="305">
        <f t="shared" si="18"/>
        <v>11026</v>
      </c>
      <c r="F129" s="306">
        <f t="shared" si="18"/>
        <v>8144</v>
      </c>
      <c r="G129" s="307">
        <f t="shared" si="18"/>
        <v>1596</v>
      </c>
      <c r="H129" s="307">
        <f t="shared" si="18"/>
        <v>469</v>
      </c>
      <c r="I129" s="307">
        <f t="shared" si="18"/>
        <v>6030</v>
      </c>
      <c r="J129" s="308">
        <f t="shared" si="18"/>
        <v>49</v>
      </c>
      <c r="K129" s="306">
        <f t="shared" si="18"/>
        <v>2882</v>
      </c>
      <c r="L129" s="307">
        <f t="shared" si="18"/>
        <v>388</v>
      </c>
      <c r="M129" s="307">
        <f t="shared" si="18"/>
        <v>0</v>
      </c>
      <c r="N129" s="307">
        <f t="shared" si="19"/>
        <v>2423</v>
      </c>
      <c r="O129" s="309">
        <f t="shared" si="19"/>
        <v>71</v>
      </c>
      <c r="P129" s="305">
        <f t="shared" si="19"/>
        <v>252</v>
      </c>
      <c r="Q129" s="306">
        <f t="shared" si="19"/>
        <v>160</v>
      </c>
      <c r="R129" s="307">
        <f t="shared" si="19"/>
        <v>28</v>
      </c>
      <c r="S129" s="307">
        <f t="shared" si="19"/>
        <v>8</v>
      </c>
      <c r="T129" s="307">
        <f t="shared" si="19"/>
        <v>123</v>
      </c>
      <c r="U129" s="308">
        <f t="shared" si="19"/>
        <v>1</v>
      </c>
      <c r="V129" s="306">
        <f t="shared" si="19"/>
        <v>92</v>
      </c>
      <c r="W129" s="307">
        <f t="shared" si="19"/>
        <v>12</v>
      </c>
      <c r="X129" s="307">
        <f t="shared" si="19"/>
        <v>0</v>
      </c>
      <c r="Y129" s="307">
        <f t="shared" si="19"/>
        <v>76</v>
      </c>
      <c r="Z129" s="309">
        <f t="shared" si="19"/>
        <v>4</v>
      </c>
    </row>
    <row r="130" spans="1:26" ht="14.25" x14ac:dyDescent="0.2">
      <c r="A130" s="323" t="s">
        <v>377</v>
      </c>
      <c r="B130" s="324">
        <v>45352</v>
      </c>
      <c r="C130" s="325">
        <v>2024</v>
      </c>
      <c r="D130" s="305">
        <f t="shared" si="18"/>
        <v>163027</v>
      </c>
      <c r="E130" s="305">
        <f t="shared" si="18"/>
        <v>11026</v>
      </c>
      <c r="F130" s="306">
        <f t="shared" si="18"/>
        <v>8144</v>
      </c>
      <c r="G130" s="307">
        <f t="shared" si="18"/>
        <v>1596</v>
      </c>
      <c r="H130" s="307">
        <f t="shared" si="18"/>
        <v>469</v>
      </c>
      <c r="I130" s="307">
        <f t="shared" si="18"/>
        <v>6030</v>
      </c>
      <c r="J130" s="308">
        <f t="shared" si="18"/>
        <v>49</v>
      </c>
      <c r="K130" s="306">
        <f t="shared" si="18"/>
        <v>2882</v>
      </c>
      <c r="L130" s="307">
        <f t="shared" si="18"/>
        <v>388</v>
      </c>
      <c r="M130" s="307">
        <f t="shared" si="18"/>
        <v>0</v>
      </c>
      <c r="N130" s="307">
        <f t="shared" si="19"/>
        <v>2423</v>
      </c>
      <c r="O130" s="309">
        <f t="shared" si="19"/>
        <v>71</v>
      </c>
      <c r="P130" s="305">
        <f t="shared" si="19"/>
        <v>252</v>
      </c>
      <c r="Q130" s="306">
        <f t="shared" si="19"/>
        <v>160</v>
      </c>
      <c r="R130" s="307">
        <f t="shared" si="19"/>
        <v>28</v>
      </c>
      <c r="S130" s="307">
        <f t="shared" si="19"/>
        <v>8</v>
      </c>
      <c r="T130" s="307">
        <f t="shared" si="19"/>
        <v>123</v>
      </c>
      <c r="U130" s="308">
        <f t="shared" si="19"/>
        <v>1</v>
      </c>
      <c r="V130" s="306">
        <f t="shared" si="19"/>
        <v>92</v>
      </c>
      <c r="W130" s="307">
        <f t="shared" si="19"/>
        <v>12</v>
      </c>
      <c r="X130" s="307">
        <f t="shared" si="19"/>
        <v>0</v>
      </c>
      <c r="Y130" s="307">
        <f t="shared" si="19"/>
        <v>76</v>
      </c>
      <c r="Z130" s="309">
        <f t="shared" si="19"/>
        <v>4</v>
      </c>
    </row>
    <row r="131" spans="1:26" ht="14.25" x14ac:dyDescent="0.2">
      <c r="A131" s="323" t="s">
        <v>378</v>
      </c>
      <c r="B131" s="324">
        <v>45383</v>
      </c>
      <c r="C131" s="325">
        <v>2024</v>
      </c>
      <c r="D131" s="305">
        <f t="shared" si="18"/>
        <v>190530</v>
      </c>
      <c r="E131" s="305">
        <f t="shared" si="18"/>
        <v>14370</v>
      </c>
      <c r="F131" s="306">
        <f t="shared" si="18"/>
        <v>10462</v>
      </c>
      <c r="G131" s="307">
        <f t="shared" si="18"/>
        <v>2474</v>
      </c>
      <c r="H131" s="307">
        <f t="shared" si="18"/>
        <v>730</v>
      </c>
      <c r="I131" s="307">
        <f t="shared" si="18"/>
        <v>7209</v>
      </c>
      <c r="J131" s="308">
        <f t="shared" si="18"/>
        <v>49</v>
      </c>
      <c r="K131" s="306">
        <f t="shared" si="18"/>
        <v>3908</v>
      </c>
      <c r="L131" s="307">
        <f t="shared" si="18"/>
        <v>196</v>
      </c>
      <c r="M131" s="307">
        <f t="shared" si="18"/>
        <v>0</v>
      </c>
      <c r="N131" s="307">
        <f t="shared" si="19"/>
        <v>3578</v>
      </c>
      <c r="O131" s="309">
        <f t="shared" si="19"/>
        <v>134</v>
      </c>
      <c r="P131" s="305">
        <f t="shared" si="19"/>
        <v>315</v>
      </c>
      <c r="Q131" s="306">
        <f t="shared" si="19"/>
        <v>210</v>
      </c>
      <c r="R131" s="307">
        <f t="shared" si="19"/>
        <v>44</v>
      </c>
      <c r="S131" s="307">
        <f t="shared" si="19"/>
        <v>14</v>
      </c>
      <c r="T131" s="307">
        <f t="shared" si="19"/>
        <v>151</v>
      </c>
      <c r="U131" s="308">
        <f t="shared" si="19"/>
        <v>1</v>
      </c>
      <c r="V131" s="306">
        <f t="shared" si="19"/>
        <v>105</v>
      </c>
      <c r="W131" s="307">
        <f t="shared" si="19"/>
        <v>5</v>
      </c>
      <c r="X131" s="307">
        <f t="shared" si="19"/>
        <v>0</v>
      </c>
      <c r="Y131" s="307">
        <f t="shared" si="19"/>
        <v>97</v>
      </c>
      <c r="Z131" s="309">
        <f t="shared" si="19"/>
        <v>3</v>
      </c>
    </row>
    <row r="132" spans="1:26" ht="14.25" x14ac:dyDescent="0.2">
      <c r="A132" s="323" t="s">
        <v>378</v>
      </c>
      <c r="B132" s="324">
        <v>45413</v>
      </c>
      <c r="C132" s="325">
        <v>2024</v>
      </c>
      <c r="D132" s="305">
        <f t="shared" si="18"/>
        <v>190530</v>
      </c>
      <c r="E132" s="305">
        <f t="shared" si="18"/>
        <v>14370</v>
      </c>
      <c r="F132" s="306">
        <f t="shared" si="18"/>
        <v>10462</v>
      </c>
      <c r="G132" s="307">
        <f t="shared" si="18"/>
        <v>2474</v>
      </c>
      <c r="H132" s="307">
        <f t="shared" si="18"/>
        <v>730</v>
      </c>
      <c r="I132" s="307">
        <f t="shared" si="18"/>
        <v>7209</v>
      </c>
      <c r="J132" s="308">
        <f t="shared" si="18"/>
        <v>49</v>
      </c>
      <c r="K132" s="306">
        <f t="shared" si="18"/>
        <v>3908</v>
      </c>
      <c r="L132" s="307">
        <f t="shared" si="18"/>
        <v>196</v>
      </c>
      <c r="M132" s="307">
        <f t="shared" si="18"/>
        <v>0</v>
      </c>
      <c r="N132" s="307">
        <f t="shared" si="19"/>
        <v>3578</v>
      </c>
      <c r="O132" s="309">
        <f t="shared" si="19"/>
        <v>134</v>
      </c>
      <c r="P132" s="305">
        <f t="shared" si="19"/>
        <v>315</v>
      </c>
      <c r="Q132" s="306">
        <f t="shared" si="19"/>
        <v>210</v>
      </c>
      <c r="R132" s="307">
        <f t="shared" si="19"/>
        <v>44</v>
      </c>
      <c r="S132" s="307">
        <f t="shared" si="19"/>
        <v>14</v>
      </c>
      <c r="T132" s="307">
        <f t="shared" si="19"/>
        <v>151</v>
      </c>
      <c r="U132" s="308">
        <f t="shared" si="19"/>
        <v>1</v>
      </c>
      <c r="V132" s="306">
        <f t="shared" si="19"/>
        <v>105</v>
      </c>
      <c r="W132" s="307">
        <f t="shared" si="19"/>
        <v>5</v>
      </c>
      <c r="X132" s="307">
        <f t="shared" si="19"/>
        <v>0</v>
      </c>
      <c r="Y132" s="307">
        <f t="shared" si="19"/>
        <v>97</v>
      </c>
      <c r="Z132" s="309">
        <f t="shared" si="19"/>
        <v>3</v>
      </c>
    </row>
    <row r="133" spans="1:26" ht="14.25" x14ac:dyDescent="0.2">
      <c r="A133" s="323" t="s">
        <v>378</v>
      </c>
      <c r="B133" s="324">
        <v>45444</v>
      </c>
      <c r="C133" s="325">
        <v>2024</v>
      </c>
      <c r="D133" s="305">
        <f t="shared" si="18"/>
        <v>190530</v>
      </c>
      <c r="E133" s="305">
        <f t="shared" si="18"/>
        <v>14370</v>
      </c>
      <c r="F133" s="306">
        <f t="shared" si="18"/>
        <v>10462</v>
      </c>
      <c r="G133" s="307">
        <f t="shared" si="18"/>
        <v>2474</v>
      </c>
      <c r="H133" s="307">
        <f t="shared" si="18"/>
        <v>730</v>
      </c>
      <c r="I133" s="307">
        <f t="shared" si="18"/>
        <v>7209</v>
      </c>
      <c r="J133" s="308">
        <f t="shared" si="18"/>
        <v>49</v>
      </c>
      <c r="K133" s="306">
        <f t="shared" si="18"/>
        <v>3908</v>
      </c>
      <c r="L133" s="307">
        <f t="shared" si="18"/>
        <v>196</v>
      </c>
      <c r="M133" s="307">
        <f t="shared" si="18"/>
        <v>0</v>
      </c>
      <c r="N133" s="307">
        <f t="shared" si="19"/>
        <v>3578</v>
      </c>
      <c r="O133" s="309">
        <f t="shared" si="19"/>
        <v>134</v>
      </c>
      <c r="P133" s="305">
        <f t="shared" si="19"/>
        <v>315</v>
      </c>
      <c r="Q133" s="306">
        <f t="shared" si="19"/>
        <v>210</v>
      </c>
      <c r="R133" s="307">
        <f t="shared" si="19"/>
        <v>44</v>
      </c>
      <c r="S133" s="307">
        <f t="shared" si="19"/>
        <v>14</v>
      </c>
      <c r="T133" s="307">
        <f t="shared" si="19"/>
        <v>151</v>
      </c>
      <c r="U133" s="308">
        <f t="shared" si="19"/>
        <v>1</v>
      </c>
      <c r="V133" s="306">
        <f t="shared" si="19"/>
        <v>105</v>
      </c>
      <c r="W133" s="307">
        <f t="shared" si="19"/>
        <v>5</v>
      </c>
      <c r="X133" s="307">
        <f t="shared" si="19"/>
        <v>0</v>
      </c>
      <c r="Y133" s="307">
        <f t="shared" si="19"/>
        <v>97</v>
      </c>
      <c r="Z133" s="309">
        <f t="shared" si="19"/>
        <v>3</v>
      </c>
    </row>
    <row r="134" spans="1:26" ht="14.25" x14ac:dyDescent="0.2">
      <c r="A134" s="323" t="s">
        <v>390</v>
      </c>
      <c r="B134" s="324">
        <v>45474</v>
      </c>
      <c r="C134" s="325">
        <v>2024</v>
      </c>
      <c r="D134" s="305">
        <f t="shared" si="18"/>
        <v>182361</v>
      </c>
      <c r="E134" s="305">
        <f t="shared" si="18"/>
        <v>15946</v>
      </c>
      <c r="F134" s="306">
        <f t="shared" si="18"/>
        <v>11771</v>
      </c>
      <c r="G134" s="307">
        <f t="shared" si="18"/>
        <v>2542</v>
      </c>
      <c r="H134" s="307">
        <f t="shared" si="18"/>
        <v>967</v>
      </c>
      <c r="I134" s="307">
        <f t="shared" si="18"/>
        <v>8192</v>
      </c>
      <c r="J134" s="308">
        <f t="shared" si="18"/>
        <v>70</v>
      </c>
      <c r="K134" s="306">
        <f t="shared" si="18"/>
        <v>4175</v>
      </c>
      <c r="L134" s="307">
        <f t="shared" si="18"/>
        <v>435</v>
      </c>
      <c r="M134" s="307">
        <f t="shared" si="18"/>
        <v>0</v>
      </c>
      <c r="N134" s="307">
        <f t="shared" si="19"/>
        <v>3645</v>
      </c>
      <c r="O134" s="309">
        <f t="shared" si="19"/>
        <v>95</v>
      </c>
      <c r="P134" s="305">
        <f t="shared" si="19"/>
        <v>315</v>
      </c>
      <c r="Q134" s="306">
        <f t="shared" si="19"/>
        <v>211</v>
      </c>
      <c r="R134" s="307">
        <f t="shared" si="19"/>
        <v>40</v>
      </c>
      <c r="S134" s="307">
        <f t="shared" si="19"/>
        <v>26</v>
      </c>
      <c r="T134" s="307">
        <f t="shared" si="19"/>
        <v>143</v>
      </c>
      <c r="U134" s="308">
        <f t="shared" si="19"/>
        <v>2</v>
      </c>
      <c r="V134" s="306">
        <f t="shared" si="19"/>
        <v>104</v>
      </c>
      <c r="W134" s="307">
        <f t="shared" si="19"/>
        <v>8</v>
      </c>
      <c r="X134" s="307">
        <f t="shared" si="19"/>
        <v>0</v>
      </c>
      <c r="Y134" s="307">
        <f t="shared" si="19"/>
        <v>93</v>
      </c>
      <c r="Z134" s="309">
        <f t="shared" si="19"/>
        <v>3</v>
      </c>
    </row>
    <row r="135" spans="1:26" ht="14.25" x14ac:dyDescent="0.2">
      <c r="A135" s="323" t="s">
        <v>390</v>
      </c>
      <c r="B135" s="324">
        <v>45505</v>
      </c>
      <c r="C135" s="325">
        <v>2024</v>
      </c>
      <c r="D135" s="305">
        <f t="shared" si="18"/>
        <v>182361</v>
      </c>
      <c r="E135" s="305">
        <f t="shared" si="18"/>
        <v>15946</v>
      </c>
      <c r="F135" s="306">
        <f t="shared" si="18"/>
        <v>11771</v>
      </c>
      <c r="G135" s="307">
        <f t="shared" si="18"/>
        <v>2542</v>
      </c>
      <c r="H135" s="307">
        <f t="shared" si="18"/>
        <v>967</v>
      </c>
      <c r="I135" s="307">
        <f t="shared" si="18"/>
        <v>8192</v>
      </c>
      <c r="J135" s="308">
        <f t="shared" si="18"/>
        <v>70</v>
      </c>
      <c r="K135" s="306">
        <f t="shared" si="18"/>
        <v>4175</v>
      </c>
      <c r="L135" s="307">
        <f t="shared" si="18"/>
        <v>435</v>
      </c>
      <c r="M135" s="307">
        <f t="shared" si="18"/>
        <v>0</v>
      </c>
      <c r="N135" s="307">
        <f t="shared" si="19"/>
        <v>3645</v>
      </c>
      <c r="O135" s="309">
        <f t="shared" si="19"/>
        <v>95</v>
      </c>
      <c r="P135" s="305">
        <f t="shared" si="19"/>
        <v>315</v>
      </c>
      <c r="Q135" s="306">
        <f t="shared" si="19"/>
        <v>211</v>
      </c>
      <c r="R135" s="307">
        <f t="shared" si="19"/>
        <v>40</v>
      </c>
      <c r="S135" s="307">
        <f t="shared" si="19"/>
        <v>26</v>
      </c>
      <c r="T135" s="307">
        <f t="shared" si="19"/>
        <v>143</v>
      </c>
      <c r="U135" s="308">
        <f t="shared" si="19"/>
        <v>2</v>
      </c>
      <c r="V135" s="306">
        <f t="shared" si="19"/>
        <v>104</v>
      </c>
      <c r="W135" s="307">
        <f t="shared" si="19"/>
        <v>8</v>
      </c>
      <c r="X135" s="307">
        <f t="shared" si="19"/>
        <v>0</v>
      </c>
      <c r="Y135" s="307">
        <f t="shared" si="19"/>
        <v>93</v>
      </c>
      <c r="Z135" s="309">
        <f t="shared" si="19"/>
        <v>3</v>
      </c>
    </row>
    <row r="136" spans="1:26" ht="14.25" x14ac:dyDescent="0.2">
      <c r="A136" s="323" t="s">
        <v>390</v>
      </c>
      <c r="B136" s="324">
        <v>45536</v>
      </c>
      <c r="C136" s="325">
        <v>2024</v>
      </c>
      <c r="D136" s="305">
        <f t="shared" si="18"/>
        <v>182361</v>
      </c>
      <c r="E136" s="305">
        <f t="shared" si="18"/>
        <v>15946</v>
      </c>
      <c r="F136" s="306">
        <f t="shared" si="18"/>
        <v>11771</v>
      </c>
      <c r="G136" s="307">
        <f t="shared" si="18"/>
        <v>2542</v>
      </c>
      <c r="H136" s="307">
        <f t="shared" si="18"/>
        <v>967</v>
      </c>
      <c r="I136" s="307">
        <f t="shared" si="18"/>
        <v>8192</v>
      </c>
      <c r="J136" s="308">
        <f t="shared" si="18"/>
        <v>70</v>
      </c>
      <c r="K136" s="306">
        <f t="shared" si="18"/>
        <v>4175</v>
      </c>
      <c r="L136" s="307">
        <f t="shared" si="18"/>
        <v>435</v>
      </c>
      <c r="M136" s="307">
        <f t="shared" si="18"/>
        <v>0</v>
      </c>
      <c r="N136" s="307">
        <f t="shared" si="19"/>
        <v>3645</v>
      </c>
      <c r="O136" s="309">
        <f t="shared" si="19"/>
        <v>95</v>
      </c>
      <c r="P136" s="305">
        <f t="shared" si="19"/>
        <v>315</v>
      </c>
      <c r="Q136" s="306">
        <f t="shared" si="19"/>
        <v>211</v>
      </c>
      <c r="R136" s="307">
        <f t="shared" si="19"/>
        <v>40</v>
      </c>
      <c r="S136" s="307">
        <f t="shared" si="19"/>
        <v>26</v>
      </c>
      <c r="T136" s="307">
        <f t="shared" si="19"/>
        <v>143</v>
      </c>
      <c r="U136" s="308">
        <f t="shared" si="19"/>
        <v>2</v>
      </c>
      <c r="V136" s="306">
        <f t="shared" si="19"/>
        <v>104</v>
      </c>
      <c r="W136" s="307">
        <f t="shared" si="19"/>
        <v>8</v>
      </c>
      <c r="X136" s="307">
        <f t="shared" si="19"/>
        <v>0</v>
      </c>
      <c r="Y136" s="307">
        <f t="shared" si="19"/>
        <v>93</v>
      </c>
      <c r="Z136" s="309">
        <f t="shared" si="19"/>
        <v>3</v>
      </c>
    </row>
    <row r="137" spans="1:26" ht="14.25" x14ac:dyDescent="0.2">
      <c r="A137" s="323" t="s">
        <v>391</v>
      </c>
      <c r="B137" s="324">
        <v>45566</v>
      </c>
      <c r="C137" s="325">
        <v>2024</v>
      </c>
      <c r="D137" s="305">
        <f t="shared" si="18"/>
        <v>163345</v>
      </c>
      <c r="E137" s="305">
        <f t="shared" si="18"/>
        <v>15251</v>
      </c>
      <c r="F137" s="306">
        <f t="shared" si="18"/>
        <v>11282</v>
      </c>
      <c r="G137" s="307">
        <f t="shared" si="18"/>
        <v>1816</v>
      </c>
      <c r="H137" s="307">
        <f t="shared" si="18"/>
        <v>1914</v>
      </c>
      <c r="I137" s="307">
        <f t="shared" si="18"/>
        <v>7442</v>
      </c>
      <c r="J137" s="308">
        <f t="shared" si="18"/>
        <v>110</v>
      </c>
      <c r="K137" s="306">
        <f t="shared" si="18"/>
        <v>3969</v>
      </c>
      <c r="L137" s="307">
        <f t="shared" si="18"/>
        <v>341</v>
      </c>
      <c r="M137" s="307">
        <f t="shared" si="18"/>
        <v>0</v>
      </c>
      <c r="N137" s="307">
        <f t="shared" si="19"/>
        <v>3574</v>
      </c>
      <c r="O137" s="309">
        <f t="shared" si="19"/>
        <v>54</v>
      </c>
      <c r="P137" s="305">
        <f t="shared" si="19"/>
        <v>374</v>
      </c>
      <c r="Q137" s="306">
        <f t="shared" si="19"/>
        <v>240</v>
      </c>
      <c r="R137" s="307">
        <f t="shared" si="19"/>
        <v>39</v>
      </c>
      <c r="S137" s="307">
        <f t="shared" si="19"/>
        <v>37</v>
      </c>
      <c r="T137" s="307">
        <f t="shared" si="19"/>
        <v>160</v>
      </c>
      <c r="U137" s="308">
        <f t="shared" si="19"/>
        <v>4</v>
      </c>
      <c r="V137" s="306">
        <f t="shared" si="19"/>
        <v>134</v>
      </c>
      <c r="W137" s="307">
        <f t="shared" si="19"/>
        <v>16</v>
      </c>
      <c r="X137" s="307">
        <f t="shared" si="19"/>
        <v>0</v>
      </c>
      <c r="Y137" s="307">
        <f t="shared" si="19"/>
        <v>117</v>
      </c>
      <c r="Z137" s="309">
        <f t="shared" si="19"/>
        <v>1</v>
      </c>
    </row>
    <row r="138" spans="1:26" ht="14.25" x14ac:dyDescent="0.2">
      <c r="A138" s="323" t="s">
        <v>391</v>
      </c>
      <c r="B138" s="324">
        <v>45597</v>
      </c>
      <c r="C138" s="325">
        <v>2024</v>
      </c>
      <c r="D138" s="305">
        <f t="shared" si="18"/>
        <v>163345</v>
      </c>
      <c r="E138" s="305">
        <f t="shared" si="18"/>
        <v>15251</v>
      </c>
      <c r="F138" s="306">
        <f t="shared" si="18"/>
        <v>11282</v>
      </c>
      <c r="G138" s="307">
        <f t="shared" si="18"/>
        <v>1816</v>
      </c>
      <c r="H138" s="307">
        <f t="shared" si="18"/>
        <v>1914</v>
      </c>
      <c r="I138" s="307">
        <f t="shared" si="18"/>
        <v>7442</v>
      </c>
      <c r="J138" s="308">
        <f t="shared" si="18"/>
        <v>110</v>
      </c>
      <c r="K138" s="306">
        <f t="shared" si="18"/>
        <v>3969</v>
      </c>
      <c r="L138" s="307">
        <f t="shared" si="18"/>
        <v>341</v>
      </c>
      <c r="M138" s="307">
        <f t="shared" si="18"/>
        <v>0</v>
      </c>
      <c r="N138" s="307">
        <f t="shared" si="19"/>
        <v>3574</v>
      </c>
      <c r="O138" s="309">
        <f t="shared" si="19"/>
        <v>54</v>
      </c>
      <c r="P138" s="305">
        <f t="shared" si="19"/>
        <v>374</v>
      </c>
      <c r="Q138" s="306">
        <f t="shared" si="19"/>
        <v>240</v>
      </c>
      <c r="R138" s="307">
        <f t="shared" si="19"/>
        <v>39</v>
      </c>
      <c r="S138" s="307">
        <f t="shared" si="19"/>
        <v>37</v>
      </c>
      <c r="T138" s="307">
        <f t="shared" si="19"/>
        <v>160</v>
      </c>
      <c r="U138" s="308">
        <f t="shared" si="19"/>
        <v>4</v>
      </c>
      <c r="V138" s="306">
        <f t="shared" si="19"/>
        <v>134</v>
      </c>
      <c r="W138" s="307">
        <f t="shared" si="19"/>
        <v>16</v>
      </c>
      <c r="X138" s="307">
        <f t="shared" si="19"/>
        <v>0</v>
      </c>
      <c r="Y138" s="307">
        <f t="shared" si="19"/>
        <v>117</v>
      </c>
      <c r="Z138" s="309">
        <f t="shared" si="19"/>
        <v>1</v>
      </c>
    </row>
    <row r="139" spans="1:26" ht="14.25" x14ac:dyDescent="0.2">
      <c r="A139" s="323" t="s">
        <v>391</v>
      </c>
      <c r="B139" s="324">
        <v>45627</v>
      </c>
      <c r="C139" s="325">
        <v>2024</v>
      </c>
      <c r="D139" s="305">
        <f t="shared" ref="D139:S150" si="20">SUMIFS(D$5:D$40,$B$5:$B$40,$A139)</f>
        <v>163345</v>
      </c>
      <c r="E139" s="305">
        <f t="shared" si="20"/>
        <v>15251</v>
      </c>
      <c r="F139" s="306">
        <f t="shared" si="20"/>
        <v>11282</v>
      </c>
      <c r="G139" s="307">
        <f t="shared" si="20"/>
        <v>1816</v>
      </c>
      <c r="H139" s="307">
        <f t="shared" si="20"/>
        <v>1914</v>
      </c>
      <c r="I139" s="307">
        <f t="shared" si="20"/>
        <v>7442</v>
      </c>
      <c r="J139" s="308">
        <f t="shared" si="20"/>
        <v>110</v>
      </c>
      <c r="K139" s="306">
        <f t="shared" si="20"/>
        <v>3969</v>
      </c>
      <c r="L139" s="307">
        <f t="shared" si="20"/>
        <v>341</v>
      </c>
      <c r="M139" s="307">
        <f t="shared" si="20"/>
        <v>0</v>
      </c>
      <c r="N139" s="307">
        <f t="shared" si="20"/>
        <v>3574</v>
      </c>
      <c r="O139" s="309">
        <f t="shared" si="20"/>
        <v>54</v>
      </c>
      <c r="P139" s="305">
        <f t="shared" si="20"/>
        <v>374</v>
      </c>
      <c r="Q139" s="306">
        <f t="shared" si="20"/>
        <v>240</v>
      </c>
      <c r="R139" s="307">
        <f t="shared" si="20"/>
        <v>39</v>
      </c>
      <c r="S139" s="307">
        <f t="shared" si="20"/>
        <v>37</v>
      </c>
      <c r="T139" s="307">
        <f t="shared" ref="T139:Z150" si="21">SUMIFS(T$5:T$40,$B$5:$B$40,$A139)</f>
        <v>160</v>
      </c>
      <c r="U139" s="308">
        <f t="shared" si="21"/>
        <v>4</v>
      </c>
      <c r="V139" s="306">
        <f t="shared" si="21"/>
        <v>134</v>
      </c>
      <c r="W139" s="307">
        <f t="shared" si="21"/>
        <v>16</v>
      </c>
      <c r="X139" s="307">
        <f t="shared" si="21"/>
        <v>0</v>
      </c>
      <c r="Y139" s="307">
        <f t="shared" si="21"/>
        <v>117</v>
      </c>
      <c r="Z139" s="309">
        <f t="shared" si="21"/>
        <v>1</v>
      </c>
    </row>
    <row r="140" spans="1:26" ht="14.25" x14ac:dyDescent="0.2">
      <c r="A140" s="323" t="s">
        <v>482</v>
      </c>
      <c r="B140" s="324">
        <v>45658</v>
      </c>
      <c r="C140" s="325">
        <v>2025</v>
      </c>
      <c r="D140" s="305">
        <f t="shared" si="20"/>
        <v>173667</v>
      </c>
      <c r="E140" s="305">
        <f t="shared" si="20"/>
        <v>12006</v>
      </c>
      <c r="F140" s="306">
        <f t="shared" si="20"/>
        <v>8450</v>
      </c>
      <c r="G140" s="307">
        <f t="shared" si="20"/>
        <v>1121</v>
      </c>
      <c r="H140" s="307">
        <f t="shared" si="20"/>
        <v>1188</v>
      </c>
      <c r="I140" s="307">
        <f t="shared" si="20"/>
        <v>5991</v>
      </c>
      <c r="J140" s="308">
        <f t="shared" si="20"/>
        <v>150</v>
      </c>
      <c r="K140" s="306">
        <f t="shared" si="20"/>
        <v>3556</v>
      </c>
      <c r="L140" s="307">
        <f t="shared" si="20"/>
        <v>404</v>
      </c>
      <c r="M140" s="307">
        <f t="shared" si="20"/>
        <v>0</v>
      </c>
      <c r="N140" s="307">
        <f t="shared" si="20"/>
        <v>3061</v>
      </c>
      <c r="O140" s="309">
        <f t="shared" si="20"/>
        <v>91</v>
      </c>
      <c r="P140" s="305">
        <f t="shared" si="20"/>
        <v>300</v>
      </c>
      <c r="Q140" s="306">
        <f t="shared" si="20"/>
        <v>201</v>
      </c>
      <c r="R140" s="307">
        <f t="shared" si="20"/>
        <v>18</v>
      </c>
      <c r="S140" s="307">
        <f t="shared" si="20"/>
        <v>41</v>
      </c>
      <c r="T140" s="307">
        <f t="shared" si="21"/>
        <v>137</v>
      </c>
      <c r="U140" s="308">
        <f t="shared" si="21"/>
        <v>5</v>
      </c>
      <c r="V140" s="306">
        <f t="shared" si="21"/>
        <v>99</v>
      </c>
      <c r="W140" s="307">
        <f t="shared" si="21"/>
        <v>9</v>
      </c>
      <c r="X140" s="307">
        <f t="shared" si="21"/>
        <v>0</v>
      </c>
      <c r="Y140" s="307">
        <f t="shared" si="21"/>
        <v>89</v>
      </c>
      <c r="Z140" s="309">
        <f t="shared" si="21"/>
        <v>1</v>
      </c>
    </row>
    <row r="141" spans="1:26" ht="14.25" x14ac:dyDescent="0.2">
      <c r="A141" s="323" t="s">
        <v>482</v>
      </c>
      <c r="B141" s="324">
        <v>45689</v>
      </c>
      <c r="C141" s="325">
        <v>2025</v>
      </c>
      <c r="D141" s="305">
        <f t="shared" si="20"/>
        <v>173667</v>
      </c>
      <c r="E141" s="305">
        <f t="shared" si="20"/>
        <v>12006</v>
      </c>
      <c r="F141" s="306">
        <f t="shared" si="20"/>
        <v>8450</v>
      </c>
      <c r="G141" s="307">
        <f t="shared" si="20"/>
        <v>1121</v>
      </c>
      <c r="H141" s="307">
        <f t="shared" si="20"/>
        <v>1188</v>
      </c>
      <c r="I141" s="307">
        <f t="shared" si="20"/>
        <v>5991</v>
      </c>
      <c r="J141" s="308">
        <f t="shared" si="20"/>
        <v>150</v>
      </c>
      <c r="K141" s="306">
        <f t="shared" si="20"/>
        <v>3556</v>
      </c>
      <c r="L141" s="307">
        <f t="shared" si="20"/>
        <v>404</v>
      </c>
      <c r="M141" s="307">
        <f t="shared" si="20"/>
        <v>0</v>
      </c>
      <c r="N141" s="307">
        <f t="shared" si="20"/>
        <v>3061</v>
      </c>
      <c r="O141" s="309">
        <f t="shared" si="20"/>
        <v>91</v>
      </c>
      <c r="P141" s="305">
        <f t="shared" si="20"/>
        <v>300</v>
      </c>
      <c r="Q141" s="306">
        <f t="shared" si="20"/>
        <v>201</v>
      </c>
      <c r="R141" s="307">
        <f t="shared" si="20"/>
        <v>18</v>
      </c>
      <c r="S141" s="307">
        <f t="shared" si="20"/>
        <v>41</v>
      </c>
      <c r="T141" s="307">
        <f t="shared" si="21"/>
        <v>137</v>
      </c>
      <c r="U141" s="308">
        <f t="shared" si="21"/>
        <v>5</v>
      </c>
      <c r="V141" s="306">
        <f t="shared" si="21"/>
        <v>99</v>
      </c>
      <c r="W141" s="307">
        <f t="shared" si="21"/>
        <v>9</v>
      </c>
      <c r="X141" s="307">
        <f t="shared" si="21"/>
        <v>0</v>
      </c>
      <c r="Y141" s="307">
        <f t="shared" si="21"/>
        <v>89</v>
      </c>
      <c r="Z141" s="309">
        <f t="shared" si="21"/>
        <v>1</v>
      </c>
    </row>
    <row r="142" spans="1:26" ht="14.25" x14ac:dyDescent="0.2">
      <c r="A142" s="323" t="s">
        <v>482</v>
      </c>
      <c r="B142" s="324">
        <v>45717</v>
      </c>
      <c r="C142" s="325">
        <v>2025</v>
      </c>
      <c r="D142" s="305">
        <f t="shared" si="20"/>
        <v>173667</v>
      </c>
      <c r="E142" s="305">
        <f t="shared" si="20"/>
        <v>12006</v>
      </c>
      <c r="F142" s="306">
        <f t="shared" si="20"/>
        <v>8450</v>
      </c>
      <c r="G142" s="307">
        <f t="shared" si="20"/>
        <v>1121</v>
      </c>
      <c r="H142" s="307">
        <f t="shared" si="20"/>
        <v>1188</v>
      </c>
      <c r="I142" s="307">
        <f t="shared" si="20"/>
        <v>5991</v>
      </c>
      <c r="J142" s="308">
        <f t="shared" si="20"/>
        <v>150</v>
      </c>
      <c r="K142" s="306">
        <f t="shared" si="20"/>
        <v>3556</v>
      </c>
      <c r="L142" s="307">
        <f t="shared" si="20"/>
        <v>404</v>
      </c>
      <c r="M142" s="307">
        <f t="shared" si="20"/>
        <v>0</v>
      </c>
      <c r="N142" s="307">
        <f t="shared" si="20"/>
        <v>3061</v>
      </c>
      <c r="O142" s="309">
        <f t="shared" si="20"/>
        <v>91</v>
      </c>
      <c r="P142" s="305">
        <f t="shared" si="20"/>
        <v>300</v>
      </c>
      <c r="Q142" s="306">
        <f t="shared" si="20"/>
        <v>201</v>
      </c>
      <c r="R142" s="307">
        <f t="shared" si="20"/>
        <v>18</v>
      </c>
      <c r="S142" s="307">
        <f t="shared" si="20"/>
        <v>41</v>
      </c>
      <c r="T142" s="307">
        <f t="shared" si="21"/>
        <v>137</v>
      </c>
      <c r="U142" s="308">
        <f t="shared" si="21"/>
        <v>5</v>
      </c>
      <c r="V142" s="306">
        <f t="shared" si="21"/>
        <v>99</v>
      </c>
      <c r="W142" s="307">
        <f t="shared" si="21"/>
        <v>9</v>
      </c>
      <c r="X142" s="307">
        <f t="shared" si="21"/>
        <v>0</v>
      </c>
      <c r="Y142" s="307">
        <f t="shared" si="21"/>
        <v>89</v>
      </c>
      <c r="Z142" s="309">
        <f t="shared" si="21"/>
        <v>1</v>
      </c>
    </row>
    <row r="143" spans="1:26" ht="14.25" x14ac:dyDescent="0.2">
      <c r="A143" s="323" t="s">
        <v>483</v>
      </c>
      <c r="B143" s="324">
        <v>45748</v>
      </c>
      <c r="C143" s="325">
        <v>2025</v>
      </c>
      <c r="D143" s="305">
        <f t="shared" si="20"/>
        <v>202204</v>
      </c>
      <c r="E143" s="305">
        <f t="shared" si="20"/>
        <v>11694</v>
      </c>
      <c r="F143" s="306">
        <f t="shared" si="20"/>
        <v>7530</v>
      </c>
      <c r="G143" s="307">
        <f t="shared" si="20"/>
        <v>1093</v>
      </c>
      <c r="H143" s="307">
        <f t="shared" si="20"/>
        <v>1082</v>
      </c>
      <c r="I143" s="307">
        <f t="shared" si="20"/>
        <v>5176</v>
      </c>
      <c r="J143" s="308">
        <f t="shared" si="20"/>
        <v>179</v>
      </c>
      <c r="K143" s="306">
        <f t="shared" si="20"/>
        <v>4164</v>
      </c>
      <c r="L143" s="307">
        <f t="shared" si="20"/>
        <v>708</v>
      </c>
      <c r="M143" s="307">
        <f t="shared" si="20"/>
        <v>0</v>
      </c>
      <c r="N143" s="307">
        <f t="shared" si="20"/>
        <v>3389</v>
      </c>
      <c r="O143" s="309">
        <f t="shared" si="20"/>
        <v>67</v>
      </c>
      <c r="P143" s="305">
        <f t="shared" si="20"/>
        <v>275</v>
      </c>
      <c r="Q143" s="306">
        <f t="shared" si="20"/>
        <v>182</v>
      </c>
      <c r="R143" s="307">
        <f t="shared" si="20"/>
        <v>20</v>
      </c>
      <c r="S143" s="307">
        <f t="shared" si="20"/>
        <v>27</v>
      </c>
      <c r="T143" s="307">
        <f t="shared" si="21"/>
        <v>123</v>
      </c>
      <c r="U143" s="308">
        <f t="shared" si="21"/>
        <v>12</v>
      </c>
      <c r="V143" s="306">
        <f t="shared" si="21"/>
        <v>93</v>
      </c>
      <c r="W143" s="307">
        <f t="shared" si="21"/>
        <v>12</v>
      </c>
      <c r="X143" s="307">
        <f t="shared" si="21"/>
        <v>0</v>
      </c>
      <c r="Y143" s="307">
        <f t="shared" si="21"/>
        <v>80</v>
      </c>
      <c r="Z143" s="309">
        <f t="shared" si="21"/>
        <v>1</v>
      </c>
    </row>
    <row r="144" spans="1:26" ht="14.25" x14ac:dyDescent="0.2">
      <c r="A144" s="323" t="s">
        <v>483</v>
      </c>
      <c r="B144" s="324">
        <v>45778</v>
      </c>
      <c r="C144" s="325">
        <v>2025</v>
      </c>
      <c r="D144" s="305">
        <f t="shared" si="20"/>
        <v>202204</v>
      </c>
      <c r="E144" s="305">
        <f t="shared" si="20"/>
        <v>11694</v>
      </c>
      <c r="F144" s="306">
        <f t="shared" si="20"/>
        <v>7530</v>
      </c>
      <c r="G144" s="307">
        <f t="shared" si="20"/>
        <v>1093</v>
      </c>
      <c r="H144" s="307">
        <f t="shared" si="20"/>
        <v>1082</v>
      </c>
      <c r="I144" s="307">
        <f t="shared" si="20"/>
        <v>5176</v>
      </c>
      <c r="J144" s="308">
        <f t="shared" si="20"/>
        <v>179</v>
      </c>
      <c r="K144" s="306">
        <f t="shared" si="20"/>
        <v>4164</v>
      </c>
      <c r="L144" s="307">
        <f t="shared" si="20"/>
        <v>708</v>
      </c>
      <c r="M144" s="307">
        <f t="shared" si="20"/>
        <v>0</v>
      </c>
      <c r="N144" s="307">
        <f t="shared" si="20"/>
        <v>3389</v>
      </c>
      <c r="O144" s="309">
        <f t="shared" si="20"/>
        <v>67</v>
      </c>
      <c r="P144" s="305">
        <f t="shared" si="20"/>
        <v>275</v>
      </c>
      <c r="Q144" s="306">
        <f t="shared" si="20"/>
        <v>182</v>
      </c>
      <c r="R144" s="307">
        <f t="shared" si="20"/>
        <v>20</v>
      </c>
      <c r="S144" s="307">
        <f t="shared" si="20"/>
        <v>27</v>
      </c>
      <c r="T144" s="307">
        <f t="shared" si="21"/>
        <v>123</v>
      </c>
      <c r="U144" s="308">
        <f t="shared" si="21"/>
        <v>12</v>
      </c>
      <c r="V144" s="306">
        <f t="shared" si="21"/>
        <v>93</v>
      </c>
      <c r="W144" s="307">
        <f t="shared" si="21"/>
        <v>12</v>
      </c>
      <c r="X144" s="307">
        <f t="shared" si="21"/>
        <v>0</v>
      </c>
      <c r="Y144" s="307">
        <f t="shared" si="21"/>
        <v>80</v>
      </c>
      <c r="Z144" s="309">
        <f t="shared" si="21"/>
        <v>1</v>
      </c>
    </row>
    <row r="145" spans="1:26" ht="14.25" x14ac:dyDescent="0.2">
      <c r="A145" s="323" t="s">
        <v>483</v>
      </c>
      <c r="B145" s="324">
        <v>45809</v>
      </c>
      <c r="C145" s="325">
        <v>2025</v>
      </c>
      <c r="D145" s="305">
        <f t="shared" si="20"/>
        <v>202204</v>
      </c>
      <c r="E145" s="305">
        <f t="shared" si="20"/>
        <v>11694</v>
      </c>
      <c r="F145" s="306">
        <f t="shared" si="20"/>
        <v>7530</v>
      </c>
      <c r="G145" s="307">
        <f t="shared" si="20"/>
        <v>1093</v>
      </c>
      <c r="H145" s="307">
        <f t="shared" si="20"/>
        <v>1082</v>
      </c>
      <c r="I145" s="307">
        <f t="shared" si="20"/>
        <v>5176</v>
      </c>
      <c r="J145" s="308">
        <f t="shared" si="20"/>
        <v>179</v>
      </c>
      <c r="K145" s="306">
        <f t="shared" si="20"/>
        <v>4164</v>
      </c>
      <c r="L145" s="307">
        <f t="shared" si="20"/>
        <v>708</v>
      </c>
      <c r="M145" s="307">
        <f t="shared" si="20"/>
        <v>0</v>
      </c>
      <c r="N145" s="307">
        <f t="shared" si="20"/>
        <v>3389</v>
      </c>
      <c r="O145" s="309">
        <f t="shared" si="20"/>
        <v>67</v>
      </c>
      <c r="P145" s="305">
        <f t="shared" si="20"/>
        <v>275</v>
      </c>
      <c r="Q145" s="306">
        <f t="shared" si="20"/>
        <v>182</v>
      </c>
      <c r="R145" s="307">
        <f t="shared" si="20"/>
        <v>20</v>
      </c>
      <c r="S145" s="307">
        <f t="shared" si="20"/>
        <v>27</v>
      </c>
      <c r="T145" s="307">
        <f t="shared" si="21"/>
        <v>123</v>
      </c>
      <c r="U145" s="308">
        <f t="shared" si="21"/>
        <v>12</v>
      </c>
      <c r="V145" s="306">
        <f t="shared" si="21"/>
        <v>93</v>
      </c>
      <c r="W145" s="307">
        <f t="shared" si="21"/>
        <v>12</v>
      </c>
      <c r="X145" s="307">
        <f t="shared" si="21"/>
        <v>0</v>
      </c>
      <c r="Y145" s="307">
        <f t="shared" si="21"/>
        <v>80</v>
      </c>
      <c r="Z145" s="309">
        <f t="shared" si="21"/>
        <v>1</v>
      </c>
    </row>
    <row r="146" spans="1:26" ht="14.25" x14ac:dyDescent="0.2">
      <c r="A146" s="323" t="s">
        <v>484</v>
      </c>
      <c r="B146" s="324">
        <v>45839</v>
      </c>
      <c r="C146" s="325">
        <v>2025</v>
      </c>
      <c r="D146" s="305">
        <f t="shared" si="20"/>
        <v>184799</v>
      </c>
      <c r="E146" s="305">
        <f t="shared" si="20"/>
        <v>11890</v>
      </c>
      <c r="F146" s="306">
        <f t="shared" si="20"/>
        <v>7426</v>
      </c>
      <c r="G146" s="307">
        <f t="shared" si="20"/>
        <v>1158</v>
      </c>
      <c r="H146" s="307">
        <f t="shared" si="20"/>
        <v>808</v>
      </c>
      <c r="I146" s="307">
        <f t="shared" si="20"/>
        <v>5108</v>
      </c>
      <c r="J146" s="308">
        <f t="shared" si="20"/>
        <v>352</v>
      </c>
      <c r="K146" s="306">
        <f t="shared" si="20"/>
        <v>4464</v>
      </c>
      <c r="L146" s="307">
        <f t="shared" si="20"/>
        <v>861</v>
      </c>
      <c r="M146" s="307">
        <f t="shared" si="20"/>
        <v>0</v>
      </c>
      <c r="N146" s="307">
        <f t="shared" si="20"/>
        <v>3539</v>
      </c>
      <c r="O146" s="309">
        <f t="shared" si="20"/>
        <v>64</v>
      </c>
      <c r="P146" s="305">
        <f t="shared" si="20"/>
        <v>346</v>
      </c>
      <c r="Q146" s="306">
        <f t="shared" si="20"/>
        <v>203</v>
      </c>
      <c r="R146" s="307">
        <f t="shared" si="20"/>
        <v>28</v>
      </c>
      <c r="S146" s="307">
        <f t="shared" si="20"/>
        <v>15</v>
      </c>
      <c r="T146" s="307">
        <f t="shared" si="21"/>
        <v>127</v>
      </c>
      <c r="U146" s="308">
        <f t="shared" si="21"/>
        <v>33</v>
      </c>
      <c r="V146" s="306">
        <f t="shared" si="21"/>
        <v>143</v>
      </c>
      <c r="W146" s="307">
        <f t="shared" si="21"/>
        <v>37</v>
      </c>
      <c r="X146" s="307">
        <f t="shared" si="21"/>
        <v>0</v>
      </c>
      <c r="Y146" s="307">
        <f t="shared" si="21"/>
        <v>105</v>
      </c>
      <c r="Z146" s="309">
        <f t="shared" si="21"/>
        <v>1</v>
      </c>
    </row>
    <row r="147" spans="1:26" ht="14.25" x14ac:dyDescent="0.2">
      <c r="A147" s="323" t="s">
        <v>484</v>
      </c>
      <c r="B147" s="324">
        <v>45870</v>
      </c>
      <c r="C147" s="325">
        <v>2025</v>
      </c>
      <c r="D147" s="305">
        <f t="shared" si="20"/>
        <v>184799</v>
      </c>
      <c r="E147" s="305">
        <f t="shared" si="20"/>
        <v>11890</v>
      </c>
      <c r="F147" s="306">
        <f t="shared" si="20"/>
        <v>7426</v>
      </c>
      <c r="G147" s="307">
        <f t="shared" si="20"/>
        <v>1158</v>
      </c>
      <c r="H147" s="307">
        <f t="shared" si="20"/>
        <v>808</v>
      </c>
      <c r="I147" s="307">
        <f t="shared" si="20"/>
        <v>5108</v>
      </c>
      <c r="J147" s="308">
        <f t="shared" si="20"/>
        <v>352</v>
      </c>
      <c r="K147" s="306">
        <f t="shared" si="20"/>
        <v>4464</v>
      </c>
      <c r="L147" s="307">
        <f t="shared" si="20"/>
        <v>861</v>
      </c>
      <c r="M147" s="307">
        <f t="shared" si="20"/>
        <v>0</v>
      </c>
      <c r="N147" s="307">
        <f t="shared" si="20"/>
        <v>3539</v>
      </c>
      <c r="O147" s="309">
        <f t="shared" si="20"/>
        <v>64</v>
      </c>
      <c r="P147" s="305">
        <f t="shared" si="20"/>
        <v>346</v>
      </c>
      <c r="Q147" s="306">
        <f t="shared" si="20"/>
        <v>203</v>
      </c>
      <c r="R147" s="307">
        <f t="shared" si="20"/>
        <v>28</v>
      </c>
      <c r="S147" s="307">
        <f t="shared" si="20"/>
        <v>15</v>
      </c>
      <c r="T147" s="307">
        <f t="shared" si="21"/>
        <v>127</v>
      </c>
      <c r="U147" s="308">
        <f t="shared" si="21"/>
        <v>33</v>
      </c>
      <c r="V147" s="306">
        <f t="shared" si="21"/>
        <v>143</v>
      </c>
      <c r="W147" s="307">
        <f t="shared" si="21"/>
        <v>37</v>
      </c>
      <c r="X147" s="307">
        <f t="shared" si="21"/>
        <v>0</v>
      </c>
      <c r="Y147" s="307">
        <f t="shared" si="21"/>
        <v>105</v>
      </c>
      <c r="Z147" s="309">
        <f t="shared" si="21"/>
        <v>1</v>
      </c>
    </row>
    <row r="148" spans="1:26" ht="14.25" x14ac:dyDescent="0.2">
      <c r="A148" s="323" t="s">
        <v>484</v>
      </c>
      <c r="B148" s="324">
        <v>45901</v>
      </c>
      <c r="C148" s="325">
        <v>2025</v>
      </c>
      <c r="D148" s="305">
        <f t="shared" si="20"/>
        <v>184799</v>
      </c>
      <c r="E148" s="305">
        <f t="shared" si="20"/>
        <v>11890</v>
      </c>
      <c r="F148" s="306">
        <f t="shared" si="20"/>
        <v>7426</v>
      </c>
      <c r="G148" s="307">
        <f t="shared" si="20"/>
        <v>1158</v>
      </c>
      <c r="H148" s="307">
        <f t="shared" si="20"/>
        <v>808</v>
      </c>
      <c r="I148" s="307">
        <f t="shared" si="20"/>
        <v>5108</v>
      </c>
      <c r="J148" s="308">
        <f t="shared" si="20"/>
        <v>352</v>
      </c>
      <c r="K148" s="306">
        <f t="shared" si="20"/>
        <v>4464</v>
      </c>
      <c r="L148" s="307">
        <f t="shared" si="20"/>
        <v>861</v>
      </c>
      <c r="M148" s="307">
        <f t="shared" si="20"/>
        <v>0</v>
      </c>
      <c r="N148" s="307">
        <f t="shared" si="20"/>
        <v>3539</v>
      </c>
      <c r="O148" s="309">
        <f t="shared" si="20"/>
        <v>64</v>
      </c>
      <c r="P148" s="305">
        <f t="shared" si="20"/>
        <v>346</v>
      </c>
      <c r="Q148" s="306">
        <f t="shared" si="20"/>
        <v>203</v>
      </c>
      <c r="R148" s="307">
        <f t="shared" si="20"/>
        <v>28</v>
      </c>
      <c r="S148" s="307">
        <f t="shared" si="20"/>
        <v>15</v>
      </c>
      <c r="T148" s="307">
        <f t="shared" si="21"/>
        <v>127</v>
      </c>
      <c r="U148" s="308">
        <f t="shared" si="21"/>
        <v>33</v>
      </c>
      <c r="V148" s="306">
        <f t="shared" si="21"/>
        <v>143</v>
      </c>
      <c r="W148" s="307">
        <f t="shared" si="21"/>
        <v>37</v>
      </c>
      <c r="X148" s="307">
        <f t="shared" si="21"/>
        <v>0</v>
      </c>
      <c r="Y148" s="307">
        <f t="shared" si="21"/>
        <v>105</v>
      </c>
      <c r="Z148" s="309">
        <f t="shared" si="21"/>
        <v>1</v>
      </c>
    </row>
    <row r="149" spans="1:26" ht="14.25" x14ac:dyDescent="0.2">
      <c r="A149" s="323" t="s">
        <v>485</v>
      </c>
      <c r="B149" s="324">
        <v>45931</v>
      </c>
      <c r="C149" s="325">
        <v>2025</v>
      </c>
      <c r="D149" s="305">
        <f>SUMIFS(D$5:D$40,$B$5:$B$40,$A149)</f>
        <v>154190</v>
      </c>
      <c r="E149" s="305">
        <f>SUMIFS(E$5:E$40,$B$5:$B$40,$A149)</f>
        <v>11261</v>
      </c>
      <c r="F149" s="306">
        <f t="shared" si="20"/>
        <v>7488</v>
      </c>
      <c r="G149" s="307">
        <f>SUMIFS(G$5:G$40,$B$5:$B$40,$A149)</f>
        <v>740</v>
      </c>
      <c r="H149" s="307">
        <f t="shared" si="20"/>
        <v>627</v>
      </c>
      <c r="I149" s="307">
        <f t="shared" si="20"/>
        <v>5784</v>
      </c>
      <c r="J149" s="308">
        <f t="shared" si="20"/>
        <v>337</v>
      </c>
      <c r="K149" s="306">
        <f t="shared" si="20"/>
        <v>3773</v>
      </c>
      <c r="L149" s="307">
        <f t="shared" si="20"/>
        <v>728</v>
      </c>
      <c r="M149" s="307">
        <f t="shared" si="20"/>
        <v>0</v>
      </c>
      <c r="N149" s="307">
        <f t="shared" si="20"/>
        <v>2980</v>
      </c>
      <c r="O149" s="309">
        <f t="shared" si="20"/>
        <v>65</v>
      </c>
      <c r="P149" s="305">
        <f t="shared" si="20"/>
        <v>306</v>
      </c>
      <c r="Q149" s="306">
        <f t="shared" si="20"/>
        <v>156</v>
      </c>
      <c r="R149" s="307">
        <f t="shared" si="20"/>
        <v>17</v>
      </c>
      <c r="S149" s="307">
        <f t="shared" si="20"/>
        <v>6</v>
      </c>
      <c r="T149" s="307">
        <f t="shared" si="21"/>
        <v>126</v>
      </c>
      <c r="U149" s="308">
        <f t="shared" si="21"/>
        <v>7</v>
      </c>
      <c r="V149" s="306">
        <f t="shared" si="21"/>
        <v>150</v>
      </c>
      <c r="W149" s="307">
        <f t="shared" si="21"/>
        <v>54</v>
      </c>
      <c r="X149" s="307">
        <f t="shared" si="21"/>
        <v>0</v>
      </c>
      <c r="Y149" s="307">
        <f t="shared" si="21"/>
        <v>95</v>
      </c>
      <c r="Z149" s="309">
        <f t="shared" si="21"/>
        <v>1</v>
      </c>
    </row>
    <row r="150" spans="1:26" ht="14.25" x14ac:dyDescent="0.2">
      <c r="A150" s="323" t="s">
        <v>485</v>
      </c>
      <c r="B150" s="324">
        <v>45962</v>
      </c>
      <c r="C150" s="325">
        <v>2025</v>
      </c>
      <c r="D150" s="305">
        <f t="shared" si="20"/>
        <v>154190</v>
      </c>
      <c r="E150" s="305">
        <f t="shared" si="20"/>
        <v>11261</v>
      </c>
      <c r="F150" s="306">
        <f t="shared" si="20"/>
        <v>7488</v>
      </c>
      <c r="G150" s="307">
        <f t="shared" si="20"/>
        <v>740</v>
      </c>
      <c r="H150" s="307">
        <f t="shared" si="20"/>
        <v>627</v>
      </c>
      <c r="I150" s="307">
        <f t="shared" si="20"/>
        <v>5784</v>
      </c>
      <c r="J150" s="308">
        <f t="shared" si="20"/>
        <v>337</v>
      </c>
      <c r="K150" s="306">
        <f t="shared" si="20"/>
        <v>3773</v>
      </c>
      <c r="L150" s="307">
        <f t="shared" si="20"/>
        <v>728</v>
      </c>
      <c r="M150" s="307">
        <f t="shared" si="20"/>
        <v>0</v>
      </c>
      <c r="N150" s="307">
        <f t="shared" si="20"/>
        <v>2980</v>
      </c>
      <c r="O150" s="309">
        <f t="shared" si="20"/>
        <v>65</v>
      </c>
      <c r="P150" s="305">
        <f t="shared" si="20"/>
        <v>306</v>
      </c>
      <c r="Q150" s="306">
        <f t="shared" si="20"/>
        <v>156</v>
      </c>
      <c r="R150" s="307">
        <f t="shared" si="20"/>
        <v>17</v>
      </c>
      <c r="S150" s="307">
        <f t="shared" si="20"/>
        <v>6</v>
      </c>
      <c r="T150" s="307">
        <f t="shared" si="21"/>
        <v>126</v>
      </c>
      <c r="U150" s="308">
        <f t="shared" si="21"/>
        <v>7</v>
      </c>
      <c r="V150" s="306">
        <f t="shared" si="21"/>
        <v>150</v>
      </c>
      <c r="W150" s="307">
        <f t="shared" si="21"/>
        <v>54</v>
      </c>
      <c r="X150" s="307">
        <f t="shared" si="21"/>
        <v>0</v>
      </c>
      <c r="Y150" s="307">
        <f t="shared" si="21"/>
        <v>95</v>
      </c>
      <c r="Z150" s="309">
        <f t="shared" si="21"/>
        <v>1</v>
      </c>
    </row>
    <row r="151" spans="1:26" ht="15" thickBot="1" x14ac:dyDescent="0.25">
      <c r="A151" s="326" t="s">
        <v>485</v>
      </c>
      <c r="B151" s="327">
        <v>45627</v>
      </c>
      <c r="C151" s="328">
        <v>2025</v>
      </c>
      <c r="D151" s="310">
        <f t="shared" ref="D151:Z151" si="22">SUMIFS(D$5:D$40,$B$5:$B$40,$A151)</f>
        <v>154190</v>
      </c>
      <c r="E151" s="310">
        <f t="shared" si="22"/>
        <v>11261</v>
      </c>
      <c r="F151" s="311">
        <f t="shared" si="22"/>
        <v>7488</v>
      </c>
      <c r="G151" s="312">
        <f t="shared" si="22"/>
        <v>740</v>
      </c>
      <c r="H151" s="312">
        <f t="shared" si="22"/>
        <v>627</v>
      </c>
      <c r="I151" s="312">
        <f t="shared" si="22"/>
        <v>5784</v>
      </c>
      <c r="J151" s="313">
        <f t="shared" si="22"/>
        <v>337</v>
      </c>
      <c r="K151" s="311">
        <f t="shared" si="22"/>
        <v>3773</v>
      </c>
      <c r="L151" s="312">
        <f t="shared" si="22"/>
        <v>728</v>
      </c>
      <c r="M151" s="312">
        <f t="shared" si="22"/>
        <v>0</v>
      </c>
      <c r="N151" s="312">
        <f t="shared" si="22"/>
        <v>2980</v>
      </c>
      <c r="O151" s="314">
        <f t="shared" si="22"/>
        <v>65</v>
      </c>
      <c r="P151" s="310">
        <f t="shared" si="22"/>
        <v>306</v>
      </c>
      <c r="Q151" s="311">
        <f t="shared" si="22"/>
        <v>156</v>
      </c>
      <c r="R151" s="312">
        <f t="shared" si="22"/>
        <v>17</v>
      </c>
      <c r="S151" s="312">
        <f t="shared" si="22"/>
        <v>6</v>
      </c>
      <c r="T151" s="312">
        <f t="shared" si="22"/>
        <v>126</v>
      </c>
      <c r="U151" s="313">
        <f t="shared" si="22"/>
        <v>7</v>
      </c>
      <c r="V151" s="311">
        <f t="shared" si="22"/>
        <v>150</v>
      </c>
      <c r="W151" s="312">
        <f t="shared" si="22"/>
        <v>54</v>
      </c>
      <c r="X151" s="312">
        <f t="shared" si="22"/>
        <v>0</v>
      </c>
      <c r="Y151" s="312">
        <f t="shared" si="22"/>
        <v>95</v>
      </c>
      <c r="Z151" s="314">
        <f t="shared" si="22"/>
        <v>1</v>
      </c>
    </row>
    <row r="152" spans="1:26" ht="15" thickBot="1" x14ac:dyDescent="0.25">
      <c r="A152" s="292"/>
      <c r="B152" s="292"/>
      <c r="C152" s="292"/>
      <c r="D152" s="292"/>
      <c r="E152" s="292"/>
      <c r="F152" s="292"/>
      <c r="G152" s="292"/>
      <c r="H152" s="292"/>
      <c r="I152" s="292"/>
      <c r="J152" s="292"/>
      <c r="K152" s="292"/>
      <c r="L152" s="292"/>
      <c r="M152" s="292"/>
      <c r="N152" s="292"/>
      <c r="O152" s="292"/>
      <c r="P152" s="292"/>
      <c r="Q152" s="292"/>
      <c r="R152" s="292"/>
      <c r="S152" s="292"/>
      <c r="T152" s="292"/>
      <c r="U152" s="292"/>
      <c r="V152" s="292"/>
      <c r="W152" s="292"/>
      <c r="X152" s="292"/>
      <c r="Y152" s="292"/>
      <c r="Z152" s="292"/>
    </row>
    <row r="153" spans="1:26" ht="15.75" thickBot="1" x14ac:dyDescent="0.3">
      <c r="A153" s="557" t="s">
        <v>192</v>
      </c>
      <c r="B153" s="558"/>
      <c r="C153" s="558"/>
      <c r="D153" s="558"/>
      <c r="E153" s="558"/>
      <c r="F153" s="558"/>
      <c r="G153" s="558"/>
      <c r="H153" s="558"/>
      <c r="I153" s="558"/>
      <c r="J153" s="558"/>
      <c r="K153" s="558"/>
      <c r="L153" s="558"/>
      <c r="M153" s="558"/>
      <c r="N153" s="558"/>
      <c r="O153" s="558"/>
      <c r="P153" s="558"/>
      <c r="Q153" s="558"/>
      <c r="R153" s="558"/>
      <c r="S153" s="558"/>
      <c r="T153" s="558"/>
      <c r="U153" s="558"/>
      <c r="V153" s="558"/>
      <c r="W153" s="558"/>
      <c r="X153" s="558"/>
      <c r="Y153" s="558"/>
      <c r="Z153" s="559"/>
    </row>
    <row r="154" spans="1:26" ht="15" thickBot="1" x14ac:dyDescent="0.25">
      <c r="A154" s="340"/>
      <c r="B154" s="292"/>
      <c r="C154" s="292"/>
      <c r="D154" s="292"/>
      <c r="E154" s="292"/>
      <c r="F154" s="292"/>
      <c r="G154" s="292"/>
      <c r="H154" s="292"/>
      <c r="I154" s="292"/>
      <c r="J154" s="292"/>
      <c r="K154" s="292"/>
      <c r="L154" s="292"/>
      <c r="M154" s="292"/>
      <c r="N154" s="292"/>
      <c r="O154" s="292"/>
      <c r="P154" s="292"/>
      <c r="Q154" s="292"/>
      <c r="R154" s="292"/>
      <c r="S154" s="292"/>
      <c r="T154" s="292"/>
      <c r="U154" s="292"/>
      <c r="V154" s="292"/>
      <c r="W154" s="292"/>
      <c r="X154" s="292"/>
      <c r="Y154" s="292"/>
      <c r="Z154" s="341"/>
    </row>
    <row r="155" spans="1:26" ht="14.25" x14ac:dyDescent="0.2">
      <c r="A155" s="342" t="s">
        <v>197</v>
      </c>
      <c r="B155" s="329">
        <v>42736</v>
      </c>
      <c r="C155" s="330">
        <v>2017</v>
      </c>
      <c r="D155" s="318">
        <f t="shared" ref="D155:Z155" si="23">D44/3</f>
        <v>56075</v>
      </c>
      <c r="E155" s="318">
        <f t="shared" si="23"/>
        <v>440</v>
      </c>
      <c r="F155" s="319">
        <f t="shared" si="23"/>
        <v>198.33333333333334</v>
      </c>
      <c r="G155" s="320">
        <f t="shared" si="23"/>
        <v>138</v>
      </c>
      <c r="H155" s="320">
        <f t="shared" si="23"/>
        <v>0</v>
      </c>
      <c r="I155" s="320">
        <f t="shared" si="23"/>
        <v>60.333333333333336</v>
      </c>
      <c r="J155" s="321">
        <f t="shared" si="23"/>
        <v>0</v>
      </c>
      <c r="K155" s="319">
        <f t="shared" si="23"/>
        <v>241.66666666666666</v>
      </c>
      <c r="L155" s="320">
        <f t="shared" si="23"/>
        <v>209.33333333333334</v>
      </c>
      <c r="M155" s="320">
        <f t="shared" si="23"/>
        <v>0</v>
      </c>
      <c r="N155" s="320">
        <f t="shared" si="23"/>
        <v>29.333333333333332</v>
      </c>
      <c r="O155" s="322">
        <f t="shared" si="23"/>
        <v>3</v>
      </c>
      <c r="P155" s="318">
        <f t="shared" si="23"/>
        <v>9.3333333333333339</v>
      </c>
      <c r="Q155" s="319">
        <f t="shared" si="23"/>
        <v>1.6666666666666667</v>
      </c>
      <c r="R155" s="320">
        <f t="shared" si="23"/>
        <v>1.3333333333333333</v>
      </c>
      <c r="S155" s="320">
        <f t="shared" si="23"/>
        <v>0</v>
      </c>
      <c r="T155" s="320">
        <f t="shared" si="23"/>
        <v>0.33333333333333331</v>
      </c>
      <c r="U155" s="321">
        <f t="shared" si="23"/>
        <v>0</v>
      </c>
      <c r="V155" s="319">
        <f t="shared" si="23"/>
        <v>7.666666666666667</v>
      </c>
      <c r="W155" s="320">
        <f t="shared" si="23"/>
        <v>7.333333333333333</v>
      </c>
      <c r="X155" s="320">
        <f t="shared" si="23"/>
        <v>0</v>
      </c>
      <c r="Y155" s="320">
        <f t="shared" si="23"/>
        <v>0.33333333333333331</v>
      </c>
      <c r="Z155" s="322">
        <f t="shared" si="23"/>
        <v>0</v>
      </c>
    </row>
    <row r="156" spans="1:26" ht="14.25" x14ac:dyDescent="0.2">
      <c r="A156" s="342" t="s">
        <v>197</v>
      </c>
      <c r="B156" s="329">
        <v>42767</v>
      </c>
      <c r="C156" s="330">
        <v>2017</v>
      </c>
      <c r="D156" s="305">
        <f t="shared" ref="D156:D187" si="24">D45/3+D155</f>
        <v>112150</v>
      </c>
      <c r="E156" s="305">
        <f t="shared" ref="E156:E187" si="25">E45/3+E155</f>
        <v>880</v>
      </c>
      <c r="F156" s="306">
        <f t="shared" ref="F156:F187" si="26">F45/3+F155</f>
        <v>396.66666666666669</v>
      </c>
      <c r="G156" s="307">
        <f t="shared" ref="G156:G187" si="27">G45/3+G155</f>
        <v>276</v>
      </c>
      <c r="H156" s="307">
        <f t="shared" ref="H156:H187" si="28">H45/3+H155</f>
        <v>0</v>
      </c>
      <c r="I156" s="307">
        <f t="shared" ref="I156:I187" si="29">I45/3+I155</f>
        <v>120.66666666666667</v>
      </c>
      <c r="J156" s="308">
        <f t="shared" ref="J156:J187" si="30">J45/3+J155</f>
        <v>0</v>
      </c>
      <c r="K156" s="306">
        <f t="shared" ref="K156:K187" si="31">K45/3+K155</f>
        <v>483.33333333333331</v>
      </c>
      <c r="L156" s="307">
        <f t="shared" ref="L156:L187" si="32">L45/3+L155</f>
        <v>418.66666666666669</v>
      </c>
      <c r="M156" s="307">
        <f t="shared" ref="M156:M187" si="33">M45/3+M155</f>
        <v>0</v>
      </c>
      <c r="N156" s="307">
        <f t="shared" ref="N156:N187" si="34">N45/3+N155</f>
        <v>58.666666666666664</v>
      </c>
      <c r="O156" s="309">
        <f t="shared" ref="O156:O187" si="35">O45/3+O155</f>
        <v>6</v>
      </c>
      <c r="P156" s="305">
        <f t="shared" ref="P156:P187" si="36">P45/3+P155</f>
        <v>18.666666666666668</v>
      </c>
      <c r="Q156" s="306">
        <f t="shared" ref="Q156:Q187" si="37">Q45/3+Q155</f>
        <v>3.3333333333333335</v>
      </c>
      <c r="R156" s="307">
        <f t="shared" ref="R156:R187" si="38">R45/3+R155</f>
        <v>2.6666666666666665</v>
      </c>
      <c r="S156" s="307">
        <f t="shared" ref="S156:S187" si="39">S45/3+S155</f>
        <v>0</v>
      </c>
      <c r="T156" s="307">
        <f t="shared" ref="T156:T187" si="40">T45/3+T155</f>
        <v>0.66666666666666663</v>
      </c>
      <c r="U156" s="308">
        <f t="shared" ref="U156:U187" si="41">U45/3+U155</f>
        <v>0</v>
      </c>
      <c r="V156" s="306">
        <f t="shared" ref="V156:V187" si="42">V45/3+V155</f>
        <v>15.333333333333334</v>
      </c>
      <c r="W156" s="307">
        <f t="shared" ref="W156:W187" si="43">W45/3+W155</f>
        <v>14.666666666666666</v>
      </c>
      <c r="X156" s="307">
        <f t="shared" ref="X156:X187" si="44">X45/3+X155</f>
        <v>0</v>
      </c>
      <c r="Y156" s="307">
        <f t="shared" ref="Y156:Y187" si="45">Y45/3+Y155</f>
        <v>0.66666666666666663</v>
      </c>
      <c r="Z156" s="309">
        <f t="shared" ref="Z156:Z187" si="46">Z45/3+Z155</f>
        <v>0</v>
      </c>
    </row>
    <row r="157" spans="1:26" ht="14.25" x14ac:dyDescent="0.2">
      <c r="A157" s="342" t="s">
        <v>197</v>
      </c>
      <c r="B157" s="329">
        <v>42795</v>
      </c>
      <c r="C157" s="330">
        <v>2017</v>
      </c>
      <c r="D157" s="305">
        <f t="shared" si="24"/>
        <v>168225</v>
      </c>
      <c r="E157" s="305">
        <f t="shared" si="25"/>
        <v>1320</v>
      </c>
      <c r="F157" s="306">
        <f t="shared" si="26"/>
        <v>595</v>
      </c>
      <c r="G157" s="307">
        <f t="shared" si="27"/>
        <v>414</v>
      </c>
      <c r="H157" s="307">
        <f t="shared" si="28"/>
        <v>0</v>
      </c>
      <c r="I157" s="307">
        <f t="shared" si="29"/>
        <v>181</v>
      </c>
      <c r="J157" s="308">
        <f t="shared" si="30"/>
        <v>0</v>
      </c>
      <c r="K157" s="306">
        <f t="shared" si="31"/>
        <v>725</v>
      </c>
      <c r="L157" s="307">
        <f t="shared" si="32"/>
        <v>628</v>
      </c>
      <c r="M157" s="307">
        <f t="shared" si="33"/>
        <v>0</v>
      </c>
      <c r="N157" s="307">
        <f t="shared" si="34"/>
        <v>88</v>
      </c>
      <c r="O157" s="309">
        <f t="shared" si="35"/>
        <v>9</v>
      </c>
      <c r="P157" s="305">
        <f t="shared" si="36"/>
        <v>28</v>
      </c>
      <c r="Q157" s="306">
        <f t="shared" si="37"/>
        <v>5</v>
      </c>
      <c r="R157" s="307">
        <f t="shared" si="38"/>
        <v>4</v>
      </c>
      <c r="S157" s="307">
        <f t="shared" si="39"/>
        <v>0</v>
      </c>
      <c r="T157" s="307">
        <f t="shared" si="40"/>
        <v>1</v>
      </c>
      <c r="U157" s="308">
        <f t="shared" si="41"/>
        <v>0</v>
      </c>
      <c r="V157" s="306">
        <f t="shared" si="42"/>
        <v>23</v>
      </c>
      <c r="W157" s="307">
        <f t="shared" si="43"/>
        <v>22</v>
      </c>
      <c r="X157" s="307">
        <f t="shared" si="44"/>
        <v>0</v>
      </c>
      <c r="Y157" s="307">
        <f t="shared" si="45"/>
        <v>1</v>
      </c>
      <c r="Z157" s="309">
        <f t="shared" si="46"/>
        <v>0</v>
      </c>
    </row>
    <row r="158" spans="1:26" ht="14.25" x14ac:dyDescent="0.2">
      <c r="A158" s="342" t="s">
        <v>200</v>
      </c>
      <c r="B158" s="329">
        <v>42826</v>
      </c>
      <c r="C158" s="330">
        <v>2017</v>
      </c>
      <c r="D158" s="305">
        <f t="shared" si="24"/>
        <v>246232</v>
      </c>
      <c r="E158" s="305">
        <f t="shared" si="25"/>
        <v>2016.3333333333335</v>
      </c>
      <c r="F158" s="306">
        <f t="shared" si="26"/>
        <v>872.33333333333326</v>
      </c>
      <c r="G158" s="307">
        <f t="shared" si="27"/>
        <v>615.66666666666663</v>
      </c>
      <c r="H158" s="307">
        <f t="shared" si="28"/>
        <v>0</v>
      </c>
      <c r="I158" s="307">
        <f t="shared" si="29"/>
        <v>256.66666666666669</v>
      </c>
      <c r="J158" s="308">
        <f t="shared" si="30"/>
        <v>0</v>
      </c>
      <c r="K158" s="306">
        <f t="shared" si="31"/>
        <v>1144</v>
      </c>
      <c r="L158" s="307">
        <f t="shared" si="32"/>
        <v>940.33333333333326</v>
      </c>
      <c r="M158" s="307">
        <f t="shared" si="33"/>
        <v>0</v>
      </c>
      <c r="N158" s="307">
        <f t="shared" si="34"/>
        <v>139</v>
      </c>
      <c r="O158" s="309">
        <f t="shared" si="35"/>
        <v>64.666666666666657</v>
      </c>
      <c r="P158" s="305">
        <f t="shared" si="36"/>
        <v>50</v>
      </c>
      <c r="Q158" s="306">
        <f t="shared" si="37"/>
        <v>11</v>
      </c>
      <c r="R158" s="307">
        <f t="shared" si="38"/>
        <v>8.3333333333333321</v>
      </c>
      <c r="S158" s="307">
        <f t="shared" si="39"/>
        <v>0</v>
      </c>
      <c r="T158" s="307">
        <f t="shared" si="40"/>
        <v>2.666666666666667</v>
      </c>
      <c r="U158" s="308">
        <f t="shared" si="41"/>
        <v>0</v>
      </c>
      <c r="V158" s="306">
        <f t="shared" si="42"/>
        <v>39</v>
      </c>
      <c r="W158" s="307">
        <f t="shared" si="43"/>
        <v>34.666666666666664</v>
      </c>
      <c r="X158" s="307">
        <f t="shared" si="44"/>
        <v>0</v>
      </c>
      <c r="Y158" s="307">
        <f t="shared" si="45"/>
        <v>2</v>
      </c>
      <c r="Z158" s="309">
        <f t="shared" si="46"/>
        <v>2.3333333333333335</v>
      </c>
    </row>
    <row r="159" spans="1:26" ht="14.25" x14ac:dyDescent="0.2">
      <c r="A159" s="342" t="s">
        <v>200</v>
      </c>
      <c r="B159" s="329">
        <v>42856</v>
      </c>
      <c r="C159" s="330">
        <v>2017</v>
      </c>
      <c r="D159" s="305">
        <f t="shared" si="24"/>
        <v>324239</v>
      </c>
      <c r="E159" s="305">
        <f t="shared" si="25"/>
        <v>2712.666666666667</v>
      </c>
      <c r="F159" s="306">
        <f t="shared" si="26"/>
        <v>1149.6666666666665</v>
      </c>
      <c r="G159" s="307">
        <f t="shared" si="27"/>
        <v>817.33333333333326</v>
      </c>
      <c r="H159" s="307">
        <f t="shared" si="28"/>
        <v>0</v>
      </c>
      <c r="I159" s="307">
        <f t="shared" si="29"/>
        <v>332.33333333333337</v>
      </c>
      <c r="J159" s="308">
        <f t="shared" si="30"/>
        <v>0</v>
      </c>
      <c r="K159" s="306">
        <f t="shared" si="31"/>
        <v>1563</v>
      </c>
      <c r="L159" s="307">
        <f t="shared" si="32"/>
        <v>1252.6666666666665</v>
      </c>
      <c r="M159" s="307">
        <f t="shared" si="33"/>
        <v>0</v>
      </c>
      <c r="N159" s="307">
        <f t="shared" si="34"/>
        <v>190</v>
      </c>
      <c r="O159" s="309">
        <f t="shared" si="35"/>
        <v>120.33333333333331</v>
      </c>
      <c r="P159" s="305">
        <f t="shared" si="36"/>
        <v>72</v>
      </c>
      <c r="Q159" s="306">
        <f t="shared" si="37"/>
        <v>17</v>
      </c>
      <c r="R159" s="307">
        <f t="shared" si="38"/>
        <v>12.666666666666664</v>
      </c>
      <c r="S159" s="307">
        <f t="shared" si="39"/>
        <v>0</v>
      </c>
      <c r="T159" s="307">
        <f t="shared" si="40"/>
        <v>4.3333333333333339</v>
      </c>
      <c r="U159" s="308">
        <f t="shared" si="41"/>
        <v>0</v>
      </c>
      <c r="V159" s="306">
        <f t="shared" si="42"/>
        <v>55</v>
      </c>
      <c r="W159" s="307">
        <f t="shared" si="43"/>
        <v>47.333333333333329</v>
      </c>
      <c r="X159" s="307">
        <f t="shared" si="44"/>
        <v>0</v>
      </c>
      <c r="Y159" s="307">
        <f t="shared" si="45"/>
        <v>3</v>
      </c>
      <c r="Z159" s="309">
        <f t="shared" si="46"/>
        <v>4.666666666666667</v>
      </c>
    </row>
    <row r="160" spans="1:26" ht="14.25" x14ac:dyDescent="0.2">
      <c r="A160" s="342" t="s">
        <v>200</v>
      </c>
      <c r="B160" s="329">
        <v>42887</v>
      </c>
      <c r="C160" s="330">
        <v>2017</v>
      </c>
      <c r="D160" s="305">
        <f t="shared" si="24"/>
        <v>402246</v>
      </c>
      <c r="E160" s="305">
        <f t="shared" si="25"/>
        <v>3409.0000000000005</v>
      </c>
      <c r="F160" s="306">
        <f t="shared" si="26"/>
        <v>1426.9999999999998</v>
      </c>
      <c r="G160" s="307">
        <f t="shared" si="27"/>
        <v>1018.9999999999999</v>
      </c>
      <c r="H160" s="307">
        <f t="shared" si="28"/>
        <v>0</v>
      </c>
      <c r="I160" s="307">
        <f t="shared" si="29"/>
        <v>408.00000000000006</v>
      </c>
      <c r="J160" s="308">
        <f t="shared" si="30"/>
        <v>0</v>
      </c>
      <c r="K160" s="306">
        <f t="shared" si="31"/>
        <v>1982</v>
      </c>
      <c r="L160" s="307">
        <f t="shared" si="32"/>
        <v>1564.9999999999998</v>
      </c>
      <c r="M160" s="307">
        <f t="shared" si="33"/>
        <v>0</v>
      </c>
      <c r="N160" s="307">
        <f t="shared" si="34"/>
        <v>241</v>
      </c>
      <c r="O160" s="309">
        <f t="shared" si="35"/>
        <v>175.99999999999997</v>
      </c>
      <c r="P160" s="305">
        <f t="shared" si="36"/>
        <v>94</v>
      </c>
      <c r="Q160" s="306">
        <f t="shared" si="37"/>
        <v>23</v>
      </c>
      <c r="R160" s="307">
        <f t="shared" si="38"/>
        <v>16.999999999999996</v>
      </c>
      <c r="S160" s="307">
        <f t="shared" si="39"/>
        <v>0</v>
      </c>
      <c r="T160" s="307">
        <f t="shared" si="40"/>
        <v>6.0000000000000009</v>
      </c>
      <c r="U160" s="308">
        <f t="shared" si="41"/>
        <v>0</v>
      </c>
      <c r="V160" s="306">
        <f t="shared" si="42"/>
        <v>71</v>
      </c>
      <c r="W160" s="307">
        <f t="shared" si="43"/>
        <v>59.999999999999993</v>
      </c>
      <c r="X160" s="307">
        <f t="shared" si="44"/>
        <v>0</v>
      </c>
      <c r="Y160" s="307">
        <f t="shared" si="45"/>
        <v>4</v>
      </c>
      <c r="Z160" s="309">
        <f t="shared" si="46"/>
        <v>7</v>
      </c>
    </row>
    <row r="161" spans="1:26" ht="14.25" x14ac:dyDescent="0.2">
      <c r="A161" s="342" t="s">
        <v>201</v>
      </c>
      <c r="B161" s="329">
        <v>42917</v>
      </c>
      <c r="C161" s="330">
        <v>2017</v>
      </c>
      <c r="D161" s="305">
        <f t="shared" si="24"/>
        <v>475456.66666666669</v>
      </c>
      <c r="E161" s="305">
        <f t="shared" si="25"/>
        <v>4118.666666666667</v>
      </c>
      <c r="F161" s="306">
        <f t="shared" si="26"/>
        <v>1743.6666666666665</v>
      </c>
      <c r="G161" s="307">
        <f t="shared" si="27"/>
        <v>1247.3333333333333</v>
      </c>
      <c r="H161" s="307">
        <f t="shared" si="28"/>
        <v>0</v>
      </c>
      <c r="I161" s="307">
        <f t="shared" si="29"/>
        <v>496.33333333333337</v>
      </c>
      <c r="J161" s="308">
        <f t="shared" si="30"/>
        <v>0</v>
      </c>
      <c r="K161" s="306">
        <f t="shared" si="31"/>
        <v>2375</v>
      </c>
      <c r="L161" s="307">
        <f t="shared" si="32"/>
        <v>1892.9999999999998</v>
      </c>
      <c r="M161" s="307">
        <f t="shared" si="33"/>
        <v>0</v>
      </c>
      <c r="N161" s="307">
        <f t="shared" si="34"/>
        <v>273.66666666666669</v>
      </c>
      <c r="O161" s="309">
        <f t="shared" si="35"/>
        <v>208.33333333333331</v>
      </c>
      <c r="P161" s="305">
        <f t="shared" si="36"/>
        <v>112.66666666666667</v>
      </c>
      <c r="Q161" s="306">
        <f t="shared" si="37"/>
        <v>27.666666666666668</v>
      </c>
      <c r="R161" s="307">
        <f t="shared" si="38"/>
        <v>20.333333333333329</v>
      </c>
      <c r="S161" s="307">
        <f t="shared" si="39"/>
        <v>0</v>
      </c>
      <c r="T161" s="307">
        <f t="shared" si="40"/>
        <v>7.3333333333333339</v>
      </c>
      <c r="U161" s="308">
        <f t="shared" si="41"/>
        <v>0</v>
      </c>
      <c r="V161" s="306">
        <f t="shared" si="42"/>
        <v>85</v>
      </c>
      <c r="W161" s="307">
        <f t="shared" si="43"/>
        <v>73.333333333333329</v>
      </c>
      <c r="X161" s="307">
        <f t="shared" si="44"/>
        <v>0</v>
      </c>
      <c r="Y161" s="307">
        <f t="shared" si="45"/>
        <v>4</v>
      </c>
      <c r="Z161" s="309">
        <f t="shared" si="46"/>
        <v>7.666666666666667</v>
      </c>
    </row>
    <row r="162" spans="1:26" ht="14.25" x14ac:dyDescent="0.2">
      <c r="A162" s="342" t="s">
        <v>201</v>
      </c>
      <c r="B162" s="329">
        <v>42948</v>
      </c>
      <c r="C162" s="330">
        <v>2017</v>
      </c>
      <c r="D162" s="305">
        <f t="shared" si="24"/>
        <v>548667.33333333337</v>
      </c>
      <c r="E162" s="305">
        <f t="shared" si="25"/>
        <v>4828.3333333333339</v>
      </c>
      <c r="F162" s="306">
        <f t="shared" si="26"/>
        <v>2060.333333333333</v>
      </c>
      <c r="G162" s="307">
        <f t="shared" si="27"/>
        <v>1475.6666666666665</v>
      </c>
      <c r="H162" s="307">
        <f t="shared" si="28"/>
        <v>0</v>
      </c>
      <c r="I162" s="307">
        <f t="shared" si="29"/>
        <v>584.66666666666674</v>
      </c>
      <c r="J162" s="308">
        <f t="shared" si="30"/>
        <v>0</v>
      </c>
      <c r="K162" s="306">
        <f t="shared" si="31"/>
        <v>2768</v>
      </c>
      <c r="L162" s="307">
        <f t="shared" si="32"/>
        <v>2221</v>
      </c>
      <c r="M162" s="307">
        <f t="shared" si="33"/>
        <v>0</v>
      </c>
      <c r="N162" s="307">
        <f t="shared" si="34"/>
        <v>306.33333333333337</v>
      </c>
      <c r="O162" s="309">
        <f t="shared" si="35"/>
        <v>240.66666666666666</v>
      </c>
      <c r="P162" s="305">
        <f t="shared" si="36"/>
        <v>131.33333333333334</v>
      </c>
      <c r="Q162" s="306">
        <f t="shared" si="37"/>
        <v>32.333333333333336</v>
      </c>
      <c r="R162" s="307">
        <f t="shared" si="38"/>
        <v>23.666666666666661</v>
      </c>
      <c r="S162" s="307">
        <f t="shared" si="39"/>
        <v>0</v>
      </c>
      <c r="T162" s="307">
        <f t="shared" si="40"/>
        <v>8.6666666666666679</v>
      </c>
      <c r="U162" s="308">
        <f t="shared" si="41"/>
        <v>0</v>
      </c>
      <c r="V162" s="306">
        <f t="shared" si="42"/>
        <v>99</v>
      </c>
      <c r="W162" s="307">
        <f t="shared" si="43"/>
        <v>86.666666666666657</v>
      </c>
      <c r="X162" s="307">
        <f t="shared" si="44"/>
        <v>0</v>
      </c>
      <c r="Y162" s="307">
        <f t="shared" si="45"/>
        <v>4</v>
      </c>
      <c r="Z162" s="309">
        <f t="shared" si="46"/>
        <v>8.3333333333333339</v>
      </c>
    </row>
    <row r="163" spans="1:26" ht="14.25" x14ac:dyDescent="0.2">
      <c r="A163" s="342" t="s">
        <v>201</v>
      </c>
      <c r="B163" s="329">
        <v>42979</v>
      </c>
      <c r="C163" s="330">
        <v>2017</v>
      </c>
      <c r="D163" s="305">
        <f t="shared" si="24"/>
        <v>621878</v>
      </c>
      <c r="E163" s="305">
        <f t="shared" si="25"/>
        <v>5538.0000000000009</v>
      </c>
      <c r="F163" s="306">
        <f t="shared" si="26"/>
        <v>2376.9999999999995</v>
      </c>
      <c r="G163" s="307">
        <f t="shared" si="27"/>
        <v>1703.9999999999998</v>
      </c>
      <c r="H163" s="307">
        <f t="shared" si="28"/>
        <v>0</v>
      </c>
      <c r="I163" s="307">
        <f t="shared" si="29"/>
        <v>673.00000000000011</v>
      </c>
      <c r="J163" s="308">
        <f t="shared" si="30"/>
        <v>0</v>
      </c>
      <c r="K163" s="306">
        <f t="shared" si="31"/>
        <v>3161</v>
      </c>
      <c r="L163" s="307">
        <f t="shared" si="32"/>
        <v>2549</v>
      </c>
      <c r="M163" s="307">
        <f t="shared" si="33"/>
        <v>0</v>
      </c>
      <c r="N163" s="307">
        <f t="shared" si="34"/>
        <v>339.00000000000006</v>
      </c>
      <c r="O163" s="309">
        <f t="shared" si="35"/>
        <v>273</v>
      </c>
      <c r="P163" s="305">
        <f t="shared" si="36"/>
        <v>150</v>
      </c>
      <c r="Q163" s="306">
        <f t="shared" si="37"/>
        <v>37</v>
      </c>
      <c r="R163" s="307">
        <f t="shared" si="38"/>
        <v>26.999999999999993</v>
      </c>
      <c r="S163" s="307">
        <f t="shared" si="39"/>
        <v>0</v>
      </c>
      <c r="T163" s="307">
        <f t="shared" si="40"/>
        <v>10.000000000000002</v>
      </c>
      <c r="U163" s="308">
        <f t="shared" si="41"/>
        <v>0</v>
      </c>
      <c r="V163" s="306">
        <f t="shared" si="42"/>
        <v>113</v>
      </c>
      <c r="W163" s="307">
        <f t="shared" si="43"/>
        <v>99.999999999999986</v>
      </c>
      <c r="X163" s="307">
        <f t="shared" si="44"/>
        <v>0</v>
      </c>
      <c r="Y163" s="307">
        <f t="shared" si="45"/>
        <v>4</v>
      </c>
      <c r="Z163" s="309">
        <f t="shared" si="46"/>
        <v>9</v>
      </c>
    </row>
    <row r="164" spans="1:26" ht="14.25" x14ac:dyDescent="0.2">
      <c r="A164" s="342" t="s">
        <v>202</v>
      </c>
      <c r="B164" s="329">
        <v>43009</v>
      </c>
      <c r="C164" s="330">
        <v>2017</v>
      </c>
      <c r="D164" s="305">
        <f t="shared" si="24"/>
        <v>681717</v>
      </c>
      <c r="E164" s="305">
        <f t="shared" si="25"/>
        <v>6418.0000000000009</v>
      </c>
      <c r="F164" s="306">
        <f t="shared" si="26"/>
        <v>2772.333333333333</v>
      </c>
      <c r="G164" s="307">
        <f t="shared" si="27"/>
        <v>1979.9999999999998</v>
      </c>
      <c r="H164" s="307">
        <f t="shared" si="28"/>
        <v>0</v>
      </c>
      <c r="I164" s="307">
        <f t="shared" si="29"/>
        <v>792.33333333333348</v>
      </c>
      <c r="J164" s="308">
        <f t="shared" si="30"/>
        <v>0</v>
      </c>
      <c r="K164" s="306">
        <f t="shared" si="31"/>
        <v>3645.6666666666665</v>
      </c>
      <c r="L164" s="307">
        <f t="shared" si="32"/>
        <v>2918.3333333333335</v>
      </c>
      <c r="M164" s="307">
        <f t="shared" si="33"/>
        <v>0</v>
      </c>
      <c r="N164" s="307">
        <f t="shared" si="34"/>
        <v>371.33333333333337</v>
      </c>
      <c r="O164" s="309">
        <f t="shared" si="35"/>
        <v>356</v>
      </c>
      <c r="P164" s="305">
        <f t="shared" si="36"/>
        <v>168.66666666666666</v>
      </c>
      <c r="Q164" s="306">
        <f t="shared" si="37"/>
        <v>40.666666666666664</v>
      </c>
      <c r="R164" s="307">
        <f t="shared" si="38"/>
        <v>29.999999999999993</v>
      </c>
      <c r="S164" s="307">
        <f t="shared" si="39"/>
        <v>0</v>
      </c>
      <c r="T164" s="307">
        <f t="shared" si="40"/>
        <v>10.666666666666668</v>
      </c>
      <c r="U164" s="308">
        <f t="shared" si="41"/>
        <v>0</v>
      </c>
      <c r="V164" s="306">
        <f t="shared" si="42"/>
        <v>128</v>
      </c>
      <c r="W164" s="307">
        <f t="shared" si="43"/>
        <v>113.33333333333331</v>
      </c>
      <c r="X164" s="307">
        <f t="shared" si="44"/>
        <v>0</v>
      </c>
      <c r="Y164" s="307">
        <f t="shared" si="45"/>
        <v>4</v>
      </c>
      <c r="Z164" s="309">
        <f t="shared" si="46"/>
        <v>10.666666666666666</v>
      </c>
    </row>
    <row r="165" spans="1:26" ht="14.25" x14ac:dyDescent="0.2">
      <c r="A165" s="342" t="s">
        <v>202</v>
      </c>
      <c r="B165" s="329">
        <v>43040</v>
      </c>
      <c r="C165" s="330">
        <v>2017</v>
      </c>
      <c r="D165" s="305">
        <f t="shared" si="24"/>
        <v>741556</v>
      </c>
      <c r="E165" s="305">
        <f t="shared" si="25"/>
        <v>7298.0000000000009</v>
      </c>
      <c r="F165" s="306">
        <f t="shared" si="26"/>
        <v>3167.6666666666665</v>
      </c>
      <c r="G165" s="307">
        <f t="shared" si="27"/>
        <v>2256</v>
      </c>
      <c r="H165" s="307">
        <f t="shared" si="28"/>
        <v>0</v>
      </c>
      <c r="I165" s="307">
        <f t="shared" si="29"/>
        <v>911.66666666666686</v>
      </c>
      <c r="J165" s="308">
        <f t="shared" si="30"/>
        <v>0</v>
      </c>
      <c r="K165" s="306">
        <f t="shared" si="31"/>
        <v>4130.333333333333</v>
      </c>
      <c r="L165" s="307">
        <f t="shared" si="32"/>
        <v>3287.666666666667</v>
      </c>
      <c r="M165" s="307">
        <f t="shared" si="33"/>
        <v>0</v>
      </c>
      <c r="N165" s="307">
        <f t="shared" si="34"/>
        <v>403.66666666666669</v>
      </c>
      <c r="O165" s="309">
        <f t="shared" si="35"/>
        <v>439</v>
      </c>
      <c r="P165" s="305">
        <f t="shared" si="36"/>
        <v>187.33333333333331</v>
      </c>
      <c r="Q165" s="306">
        <f t="shared" si="37"/>
        <v>44.333333333333329</v>
      </c>
      <c r="R165" s="307">
        <f t="shared" si="38"/>
        <v>32.999999999999993</v>
      </c>
      <c r="S165" s="307">
        <f t="shared" si="39"/>
        <v>0</v>
      </c>
      <c r="T165" s="307">
        <f t="shared" si="40"/>
        <v>11.333333333333334</v>
      </c>
      <c r="U165" s="308">
        <f t="shared" si="41"/>
        <v>0</v>
      </c>
      <c r="V165" s="306">
        <f t="shared" si="42"/>
        <v>143</v>
      </c>
      <c r="W165" s="307">
        <f t="shared" si="43"/>
        <v>126.66666666666664</v>
      </c>
      <c r="X165" s="307">
        <f t="shared" si="44"/>
        <v>0</v>
      </c>
      <c r="Y165" s="307">
        <f t="shared" si="45"/>
        <v>4</v>
      </c>
      <c r="Z165" s="309">
        <f t="shared" si="46"/>
        <v>12.333333333333332</v>
      </c>
    </row>
    <row r="166" spans="1:26" ht="14.25" x14ac:dyDescent="0.2">
      <c r="A166" s="342" t="s">
        <v>202</v>
      </c>
      <c r="B166" s="329">
        <v>43070</v>
      </c>
      <c r="C166" s="330">
        <v>2017</v>
      </c>
      <c r="D166" s="305">
        <f t="shared" si="24"/>
        <v>801395</v>
      </c>
      <c r="E166" s="305">
        <f t="shared" si="25"/>
        <v>8178.0000000000009</v>
      </c>
      <c r="F166" s="306">
        <f t="shared" si="26"/>
        <v>3563</v>
      </c>
      <c r="G166" s="307">
        <f t="shared" si="27"/>
        <v>2532</v>
      </c>
      <c r="H166" s="307">
        <f t="shared" si="28"/>
        <v>0</v>
      </c>
      <c r="I166" s="307">
        <f t="shared" si="29"/>
        <v>1031.0000000000002</v>
      </c>
      <c r="J166" s="308">
        <f t="shared" si="30"/>
        <v>0</v>
      </c>
      <c r="K166" s="306">
        <f t="shared" si="31"/>
        <v>4615</v>
      </c>
      <c r="L166" s="307">
        <f t="shared" si="32"/>
        <v>3657.0000000000005</v>
      </c>
      <c r="M166" s="307">
        <f t="shared" si="33"/>
        <v>0</v>
      </c>
      <c r="N166" s="307">
        <f t="shared" si="34"/>
        <v>436</v>
      </c>
      <c r="O166" s="309">
        <f t="shared" si="35"/>
        <v>522</v>
      </c>
      <c r="P166" s="305">
        <f t="shared" si="36"/>
        <v>205.99999999999997</v>
      </c>
      <c r="Q166" s="306">
        <f t="shared" si="37"/>
        <v>47.999999999999993</v>
      </c>
      <c r="R166" s="307">
        <f t="shared" si="38"/>
        <v>35.999999999999993</v>
      </c>
      <c r="S166" s="307">
        <f t="shared" si="39"/>
        <v>0</v>
      </c>
      <c r="T166" s="307">
        <f t="shared" si="40"/>
        <v>12</v>
      </c>
      <c r="U166" s="308">
        <f t="shared" si="41"/>
        <v>0</v>
      </c>
      <c r="V166" s="306">
        <f t="shared" si="42"/>
        <v>158</v>
      </c>
      <c r="W166" s="307">
        <f t="shared" si="43"/>
        <v>139.99999999999997</v>
      </c>
      <c r="X166" s="307">
        <f t="shared" si="44"/>
        <v>0</v>
      </c>
      <c r="Y166" s="307">
        <f t="shared" si="45"/>
        <v>4</v>
      </c>
      <c r="Z166" s="309">
        <f t="shared" si="46"/>
        <v>13.999999999999998</v>
      </c>
    </row>
    <row r="167" spans="1:26" ht="14.25" x14ac:dyDescent="0.2">
      <c r="A167" s="342" t="s">
        <v>203</v>
      </c>
      <c r="B167" s="329">
        <v>43101</v>
      </c>
      <c r="C167" s="330">
        <v>2018</v>
      </c>
      <c r="D167" s="305">
        <f t="shared" si="24"/>
        <v>856527.33333333337</v>
      </c>
      <c r="E167" s="305">
        <f t="shared" si="25"/>
        <v>9093.6666666666679</v>
      </c>
      <c r="F167" s="306">
        <f t="shared" si="26"/>
        <v>3872.3333333333335</v>
      </c>
      <c r="G167" s="307">
        <f t="shared" si="27"/>
        <v>2783.3333333333335</v>
      </c>
      <c r="H167" s="307">
        <f t="shared" si="28"/>
        <v>0</v>
      </c>
      <c r="I167" s="307">
        <f t="shared" si="29"/>
        <v>1089.0000000000002</v>
      </c>
      <c r="J167" s="308">
        <f t="shared" si="30"/>
        <v>0</v>
      </c>
      <c r="K167" s="306">
        <f t="shared" si="31"/>
        <v>5221.333333333333</v>
      </c>
      <c r="L167" s="307">
        <f t="shared" si="32"/>
        <v>4074.0000000000005</v>
      </c>
      <c r="M167" s="307">
        <f t="shared" si="33"/>
        <v>0</v>
      </c>
      <c r="N167" s="307">
        <f t="shared" si="34"/>
        <v>555.66666666666663</v>
      </c>
      <c r="O167" s="309">
        <f t="shared" si="35"/>
        <v>591.66666666666663</v>
      </c>
      <c r="P167" s="305">
        <f t="shared" si="36"/>
        <v>224.99999999999997</v>
      </c>
      <c r="Q167" s="306">
        <f t="shared" si="37"/>
        <v>52.666666666666657</v>
      </c>
      <c r="R167" s="307">
        <f t="shared" si="38"/>
        <v>40.333333333333329</v>
      </c>
      <c r="S167" s="307">
        <f t="shared" si="39"/>
        <v>0</v>
      </c>
      <c r="T167" s="307">
        <f t="shared" si="40"/>
        <v>12.333333333333334</v>
      </c>
      <c r="U167" s="308">
        <f t="shared" si="41"/>
        <v>0</v>
      </c>
      <c r="V167" s="306">
        <f t="shared" si="42"/>
        <v>172.33333333333334</v>
      </c>
      <c r="W167" s="307">
        <f t="shared" si="43"/>
        <v>150.33333333333331</v>
      </c>
      <c r="X167" s="307">
        <f t="shared" si="44"/>
        <v>0</v>
      </c>
      <c r="Y167" s="307">
        <f t="shared" si="45"/>
        <v>6</v>
      </c>
      <c r="Z167" s="309">
        <f t="shared" si="46"/>
        <v>15.999999999999998</v>
      </c>
    </row>
    <row r="168" spans="1:26" ht="14.25" x14ac:dyDescent="0.2">
      <c r="A168" s="342" t="s">
        <v>203</v>
      </c>
      <c r="B168" s="329">
        <v>43132</v>
      </c>
      <c r="C168" s="330">
        <v>2018</v>
      </c>
      <c r="D168" s="305">
        <f t="shared" si="24"/>
        <v>911659.66666666674</v>
      </c>
      <c r="E168" s="305">
        <f t="shared" si="25"/>
        <v>10009.333333333334</v>
      </c>
      <c r="F168" s="306">
        <f t="shared" si="26"/>
        <v>4181.666666666667</v>
      </c>
      <c r="G168" s="307">
        <f t="shared" si="27"/>
        <v>3034.666666666667</v>
      </c>
      <c r="H168" s="307">
        <f t="shared" si="28"/>
        <v>0</v>
      </c>
      <c r="I168" s="307">
        <f t="shared" si="29"/>
        <v>1147.0000000000002</v>
      </c>
      <c r="J168" s="308">
        <f t="shared" si="30"/>
        <v>0</v>
      </c>
      <c r="K168" s="306">
        <f t="shared" si="31"/>
        <v>5827.6666666666661</v>
      </c>
      <c r="L168" s="307">
        <f t="shared" si="32"/>
        <v>4491</v>
      </c>
      <c r="M168" s="307">
        <f t="shared" si="33"/>
        <v>0</v>
      </c>
      <c r="N168" s="307">
        <f t="shared" si="34"/>
        <v>675.33333333333326</v>
      </c>
      <c r="O168" s="309">
        <f t="shared" si="35"/>
        <v>661.33333333333326</v>
      </c>
      <c r="P168" s="305">
        <f t="shared" si="36"/>
        <v>243.99999999999997</v>
      </c>
      <c r="Q168" s="306">
        <f t="shared" si="37"/>
        <v>57.333333333333321</v>
      </c>
      <c r="R168" s="307">
        <f t="shared" si="38"/>
        <v>44.666666666666664</v>
      </c>
      <c r="S168" s="307">
        <f t="shared" si="39"/>
        <v>0</v>
      </c>
      <c r="T168" s="307">
        <f t="shared" si="40"/>
        <v>12.666666666666668</v>
      </c>
      <c r="U168" s="308">
        <f t="shared" si="41"/>
        <v>0</v>
      </c>
      <c r="V168" s="306">
        <f t="shared" si="42"/>
        <v>186.66666666666669</v>
      </c>
      <c r="W168" s="307">
        <f t="shared" si="43"/>
        <v>160.66666666666666</v>
      </c>
      <c r="X168" s="307">
        <f t="shared" si="44"/>
        <v>0</v>
      </c>
      <c r="Y168" s="307">
        <f t="shared" si="45"/>
        <v>8</v>
      </c>
      <c r="Z168" s="309">
        <f t="shared" si="46"/>
        <v>18</v>
      </c>
    </row>
    <row r="169" spans="1:26" ht="14.25" x14ac:dyDescent="0.2">
      <c r="A169" s="342" t="s">
        <v>203</v>
      </c>
      <c r="B169" s="329">
        <v>43160</v>
      </c>
      <c r="C169" s="330">
        <v>2018</v>
      </c>
      <c r="D169" s="305">
        <f t="shared" si="24"/>
        <v>966792.00000000012</v>
      </c>
      <c r="E169" s="305">
        <f t="shared" si="25"/>
        <v>10925</v>
      </c>
      <c r="F169" s="306">
        <f t="shared" si="26"/>
        <v>4491</v>
      </c>
      <c r="G169" s="307">
        <f t="shared" si="27"/>
        <v>3286.0000000000005</v>
      </c>
      <c r="H169" s="307">
        <f t="shared" si="28"/>
        <v>0</v>
      </c>
      <c r="I169" s="307">
        <f t="shared" si="29"/>
        <v>1205.0000000000002</v>
      </c>
      <c r="J169" s="308">
        <f t="shared" si="30"/>
        <v>0</v>
      </c>
      <c r="K169" s="306">
        <f t="shared" si="31"/>
        <v>6433.9999999999991</v>
      </c>
      <c r="L169" s="307">
        <f t="shared" si="32"/>
        <v>4908</v>
      </c>
      <c r="M169" s="307">
        <f t="shared" si="33"/>
        <v>0</v>
      </c>
      <c r="N169" s="307">
        <f t="shared" si="34"/>
        <v>794.99999999999989</v>
      </c>
      <c r="O169" s="309">
        <f t="shared" si="35"/>
        <v>730.99999999999989</v>
      </c>
      <c r="P169" s="305">
        <f t="shared" si="36"/>
        <v>263</v>
      </c>
      <c r="Q169" s="306">
        <f t="shared" si="37"/>
        <v>61.999999999999986</v>
      </c>
      <c r="R169" s="307">
        <f t="shared" si="38"/>
        <v>49</v>
      </c>
      <c r="S169" s="307">
        <f t="shared" si="39"/>
        <v>0</v>
      </c>
      <c r="T169" s="307">
        <f t="shared" si="40"/>
        <v>13.000000000000002</v>
      </c>
      <c r="U169" s="308">
        <f t="shared" si="41"/>
        <v>0</v>
      </c>
      <c r="V169" s="306">
        <f t="shared" si="42"/>
        <v>201.00000000000003</v>
      </c>
      <c r="W169" s="307">
        <f t="shared" si="43"/>
        <v>171</v>
      </c>
      <c r="X169" s="307">
        <f t="shared" si="44"/>
        <v>0</v>
      </c>
      <c r="Y169" s="307">
        <f t="shared" si="45"/>
        <v>10</v>
      </c>
      <c r="Z169" s="309">
        <f t="shared" si="46"/>
        <v>20</v>
      </c>
    </row>
    <row r="170" spans="1:26" ht="14.25" x14ac:dyDescent="0.2">
      <c r="A170" s="342" t="s">
        <v>204</v>
      </c>
      <c r="B170" s="329">
        <v>43191</v>
      </c>
      <c r="C170" s="330">
        <v>2018</v>
      </c>
      <c r="D170" s="305">
        <f t="shared" si="24"/>
        <v>1046752.3333333335</v>
      </c>
      <c r="E170" s="305">
        <f t="shared" si="25"/>
        <v>13241.333333333334</v>
      </c>
      <c r="F170" s="306">
        <f t="shared" si="26"/>
        <v>5696.666666666667</v>
      </c>
      <c r="G170" s="307">
        <f t="shared" si="27"/>
        <v>4388</v>
      </c>
      <c r="H170" s="307">
        <f t="shared" si="28"/>
        <v>0</v>
      </c>
      <c r="I170" s="307">
        <f t="shared" si="29"/>
        <v>1308.666666666667</v>
      </c>
      <c r="J170" s="308">
        <f t="shared" si="30"/>
        <v>0</v>
      </c>
      <c r="K170" s="306">
        <f t="shared" si="31"/>
        <v>7544.6666666666661</v>
      </c>
      <c r="L170" s="307">
        <f t="shared" si="32"/>
        <v>5647.333333333333</v>
      </c>
      <c r="M170" s="307">
        <f t="shared" si="33"/>
        <v>0</v>
      </c>
      <c r="N170" s="307">
        <f t="shared" si="34"/>
        <v>1030.6666666666665</v>
      </c>
      <c r="O170" s="309">
        <f t="shared" si="35"/>
        <v>866.66666666666652</v>
      </c>
      <c r="P170" s="305">
        <f t="shared" si="36"/>
        <v>313.33333333333331</v>
      </c>
      <c r="Q170" s="306">
        <f t="shared" si="37"/>
        <v>82.333333333333314</v>
      </c>
      <c r="R170" s="307">
        <f t="shared" si="38"/>
        <v>68.666666666666671</v>
      </c>
      <c r="S170" s="307">
        <f t="shared" si="39"/>
        <v>0</v>
      </c>
      <c r="T170" s="307">
        <f t="shared" si="40"/>
        <v>13.666666666666668</v>
      </c>
      <c r="U170" s="308">
        <f t="shared" si="41"/>
        <v>0</v>
      </c>
      <c r="V170" s="306">
        <f t="shared" si="42"/>
        <v>231.00000000000003</v>
      </c>
      <c r="W170" s="307">
        <f t="shared" si="43"/>
        <v>190.66666666666666</v>
      </c>
      <c r="X170" s="307">
        <f t="shared" si="44"/>
        <v>0</v>
      </c>
      <c r="Y170" s="307">
        <f t="shared" si="45"/>
        <v>15</v>
      </c>
      <c r="Z170" s="309">
        <f t="shared" si="46"/>
        <v>25.333333333333332</v>
      </c>
    </row>
    <row r="171" spans="1:26" ht="14.25" x14ac:dyDescent="0.2">
      <c r="A171" s="342" t="s">
        <v>204</v>
      </c>
      <c r="B171" s="329">
        <v>43221</v>
      </c>
      <c r="C171" s="330">
        <v>2018</v>
      </c>
      <c r="D171" s="305">
        <f t="shared" si="24"/>
        <v>1126712.6666666667</v>
      </c>
      <c r="E171" s="305">
        <f t="shared" si="25"/>
        <v>15557.666666666668</v>
      </c>
      <c r="F171" s="306">
        <f t="shared" si="26"/>
        <v>6902.3333333333339</v>
      </c>
      <c r="G171" s="307">
        <f t="shared" si="27"/>
        <v>5490</v>
      </c>
      <c r="H171" s="307">
        <f t="shared" si="28"/>
        <v>0</v>
      </c>
      <c r="I171" s="307">
        <f t="shared" si="29"/>
        <v>1412.3333333333337</v>
      </c>
      <c r="J171" s="308">
        <f t="shared" si="30"/>
        <v>0</v>
      </c>
      <c r="K171" s="306">
        <f t="shared" si="31"/>
        <v>8655.3333333333321</v>
      </c>
      <c r="L171" s="307">
        <f t="shared" si="32"/>
        <v>6386.6666666666661</v>
      </c>
      <c r="M171" s="307">
        <f t="shared" si="33"/>
        <v>0</v>
      </c>
      <c r="N171" s="307">
        <f t="shared" si="34"/>
        <v>1266.3333333333333</v>
      </c>
      <c r="O171" s="309">
        <f t="shared" si="35"/>
        <v>1002.3333333333331</v>
      </c>
      <c r="P171" s="305">
        <f t="shared" si="36"/>
        <v>363.66666666666663</v>
      </c>
      <c r="Q171" s="306">
        <f t="shared" si="37"/>
        <v>102.66666666666664</v>
      </c>
      <c r="R171" s="307">
        <f t="shared" si="38"/>
        <v>88.333333333333343</v>
      </c>
      <c r="S171" s="307">
        <f t="shared" si="39"/>
        <v>0</v>
      </c>
      <c r="T171" s="307">
        <f t="shared" si="40"/>
        <v>14.333333333333334</v>
      </c>
      <c r="U171" s="308">
        <f t="shared" si="41"/>
        <v>0</v>
      </c>
      <c r="V171" s="306">
        <f t="shared" si="42"/>
        <v>261</v>
      </c>
      <c r="W171" s="307">
        <f t="shared" si="43"/>
        <v>210.33333333333331</v>
      </c>
      <c r="X171" s="307">
        <f t="shared" si="44"/>
        <v>0</v>
      </c>
      <c r="Y171" s="307">
        <f t="shared" si="45"/>
        <v>20</v>
      </c>
      <c r="Z171" s="309">
        <f t="shared" si="46"/>
        <v>30.666666666666664</v>
      </c>
    </row>
    <row r="172" spans="1:26" ht="14.25" x14ac:dyDescent="0.2">
      <c r="A172" s="342" t="s">
        <v>204</v>
      </c>
      <c r="B172" s="329">
        <v>43252</v>
      </c>
      <c r="C172" s="330">
        <v>2018</v>
      </c>
      <c r="D172" s="305">
        <f t="shared" si="24"/>
        <v>1206673</v>
      </c>
      <c r="E172" s="305">
        <f t="shared" si="25"/>
        <v>17874</v>
      </c>
      <c r="F172" s="306">
        <f t="shared" si="26"/>
        <v>8108.0000000000009</v>
      </c>
      <c r="G172" s="307">
        <f t="shared" si="27"/>
        <v>6592</v>
      </c>
      <c r="H172" s="307">
        <f t="shared" si="28"/>
        <v>0</v>
      </c>
      <c r="I172" s="307">
        <f t="shared" si="29"/>
        <v>1516.0000000000005</v>
      </c>
      <c r="J172" s="308">
        <f t="shared" si="30"/>
        <v>0</v>
      </c>
      <c r="K172" s="306">
        <f t="shared" si="31"/>
        <v>9765.9999999999982</v>
      </c>
      <c r="L172" s="307">
        <f t="shared" si="32"/>
        <v>7125.9999999999991</v>
      </c>
      <c r="M172" s="307">
        <f t="shared" si="33"/>
        <v>0</v>
      </c>
      <c r="N172" s="307">
        <f t="shared" si="34"/>
        <v>1502</v>
      </c>
      <c r="O172" s="309">
        <f t="shared" si="35"/>
        <v>1137.9999999999998</v>
      </c>
      <c r="P172" s="305">
        <f t="shared" si="36"/>
        <v>413.99999999999994</v>
      </c>
      <c r="Q172" s="306">
        <f t="shared" si="37"/>
        <v>122.99999999999997</v>
      </c>
      <c r="R172" s="307">
        <f t="shared" si="38"/>
        <v>108.00000000000001</v>
      </c>
      <c r="S172" s="307">
        <f t="shared" si="39"/>
        <v>0</v>
      </c>
      <c r="T172" s="307">
        <f t="shared" si="40"/>
        <v>15</v>
      </c>
      <c r="U172" s="308">
        <f t="shared" si="41"/>
        <v>0</v>
      </c>
      <c r="V172" s="306">
        <f t="shared" si="42"/>
        <v>291</v>
      </c>
      <c r="W172" s="307">
        <f t="shared" si="43"/>
        <v>229.99999999999997</v>
      </c>
      <c r="X172" s="307">
        <f t="shared" si="44"/>
        <v>0</v>
      </c>
      <c r="Y172" s="307">
        <f t="shared" si="45"/>
        <v>25</v>
      </c>
      <c r="Z172" s="309">
        <f t="shared" si="46"/>
        <v>36</v>
      </c>
    </row>
    <row r="173" spans="1:26" ht="14.25" x14ac:dyDescent="0.2">
      <c r="A173" s="342" t="s">
        <v>205</v>
      </c>
      <c r="B173" s="329">
        <v>43282</v>
      </c>
      <c r="C173" s="330">
        <v>2018</v>
      </c>
      <c r="D173" s="305">
        <f t="shared" si="24"/>
        <v>1279597</v>
      </c>
      <c r="E173" s="305">
        <f t="shared" si="25"/>
        <v>19600</v>
      </c>
      <c r="F173" s="306">
        <f t="shared" si="26"/>
        <v>8950</v>
      </c>
      <c r="G173" s="307">
        <f t="shared" si="27"/>
        <v>7350.333333333333</v>
      </c>
      <c r="H173" s="307">
        <f t="shared" si="28"/>
        <v>0</v>
      </c>
      <c r="I173" s="307">
        <f t="shared" si="29"/>
        <v>1599.6666666666672</v>
      </c>
      <c r="J173" s="308">
        <f t="shared" si="30"/>
        <v>0</v>
      </c>
      <c r="K173" s="306">
        <f t="shared" si="31"/>
        <v>10649.999999999998</v>
      </c>
      <c r="L173" s="307">
        <f t="shared" si="32"/>
        <v>7660.3333333333321</v>
      </c>
      <c r="M173" s="307">
        <f t="shared" si="33"/>
        <v>0</v>
      </c>
      <c r="N173" s="307">
        <f t="shared" si="34"/>
        <v>1783.3333333333333</v>
      </c>
      <c r="O173" s="309">
        <f t="shared" si="35"/>
        <v>1206.333333333333</v>
      </c>
      <c r="P173" s="305">
        <f t="shared" si="36"/>
        <v>456.33333333333326</v>
      </c>
      <c r="Q173" s="306">
        <f t="shared" si="37"/>
        <v>136.99999999999997</v>
      </c>
      <c r="R173" s="307">
        <f t="shared" si="38"/>
        <v>121.33333333333334</v>
      </c>
      <c r="S173" s="307">
        <f t="shared" si="39"/>
        <v>0</v>
      </c>
      <c r="T173" s="307">
        <f t="shared" si="40"/>
        <v>15.666666666666666</v>
      </c>
      <c r="U173" s="308">
        <f t="shared" si="41"/>
        <v>0</v>
      </c>
      <c r="V173" s="306">
        <f t="shared" si="42"/>
        <v>319.33333333333331</v>
      </c>
      <c r="W173" s="307">
        <f t="shared" si="43"/>
        <v>247.33333333333331</v>
      </c>
      <c r="X173" s="307">
        <f t="shared" si="44"/>
        <v>0</v>
      </c>
      <c r="Y173" s="307">
        <f t="shared" si="45"/>
        <v>33.333333333333336</v>
      </c>
      <c r="Z173" s="309">
        <f t="shared" si="46"/>
        <v>38.666666666666664</v>
      </c>
    </row>
    <row r="174" spans="1:26" ht="14.25" x14ac:dyDescent="0.2">
      <c r="A174" s="342" t="s">
        <v>205</v>
      </c>
      <c r="B174" s="329">
        <v>43313</v>
      </c>
      <c r="C174" s="330">
        <v>2018</v>
      </c>
      <c r="D174" s="305">
        <f t="shared" si="24"/>
        <v>1352521</v>
      </c>
      <c r="E174" s="305">
        <f t="shared" si="25"/>
        <v>21326</v>
      </c>
      <c r="F174" s="306">
        <f t="shared" si="26"/>
        <v>9792</v>
      </c>
      <c r="G174" s="307">
        <f t="shared" si="27"/>
        <v>8108.6666666666661</v>
      </c>
      <c r="H174" s="307">
        <f t="shared" si="28"/>
        <v>0</v>
      </c>
      <c r="I174" s="307">
        <f t="shared" si="29"/>
        <v>1683.3333333333339</v>
      </c>
      <c r="J174" s="308">
        <f t="shared" si="30"/>
        <v>0</v>
      </c>
      <c r="K174" s="306">
        <f t="shared" si="31"/>
        <v>11533.999999999998</v>
      </c>
      <c r="L174" s="307">
        <f t="shared" si="32"/>
        <v>8194.6666666666661</v>
      </c>
      <c r="M174" s="307">
        <f t="shared" si="33"/>
        <v>0</v>
      </c>
      <c r="N174" s="307">
        <f t="shared" si="34"/>
        <v>2064.6666666666665</v>
      </c>
      <c r="O174" s="309">
        <f t="shared" si="35"/>
        <v>1274.6666666666663</v>
      </c>
      <c r="P174" s="305">
        <f t="shared" si="36"/>
        <v>498.66666666666657</v>
      </c>
      <c r="Q174" s="306">
        <f t="shared" si="37"/>
        <v>150.99999999999997</v>
      </c>
      <c r="R174" s="307">
        <f t="shared" si="38"/>
        <v>134.66666666666669</v>
      </c>
      <c r="S174" s="307">
        <f t="shared" si="39"/>
        <v>0</v>
      </c>
      <c r="T174" s="307">
        <f t="shared" si="40"/>
        <v>16.333333333333332</v>
      </c>
      <c r="U174" s="308">
        <f t="shared" si="41"/>
        <v>0</v>
      </c>
      <c r="V174" s="306">
        <f t="shared" si="42"/>
        <v>347.66666666666663</v>
      </c>
      <c r="W174" s="307">
        <f t="shared" si="43"/>
        <v>264.66666666666663</v>
      </c>
      <c r="X174" s="307">
        <f t="shared" si="44"/>
        <v>0</v>
      </c>
      <c r="Y174" s="307">
        <f t="shared" si="45"/>
        <v>41.666666666666671</v>
      </c>
      <c r="Z174" s="309">
        <f t="shared" si="46"/>
        <v>41.333333333333329</v>
      </c>
    </row>
    <row r="175" spans="1:26" ht="14.25" x14ac:dyDescent="0.2">
      <c r="A175" s="342" t="s">
        <v>205</v>
      </c>
      <c r="B175" s="329">
        <v>43344</v>
      </c>
      <c r="C175" s="330">
        <v>2018</v>
      </c>
      <c r="D175" s="305">
        <f t="shared" si="24"/>
        <v>1425445</v>
      </c>
      <c r="E175" s="305">
        <f t="shared" si="25"/>
        <v>23052</v>
      </c>
      <c r="F175" s="306">
        <f t="shared" si="26"/>
        <v>10634</v>
      </c>
      <c r="G175" s="307">
        <f t="shared" si="27"/>
        <v>8867</v>
      </c>
      <c r="H175" s="307">
        <f t="shared" si="28"/>
        <v>0</v>
      </c>
      <c r="I175" s="307">
        <f t="shared" si="29"/>
        <v>1767.0000000000007</v>
      </c>
      <c r="J175" s="308">
        <f t="shared" si="30"/>
        <v>0</v>
      </c>
      <c r="K175" s="306">
        <f t="shared" si="31"/>
        <v>12417.999999999998</v>
      </c>
      <c r="L175" s="307">
        <f t="shared" si="32"/>
        <v>8729</v>
      </c>
      <c r="M175" s="307">
        <f t="shared" si="33"/>
        <v>0</v>
      </c>
      <c r="N175" s="307">
        <f t="shared" si="34"/>
        <v>2346</v>
      </c>
      <c r="O175" s="309">
        <f t="shared" si="35"/>
        <v>1342.9999999999995</v>
      </c>
      <c r="P175" s="305">
        <f t="shared" si="36"/>
        <v>540.99999999999989</v>
      </c>
      <c r="Q175" s="306">
        <f t="shared" si="37"/>
        <v>164.99999999999997</v>
      </c>
      <c r="R175" s="307">
        <f t="shared" si="38"/>
        <v>148.00000000000003</v>
      </c>
      <c r="S175" s="307">
        <f t="shared" si="39"/>
        <v>0</v>
      </c>
      <c r="T175" s="307">
        <f t="shared" si="40"/>
        <v>17</v>
      </c>
      <c r="U175" s="308">
        <f t="shared" si="41"/>
        <v>0</v>
      </c>
      <c r="V175" s="306">
        <f t="shared" si="42"/>
        <v>375.99999999999994</v>
      </c>
      <c r="W175" s="307">
        <f t="shared" si="43"/>
        <v>281.99999999999994</v>
      </c>
      <c r="X175" s="307">
        <f t="shared" si="44"/>
        <v>0</v>
      </c>
      <c r="Y175" s="307">
        <f t="shared" si="45"/>
        <v>50.000000000000007</v>
      </c>
      <c r="Z175" s="309">
        <f t="shared" si="46"/>
        <v>43.999999999999993</v>
      </c>
    </row>
    <row r="176" spans="1:26" ht="14.25" x14ac:dyDescent="0.2">
      <c r="A176" s="342" t="s">
        <v>206</v>
      </c>
      <c r="B176" s="329">
        <v>43374</v>
      </c>
      <c r="C176" s="330">
        <v>2018</v>
      </c>
      <c r="D176" s="305">
        <f t="shared" si="24"/>
        <v>1483619.3333333333</v>
      </c>
      <c r="E176" s="305">
        <f t="shared" si="25"/>
        <v>23680.666666666668</v>
      </c>
      <c r="F176" s="306">
        <f t="shared" si="26"/>
        <v>11015.666666666666</v>
      </c>
      <c r="G176" s="307">
        <f t="shared" si="27"/>
        <v>9194</v>
      </c>
      <c r="H176" s="307">
        <f t="shared" si="28"/>
        <v>0</v>
      </c>
      <c r="I176" s="307">
        <f t="shared" si="29"/>
        <v>1821.6666666666674</v>
      </c>
      <c r="J176" s="308">
        <f t="shared" si="30"/>
        <v>0</v>
      </c>
      <c r="K176" s="306">
        <f t="shared" si="31"/>
        <v>12664.999999999998</v>
      </c>
      <c r="L176" s="307">
        <f t="shared" si="32"/>
        <v>8877.6666666666661</v>
      </c>
      <c r="M176" s="307">
        <f t="shared" si="33"/>
        <v>0</v>
      </c>
      <c r="N176" s="307">
        <f t="shared" si="34"/>
        <v>2426.6666666666665</v>
      </c>
      <c r="O176" s="309">
        <f t="shared" si="35"/>
        <v>1360.6666666666663</v>
      </c>
      <c r="P176" s="305">
        <f t="shared" si="36"/>
        <v>550.66666666666652</v>
      </c>
      <c r="Q176" s="306">
        <f t="shared" si="37"/>
        <v>170.66666666666663</v>
      </c>
      <c r="R176" s="307">
        <f t="shared" si="38"/>
        <v>153.00000000000003</v>
      </c>
      <c r="S176" s="307">
        <f t="shared" si="39"/>
        <v>0</v>
      </c>
      <c r="T176" s="307">
        <f t="shared" si="40"/>
        <v>17.666666666666668</v>
      </c>
      <c r="U176" s="308">
        <f t="shared" si="41"/>
        <v>0</v>
      </c>
      <c r="V176" s="306">
        <f t="shared" si="42"/>
        <v>379.99999999999994</v>
      </c>
      <c r="W176" s="307">
        <f t="shared" si="43"/>
        <v>284.99999999999994</v>
      </c>
      <c r="X176" s="307">
        <f t="shared" si="44"/>
        <v>0</v>
      </c>
      <c r="Y176" s="307">
        <f t="shared" si="45"/>
        <v>51.000000000000007</v>
      </c>
      <c r="Z176" s="309">
        <f t="shared" si="46"/>
        <v>43.999999999999993</v>
      </c>
    </row>
    <row r="177" spans="1:26" ht="14.25" x14ac:dyDescent="0.2">
      <c r="A177" s="342" t="s">
        <v>206</v>
      </c>
      <c r="B177" s="329">
        <v>43405</v>
      </c>
      <c r="C177" s="330">
        <v>2018</v>
      </c>
      <c r="D177" s="305">
        <f t="shared" si="24"/>
        <v>1541793.6666666665</v>
      </c>
      <c r="E177" s="305">
        <f t="shared" si="25"/>
        <v>24309.333333333336</v>
      </c>
      <c r="F177" s="306">
        <f t="shared" si="26"/>
        <v>11397.333333333332</v>
      </c>
      <c r="G177" s="307">
        <f t="shared" si="27"/>
        <v>9521</v>
      </c>
      <c r="H177" s="307">
        <f t="shared" si="28"/>
        <v>0</v>
      </c>
      <c r="I177" s="307">
        <f t="shared" si="29"/>
        <v>1876.3333333333342</v>
      </c>
      <c r="J177" s="308">
        <f t="shared" si="30"/>
        <v>0</v>
      </c>
      <c r="K177" s="306">
        <f t="shared" si="31"/>
        <v>12911.999999999998</v>
      </c>
      <c r="L177" s="307">
        <f t="shared" si="32"/>
        <v>9026.3333333333321</v>
      </c>
      <c r="M177" s="307">
        <f t="shared" si="33"/>
        <v>0</v>
      </c>
      <c r="N177" s="307">
        <f t="shared" si="34"/>
        <v>2507.333333333333</v>
      </c>
      <c r="O177" s="309">
        <f t="shared" si="35"/>
        <v>1378.333333333333</v>
      </c>
      <c r="P177" s="305">
        <f t="shared" si="36"/>
        <v>560.33333333333314</v>
      </c>
      <c r="Q177" s="306">
        <f t="shared" si="37"/>
        <v>176.33333333333329</v>
      </c>
      <c r="R177" s="307">
        <f t="shared" si="38"/>
        <v>158.00000000000003</v>
      </c>
      <c r="S177" s="307">
        <f t="shared" si="39"/>
        <v>0</v>
      </c>
      <c r="T177" s="307">
        <f t="shared" si="40"/>
        <v>18.333333333333336</v>
      </c>
      <c r="U177" s="308">
        <f t="shared" si="41"/>
        <v>0</v>
      </c>
      <c r="V177" s="306">
        <f t="shared" si="42"/>
        <v>383.99999999999994</v>
      </c>
      <c r="W177" s="307">
        <f t="shared" si="43"/>
        <v>287.99999999999994</v>
      </c>
      <c r="X177" s="307">
        <f t="shared" si="44"/>
        <v>0</v>
      </c>
      <c r="Y177" s="307">
        <f t="shared" si="45"/>
        <v>52.000000000000007</v>
      </c>
      <c r="Z177" s="309">
        <f t="shared" si="46"/>
        <v>43.999999999999993</v>
      </c>
    </row>
    <row r="178" spans="1:26" ht="14.25" x14ac:dyDescent="0.2">
      <c r="A178" s="342" t="s">
        <v>206</v>
      </c>
      <c r="B178" s="329">
        <v>43435</v>
      </c>
      <c r="C178" s="330">
        <v>2018</v>
      </c>
      <c r="D178" s="305">
        <f t="shared" si="24"/>
        <v>1599967.9999999998</v>
      </c>
      <c r="E178" s="305">
        <f t="shared" si="25"/>
        <v>24938.000000000004</v>
      </c>
      <c r="F178" s="306">
        <f t="shared" si="26"/>
        <v>11778.999999999998</v>
      </c>
      <c r="G178" s="307">
        <f t="shared" si="27"/>
        <v>9848</v>
      </c>
      <c r="H178" s="307">
        <f t="shared" si="28"/>
        <v>0</v>
      </c>
      <c r="I178" s="307">
        <f t="shared" si="29"/>
        <v>1931.0000000000009</v>
      </c>
      <c r="J178" s="308">
        <f t="shared" si="30"/>
        <v>0</v>
      </c>
      <c r="K178" s="306">
        <f t="shared" si="31"/>
        <v>13158.999999999998</v>
      </c>
      <c r="L178" s="307">
        <f t="shared" si="32"/>
        <v>9174.9999999999982</v>
      </c>
      <c r="M178" s="307">
        <f t="shared" si="33"/>
        <v>0</v>
      </c>
      <c r="N178" s="307">
        <f t="shared" si="34"/>
        <v>2587.9999999999995</v>
      </c>
      <c r="O178" s="309">
        <f t="shared" si="35"/>
        <v>1395.9999999999998</v>
      </c>
      <c r="P178" s="305">
        <f t="shared" si="36"/>
        <v>569.99999999999977</v>
      </c>
      <c r="Q178" s="306">
        <f t="shared" si="37"/>
        <v>181.99999999999994</v>
      </c>
      <c r="R178" s="307">
        <f t="shared" si="38"/>
        <v>163.00000000000003</v>
      </c>
      <c r="S178" s="307">
        <f t="shared" si="39"/>
        <v>0</v>
      </c>
      <c r="T178" s="307">
        <f t="shared" si="40"/>
        <v>19.000000000000004</v>
      </c>
      <c r="U178" s="308">
        <f t="shared" si="41"/>
        <v>0</v>
      </c>
      <c r="V178" s="306">
        <f t="shared" si="42"/>
        <v>387.99999999999994</v>
      </c>
      <c r="W178" s="307">
        <f t="shared" si="43"/>
        <v>290.99999999999994</v>
      </c>
      <c r="X178" s="307">
        <f t="shared" si="44"/>
        <v>0</v>
      </c>
      <c r="Y178" s="307">
        <f t="shared" si="45"/>
        <v>53.000000000000007</v>
      </c>
      <c r="Z178" s="309">
        <f t="shared" si="46"/>
        <v>43.999999999999993</v>
      </c>
    </row>
    <row r="179" spans="1:26" ht="14.25" x14ac:dyDescent="0.2">
      <c r="A179" s="342" t="s">
        <v>207</v>
      </c>
      <c r="B179" s="329">
        <v>43466</v>
      </c>
      <c r="C179" s="330">
        <v>2019</v>
      </c>
      <c r="D179" s="305">
        <f t="shared" si="24"/>
        <v>1656287.6666666665</v>
      </c>
      <c r="E179" s="305">
        <f t="shared" si="25"/>
        <v>25385.666666666672</v>
      </c>
      <c r="F179" s="306">
        <f t="shared" si="26"/>
        <v>12062.333333333332</v>
      </c>
      <c r="G179" s="307">
        <f t="shared" si="27"/>
        <v>10036.333333333334</v>
      </c>
      <c r="H179" s="307">
        <f t="shared" si="28"/>
        <v>0</v>
      </c>
      <c r="I179" s="307">
        <f t="shared" si="29"/>
        <v>2026.0000000000009</v>
      </c>
      <c r="J179" s="308">
        <f t="shared" si="30"/>
        <v>0</v>
      </c>
      <c r="K179" s="306">
        <f t="shared" si="31"/>
        <v>13323.333333333332</v>
      </c>
      <c r="L179" s="307">
        <f t="shared" si="32"/>
        <v>9268.3333333333321</v>
      </c>
      <c r="M179" s="307">
        <f t="shared" si="33"/>
        <v>0</v>
      </c>
      <c r="N179" s="307">
        <f t="shared" si="34"/>
        <v>2650.9999999999995</v>
      </c>
      <c r="O179" s="309">
        <f t="shared" si="35"/>
        <v>1403.9999999999998</v>
      </c>
      <c r="P179" s="305">
        <f t="shared" si="36"/>
        <v>579.33333333333314</v>
      </c>
      <c r="Q179" s="306">
        <f t="shared" si="37"/>
        <v>185.33333333333329</v>
      </c>
      <c r="R179" s="307">
        <f t="shared" si="38"/>
        <v>165.66666666666669</v>
      </c>
      <c r="S179" s="307">
        <f t="shared" si="39"/>
        <v>0</v>
      </c>
      <c r="T179" s="307">
        <f t="shared" si="40"/>
        <v>19.666666666666671</v>
      </c>
      <c r="U179" s="308">
        <f t="shared" si="41"/>
        <v>0</v>
      </c>
      <c r="V179" s="306">
        <f t="shared" si="42"/>
        <v>393.99999999999994</v>
      </c>
      <c r="W179" s="307">
        <f t="shared" si="43"/>
        <v>295.99999999999994</v>
      </c>
      <c r="X179" s="307">
        <f t="shared" si="44"/>
        <v>0</v>
      </c>
      <c r="Y179" s="307">
        <f t="shared" si="45"/>
        <v>54.000000000000007</v>
      </c>
      <c r="Z179" s="309">
        <f t="shared" si="46"/>
        <v>43.999999999999993</v>
      </c>
    </row>
    <row r="180" spans="1:26" ht="14.25" x14ac:dyDescent="0.2">
      <c r="A180" s="342" t="s">
        <v>207</v>
      </c>
      <c r="B180" s="329">
        <v>43497</v>
      </c>
      <c r="C180" s="330">
        <v>2019</v>
      </c>
      <c r="D180" s="305">
        <f t="shared" si="24"/>
        <v>1712607.3333333333</v>
      </c>
      <c r="E180" s="305">
        <f t="shared" si="25"/>
        <v>25833.333333333339</v>
      </c>
      <c r="F180" s="306">
        <f t="shared" si="26"/>
        <v>12345.666666666666</v>
      </c>
      <c r="G180" s="307">
        <f t="shared" si="27"/>
        <v>10224.666666666668</v>
      </c>
      <c r="H180" s="307">
        <f t="shared" si="28"/>
        <v>0</v>
      </c>
      <c r="I180" s="307">
        <f t="shared" si="29"/>
        <v>2121.0000000000009</v>
      </c>
      <c r="J180" s="308">
        <f t="shared" si="30"/>
        <v>0</v>
      </c>
      <c r="K180" s="306">
        <f t="shared" si="31"/>
        <v>13487.666666666666</v>
      </c>
      <c r="L180" s="307">
        <f t="shared" si="32"/>
        <v>9361.6666666666661</v>
      </c>
      <c r="M180" s="307">
        <f t="shared" si="33"/>
        <v>0</v>
      </c>
      <c r="N180" s="307">
        <f t="shared" si="34"/>
        <v>2713.9999999999995</v>
      </c>
      <c r="O180" s="309">
        <f t="shared" si="35"/>
        <v>1411.9999999999998</v>
      </c>
      <c r="P180" s="305">
        <f t="shared" si="36"/>
        <v>588.66666666666652</v>
      </c>
      <c r="Q180" s="306">
        <f t="shared" si="37"/>
        <v>188.66666666666663</v>
      </c>
      <c r="R180" s="307">
        <f t="shared" si="38"/>
        <v>168.33333333333334</v>
      </c>
      <c r="S180" s="307">
        <f t="shared" si="39"/>
        <v>0</v>
      </c>
      <c r="T180" s="307">
        <f t="shared" si="40"/>
        <v>20.333333333333339</v>
      </c>
      <c r="U180" s="308">
        <f t="shared" si="41"/>
        <v>0</v>
      </c>
      <c r="V180" s="306">
        <f t="shared" si="42"/>
        <v>399.99999999999994</v>
      </c>
      <c r="W180" s="307">
        <f t="shared" si="43"/>
        <v>300.99999999999994</v>
      </c>
      <c r="X180" s="307">
        <f t="shared" si="44"/>
        <v>0</v>
      </c>
      <c r="Y180" s="307">
        <f t="shared" si="45"/>
        <v>55.000000000000007</v>
      </c>
      <c r="Z180" s="309">
        <f t="shared" si="46"/>
        <v>43.999999999999993</v>
      </c>
    </row>
    <row r="181" spans="1:26" ht="14.25" x14ac:dyDescent="0.2">
      <c r="A181" s="342" t="s">
        <v>207</v>
      </c>
      <c r="B181" s="329">
        <v>43525</v>
      </c>
      <c r="C181" s="330">
        <v>2019</v>
      </c>
      <c r="D181" s="305">
        <f t="shared" si="24"/>
        <v>1768927</v>
      </c>
      <c r="E181" s="305">
        <f t="shared" si="25"/>
        <v>26281.000000000007</v>
      </c>
      <c r="F181" s="306">
        <f t="shared" si="26"/>
        <v>12629</v>
      </c>
      <c r="G181" s="307">
        <f t="shared" si="27"/>
        <v>10413.000000000002</v>
      </c>
      <c r="H181" s="307">
        <f t="shared" si="28"/>
        <v>0</v>
      </c>
      <c r="I181" s="307">
        <f t="shared" si="29"/>
        <v>2216.0000000000009</v>
      </c>
      <c r="J181" s="308">
        <f t="shared" si="30"/>
        <v>0</v>
      </c>
      <c r="K181" s="306">
        <f t="shared" si="31"/>
        <v>13652</v>
      </c>
      <c r="L181" s="307">
        <f t="shared" si="32"/>
        <v>9455</v>
      </c>
      <c r="M181" s="307">
        <f t="shared" si="33"/>
        <v>0</v>
      </c>
      <c r="N181" s="307">
        <f t="shared" si="34"/>
        <v>2776.9999999999995</v>
      </c>
      <c r="O181" s="309">
        <f t="shared" si="35"/>
        <v>1419.9999999999998</v>
      </c>
      <c r="P181" s="305">
        <f t="shared" si="36"/>
        <v>597.99999999999989</v>
      </c>
      <c r="Q181" s="306">
        <f t="shared" si="37"/>
        <v>191.99999999999997</v>
      </c>
      <c r="R181" s="307">
        <f t="shared" si="38"/>
        <v>171</v>
      </c>
      <c r="S181" s="307">
        <f t="shared" si="39"/>
        <v>0</v>
      </c>
      <c r="T181" s="307">
        <f t="shared" si="40"/>
        <v>21.000000000000007</v>
      </c>
      <c r="U181" s="308">
        <f t="shared" si="41"/>
        <v>0</v>
      </c>
      <c r="V181" s="306">
        <f t="shared" si="42"/>
        <v>405.99999999999994</v>
      </c>
      <c r="W181" s="307">
        <f t="shared" si="43"/>
        <v>305.99999999999994</v>
      </c>
      <c r="X181" s="307">
        <f t="shared" si="44"/>
        <v>0</v>
      </c>
      <c r="Y181" s="307">
        <f t="shared" si="45"/>
        <v>56.000000000000007</v>
      </c>
      <c r="Z181" s="309">
        <f t="shared" si="46"/>
        <v>43.999999999999993</v>
      </c>
    </row>
    <row r="182" spans="1:26" ht="14.25" x14ac:dyDescent="0.2">
      <c r="A182" s="342" t="s">
        <v>208</v>
      </c>
      <c r="B182" s="329">
        <v>43556</v>
      </c>
      <c r="C182" s="330">
        <v>2019</v>
      </c>
      <c r="D182" s="305">
        <f t="shared" si="24"/>
        <v>1843191</v>
      </c>
      <c r="E182" s="305">
        <f t="shared" si="25"/>
        <v>27239.333333333339</v>
      </c>
      <c r="F182" s="306">
        <f t="shared" si="26"/>
        <v>13293</v>
      </c>
      <c r="G182" s="307">
        <f t="shared" si="27"/>
        <v>10965.000000000002</v>
      </c>
      <c r="H182" s="307">
        <f t="shared" si="28"/>
        <v>0</v>
      </c>
      <c r="I182" s="307">
        <f t="shared" si="29"/>
        <v>2328.0000000000009</v>
      </c>
      <c r="J182" s="308">
        <f t="shared" si="30"/>
        <v>0</v>
      </c>
      <c r="K182" s="306">
        <f t="shared" si="31"/>
        <v>13946.333333333334</v>
      </c>
      <c r="L182" s="307">
        <f t="shared" si="32"/>
        <v>9620.6666666666661</v>
      </c>
      <c r="M182" s="307">
        <f t="shared" si="33"/>
        <v>0</v>
      </c>
      <c r="N182" s="307">
        <f t="shared" si="34"/>
        <v>2893.333333333333</v>
      </c>
      <c r="O182" s="309">
        <f t="shared" si="35"/>
        <v>1432.333333333333</v>
      </c>
      <c r="P182" s="305">
        <f t="shared" si="36"/>
        <v>614.66666666666652</v>
      </c>
      <c r="Q182" s="306">
        <f t="shared" si="37"/>
        <v>201.33333333333331</v>
      </c>
      <c r="R182" s="307">
        <f t="shared" si="38"/>
        <v>179</v>
      </c>
      <c r="S182" s="307">
        <f t="shared" si="39"/>
        <v>0</v>
      </c>
      <c r="T182" s="307">
        <f t="shared" si="40"/>
        <v>22.333333333333339</v>
      </c>
      <c r="U182" s="308">
        <f t="shared" si="41"/>
        <v>0</v>
      </c>
      <c r="V182" s="306">
        <f t="shared" si="42"/>
        <v>413.33333333333326</v>
      </c>
      <c r="W182" s="307">
        <f t="shared" si="43"/>
        <v>309.99999999999994</v>
      </c>
      <c r="X182" s="307">
        <f t="shared" si="44"/>
        <v>0</v>
      </c>
      <c r="Y182" s="307">
        <f t="shared" si="45"/>
        <v>59.000000000000007</v>
      </c>
      <c r="Z182" s="309">
        <f t="shared" si="46"/>
        <v>44.333333333333329</v>
      </c>
    </row>
    <row r="183" spans="1:26" ht="14.25" x14ac:dyDescent="0.2">
      <c r="A183" s="342" t="s">
        <v>208</v>
      </c>
      <c r="B183" s="329">
        <v>43586</v>
      </c>
      <c r="C183" s="330">
        <v>2019</v>
      </c>
      <c r="D183" s="305">
        <f t="shared" si="24"/>
        <v>1917455</v>
      </c>
      <c r="E183" s="305">
        <f t="shared" si="25"/>
        <v>28197.666666666672</v>
      </c>
      <c r="F183" s="306">
        <f t="shared" si="26"/>
        <v>13957</v>
      </c>
      <c r="G183" s="307">
        <f t="shared" si="27"/>
        <v>11517.000000000002</v>
      </c>
      <c r="H183" s="307">
        <f t="shared" si="28"/>
        <v>0</v>
      </c>
      <c r="I183" s="307">
        <f t="shared" si="29"/>
        <v>2440.0000000000009</v>
      </c>
      <c r="J183" s="308">
        <f t="shared" si="30"/>
        <v>0</v>
      </c>
      <c r="K183" s="306">
        <f t="shared" si="31"/>
        <v>14240.666666666668</v>
      </c>
      <c r="L183" s="307">
        <f t="shared" si="32"/>
        <v>9786.3333333333321</v>
      </c>
      <c r="M183" s="307">
        <f t="shared" si="33"/>
        <v>0</v>
      </c>
      <c r="N183" s="307">
        <f t="shared" si="34"/>
        <v>3009.6666666666665</v>
      </c>
      <c r="O183" s="309">
        <f t="shared" si="35"/>
        <v>1444.6666666666663</v>
      </c>
      <c r="P183" s="305">
        <f t="shared" si="36"/>
        <v>631.33333333333314</v>
      </c>
      <c r="Q183" s="306">
        <f t="shared" si="37"/>
        <v>210.66666666666666</v>
      </c>
      <c r="R183" s="307">
        <f t="shared" si="38"/>
        <v>187</v>
      </c>
      <c r="S183" s="307">
        <f t="shared" si="39"/>
        <v>0</v>
      </c>
      <c r="T183" s="307">
        <f t="shared" si="40"/>
        <v>23.666666666666671</v>
      </c>
      <c r="U183" s="308">
        <f t="shared" si="41"/>
        <v>0</v>
      </c>
      <c r="V183" s="306">
        <f t="shared" si="42"/>
        <v>420.66666666666657</v>
      </c>
      <c r="W183" s="307">
        <f t="shared" si="43"/>
        <v>313.99999999999994</v>
      </c>
      <c r="X183" s="307">
        <f t="shared" si="44"/>
        <v>0</v>
      </c>
      <c r="Y183" s="307">
        <f t="shared" si="45"/>
        <v>62.000000000000007</v>
      </c>
      <c r="Z183" s="309">
        <f t="shared" si="46"/>
        <v>44.666666666666664</v>
      </c>
    </row>
    <row r="184" spans="1:26" ht="14.25" x14ac:dyDescent="0.2">
      <c r="A184" s="342" t="s">
        <v>208</v>
      </c>
      <c r="B184" s="329">
        <v>43617</v>
      </c>
      <c r="C184" s="330">
        <v>2019</v>
      </c>
      <c r="D184" s="305">
        <f t="shared" si="24"/>
        <v>1991719</v>
      </c>
      <c r="E184" s="305">
        <f t="shared" si="25"/>
        <v>29156.000000000004</v>
      </c>
      <c r="F184" s="306">
        <f t="shared" si="26"/>
        <v>14621</v>
      </c>
      <c r="G184" s="307">
        <f t="shared" si="27"/>
        <v>12069.000000000002</v>
      </c>
      <c r="H184" s="307">
        <f t="shared" si="28"/>
        <v>0</v>
      </c>
      <c r="I184" s="307">
        <f t="shared" si="29"/>
        <v>2552.0000000000009</v>
      </c>
      <c r="J184" s="308">
        <f t="shared" si="30"/>
        <v>0</v>
      </c>
      <c r="K184" s="306">
        <f t="shared" si="31"/>
        <v>14535.000000000002</v>
      </c>
      <c r="L184" s="307">
        <f t="shared" si="32"/>
        <v>9951.9999999999982</v>
      </c>
      <c r="M184" s="307">
        <f t="shared" si="33"/>
        <v>0</v>
      </c>
      <c r="N184" s="307">
        <f t="shared" si="34"/>
        <v>3126</v>
      </c>
      <c r="O184" s="309">
        <f t="shared" si="35"/>
        <v>1456.9999999999995</v>
      </c>
      <c r="P184" s="305">
        <f t="shared" si="36"/>
        <v>647.99999999999977</v>
      </c>
      <c r="Q184" s="306">
        <f t="shared" si="37"/>
        <v>220</v>
      </c>
      <c r="R184" s="307">
        <f t="shared" si="38"/>
        <v>195</v>
      </c>
      <c r="S184" s="307">
        <f t="shared" si="39"/>
        <v>0</v>
      </c>
      <c r="T184" s="307">
        <f t="shared" si="40"/>
        <v>25.000000000000004</v>
      </c>
      <c r="U184" s="308">
        <f t="shared" si="41"/>
        <v>0</v>
      </c>
      <c r="V184" s="306">
        <f t="shared" si="42"/>
        <v>427.99999999999989</v>
      </c>
      <c r="W184" s="307">
        <f t="shared" si="43"/>
        <v>317.99999999999994</v>
      </c>
      <c r="X184" s="307">
        <f t="shared" si="44"/>
        <v>0</v>
      </c>
      <c r="Y184" s="307">
        <f t="shared" si="45"/>
        <v>65</v>
      </c>
      <c r="Z184" s="309">
        <f t="shared" si="46"/>
        <v>45</v>
      </c>
    </row>
    <row r="185" spans="1:26" ht="14.25" x14ac:dyDescent="0.2">
      <c r="A185" s="342" t="s">
        <v>209</v>
      </c>
      <c r="B185" s="329">
        <v>43647</v>
      </c>
      <c r="C185" s="330">
        <v>2019</v>
      </c>
      <c r="D185" s="305">
        <f t="shared" si="24"/>
        <v>2064915.6666666667</v>
      </c>
      <c r="E185" s="305">
        <f t="shared" si="25"/>
        <v>30205.666666666672</v>
      </c>
      <c r="F185" s="306">
        <f t="shared" si="26"/>
        <v>15348</v>
      </c>
      <c r="G185" s="307">
        <f t="shared" si="27"/>
        <v>12683.666666666668</v>
      </c>
      <c r="H185" s="307">
        <f t="shared" si="28"/>
        <v>0</v>
      </c>
      <c r="I185" s="307">
        <f t="shared" si="29"/>
        <v>2664.3333333333344</v>
      </c>
      <c r="J185" s="308">
        <f t="shared" si="30"/>
        <v>0</v>
      </c>
      <c r="K185" s="306">
        <f t="shared" si="31"/>
        <v>14857.666666666668</v>
      </c>
      <c r="L185" s="307">
        <f t="shared" si="32"/>
        <v>10166.666666666664</v>
      </c>
      <c r="M185" s="307">
        <f t="shared" si="33"/>
        <v>0</v>
      </c>
      <c r="N185" s="307">
        <f t="shared" si="34"/>
        <v>3228</v>
      </c>
      <c r="O185" s="309">
        <f t="shared" si="35"/>
        <v>1462.9999999999995</v>
      </c>
      <c r="P185" s="305">
        <f t="shared" si="36"/>
        <v>664.99999999999977</v>
      </c>
      <c r="Q185" s="306">
        <f t="shared" si="37"/>
        <v>231.66666666666666</v>
      </c>
      <c r="R185" s="307">
        <f t="shared" si="38"/>
        <v>204</v>
      </c>
      <c r="S185" s="307">
        <f t="shared" si="39"/>
        <v>0</v>
      </c>
      <c r="T185" s="307">
        <f t="shared" si="40"/>
        <v>27.666666666666671</v>
      </c>
      <c r="U185" s="308">
        <f t="shared" si="41"/>
        <v>0</v>
      </c>
      <c r="V185" s="306">
        <f t="shared" si="42"/>
        <v>433.3333333333332</v>
      </c>
      <c r="W185" s="307">
        <f t="shared" si="43"/>
        <v>321.66666666666663</v>
      </c>
      <c r="X185" s="307">
        <f t="shared" si="44"/>
        <v>0</v>
      </c>
      <c r="Y185" s="307">
        <f t="shared" si="45"/>
        <v>66.666666666666671</v>
      </c>
      <c r="Z185" s="309">
        <f t="shared" si="46"/>
        <v>45</v>
      </c>
    </row>
    <row r="186" spans="1:26" ht="14.25" x14ac:dyDescent="0.2">
      <c r="A186" s="342" t="s">
        <v>209</v>
      </c>
      <c r="B186" s="329">
        <v>43678</v>
      </c>
      <c r="C186" s="330">
        <v>2019</v>
      </c>
      <c r="D186" s="305">
        <f t="shared" si="24"/>
        <v>2138112.3333333335</v>
      </c>
      <c r="E186" s="305">
        <f t="shared" si="25"/>
        <v>31255.333333333339</v>
      </c>
      <c r="F186" s="306">
        <f t="shared" si="26"/>
        <v>16075</v>
      </c>
      <c r="G186" s="307">
        <f t="shared" si="27"/>
        <v>13298.333333333334</v>
      </c>
      <c r="H186" s="307">
        <f t="shared" si="28"/>
        <v>0</v>
      </c>
      <c r="I186" s="307">
        <f t="shared" si="29"/>
        <v>2776.6666666666679</v>
      </c>
      <c r="J186" s="308">
        <f t="shared" si="30"/>
        <v>0</v>
      </c>
      <c r="K186" s="306">
        <f t="shared" si="31"/>
        <v>15180.333333333334</v>
      </c>
      <c r="L186" s="307">
        <f t="shared" si="32"/>
        <v>10381.33333333333</v>
      </c>
      <c r="M186" s="307">
        <f t="shared" si="33"/>
        <v>0</v>
      </c>
      <c r="N186" s="307">
        <f t="shared" si="34"/>
        <v>3330</v>
      </c>
      <c r="O186" s="309">
        <f t="shared" si="35"/>
        <v>1468.9999999999995</v>
      </c>
      <c r="P186" s="305">
        <f t="shared" si="36"/>
        <v>681.99999999999977</v>
      </c>
      <c r="Q186" s="306">
        <f t="shared" si="37"/>
        <v>243.33333333333331</v>
      </c>
      <c r="R186" s="307">
        <f t="shared" si="38"/>
        <v>213</v>
      </c>
      <c r="S186" s="307">
        <f t="shared" si="39"/>
        <v>0</v>
      </c>
      <c r="T186" s="307">
        <f t="shared" si="40"/>
        <v>30.333333333333339</v>
      </c>
      <c r="U186" s="308">
        <f t="shared" si="41"/>
        <v>0</v>
      </c>
      <c r="V186" s="306">
        <f t="shared" si="42"/>
        <v>438.66666666666652</v>
      </c>
      <c r="W186" s="307">
        <f t="shared" si="43"/>
        <v>325.33333333333331</v>
      </c>
      <c r="X186" s="307">
        <f t="shared" si="44"/>
        <v>0</v>
      </c>
      <c r="Y186" s="307">
        <f t="shared" si="45"/>
        <v>68.333333333333343</v>
      </c>
      <c r="Z186" s="309">
        <f t="shared" si="46"/>
        <v>45</v>
      </c>
    </row>
    <row r="187" spans="1:26" ht="14.25" x14ac:dyDescent="0.2">
      <c r="A187" s="342" t="s">
        <v>209</v>
      </c>
      <c r="B187" s="329">
        <v>43709</v>
      </c>
      <c r="C187" s="330">
        <v>2019</v>
      </c>
      <c r="D187" s="305">
        <f t="shared" si="24"/>
        <v>2211309</v>
      </c>
      <c r="E187" s="305">
        <f t="shared" si="25"/>
        <v>32305.000000000007</v>
      </c>
      <c r="F187" s="306">
        <f t="shared" si="26"/>
        <v>16802</v>
      </c>
      <c r="G187" s="307">
        <f t="shared" si="27"/>
        <v>13913</v>
      </c>
      <c r="H187" s="307">
        <f t="shared" si="28"/>
        <v>0</v>
      </c>
      <c r="I187" s="307">
        <f t="shared" si="29"/>
        <v>2889.0000000000014</v>
      </c>
      <c r="J187" s="308">
        <f t="shared" si="30"/>
        <v>0</v>
      </c>
      <c r="K187" s="306">
        <f t="shared" si="31"/>
        <v>15503</v>
      </c>
      <c r="L187" s="307">
        <f t="shared" si="32"/>
        <v>10595.999999999996</v>
      </c>
      <c r="M187" s="307">
        <f t="shared" si="33"/>
        <v>0</v>
      </c>
      <c r="N187" s="307">
        <f t="shared" si="34"/>
        <v>3432</v>
      </c>
      <c r="O187" s="309">
        <f t="shared" si="35"/>
        <v>1474.9999999999995</v>
      </c>
      <c r="P187" s="305">
        <f t="shared" si="36"/>
        <v>698.99999999999977</v>
      </c>
      <c r="Q187" s="306">
        <f t="shared" si="37"/>
        <v>254.99999999999997</v>
      </c>
      <c r="R187" s="307">
        <f t="shared" si="38"/>
        <v>222</v>
      </c>
      <c r="S187" s="307">
        <f t="shared" si="39"/>
        <v>0</v>
      </c>
      <c r="T187" s="307">
        <f t="shared" si="40"/>
        <v>33.000000000000007</v>
      </c>
      <c r="U187" s="308">
        <f t="shared" si="41"/>
        <v>0</v>
      </c>
      <c r="V187" s="306">
        <f t="shared" si="42"/>
        <v>443.99999999999983</v>
      </c>
      <c r="W187" s="307">
        <f t="shared" si="43"/>
        <v>329</v>
      </c>
      <c r="X187" s="307">
        <f t="shared" si="44"/>
        <v>0</v>
      </c>
      <c r="Y187" s="307">
        <f t="shared" si="45"/>
        <v>70.000000000000014</v>
      </c>
      <c r="Z187" s="309">
        <f t="shared" si="46"/>
        <v>45</v>
      </c>
    </row>
    <row r="188" spans="1:26" ht="14.25" x14ac:dyDescent="0.2">
      <c r="A188" s="342" t="s">
        <v>210</v>
      </c>
      <c r="B188" s="329">
        <v>43739</v>
      </c>
      <c r="C188" s="330">
        <v>2019</v>
      </c>
      <c r="D188" s="305">
        <f t="shared" ref="D188:D219" si="47">D77/3+D187</f>
        <v>2272888</v>
      </c>
      <c r="E188" s="305">
        <f t="shared" ref="E188:E219" si="48">E77/3+E187</f>
        <v>33064.333333333343</v>
      </c>
      <c r="F188" s="306">
        <f t="shared" ref="F188:F219" si="49">F77/3+F187</f>
        <v>17315</v>
      </c>
      <c r="G188" s="307">
        <f t="shared" ref="G188:G219" si="50">G77/3+G187</f>
        <v>14311</v>
      </c>
      <c r="H188" s="307">
        <f t="shared" ref="H188:H219" si="51">H77/3+H187</f>
        <v>0</v>
      </c>
      <c r="I188" s="307">
        <f t="shared" ref="I188:I219" si="52">I77/3+I187</f>
        <v>3004.0000000000014</v>
      </c>
      <c r="J188" s="308">
        <f t="shared" ref="J188:J219" si="53">J77/3+J187</f>
        <v>0</v>
      </c>
      <c r="K188" s="306">
        <f t="shared" ref="K188:K219" si="54">K77/3+K187</f>
        <v>15749.333333333334</v>
      </c>
      <c r="L188" s="307">
        <f t="shared" ref="L188:L219" si="55">L77/3+L187</f>
        <v>10743.33333333333</v>
      </c>
      <c r="M188" s="307">
        <f t="shared" ref="M188:M219" si="56">M77/3+M187</f>
        <v>0</v>
      </c>
      <c r="N188" s="307">
        <f t="shared" ref="N188:N219" si="57">N77/3+N187</f>
        <v>3526.6666666666665</v>
      </c>
      <c r="O188" s="309">
        <f t="shared" ref="O188:O219" si="58">O77/3+O187</f>
        <v>1479.3333333333328</v>
      </c>
      <c r="P188" s="305">
        <f t="shared" ref="P188:P219" si="59">P77/3+P187</f>
        <v>712.33333333333314</v>
      </c>
      <c r="Q188" s="306">
        <f t="shared" ref="Q188:Q219" si="60">Q77/3+Q187</f>
        <v>261.33333333333331</v>
      </c>
      <c r="R188" s="307">
        <f t="shared" ref="R188:R219" si="61">R77/3+R187</f>
        <v>226.33333333333334</v>
      </c>
      <c r="S188" s="307">
        <f t="shared" ref="S188:S219" si="62">S77/3+S187</f>
        <v>0</v>
      </c>
      <c r="T188" s="307">
        <f t="shared" ref="T188:T219" si="63">T77/3+T187</f>
        <v>35.000000000000007</v>
      </c>
      <c r="U188" s="308">
        <f t="shared" ref="U188:U219" si="64">U77/3+U187</f>
        <v>0</v>
      </c>
      <c r="V188" s="306">
        <f t="shared" ref="V188:V219" si="65">V77/3+V187</f>
        <v>450.99999999999983</v>
      </c>
      <c r="W188" s="307">
        <f t="shared" ref="W188:W219" si="66">W77/3+W187</f>
        <v>334</v>
      </c>
      <c r="X188" s="307">
        <f t="shared" ref="X188:X219" si="67">X77/3+X187</f>
        <v>0</v>
      </c>
      <c r="Y188" s="307">
        <f t="shared" ref="Y188:Y219" si="68">Y77/3+Y187</f>
        <v>71.666666666666686</v>
      </c>
      <c r="Z188" s="309">
        <f t="shared" ref="Z188:Z219" si="69">Z77/3+Z187</f>
        <v>45.333333333333336</v>
      </c>
    </row>
    <row r="189" spans="1:26" ht="14.25" x14ac:dyDescent="0.2">
      <c r="A189" s="342" t="s">
        <v>210</v>
      </c>
      <c r="B189" s="329">
        <v>43770</v>
      </c>
      <c r="C189" s="330">
        <v>2019</v>
      </c>
      <c r="D189" s="305">
        <f t="shared" si="47"/>
        <v>2334467</v>
      </c>
      <c r="E189" s="305">
        <f t="shared" si="48"/>
        <v>33823.666666666679</v>
      </c>
      <c r="F189" s="306">
        <f t="shared" si="49"/>
        <v>17828</v>
      </c>
      <c r="G189" s="307">
        <f t="shared" si="50"/>
        <v>14709</v>
      </c>
      <c r="H189" s="307">
        <f t="shared" si="51"/>
        <v>0</v>
      </c>
      <c r="I189" s="307">
        <f t="shared" si="52"/>
        <v>3119.0000000000014</v>
      </c>
      <c r="J189" s="308">
        <f t="shared" si="53"/>
        <v>0</v>
      </c>
      <c r="K189" s="306">
        <f t="shared" si="54"/>
        <v>15995.666666666668</v>
      </c>
      <c r="L189" s="307">
        <f t="shared" si="55"/>
        <v>10890.666666666664</v>
      </c>
      <c r="M189" s="307">
        <f t="shared" si="56"/>
        <v>0</v>
      </c>
      <c r="N189" s="307">
        <f t="shared" si="57"/>
        <v>3621.333333333333</v>
      </c>
      <c r="O189" s="309">
        <f t="shared" si="58"/>
        <v>1483.6666666666661</v>
      </c>
      <c r="P189" s="305">
        <f t="shared" si="59"/>
        <v>725.66666666666652</v>
      </c>
      <c r="Q189" s="306">
        <f t="shared" si="60"/>
        <v>267.66666666666663</v>
      </c>
      <c r="R189" s="307">
        <f t="shared" si="61"/>
        <v>230.66666666666669</v>
      </c>
      <c r="S189" s="307">
        <f t="shared" si="62"/>
        <v>0</v>
      </c>
      <c r="T189" s="307">
        <f t="shared" si="63"/>
        <v>37.000000000000007</v>
      </c>
      <c r="U189" s="308">
        <f t="shared" si="64"/>
        <v>0</v>
      </c>
      <c r="V189" s="306">
        <f t="shared" si="65"/>
        <v>457.99999999999983</v>
      </c>
      <c r="W189" s="307">
        <f t="shared" si="66"/>
        <v>339</v>
      </c>
      <c r="X189" s="307">
        <f t="shared" si="67"/>
        <v>0</v>
      </c>
      <c r="Y189" s="307">
        <f t="shared" si="68"/>
        <v>73.333333333333357</v>
      </c>
      <c r="Z189" s="309">
        <f t="shared" si="69"/>
        <v>45.666666666666671</v>
      </c>
    </row>
    <row r="190" spans="1:26" ht="14.25" x14ac:dyDescent="0.2">
      <c r="A190" s="342" t="s">
        <v>210</v>
      </c>
      <c r="B190" s="329">
        <v>43800</v>
      </c>
      <c r="C190" s="330">
        <v>2019</v>
      </c>
      <c r="D190" s="305">
        <f t="shared" si="47"/>
        <v>2396046</v>
      </c>
      <c r="E190" s="305">
        <f t="shared" si="48"/>
        <v>34583.000000000015</v>
      </c>
      <c r="F190" s="306">
        <f t="shared" si="49"/>
        <v>18341</v>
      </c>
      <c r="G190" s="307">
        <f t="shared" si="50"/>
        <v>15107</v>
      </c>
      <c r="H190" s="307">
        <f t="shared" si="51"/>
        <v>0</v>
      </c>
      <c r="I190" s="307">
        <f t="shared" si="52"/>
        <v>3234.0000000000014</v>
      </c>
      <c r="J190" s="308">
        <f t="shared" si="53"/>
        <v>0</v>
      </c>
      <c r="K190" s="306">
        <f t="shared" si="54"/>
        <v>16242.000000000002</v>
      </c>
      <c r="L190" s="307">
        <f t="shared" si="55"/>
        <v>11037.999999999998</v>
      </c>
      <c r="M190" s="307">
        <f t="shared" si="56"/>
        <v>0</v>
      </c>
      <c r="N190" s="307">
        <f t="shared" si="57"/>
        <v>3715.9999999999995</v>
      </c>
      <c r="O190" s="309">
        <f t="shared" si="58"/>
        <v>1487.9999999999993</v>
      </c>
      <c r="P190" s="305">
        <f t="shared" si="59"/>
        <v>738.99999999999989</v>
      </c>
      <c r="Q190" s="306">
        <f t="shared" si="60"/>
        <v>273.99999999999994</v>
      </c>
      <c r="R190" s="307">
        <f t="shared" si="61"/>
        <v>235.00000000000003</v>
      </c>
      <c r="S190" s="307">
        <f t="shared" si="62"/>
        <v>0</v>
      </c>
      <c r="T190" s="307">
        <f t="shared" si="63"/>
        <v>39.000000000000007</v>
      </c>
      <c r="U190" s="308">
        <f t="shared" si="64"/>
        <v>0</v>
      </c>
      <c r="V190" s="306">
        <f t="shared" si="65"/>
        <v>464.99999999999983</v>
      </c>
      <c r="W190" s="307">
        <f t="shared" si="66"/>
        <v>344</v>
      </c>
      <c r="X190" s="307">
        <f t="shared" si="67"/>
        <v>0</v>
      </c>
      <c r="Y190" s="307">
        <f t="shared" si="68"/>
        <v>75.000000000000028</v>
      </c>
      <c r="Z190" s="309">
        <f t="shared" si="69"/>
        <v>46.000000000000007</v>
      </c>
    </row>
    <row r="191" spans="1:26" ht="14.25" x14ac:dyDescent="0.2">
      <c r="A191" s="342" t="s">
        <v>211</v>
      </c>
      <c r="B191" s="329">
        <v>43831</v>
      </c>
      <c r="C191" s="330">
        <v>2020</v>
      </c>
      <c r="D191" s="305">
        <f t="shared" si="47"/>
        <v>2442406</v>
      </c>
      <c r="E191" s="305">
        <f t="shared" si="48"/>
        <v>35153.666666666679</v>
      </c>
      <c r="F191" s="306">
        <f t="shared" si="49"/>
        <v>18735.666666666668</v>
      </c>
      <c r="G191" s="307">
        <f t="shared" si="50"/>
        <v>15353.666666666666</v>
      </c>
      <c r="H191" s="307">
        <f t="shared" si="51"/>
        <v>0</v>
      </c>
      <c r="I191" s="307">
        <f t="shared" si="52"/>
        <v>3382.0000000000014</v>
      </c>
      <c r="J191" s="308">
        <f t="shared" si="53"/>
        <v>0</v>
      </c>
      <c r="K191" s="306">
        <f t="shared" si="54"/>
        <v>16418</v>
      </c>
      <c r="L191" s="307">
        <f t="shared" si="55"/>
        <v>11122.333333333332</v>
      </c>
      <c r="M191" s="307">
        <f t="shared" si="56"/>
        <v>0</v>
      </c>
      <c r="N191" s="307">
        <f t="shared" si="57"/>
        <v>3793.9999999999995</v>
      </c>
      <c r="O191" s="309">
        <f t="shared" si="58"/>
        <v>1501.6666666666661</v>
      </c>
      <c r="P191" s="305">
        <f t="shared" si="59"/>
        <v>749.33333333333326</v>
      </c>
      <c r="Q191" s="306">
        <f t="shared" si="60"/>
        <v>279.33333333333326</v>
      </c>
      <c r="R191" s="307">
        <f t="shared" si="61"/>
        <v>238.33333333333337</v>
      </c>
      <c r="S191" s="307">
        <f t="shared" si="62"/>
        <v>0</v>
      </c>
      <c r="T191" s="307">
        <f t="shared" si="63"/>
        <v>41.000000000000007</v>
      </c>
      <c r="U191" s="308">
        <f t="shared" si="64"/>
        <v>0</v>
      </c>
      <c r="V191" s="306">
        <f t="shared" si="65"/>
        <v>469.99999999999983</v>
      </c>
      <c r="W191" s="307">
        <f t="shared" si="66"/>
        <v>346</v>
      </c>
      <c r="X191" s="307">
        <f t="shared" si="67"/>
        <v>0</v>
      </c>
      <c r="Y191" s="307">
        <f t="shared" si="68"/>
        <v>77.333333333333357</v>
      </c>
      <c r="Z191" s="309">
        <f t="shared" si="69"/>
        <v>46.666666666666671</v>
      </c>
    </row>
    <row r="192" spans="1:26" ht="14.25" x14ac:dyDescent="0.2">
      <c r="A192" s="342" t="s">
        <v>211</v>
      </c>
      <c r="B192" s="329">
        <v>43862</v>
      </c>
      <c r="C192" s="330">
        <v>2020</v>
      </c>
      <c r="D192" s="305">
        <f t="shared" si="47"/>
        <v>2488766</v>
      </c>
      <c r="E192" s="305">
        <f t="shared" si="48"/>
        <v>35724.333333333343</v>
      </c>
      <c r="F192" s="306">
        <f t="shared" si="49"/>
        <v>19130.333333333336</v>
      </c>
      <c r="G192" s="307">
        <f t="shared" si="50"/>
        <v>15600.333333333332</v>
      </c>
      <c r="H192" s="307">
        <f t="shared" si="51"/>
        <v>0</v>
      </c>
      <c r="I192" s="307">
        <f t="shared" si="52"/>
        <v>3530.0000000000014</v>
      </c>
      <c r="J192" s="308">
        <f t="shared" si="53"/>
        <v>0</v>
      </c>
      <c r="K192" s="306">
        <f t="shared" si="54"/>
        <v>16594</v>
      </c>
      <c r="L192" s="307">
        <f t="shared" si="55"/>
        <v>11206.666666666666</v>
      </c>
      <c r="M192" s="307">
        <f t="shared" si="56"/>
        <v>0</v>
      </c>
      <c r="N192" s="307">
        <f t="shared" si="57"/>
        <v>3871.9999999999995</v>
      </c>
      <c r="O192" s="309">
        <f t="shared" si="58"/>
        <v>1515.3333333333328</v>
      </c>
      <c r="P192" s="305">
        <f t="shared" si="59"/>
        <v>759.66666666666663</v>
      </c>
      <c r="Q192" s="306">
        <f t="shared" si="60"/>
        <v>284.66666666666657</v>
      </c>
      <c r="R192" s="307">
        <f t="shared" si="61"/>
        <v>241.66666666666671</v>
      </c>
      <c r="S192" s="307">
        <f t="shared" si="62"/>
        <v>0</v>
      </c>
      <c r="T192" s="307">
        <f t="shared" si="63"/>
        <v>43.000000000000007</v>
      </c>
      <c r="U192" s="308">
        <f t="shared" si="64"/>
        <v>0</v>
      </c>
      <c r="V192" s="306">
        <f t="shared" si="65"/>
        <v>474.99999999999983</v>
      </c>
      <c r="W192" s="307">
        <f t="shared" si="66"/>
        <v>348</v>
      </c>
      <c r="X192" s="307">
        <f t="shared" si="67"/>
        <v>0</v>
      </c>
      <c r="Y192" s="307">
        <f t="shared" si="68"/>
        <v>79.666666666666686</v>
      </c>
      <c r="Z192" s="309">
        <f t="shared" si="69"/>
        <v>47.333333333333336</v>
      </c>
    </row>
    <row r="193" spans="1:26" ht="14.25" x14ac:dyDescent="0.2">
      <c r="A193" s="342" t="s">
        <v>211</v>
      </c>
      <c r="B193" s="329">
        <v>43891</v>
      </c>
      <c r="C193" s="330">
        <v>2020</v>
      </c>
      <c r="D193" s="305">
        <f t="shared" si="47"/>
        <v>2535126</v>
      </c>
      <c r="E193" s="305">
        <f t="shared" si="48"/>
        <v>36295.000000000007</v>
      </c>
      <c r="F193" s="306">
        <f t="shared" si="49"/>
        <v>19525.000000000004</v>
      </c>
      <c r="G193" s="307">
        <f t="shared" si="50"/>
        <v>15846.999999999998</v>
      </c>
      <c r="H193" s="307">
        <f t="shared" si="51"/>
        <v>0</v>
      </c>
      <c r="I193" s="307">
        <f t="shared" si="52"/>
        <v>3678.0000000000014</v>
      </c>
      <c r="J193" s="308">
        <f t="shared" si="53"/>
        <v>0</v>
      </c>
      <c r="K193" s="306">
        <f t="shared" si="54"/>
        <v>16770</v>
      </c>
      <c r="L193" s="307">
        <f t="shared" si="55"/>
        <v>11291</v>
      </c>
      <c r="M193" s="307">
        <f t="shared" si="56"/>
        <v>0</v>
      </c>
      <c r="N193" s="307">
        <f t="shared" si="57"/>
        <v>3949.9999999999995</v>
      </c>
      <c r="O193" s="309">
        <f t="shared" si="58"/>
        <v>1528.9999999999995</v>
      </c>
      <c r="P193" s="305">
        <f t="shared" si="59"/>
        <v>770</v>
      </c>
      <c r="Q193" s="306">
        <f t="shared" si="60"/>
        <v>289.99999999999989</v>
      </c>
      <c r="R193" s="307">
        <f t="shared" si="61"/>
        <v>245.00000000000006</v>
      </c>
      <c r="S193" s="307">
        <f t="shared" si="62"/>
        <v>0</v>
      </c>
      <c r="T193" s="307">
        <f t="shared" si="63"/>
        <v>45.000000000000007</v>
      </c>
      <c r="U193" s="308">
        <f t="shared" si="64"/>
        <v>0</v>
      </c>
      <c r="V193" s="306">
        <f t="shared" si="65"/>
        <v>479.99999999999983</v>
      </c>
      <c r="W193" s="307">
        <f t="shared" si="66"/>
        <v>350</v>
      </c>
      <c r="X193" s="307">
        <f t="shared" si="67"/>
        <v>0</v>
      </c>
      <c r="Y193" s="307">
        <f t="shared" si="68"/>
        <v>82.000000000000014</v>
      </c>
      <c r="Z193" s="309">
        <f t="shared" si="69"/>
        <v>48</v>
      </c>
    </row>
    <row r="194" spans="1:26" ht="14.25" x14ac:dyDescent="0.2">
      <c r="A194" s="342" t="s">
        <v>212</v>
      </c>
      <c r="B194" s="329">
        <v>43922</v>
      </c>
      <c r="C194" s="330">
        <v>2020</v>
      </c>
      <c r="D194" s="305">
        <f t="shared" si="47"/>
        <v>2571525</v>
      </c>
      <c r="E194" s="305">
        <f t="shared" si="48"/>
        <v>36882.000000000007</v>
      </c>
      <c r="F194" s="306">
        <f t="shared" si="49"/>
        <v>19970.666666666672</v>
      </c>
      <c r="G194" s="307">
        <f t="shared" si="50"/>
        <v>16220.999999999998</v>
      </c>
      <c r="H194" s="307">
        <f t="shared" si="51"/>
        <v>0</v>
      </c>
      <c r="I194" s="307">
        <f t="shared" si="52"/>
        <v>3749.6666666666679</v>
      </c>
      <c r="J194" s="308">
        <f t="shared" si="53"/>
        <v>0</v>
      </c>
      <c r="K194" s="306">
        <f t="shared" si="54"/>
        <v>16911.333333333332</v>
      </c>
      <c r="L194" s="307">
        <f t="shared" si="55"/>
        <v>11361</v>
      </c>
      <c r="M194" s="307">
        <f t="shared" si="56"/>
        <v>0</v>
      </c>
      <c r="N194" s="307">
        <f t="shared" si="57"/>
        <v>4013.9999999999995</v>
      </c>
      <c r="O194" s="309">
        <f t="shared" si="58"/>
        <v>1536.3333333333328</v>
      </c>
      <c r="P194" s="305">
        <f t="shared" si="59"/>
        <v>781.33333333333337</v>
      </c>
      <c r="Q194" s="306">
        <f t="shared" si="60"/>
        <v>296.66666666666657</v>
      </c>
      <c r="R194" s="307">
        <f t="shared" si="61"/>
        <v>250.66666666666671</v>
      </c>
      <c r="S194" s="307">
        <f t="shared" si="62"/>
        <v>0</v>
      </c>
      <c r="T194" s="307">
        <f t="shared" si="63"/>
        <v>46.000000000000007</v>
      </c>
      <c r="U194" s="308">
        <f t="shared" si="64"/>
        <v>0</v>
      </c>
      <c r="V194" s="306">
        <f t="shared" si="65"/>
        <v>484.66666666666652</v>
      </c>
      <c r="W194" s="307">
        <f t="shared" si="66"/>
        <v>353</v>
      </c>
      <c r="X194" s="307">
        <f t="shared" si="67"/>
        <v>0</v>
      </c>
      <c r="Y194" s="307">
        <f t="shared" si="68"/>
        <v>83.666666666666686</v>
      </c>
      <c r="Z194" s="309">
        <f t="shared" si="69"/>
        <v>48</v>
      </c>
    </row>
    <row r="195" spans="1:26" ht="14.25" x14ac:dyDescent="0.2">
      <c r="A195" s="342" t="s">
        <v>212</v>
      </c>
      <c r="B195" s="329">
        <v>43952</v>
      </c>
      <c r="C195" s="330">
        <v>2020</v>
      </c>
      <c r="D195" s="305">
        <f t="shared" si="47"/>
        <v>2607924</v>
      </c>
      <c r="E195" s="305">
        <f t="shared" si="48"/>
        <v>37469.000000000007</v>
      </c>
      <c r="F195" s="306">
        <f t="shared" si="49"/>
        <v>20416.333333333339</v>
      </c>
      <c r="G195" s="307">
        <f t="shared" si="50"/>
        <v>16595</v>
      </c>
      <c r="H195" s="307">
        <f t="shared" si="51"/>
        <v>0</v>
      </c>
      <c r="I195" s="307">
        <f t="shared" si="52"/>
        <v>3821.3333333333344</v>
      </c>
      <c r="J195" s="308">
        <f t="shared" si="53"/>
        <v>0</v>
      </c>
      <c r="K195" s="306">
        <f t="shared" si="54"/>
        <v>17052.666666666664</v>
      </c>
      <c r="L195" s="307">
        <f t="shared" si="55"/>
        <v>11431</v>
      </c>
      <c r="M195" s="307">
        <f t="shared" si="56"/>
        <v>0</v>
      </c>
      <c r="N195" s="307">
        <f t="shared" si="57"/>
        <v>4077.9999999999995</v>
      </c>
      <c r="O195" s="309">
        <f t="shared" si="58"/>
        <v>1543.6666666666661</v>
      </c>
      <c r="P195" s="305">
        <f t="shared" si="59"/>
        <v>792.66666666666674</v>
      </c>
      <c r="Q195" s="306">
        <f t="shared" si="60"/>
        <v>303.33333333333326</v>
      </c>
      <c r="R195" s="307">
        <f t="shared" si="61"/>
        <v>256.33333333333337</v>
      </c>
      <c r="S195" s="307">
        <f t="shared" si="62"/>
        <v>0</v>
      </c>
      <c r="T195" s="307">
        <f t="shared" si="63"/>
        <v>47.000000000000007</v>
      </c>
      <c r="U195" s="308">
        <f t="shared" si="64"/>
        <v>0</v>
      </c>
      <c r="V195" s="306">
        <f t="shared" si="65"/>
        <v>489.3333333333332</v>
      </c>
      <c r="W195" s="307">
        <f t="shared" si="66"/>
        <v>356</v>
      </c>
      <c r="X195" s="307">
        <f t="shared" si="67"/>
        <v>0</v>
      </c>
      <c r="Y195" s="307">
        <f t="shared" si="68"/>
        <v>85.333333333333357</v>
      </c>
      <c r="Z195" s="309">
        <f t="shared" si="69"/>
        <v>48</v>
      </c>
    </row>
    <row r="196" spans="1:26" ht="14.25" x14ac:dyDescent="0.2">
      <c r="A196" s="342" t="s">
        <v>212</v>
      </c>
      <c r="B196" s="329">
        <v>43983</v>
      </c>
      <c r="C196" s="330">
        <v>2020</v>
      </c>
      <c r="D196" s="305">
        <f t="shared" si="47"/>
        <v>2644323</v>
      </c>
      <c r="E196" s="305">
        <f t="shared" si="48"/>
        <v>38056.000000000007</v>
      </c>
      <c r="F196" s="306">
        <f t="shared" si="49"/>
        <v>20862.000000000007</v>
      </c>
      <c r="G196" s="307">
        <f t="shared" si="50"/>
        <v>16969</v>
      </c>
      <c r="H196" s="307">
        <f t="shared" si="51"/>
        <v>0</v>
      </c>
      <c r="I196" s="307">
        <f t="shared" si="52"/>
        <v>3893.0000000000009</v>
      </c>
      <c r="J196" s="308">
        <f t="shared" si="53"/>
        <v>0</v>
      </c>
      <c r="K196" s="306">
        <f t="shared" si="54"/>
        <v>17193.999999999996</v>
      </c>
      <c r="L196" s="307">
        <f t="shared" si="55"/>
        <v>11501</v>
      </c>
      <c r="M196" s="307">
        <f t="shared" si="56"/>
        <v>0</v>
      </c>
      <c r="N196" s="307">
        <f t="shared" si="57"/>
        <v>4142</v>
      </c>
      <c r="O196" s="309">
        <f t="shared" si="58"/>
        <v>1550.9999999999993</v>
      </c>
      <c r="P196" s="305">
        <f t="shared" si="59"/>
        <v>804.00000000000011</v>
      </c>
      <c r="Q196" s="306">
        <f t="shared" si="60"/>
        <v>309.99999999999994</v>
      </c>
      <c r="R196" s="307">
        <f t="shared" si="61"/>
        <v>262.00000000000006</v>
      </c>
      <c r="S196" s="307">
        <f t="shared" si="62"/>
        <v>0</v>
      </c>
      <c r="T196" s="307">
        <f t="shared" si="63"/>
        <v>48.000000000000007</v>
      </c>
      <c r="U196" s="308">
        <f t="shared" si="64"/>
        <v>0</v>
      </c>
      <c r="V196" s="306">
        <f t="shared" si="65"/>
        <v>493.99999999999989</v>
      </c>
      <c r="W196" s="307">
        <f t="shared" si="66"/>
        <v>359</v>
      </c>
      <c r="X196" s="307">
        <f t="shared" si="67"/>
        <v>0</v>
      </c>
      <c r="Y196" s="307">
        <f t="shared" si="68"/>
        <v>87.000000000000028</v>
      </c>
      <c r="Z196" s="309">
        <f t="shared" si="69"/>
        <v>48</v>
      </c>
    </row>
    <row r="197" spans="1:26" ht="14.25" x14ac:dyDescent="0.2">
      <c r="A197" s="342" t="s">
        <v>213</v>
      </c>
      <c r="B197" s="329">
        <v>44013</v>
      </c>
      <c r="C197" s="330">
        <v>2020</v>
      </c>
      <c r="D197" s="305">
        <f t="shared" si="47"/>
        <v>2710458.3333333335</v>
      </c>
      <c r="E197" s="305">
        <f t="shared" si="48"/>
        <v>39245.333333333343</v>
      </c>
      <c r="F197" s="306">
        <f t="shared" si="49"/>
        <v>21797.666666666675</v>
      </c>
      <c r="G197" s="307">
        <f t="shared" si="50"/>
        <v>17462</v>
      </c>
      <c r="H197" s="307">
        <f t="shared" si="51"/>
        <v>0</v>
      </c>
      <c r="I197" s="307">
        <f t="shared" si="52"/>
        <v>4335.6666666666679</v>
      </c>
      <c r="J197" s="308">
        <f t="shared" si="53"/>
        <v>0</v>
      </c>
      <c r="K197" s="306">
        <f t="shared" si="54"/>
        <v>17447.666666666664</v>
      </c>
      <c r="L197" s="307">
        <f t="shared" si="55"/>
        <v>11609</v>
      </c>
      <c r="M197" s="307">
        <f t="shared" si="56"/>
        <v>0</v>
      </c>
      <c r="N197" s="307">
        <f t="shared" si="57"/>
        <v>4277</v>
      </c>
      <c r="O197" s="309">
        <f t="shared" si="58"/>
        <v>1561.6666666666661</v>
      </c>
      <c r="P197" s="305">
        <f t="shared" si="59"/>
        <v>829.00000000000011</v>
      </c>
      <c r="Q197" s="306">
        <f t="shared" si="60"/>
        <v>328.99999999999994</v>
      </c>
      <c r="R197" s="307">
        <f t="shared" si="61"/>
        <v>272.66666666666674</v>
      </c>
      <c r="S197" s="307">
        <f t="shared" si="62"/>
        <v>0</v>
      </c>
      <c r="T197" s="307">
        <f t="shared" si="63"/>
        <v>56.333333333333343</v>
      </c>
      <c r="U197" s="308">
        <f t="shared" si="64"/>
        <v>0</v>
      </c>
      <c r="V197" s="306">
        <f t="shared" si="65"/>
        <v>499.99999999999989</v>
      </c>
      <c r="W197" s="307">
        <f t="shared" si="66"/>
        <v>362.33333333333331</v>
      </c>
      <c r="X197" s="307">
        <f t="shared" si="67"/>
        <v>0</v>
      </c>
      <c r="Y197" s="307">
        <f t="shared" si="68"/>
        <v>89.6666666666667</v>
      </c>
      <c r="Z197" s="309">
        <f t="shared" si="69"/>
        <v>48</v>
      </c>
    </row>
    <row r="198" spans="1:26" ht="14.25" x14ac:dyDescent="0.2">
      <c r="A198" s="342" t="s">
        <v>213</v>
      </c>
      <c r="B198" s="329">
        <v>44044</v>
      </c>
      <c r="C198" s="330">
        <v>2020</v>
      </c>
      <c r="D198" s="305">
        <f t="shared" si="47"/>
        <v>2776593.666666667</v>
      </c>
      <c r="E198" s="305">
        <f t="shared" si="48"/>
        <v>40434.666666666679</v>
      </c>
      <c r="F198" s="306">
        <f t="shared" si="49"/>
        <v>22733.333333333343</v>
      </c>
      <c r="G198" s="307">
        <f t="shared" si="50"/>
        <v>17955</v>
      </c>
      <c r="H198" s="307">
        <f t="shared" si="51"/>
        <v>0</v>
      </c>
      <c r="I198" s="307">
        <f t="shared" si="52"/>
        <v>4778.3333333333348</v>
      </c>
      <c r="J198" s="308">
        <f t="shared" si="53"/>
        <v>0</v>
      </c>
      <c r="K198" s="306">
        <f t="shared" si="54"/>
        <v>17701.333333333332</v>
      </c>
      <c r="L198" s="307">
        <f t="shared" si="55"/>
        <v>11717</v>
      </c>
      <c r="M198" s="307">
        <f t="shared" si="56"/>
        <v>0</v>
      </c>
      <c r="N198" s="307">
        <f t="shared" si="57"/>
        <v>4412</v>
      </c>
      <c r="O198" s="309">
        <f t="shared" si="58"/>
        <v>1572.3333333333328</v>
      </c>
      <c r="P198" s="305">
        <f t="shared" si="59"/>
        <v>854.00000000000011</v>
      </c>
      <c r="Q198" s="306">
        <f t="shared" si="60"/>
        <v>347.99999999999994</v>
      </c>
      <c r="R198" s="307">
        <f t="shared" si="61"/>
        <v>283.33333333333343</v>
      </c>
      <c r="S198" s="307">
        <f t="shared" si="62"/>
        <v>0</v>
      </c>
      <c r="T198" s="307">
        <f t="shared" si="63"/>
        <v>64.666666666666671</v>
      </c>
      <c r="U198" s="308">
        <f t="shared" si="64"/>
        <v>0</v>
      </c>
      <c r="V198" s="306">
        <f t="shared" si="65"/>
        <v>505.99999999999989</v>
      </c>
      <c r="W198" s="307">
        <f t="shared" si="66"/>
        <v>365.66666666666663</v>
      </c>
      <c r="X198" s="307">
        <f t="shared" si="67"/>
        <v>0</v>
      </c>
      <c r="Y198" s="307">
        <f t="shared" si="68"/>
        <v>92.333333333333371</v>
      </c>
      <c r="Z198" s="309">
        <f t="shared" si="69"/>
        <v>48</v>
      </c>
    </row>
    <row r="199" spans="1:26" ht="14.25" x14ac:dyDescent="0.2">
      <c r="A199" s="342" t="s">
        <v>213</v>
      </c>
      <c r="B199" s="329">
        <v>44075</v>
      </c>
      <c r="C199" s="330">
        <v>2020</v>
      </c>
      <c r="D199" s="305">
        <f t="shared" si="47"/>
        <v>2842729.0000000005</v>
      </c>
      <c r="E199" s="305">
        <f t="shared" si="48"/>
        <v>41624.000000000015</v>
      </c>
      <c r="F199" s="306">
        <f t="shared" si="49"/>
        <v>23669.000000000011</v>
      </c>
      <c r="G199" s="307">
        <f t="shared" si="50"/>
        <v>18448</v>
      </c>
      <c r="H199" s="307">
        <f t="shared" si="51"/>
        <v>0</v>
      </c>
      <c r="I199" s="307">
        <f t="shared" si="52"/>
        <v>5221.0000000000018</v>
      </c>
      <c r="J199" s="308">
        <f t="shared" si="53"/>
        <v>0</v>
      </c>
      <c r="K199" s="306">
        <f t="shared" si="54"/>
        <v>17955</v>
      </c>
      <c r="L199" s="307">
        <f t="shared" si="55"/>
        <v>11825</v>
      </c>
      <c r="M199" s="307">
        <f t="shared" si="56"/>
        <v>0</v>
      </c>
      <c r="N199" s="307">
        <f t="shared" si="57"/>
        <v>4547</v>
      </c>
      <c r="O199" s="309">
        <f t="shared" si="58"/>
        <v>1582.9999999999995</v>
      </c>
      <c r="P199" s="305">
        <f t="shared" si="59"/>
        <v>879.00000000000011</v>
      </c>
      <c r="Q199" s="306">
        <f t="shared" si="60"/>
        <v>366.99999999999994</v>
      </c>
      <c r="R199" s="307">
        <f t="shared" si="61"/>
        <v>294.00000000000011</v>
      </c>
      <c r="S199" s="307">
        <f t="shared" si="62"/>
        <v>0</v>
      </c>
      <c r="T199" s="307">
        <f t="shared" si="63"/>
        <v>73</v>
      </c>
      <c r="U199" s="308">
        <f t="shared" si="64"/>
        <v>0</v>
      </c>
      <c r="V199" s="306">
        <f t="shared" si="65"/>
        <v>511.99999999999989</v>
      </c>
      <c r="W199" s="307">
        <f t="shared" si="66"/>
        <v>368.99999999999994</v>
      </c>
      <c r="X199" s="307">
        <f t="shared" si="67"/>
        <v>0</v>
      </c>
      <c r="Y199" s="307">
        <f t="shared" si="68"/>
        <v>95.000000000000043</v>
      </c>
      <c r="Z199" s="309">
        <f t="shared" si="69"/>
        <v>48</v>
      </c>
    </row>
    <row r="200" spans="1:26" ht="14.25" x14ac:dyDescent="0.2">
      <c r="A200" s="342" t="s">
        <v>214</v>
      </c>
      <c r="B200" s="329">
        <v>44105</v>
      </c>
      <c r="C200" s="330">
        <v>2020</v>
      </c>
      <c r="D200" s="305">
        <f t="shared" si="47"/>
        <v>2894020.333333334</v>
      </c>
      <c r="E200" s="305">
        <f t="shared" si="48"/>
        <v>42782.666666666679</v>
      </c>
      <c r="F200" s="306">
        <f t="shared" si="49"/>
        <v>24613.333333333343</v>
      </c>
      <c r="G200" s="307">
        <f t="shared" si="50"/>
        <v>18900.666666666668</v>
      </c>
      <c r="H200" s="307">
        <f t="shared" si="51"/>
        <v>0</v>
      </c>
      <c r="I200" s="307">
        <f t="shared" si="52"/>
        <v>5712.6666666666688</v>
      </c>
      <c r="J200" s="308">
        <f t="shared" si="53"/>
        <v>0</v>
      </c>
      <c r="K200" s="306">
        <f t="shared" si="54"/>
        <v>18169.333333333332</v>
      </c>
      <c r="L200" s="307">
        <f t="shared" si="55"/>
        <v>11898</v>
      </c>
      <c r="M200" s="307">
        <f t="shared" si="56"/>
        <v>0</v>
      </c>
      <c r="N200" s="307">
        <f t="shared" si="57"/>
        <v>4675</v>
      </c>
      <c r="O200" s="309">
        <f t="shared" si="58"/>
        <v>1596.3333333333328</v>
      </c>
      <c r="P200" s="305">
        <f t="shared" si="59"/>
        <v>901.66666666666674</v>
      </c>
      <c r="Q200" s="306">
        <f t="shared" si="60"/>
        <v>382.33333333333326</v>
      </c>
      <c r="R200" s="307">
        <f t="shared" si="61"/>
        <v>302.00000000000011</v>
      </c>
      <c r="S200" s="307">
        <f t="shared" si="62"/>
        <v>0</v>
      </c>
      <c r="T200" s="307">
        <f t="shared" si="63"/>
        <v>80.333333333333329</v>
      </c>
      <c r="U200" s="308">
        <f t="shared" si="64"/>
        <v>0</v>
      </c>
      <c r="V200" s="306">
        <f t="shared" si="65"/>
        <v>519.33333333333326</v>
      </c>
      <c r="W200" s="307">
        <f t="shared" si="66"/>
        <v>372.33333333333326</v>
      </c>
      <c r="X200" s="307">
        <f t="shared" si="67"/>
        <v>0</v>
      </c>
      <c r="Y200" s="307">
        <f t="shared" si="68"/>
        <v>98.666666666666714</v>
      </c>
      <c r="Z200" s="309">
        <f t="shared" si="69"/>
        <v>48.333333333333336</v>
      </c>
    </row>
    <row r="201" spans="1:26" ht="14.25" x14ac:dyDescent="0.2">
      <c r="A201" s="342" t="s">
        <v>214</v>
      </c>
      <c r="B201" s="329">
        <v>44136</v>
      </c>
      <c r="C201" s="330">
        <v>2020</v>
      </c>
      <c r="D201" s="305">
        <f t="shared" si="47"/>
        <v>2945311.6666666674</v>
      </c>
      <c r="E201" s="305">
        <f t="shared" si="48"/>
        <v>43941.333333333343</v>
      </c>
      <c r="F201" s="306">
        <f t="shared" si="49"/>
        <v>25557.666666666675</v>
      </c>
      <c r="G201" s="307">
        <f t="shared" si="50"/>
        <v>19353.333333333336</v>
      </c>
      <c r="H201" s="307">
        <f t="shared" si="51"/>
        <v>0</v>
      </c>
      <c r="I201" s="307">
        <f t="shared" si="52"/>
        <v>6204.3333333333358</v>
      </c>
      <c r="J201" s="308">
        <f t="shared" si="53"/>
        <v>0</v>
      </c>
      <c r="K201" s="306">
        <f t="shared" si="54"/>
        <v>18383.666666666664</v>
      </c>
      <c r="L201" s="307">
        <f t="shared" si="55"/>
        <v>11971</v>
      </c>
      <c r="M201" s="307">
        <f t="shared" si="56"/>
        <v>0</v>
      </c>
      <c r="N201" s="307">
        <f t="shared" si="57"/>
        <v>4803</v>
      </c>
      <c r="O201" s="309">
        <f t="shared" si="58"/>
        <v>1609.6666666666661</v>
      </c>
      <c r="P201" s="305">
        <f t="shared" si="59"/>
        <v>924.33333333333337</v>
      </c>
      <c r="Q201" s="306">
        <f t="shared" si="60"/>
        <v>397.66666666666657</v>
      </c>
      <c r="R201" s="307">
        <f t="shared" si="61"/>
        <v>310.00000000000011</v>
      </c>
      <c r="S201" s="307">
        <f t="shared" si="62"/>
        <v>0</v>
      </c>
      <c r="T201" s="307">
        <f t="shared" si="63"/>
        <v>87.666666666666657</v>
      </c>
      <c r="U201" s="308">
        <f t="shared" si="64"/>
        <v>0</v>
      </c>
      <c r="V201" s="306">
        <f t="shared" si="65"/>
        <v>526.66666666666663</v>
      </c>
      <c r="W201" s="307">
        <f t="shared" si="66"/>
        <v>375.66666666666657</v>
      </c>
      <c r="X201" s="307">
        <f t="shared" si="67"/>
        <v>0</v>
      </c>
      <c r="Y201" s="307">
        <f t="shared" si="68"/>
        <v>102.33333333333339</v>
      </c>
      <c r="Z201" s="309">
        <f t="shared" si="69"/>
        <v>48.666666666666671</v>
      </c>
    </row>
    <row r="202" spans="1:26" ht="14.25" x14ac:dyDescent="0.2">
      <c r="A202" s="342" t="s">
        <v>214</v>
      </c>
      <c r="B202" s="329">
        <v>44166</v>
      </c>
      <c r="C202" s="330">
        <v>2020</v>
      </c>
      <c r="D202" s="305">
        <f t="shared" si="47"/>
        <v>2996603.0000000009</v>
      </c>
      <c r="E202" s="305">
        <f t="shared" si="48"/>
        <v>45100.000000000007</v>
      </c>
      <c r="F202" s="306">
        <f t="shared" si="49"/>
        <v>26502.000000000007</v>
      </c>
      <c r="G202" s="307">
        <f t="shared" si="50"/>
        <v>19806.000000000004</v>
      </c>
      <c r="H202" s="307">
        <f t="shared" si="51"/>
        <v>0</v>
      </c>
      <c r="I202" s="307">
        <f t="shared" si="52"/>
        <v>6696.0000000000027</v>
      </c>
      <c r="J202" s="308">
        <f t="shared" si="53"/>
        <v>0</v>
      </c>
      <c r="K202" s="306">
        <f t="shared" si="54"/>
        <v>18597.999999999996</v>
      </c>
      <c r="L202" s="307">
        <f t="shared" si="55"/>
        <v>12044</v>
      </c>
      <c r="M202" s="307">
        <f t="shared" si="56"/>
        <v>0</v>
      </c>
      <c r="N202" s="307">
        <f t="shared" si="57"/>
        <v>4931</v>
      </c>
      <c r="O202" s="309">
        <f t="shared" si="58"/>
        <v>1622.9999999999993</v>
      </c>
      <c r="P202" s="305">
        <f t="shared" si="59"/>
        <v>947</v>
      </c>
      <c r="Q202" s="306">
        <f t="shared" si="60"/>
        <v>412.99999999999989</v>
      </c>
      <c r="R202" s="307">
        <f t="shared" si="61"/>
        <v>318.00000000000011</v>
      </c>
      <c r="S202" s="307">
        <f t="shared" si="62"/>
        <v>0</v>
      </c>
      <c r="T202" s="307">
        <f t="shared" si="63"/>
        <v>94.999999999999986</v>
      </c>
      <c r="U202" s="308">
        <f t="shared" si="64"/>
        <v>0</v>
      </c>
      <c r="V202" s="306">
        <f t="shared" si="65"/>
        <v>534</v>
      </c>
      <c r="W202" s="307">
        <f t="shared" si="66"/>
        <v>378.99999999999989</v>
      </c>
      <c r="X202" s="307">
        <f t="shared" si="67"/>
        <v>0</v>
      </c>
      <c r="Y202" s="307">
        <f t="shared" si="68"/>
        <v>106.00000000000006</v>
      </c>
      <c r="Z202" s="309">
        <f t="shared" si="69"/>
        <v>49.000000000000007</v>
      </c>
    </row>
    <row r="203" spans="1:26" ht="14.25" x14ac:dyDescent="0.2">
      <c r="A203" s="342" t="s">
        <v>215</v>
      </c>
      <c r="B203" s="329">
        <v>44197</v>
      </c>
      <c r="C203" s="330">
        <v>2021</v>
      </c>
      <c r="D203" s="305">
        <f t="shared" si="47"/>
        <v>3043876.0000000009</v>
      </c>
      <c r="E203" s="305">
        <f t="shared" si="48"/>
        <v>46220.666666666672</v>
      </c>
      <c r="F203" s="306">
        <f t="shared" si="49"/>
        <v>27368.666666666675</v>
      </c>
      <c r="G203" s="307">
        <f t="shared" si="50"/>
        <v>20145.333333333336</v>
      </c>
      <c r="H203" s="307">
        <f t="shared" si="51"/>
        <v>0</v>
      </c>
      <c r="I203" s="307">
        <f t="shared" si="52"/>
        <v>7223.3333333333358</v>
      </c>
      <c r="J203" s="308">
        <f t="shared" si="53"/>
        <v>0</v>
      </c>
      <c r="K203" s="306">
        <f t="shared" si="54"/>
        <v>18851.999999999996</v>
      </c>
      <c r="L203" s="307">
        <f t="shared" si="55"/>
        <v>12105</v>
      </c>
      <c r="M203" s="307">
        <f t="shared" si="56"/>
        <v>0</v>
      </c>
      <c r="N203" s="307">
        <f t="shared" si="57"/>
        <v>5101.666666666667</v>
      </c>
      <c r="O203" s="309">
        <f t="shared" si="58"/>
        <v>1645.3333333333326</v>
      </c>
      <c r="P203" s="305">
        <f t="shared" si="59"/>
        <v>968.33333333333337</v>
      </c>
      <c r="Q203" s="306">
        <f t="shared" si="60"/>
        <v>427.99999999999989</v>
      </c>
      <c r="R203" s="307">
        <f t="shared" si="61"/>
        <v>324.6666666666668</v>
      </c>
      <c r="S203" s="307">
        <f t="shared" si="62"/>
        <v>0</v>
      </c>
      <c r="T203" s="307">
        <f t="shared" si="63"/>
        <v>103.33333333333331</v>
      </c>
      <c r="U203" s="308">
        <f t="shared" si="64"/>
        <v>0</v>
      </c>
      <c r="V203" s="306">
        <f t="shared" si="65"/>
        <v>540.33333333333337</v>
      </c>
      <c r="W203" s="307">
        <f t="shared" si="66"/>
        <v>380.3333333333332</v>
      </c>
      <c r="X203" s="307">
        <f t="shared" si="67"/>
        <v>0</v>
      </c>
      <c r="Y203" s="307">
        <f t="shared" si="68"/>
        <v>111.00000000000006</v>
      </c>
      <c r="Z203" s="309">
        <f t="shared" si="69"/>
        <v>49.000000000000007</v>
      </c>
    </row>
    <row r="204" spans="1:26" ht="14.25" x14ac:dyDescent="0.2">
      <c r="A204" s="342" t="s">
        <v>215</v>
      </c>
      <c r="B204" s="329">
        <v>44228</v>
      </c>
      <c r="C204" s="330">
        <v>2021</v>
      </c>
      <c r="D204" s="305">
        <f t="shared" si="47"/>
        <v>3091149.0000000009</v>
      </c>
      <c r="E204" s="305">
        <f t="shared" si="48"/>
        <v>47341.333333333336</v>
      </c>
      <c r="F204" s="306">
        <f t="shared" si="49"/>
        <v>28235.333333333343</v>
      </c>
      <c r="G204" s="307">
        <f t="shared" si="50"/>
        <v>20484.666666666668</v>
      </c>
      <c r="H204" s="307">
        <f t="shared" si="51"/>
        <v>0</v>
      </c>
      <c r="I204" s="307">
        <f t="shared" si="52"/>
        <v>7750.6666666666688</v>
      </c>
      <c r="J204" s="308">
        <f t="shared" si="53"/>
        <v>0</v>
      </c>
      <c r="K204" s="306">
        <f t="shared" si="54"/>
        <v>19105.999999999996</v>
      </c>
      <c r="L204" s="307">
        <f t="shared" si="55"/>
        <v>12166</v>
      </c>
      <c r="M204" s="307">
        <f t="shared" si="56"/>
        <v>0</v>
      </c>
      <c r="N204" s="307">
        <f t="shared" si="57"/>
        <v>5272.3333333333339</v>
      </c>
      <c r="O204" s="309">
        <f t="shared" si="58"/>
        <v>1667.6666666666658</v>
      </c>
      <c r="P204" s="305">
        <f t="shared" si="59"/>
        <v>989.66666666666674</v>
      </c>
      <c r="Q204" s="306">
        <f t="shared" si="60"/>
        <v>442.99999999999989</v>
      </c>
      <c r="R204" s="307">
        <f t="shared" si="61"/>
        <v>331.33333333333348</v>
      </c>
      <c r="S204" s="307">
        <f t="shared" si="62"/>
        <v>0</v>
      </c>
      <c r="T204" s="307">
        <f t="shared" si="63"/>
        <v>111.66666666666664</v>
      </c>
      <c r="U204" s="308">
        <f t="shared" si="64"/>
        <v>0</v>
      </c>
      <c r="V204" s="306">
        <f t="shared" si="65"/>
        <v>546.66666666666674</v>
      </c>
      <c r="W204" s="307">
        <f t="shared" si="66"/>
        <v>381.66666666666652</v>
      </c>
      <c r="X204" s="307">
        <f t="shared" si="67"/>
        <v>0</v>
      </c>
      <c r="Y204" s="307">
        <f t="shared" si="68"/>
        <v>116.00000000000006</v>
      </c>
      <c r="Z204" s="309">
        <f t="shared" si="69"/>
        <v>49.000000000000007</v>
      </c>
    </row>
    <row r="205" spans="1:26" ht="14.25" x14ac:dyDescent="0.2">
      <c r="A205" s="342" t="s">
        <v>215</v>
      </c>
      <c r="B205" s="329">
        <v>44256</v>
      </c>
      <c r="C205" s="330">
        <v>2021</v>
      </c>
      <c r="D205" s="305">
        <f t="shared" si="47"/>
        <v>3138422.0000000009</v>
      </c>
      <c r="E205" s="305">
        <f t="shared" si="48"/>
        <v>48462</v>
      </c>
      <c r="F205" s="306">
        <f t="shared" si="49"/>
        <v>29102.000000000011</v>
      </c>
      <c r="G205" s="307">
        <f t="shared" si="50"/>
        <v>20824</v>
      </c>
      <c r="H205" s="307">
        <f t="shared" si="51"/>
        <v>0</v>
      </c>
      <c r="I205" s="307">
        <f t="shared" si="52"/>
        <v>8278.0000000000018</v>
      </c>
      <c r="J205" s="308">
        <f t="shared" si="53"/>
        <v>0</v>
      </c>
      <c r="K205" s="306">
        <f t="shared" si="54"/>
        <v>19359.999999999996</v>
      </c>
      <c r="L205" s="307">
        <f t="shared" si="55"/>
        <v>12227</v>
      </c>
      <c r="M205" s="307">
        <f t="shared" si="56"/>
        <v>0</v>
      </c>
      <c r="N205" s="307">
        <f t="shared" si="57"/>
        <v>5443.0000000000009</v>
      </c>
      <c r="O205" s="309">
        <f t="shared" si="58"/>
        <v>1689.9999999999991</v>
      </c>
      <c r="P205" s="305">
        <f t="shared" si="59"/>
        <v>1011.0000000000001</v>
      </c>
      <c r="Q205" s="306">
        <f t="shared" si="60"/>
        <v>457.99999999999989</v>
      </c>
      <c r="R205" s="307">
        <f t="shared" si="61"/>
        <v>338.00000000000017</v>
      </c>
      <c r="S205" s="307">
        <f t="shared" si="62"/>
        <v>0</v>
      </c>
      <c r="T205" s="307">
        <f t="shared" si="63"/>
        <v>119.99999999999997</v>
      </c>
      <c r="U205" s="308">
        <f t="shared" si="64"/>
        <v>0</v>
      </c>
      <c r="V205" s="306">
        <f t="shared" si="65"/>
        <v>553.00000000000011</v>
      </c>
      <c r="W205" s="307">
        <f t="shared" si="66"/>
        <v>382.99999999999983</v>
      </c>
      <c r="X205" s="307">
        <f t="shared" si="67"/>
        <v>0</v>
      </c>
      <c r="Y205" s="307">
        <f t="shared" si="68"/>
        <v>121.00000000000006</v>
      </c>
      <c r="Z205" s="309">
        <f t="shared" si="69"/>
        <v>49.000000000000007</v>
      </c>
    </row>
    <row r="206" spans="1:26" ht="14.25" x14ac:dyDescent="0.2">
      <c r="A206" s="342" t="s">
        <v>216</v>
      </c>
      <c r="B206" s="329">
        <v>44287</v>
      </c>
      <c r="C206" s="330">
        <v>2021</v>
      </c>
      <c r="D206" s="305">
        <f t="shared" si="47"/>
        <v>3198482.3333333344</v>
      </c>
      <c r="E206" s="305">
        <f t="shared" si="48"/>
        <v>50178</v>
      </c>
      <c r="F206" s="306">
        <f t="shared" si="49"/>
        <v>30356.000000000011</v>
      </c>
      <c r="G206" s="307">
        <f t="shared" si="50"/>
        <v>21391.333333333332</v>
      </c>
      <c r="H206" s="307">
        <f t="shared" si="51"/>
        <v>0</v>
      </c>
      <c r="I206" s="307">
        <f t="shared" si="52"/>
        <v>8964.6666666666679</v>
      </c>
      <c r="J206" s="308">
        <f t="shared" si="53"/>
        <v>0</v>
      </c>
      <c r="K206" s="306">
        <f t="shared" si="54"/>
        <v>19821.999999999996</v>
      </c>
      <c r="L206" s="307">
        <f t="shared" si="55"/>
        <v>12316</v>
      </c>
      <c r="M206" s="307">
        <f t="shared" si="56"/>
        <v>0</v>
      </c>
      <c r="N206" s="307">
        <f t="shared" si="57"/>
        <v>5797.3333333333339</v>
      </c>
      <c r="O206" s="309">
        <f t="shared" si="58"/>
        <v>1708.6666666666658</v>
      </c>
      <c r="P206" s="305">
        <f t="shared" si="59"/>
        <v>1047.3333333333335</v>
      </c>
      <c r="Q206" s="306">
        <f t="shared" si="60"/>
        <v>481.3333333333332</v>
      </c>
      <c r="R206" s="307">
        <f t="shared" si="61"/>
        <v>348.33333333333348</v>
      </c>
      <c r="S206" s="307">
        <f t="shared" si="62"/>
        <v>0</v>
      </c>
      <c r="T206" s="307">
        <f t="shared" si="63"/>
        <v>132.99999999999997</v>
      </c>
      <c r="U206" s="308">
        <f t="shared" si="64"/>
        <v>0</v>
      </c>
      <c r="V206" s="306">
        <f t="shared" si="65"/>
        <v>566.00000000000011</v>
      </c>
      <c r="W206" s="307">
        <f t="shared" si="66"/>
        <v>385.66666666666652</v>
      </c>
      <c r="X206" s="307">
        <f t="shared" si="67"/>
        <v>0</v>
      </c>
      <c r="Y206" s="307">
        <f t="shared" si="68"/>
        <v>130.00000000000006</v>
      </c>
      <c r="Z206" s="309">
        <f t="shared" si="69"/>
        <v>50.333333333333343</v>
      </c>
    </row>
    <row r="207" spans="1:26" ht="14.25" x14ac:dyDescent="0.2">
      <c r="A207" s="342" t="s">
        <v>216</v>
      </c>
      <c r="B207" s="329">
        <v>44317</v>
      </c>
      <c r="C207" s="330">
        <v>2021</v>
      </c>
      <c r="D207" s="305">
        <f t="shared" si="47"/>
        <v>3258542.6666666679</v>
      </c>
      <c r="E207" s="305">
        <f t="shared" si="48"/>
        <v>51894</v>
      </c>
      <c r="F207" s="306">
        <f t="shared" si="49"/>
        <v>31610.000000000011</v>
      </c>
      <c r="G207" s="307">
        <f t="shared" si="50"/>
        <v>21958.666666666664</v>
      </c>
      <c r="H207" s="307">
        <f t="shared" si="51"/>
        <v>0</v>
      </c>
      <c r="I207" s="307">
        <f t="shared" si="52"/>
        <v>9651.3333333333339</v>
      </c>
      <c r="J207" s="308">
        <f t="shared" si="53"/>
        <v>0</v>
      </c>
      <c r="K207" s="306">
        <f t="shared" si="54"/>
        <v>20283.999999999996</v>
      </c>
      <c r="L207" s="307">
        <f t="shared" si="55"/>
        <v>12405</v>
      </c>
      <c r="M207" s="307">
        <f t="shared" si="56"/>
        <v>0</v>
      </c>
      <c r="N207" s="307">
        <f t="shared" si="57"/>
        <v>6151.666666666667</v>
      </c>
      <c r="O207" s="309">
        <f t="shared" si="58"/>
        <v>1727.3333333333326</v>
      </c>
      <c r="P207" s="305">
        <f t="shared" si="59"/>
        <v>1083.6666666666667</v>
      </c>
      <c r="Q207" s="306">
        <f t="shared" si="60"/>
        <v>504.66666666666652</v>
      </c>
      <c r="R207" s="307">
        <f t="shared" si="61"/>
        <v>358.6666666666668</v>
      </c>
      <c r="S207" s="307">
        <f t="shared" si="62"/>
        <v>0</v>
      </c>
      <c r="T207" s="307">
        <f t="shared" si="63"/>
        <v>145.99999999999997</v>
      </c>
      <c r="U207" s="308">
        <f t="shared" si="64"/>
        <v>0</v>
      </c>
      <c r="V207" s="306">
        <f t="shared" si="65"/>
        <v>579.00000000000011</v>
      </c>
      <c r="W207" s="307">
        <f t="shared" si="66"/>
        <v>388.3333333333332</v>
      </c>
      <c r="X207" s="307">
        <f t="shared" si="67"/>
        <v>0</v>
      </c>
      <c r="Y207" s="307">
        <f t="shared" si="68"/>
        <v>139.00000000000006</v>
      </c>
      <c r="Z207" s="309">
        <f t="shared" si="69"/>
        <v>51.666666666666679</v>
      </c>
    </row>
    <row r="208" spans="1:26" ht="14.25" x14ac:dyDescent="0.2">
      <c r="A208" s="342" t="s">
        <v>216</v>
      </c>
      <c r="B208" s="329">
        <v>44348</v>
      </c>
      <c r="C208" s="330">
        <v>2021</v>
      </c>
      <c r="D208" s="305">
        <f t="shared" si="47"/>
        <v>3318603.0000000014</v>
      </c>
      <c r="E208" s="305">
        <f t="shared" si="48"/>
        <v>53610</v>
      </c>
      <c r="F208" s="306">
        <f t="shared" si="49"/>
        <v>32864.000000000015</v>
      </c>
      <c r="G208" s="307">
        <f t="shared" si="50"/>
        <v>22525.999999999996</v>
      </c>
      <c r="H208" s="307">
        <f t="shared" si="51"/>
        <v>0</v>
      </c>
      <c r="I208" s="307">
        <f t="shared" si="52"/>
        <v>10338</v>
      </c>
      <c r="J208" s="308">
        <f t="shared" si="53"/>
        <v>0</v>
      </c>
      <c r="K208" s="306">
        <f t="shared" si="54"/>
        <v>20745.999999999996</v>
      </c>
      <c r="L208" s="307">
        <f t="shared" si="55"/>
        <v>12494</v>
      </c>
      <c r="M208" s="307">
        <f t="shared" si="56"/>
        <v>0</v>
      </c>
      <c r="N208" s="307">
        <f t="shared" si="57"/>
        <v>6506</v>
      </c>
      <c r="O208" s="309">
        <f t="shared" si="58"/>
        <v>1745.9999999999993</v>
      </c>
      <c r="P208" s="305">
        <f t="shared" si="59"/>
        <v>1120</v>
      </c>
      <c r="Q208" s="306">
        <f t="shared" si="60"/>
        <v>527.99999999999989</v>
      </c>
      <c r="R208" s="307">
        <f t="shared" si="61"/>
        <v>369.00000000000011</v>
      </c>
      <c r="S208" s="307">
        <f t="shared" si="62"/>
        <v>0</v>
      </c>
      <c r="T208" s="307">
        <f t="shared" si="63"/>
        <v>158.99999999999997</v>
      </c>
      <c r="U208" s="308">
        <f t="shared" si="64"/>
        <v>0</v>
      </c>
      <c r="V208" s="306">
        <f t="shared" si="65"/>
        <v>592.00000000000011</v>
      </c>
      <c r="W208" s="307">
        <f t="shared" si="66"/>
        <v>390.99999999999989</v>
      </c>
      <c r="X208" s="307">
        <f t="shared" si="67"/>
        <v>0</v>
      </c>
      <c r="Y208" s="307">
        <f t="shared" si="68"/>
        <v>148.00000000000006</v>
      </c>
      <c r="Z208" s="309">
        <f t="shared" si="69"/>
        <v>53.000000000000014</v>
      </c>
    </row>
    <row r="209" spans="1:26" ht="14.25" x14ac:dyDescent="0.2">
      <c r="A209" s="342" t="s">
        <v>217</v>
      </c>
      <c r="B209" s="329">
        <v>44378</v>
      </c>
      <c r="C209" s="330">
        <v>2021</v>
      </c>
      <c r="D209" s="305">
        <f t="shared" si="47"/>
        <v>3376815.6666666679</v>
      </c>
      <c r="E209" s="305">
        <f t="shared" si="48"/>
        <v>55333.666666666664</v>
      </c>
      <c r="F209" s="306">
        <f t="shared" si="49"/>
        <v>34088.000000000015</v>
      </c>
      <c r="G209" s="307">
        <f t="shared" si="50"/>
        <v>23198.666666666664</v>
      </c>
      <c r="H209" s="307">
        <f t="shared" si="51"/>
        <v>0</v>
      </c>
      <c r="I209" s="307">
        <f t="shared" si="52"/>
        <v>10889.333333333334</v>
      </c>
      <c r="J209" s="308">
        <f t="shared" si="53"/>
        <v>0</v>
      </c>
      <c r="K209" s="306">
        <f t="shared" si="54"/>
        <v>21245.666666666664</v>
      </c>
      <c r="L209" s="307">
        <f t="shared" si="55"/>
        <v>12621.333333333334</v>
      </c>
      <c r="M209" s="307">
        <f t="shared" si="56"/>
        <v>0</v>
      </c>
      <c r="N209" s="307">
        <f t="shared" si="57"/>
        <v>6835</v>
      </c>
      <c r="O209" s="309">
        <f t="shared" si="58"/>
        <v>1789.3333333333326</v>
      </c>
      <c r="P209" s="305">
        <f t="shared" si="59"/>
        <v>1154</v>
      </c>
      <c r="Q209" s="306">
        <f t="shared" si="60"/>
        <v>547.66666666666652</v>
      </c>
      <c r="R209" s="307">
        <f t="shared" si="61"/>
        <v>381.00000000000011</v>
      </c>
      <c r="S209" s="307">
        <f t="shared" si="62"/>
        <v>0</v>
      </c>
      <c r="T209" s="307">
        <f t="shared" si="63"/>
        <v>166.66666666666663</v>
      </c>
      <c r="U209" s="308">
        <f t="shared" si="64"/>
        <v>0</v>
      </c>
      <c r="V209" s="306">
        <f t="shared" si="65"/>
        <v>606.33333333333348</v>
      </c>
      <c r="W209" s="307">
        <f t="shared" si="66"/>
        <v>394.99999999999989</v>
      </c>
      <c r="X209" s="307">
        <f t="shared" si="67"/>
        <v>0</v>
      </c>
      <c r="Y209" s="307">
        <f t="shared" si="68"/>
        <v>157.00000000000006</v>
      </c>
      <c r="Z209" s="309">
        <f t="shared" si="69"/>
        <v>54.33333333333335</v>
      </c>
    </row>
    <row r="210" spans="1:26" ht="14.25" x14ac:dyDescent="0.2">
      <c r="A210" s="342" t="s">
        <v>217</v>
      </c>
      <c r="B210" s="329">
        <v>44409</v>
      </c>
      <c r="C210" s="330">
        <v>2021</v>
      </c>
      <c r="D210" s="305">
        <f t="shared" si="47"/>
        <v>3435028.3333333344</v>
      </c>
      <c r="E210" s="305">
        <f t="shared" si="48"/>
        <v>57057.333333333328</v>
      </c>
      <c r="F210" s="306">
        <f t="shared" si="49"/>
        <v>35312.000000000015</v>
      </c>
      <c r="G210" s="307">
        <f t="shared" si="50"/>
        <v>23871.333333333332</v>
      </c>
      <c r="H210" s="307">
        <f t="shared" si="51"/>
        <v>0</v>
      </c>
      <c r="I210" s="307">
        <f t="shared" si="52"/>
        <v>11440.666666666668</v>
      </c>
      <c r="J210" s="308">
        <f t="shared" si="53"/>
        <v>0</v>
      </c>
      <c r="K210" s="306">
        <f t="shared" si="54"/>
        <v>21745.333333333332</v>
      </c>
      <c r="L210" s="307">
        <f t="shared" si="55"/>
        <v>12748.666666666668</v>
      </c>
      <c r="M210" s="307">
        <f t="shared" si="56"/>
        <v>0</v>
      </c>
      <c r="N210" s="307">
        <f t="shared" si="57"/>
        <v>7164</v>
      </c>
      <c r="O210" s="309">
        <f t="shared" si="58"/>
        <v>1832.6666666666658</v>
      </c>
      <c r="P210" s="305">
        <f t="shared" si="59"/>
        <v>1188</v>
      </c>
      <c r="Q210" s="306">
        <f t="shared" si="60"/>
        <v>567.33333333333314</v>
      </c>
      <c r="R210" s="307">
        <f t="shared" si="61"/>
        <v>393.00000000000011</v>
      </c>
      <c r="S210" s="307">
        <f t="shared" si="62"/>
        <v>0</v>
      </c>
      <c r="T210" s="307">
        <f t="shared" si="63"/>
        <v>174.33333333333329</v>
      </c>
      <c r="U210" s="308">
        <f t="shared" si="64"/>
        <v>0</v>
      </c>
      <c r="V210" s="306">
        <f t="shared" si="65"/>
        <v>620.66666666666686</v>
      </c>
      <c r="W210" s="307">
        <f t="shared" si="66"/>
        <v>398.99999999999989</v>
      </c>
      <c r="X210" s="307">
        <f t="shared" si="67"/>
        <v>0</v>
      </c>
      <c r="Y210" s="307">
        <f t="shared" si="68"/>
        <v>166.00000000000006</v>
      </c>
      <c r="Z210" s="309">
        <f t="shared" si="69"/>
        <v>55.666666666666686</v>
      </c>
    </row>
    <row r="211" spans="1:26" ht="14.25" x14ac:dyDescent="0.2">
      <c r="A211" s="342" t="s">
        <v>217</v>
      </c>
      <c r="B211" s="329">
        <v>44440</v>
      </c>
      <c r="C211" s="330">
        <v>2021</v>
      </c>
      <c r="D211" s="305">
        <f t="shared" si="47"/>
        <v>3493241.0000000009</v>
      </c>
      <c r="E211" s="305">
        <f t="shared" si="48"/>
        <v>58780.999999999993</v>
      </c>
      <c r="F211" s="306">
        <f t="shared" si="49"/>
        <v>36536.000000000015</v>
      </c>
      <c r="G211" s="307">
        <f t="shared" si="50"/>
        <v>24544</v>
      </c>
      <c r="H211" s="307">
        <f t="shared" si="51"/>
        <v>0</v>
      </c>
      <c r="I211" s="307">
        <f t="shared" si="52"/>
        <v>11992.000000000002</v>
      </c>
      <c r="J211" s="308">
        <f t="shared" si="53"/>
        <v>0</v>
      </c>
      <c r="K211" s="306">
        <f t="shared" si="54"/>
        <v>22245</v>
      </c>
      <c r="L211" s="307">
        <f t="shared" si="55"/>
        <v>12876.000000000002</v>
      </c>
      <c r="M211" s="307">
        <f t="shared" si="56"/>
        <v>0</v>
      </c>
      <c r="N211" s="307">
        <f t="shared" si="57"/>
        <v>7493</v>
      </c>
      <c r="O211" s="309">
        <f t="shared" si="58"/>
        <v>1875.9999999999991</v>
      </c>
      <c r="P211" s="305">
        <f t="shared" si="59"/>
        <v>1222</v>
      </c>
      <c r="Q211" s="306">
        <f t="shared" si="60"/>
        <v>586.99999999999977</v>
      </c>
      <c r="R211" s="307">
        <f t="shared" si="61"/>
        <v>405.00000000000011</v>
      </c>
      <c r="S211" s="307">
        <f t="shared" si="62"/>
        <v>0</v>
      </c>
      <c r="T211" s="307">
        <f t="shared" si="63"/>
        <v>181.99999999999994</v>
      </c>
      <c r="U211" s="308">
        <f t="shared" si="64"/>
        <v>0</v>
      </c>
      <c r="V211" s="306">
        <f t="shared" si="65"/>
        <v>635.00000000000023</v>
      </c>
      <c r="W211" s="307">
        <f t="shared" si="66"/>
        <v>402.99999999999989</v>
      </c>
      <c r="X211" s="307">
        <f t="shared" si="67"/>
        <v>0</v>
      </c>
      <c r="Y211" s="307">
        <f t="shared" si="68"/>
        <v>175.00000000000006</v>
      </c>
      <c r="Z211" s="309">
        <f t="shared" si="69"/>
        <v>57.000000000000021</v>
      </c>
    </row>
    <row r="212" spans="1:26" ht="14.25" x14ac:dyDescent="0.2">
      <c r="A212" s="342" t="s">
        <v>218</v>
      </c>
      <c r="B212" s="329">
        <v>44470</v>
      </c>
      <c r="C212" s="330">
        <v>2021</v>
      </c>
      <c r="D212" s="305">
        <f t="shared" si="47"/>
        <v>3536784.3333333344</v>
      </c>
      <c r="E212" s="305">
        <f t="shared" si="48"/>
        <v>60823.999999999993</v>
      </c>
      <c r="F212" s="306">
        <f t="shared" si="49"/>
        <v>38131.666666666679</v>
      </c>
      <c r="G212" s="307">
        <f t="shared" si="50"/>
        <v>25324.666666666668</v>
      </c>
      <c r="H212" s="307">
        <f t="shared" si="51"/>
        <v>0</v>
      </c>
      <c r="I212" s="307">
        <f t="shared" si="52"/>
        <v>12807.000000000002</v>
      </c>
      <c r="J212" s="308">
        <f t="shared" si="53"/>
        <v>0</v>
      </c>
      <c r="K212" s="306">
        <f t="shared" si="54"/>
        <v>22692.333333333332</v>
      </c>
      <c r="L212" s="307">
        <f t="shared" si="55"/>
        <v>12942.333333333336</v>
      </c>
      <c r="M212" s="307">
        <f t="shared" si="56"/>
        <v>0</v>
      </c>
      <c r="N212" s="307">
        <f t="shared" si="57"/>
        <v>7864.333333333333</v>
      </c>
      <c r="O212" s="309">
        <f t="shared" si="58"/>
        <v>1885.6666666666658</v>
      </c>
      <c r="P212" s="305">
        <f t="shared" si="59"/>
        <v>1261.3333333333333</v>
      </c>
      <c r="Q212" s="306">
        <f t="shared" si="60"/>
        <v>614.33333333333314</v>
      </c>
      <c r="R212" s="307">
        <f t="shared" si="61"/>
        <v>416.6666666666668</v>
      </c>
      <c r="S212" s="307">
        <f t="shared" si="62"/>
        <v>0</v>
      </c>
      <c r="T212" s="307">
        <f t="shared" si="63"/>
        <v>197.6666666666666</v>
      </c>
      <c r="U212" s="308">
        <f t="shared" si="64"/>
        <v>0</v>
      </c>
      <c r="V212" s="306">
        <f t="shared" si="65"/>
        <v>647.00000000000023</v>
      </c>
      <c r="W212" s="307">
        <f t="shared" si="66"/>
        <v>405.3333333333332</v>
      </c>
      <c r="X212" s="307">
        <f t="shared" si="67"/>
        <v>0</v>
      </c>
      <c r="Y212" s="307">
        <f t="shared" si="68"/>
        <v>184.3333333333334</v>
      </c>
      <c r="Z212" s="309">
        <f t="shared" si="69"/>
        <v>57.333333333333357</v>
      </c>
    </row>
    <row r="213" spans="1:26" ht="14.25" x14ac:dyDescent="0.2">
      <c r="A213" s="342" t="s">
        <v>218</v>
      </c>
      <c r="B213" s="329">
        <v>44501</v>
      </c>
      <c r="C213" s="330">
        <v>2021</v>
      </c>
      <c r="D213" s="305">
        <f t="shared" si="47"/>
        <v>3580327.6666666679</v>
      </c>
      <c r="E213" s="305">
        <f t="shared" si="48"/>
        <v>62866.999999999993</v>
      </c>
      <c r="F213" s="306">
        <f t="shared" si="49"/>
        <v>39727.333333333343</v>
      </c>
      <c r="G213" s="307">
        <f t="shared" si="50"/>
        <v>26105.333333333336</v>
      </c>
      <c r="H213" s="307">
        <f t="shared" si="51"/>
        <v>0</v>
      </c>
      <c r="I213" s="307">
        <f t="shared" si="52"/>
        <v>13622.000000000002</v>
      </c>
      <c r="J213" s="308">
        <f t="shared" si="53"/>
        <v>0</v>
      </c>
      <c r="K213" s="306">
        <f t="shared" si="54"/>
        <v>23139.666666666664</v>
      </c>
      <c r="L213" s="307">
        <f t="shared" si="55"/>
        <v>13008.66666666667</v>
      </c>
      <c r="M213" s="307">
        <f t="shared" si="56"/>
        <v>0</v>
      </c>
      <c r="N213" s="307">
        <f t="shared" si="57"/>
        <v>8235.6666666666661</v>
      </c>
      <c r="O213" s="309">
        <f t="shared" si="58"/>
        <v>1895.3333333333326</v>
      </c>
      <c r="P213" s="305">
        <f t="shared" si="59"/>
        <v>1300.6666666666665</v>
      </c>
      <c r="Q213" s="306">
        <f t="shared" si="60"/>
        <v>641.66666666666652</v>
      </c>
      <c r="R213" s="307">
        <f t="shared" si="61"/>
        <v>428.33333333333348</v>
      </c>
      <c r="S213" s="307">
        <f t="shared" si="62"/>
        <v>0</v>
      </c>
      <c r="T213" s="307">
        <f t="shared" si="63"/>
        <v>213.33333333333326</v>
      </c>
      <c r="U213" s="308">
        <f t="shared" si="64"/>
        <v>0</v>
      </c>
      <c r="V213" s="306">
        <f t="shared" si="65"/>
        <v>659.00000000000023</v>
      </c>
      <c r="W213" s="307">
        <f t="shared" si="66"/>
        <v>407.66666666666652</v>
      </c>
      <c r="X213" s="307">
        <f t="shared" si="67"/>
        <v>0</v>
      </c>
      <c r="Y213" s="307">
        <f t="shared" si="68"/>
        <v>193.66666666666674</v>
      </c>
      <c r="Z213" s="309">
        <f t="shared" si="69"/>
        <v>57.666666666666693</v>
      </c>
    </row>
    <row r="214" spans="1:26" ht="14.25" x14ac:dyDescent="0.2">
      <c r="A214" s="342" t="s">
        <v>218</v>
      </c>
      <c r="B214" s="329">
        <v>44531</v>
      </c>
      <c r="C214" s="330">
        <v>2021</v>
      </c>
      <c r="D214" s="305">
        <f t="shared" si="47"/>
        <v>3623871.0000000014</v>
      </c>
      <c r="E214" s="305">
        <f t="shared" si="48"/>
        <v>64909.999999999993</v>
      </c>
      <c r="F214" s="306">
        <f t="shared" si="49"/>
        <v>41323.000000000007</v>
      </c>
      <c r="G214" s="307">
        <f t="shared" si="50"/>
        <v>26886.000000000004</v>
      </c>
      <c r="H214" s="307">
        <f t="shared" si="51"/>
        <v>0</v>
      </c>
      <c r="I214" s="307">
        <f t="shared" si="52"/>
        <v>14437.000000000002</v>
      </c>
      <c r="J214" s="308">
        <f t="shared" si="53"/>
        <v>0</v>
      </c>
      <c r="K214" s="306">
        <f t="shared" si="54"/>
        <v>23586.999999999996</v>
      </c>
      <c r="L214" s="307">
        <f t="shared" si="55"/>
        <v>13075.000000000004</v>
      </c>
      <c r="M214" s="307">
        <f t="shared" si="56"/>
        <v>0</v>
      </c>
      <c r="N214" s="307">
        <f t="shared" si="57"/>
        <v>8607</v>
      </c>
      <c r="O214" s="309">
        <f t="shared" si="58"/>
        <v>1904.9999999999993</v>
      </c>
      <c r="P214" s="305">
        <f t="shared" si="59"/>
        <v>1339.9999999999998</v>
      </c>
      <c r="Q214" s="306">
        <f t="shared" si="60"/>
        <v>668.99999999999989</v>
      </c>
      <c r="R214" s="307">
        <f t="shared" si="61"/>
        <v>440.00000000000017</v>
      </c>
      <c r="S214" s="307">
        <f t="shared" si="62"/>
        <v>0</v>
      </c>
      <c r="T214" s="307">
        <f t="shared" si="63"/>
        <v>228.99999999999991</v>
      </c>
      <c r="U214" s="308">
        <f t="shared" si="64"/>
        <v>0</v>
      </c>
      <c r="V214" s="306">
        <f t="shared" si="65"/>
        <v>671.00000000000023</v>
      </c>
      <c r="W214" s="307">
        <f t="shared" si="66"/>
        <v>409.99999999999983</v>
      </c>
      <c r="X214" s="307">
        <f t="shared" si="67"/>
        <v>0</v>
      </c>
      <c r="Y214" s="307">
        <f t="shared" si="68"/>
        <v>203.00000000000009</v>
      </c>
      <c r="Z214" s="309">
        <f t="shared" si="69"/>
        <v>58.000000000000028</v>
      </c>
    </row>
    <row r="215" spans="1:26" ht="14.25" x14ac:dyDescent="0.2">
      <c r="A215" s="342" t="s">
        <v>219</v>
      </c>
      <c r="B215" s="329">
        <v>44562</v>
      </c>
      <c r="C215" s="330">
        <v>2022</v>
      </c>
      <c r="D215" s="305">
        <f t="shared" si="47"/>
        <v>3668917.0000000014</v>
      </c>
      <c r="E215" s="305">
        <f t="shared" si="48"/>
        <v>67284.666666666657</v>
      </c>
      <c r="F215" s="306">
        <f t="shared" si="49"/>
        <v>43218.333333333343</v>
      </c>
      <c r="G215" s="307">
        <f t="shared" si="50"/>
        <v>27842.333333333336</v>
      </c>
      <c r="H215" s="307">
        <f t="shared" si="51"/>
        <v>0</v>
      </c>
      <c r="I215" s="307">
        <f t="shared" si="52"/>
        <v>15374.666666666668</v>
      </c>
      <c r="J215" s="308">
        <f t="shared" si="53"/>
        <v>1.3333333333333333</v>
      </c>
      <c r="K215" s="306">
        <f t="shared" si="54"/>
        <v>24066.333333333328</v>
      </c>
      <c r="L215" s="307">
        <f t="shared" si="55"/>
        <v>13125.66666666667</v>
      </c>
      <c r="M215" s="307">
        <f t="shared" si="56"/>
        <v>0</v>
      </c>
      <c r="N215" s="307">
        <f t="shared" si="57"/>
        <v>8955.3333333333339</v>
      </c>
      <c r="O215" s="309">
        <f t="shared" si="58"/>
        <v>1985.3333333333326</v>
      </c>
      <c r="P215" s="305">
        <f t="shared" si="59"/>
        <v>1382.333333333333</v>
      </c>
      <c r="Q215" s="306">
        <f t="shared" si="60"/>
        <v>700.99999999999989</v>
      </c>
      <c r="R215" s="307">
        <f t="shared" si="61"/>
        <v>458.00000000000017</v>
      </c>
      <c r="S215" s="307">
        <f t="shared" si="62"/>
        <v>0</v>
      </c>
      <c r="T215" s="307">
        <f t="shared" si="63"/>
        <v>242.99999999999991</v>
      </c>
      <c r="U215" s="308">
        <f t="shared" si="64"/>
        <v>0</v>
      </c>
      <c r="V215" s="306">
        <f t="shared" si="65"/>
        <v>681.3333333333336</v>
      </c>
      <c r="W215" s="307">
        <f t="shared" si="66"/>
        <v>410.33333333333314</v>
      </c>
      <c r="X215" s="307">
        <f t="shared" si="67"/>
        <v>0</v>
      </c>
      <c r="Y215" s="307">
        <f t="shared" si="68"/>
        <v>211.33333333333343</v>
      </c>
      <c r="Z215" s="309">
        <f t="shared" si="69"/>
        <v>59.666666666666693</v>
      </c>
    </row>
    <row r="216" spans="1:26" ht="14.25" x14ac:dyDescent="0.2">
      <c r="A216" s="342" t="s">
        <v>219</v>
      </c>
      <c r="B216" s="329">
        <v>44593</v>
      </c>
      <c r="C216" s="330">
        <v>2022</v>
      </c>
      <c r="D216" s="305">
        <f t="shared" si="47"/>
        <v>3713963.0000000014</v>
      </c>
      <c r="E216" s="305">
        <f t="shared" si="48"/>
        <v>69659.333333333328</v>
      </c>
      <c r="F216" s="306">
        <f t="shared" si="49"/>
        <v>45113.666666666679</v>
      </c>
      <c r="G216" s="307">
        <f t="shared" si="50"/>
        <v>28798.666666666668</v>
      </c>
      <c r="H216" s="307">
        <f t="shared" si="51"/>
        <v>0</v>
      </c>
      <c r="I216" s="307">
        <f t="shared" si="52"/>
        <v>16312.333333333334</v>
      </c>
      <c r="J216" s="308">
        <f t="shared" si="53"/>
        <v>2.6666666666666665</v>
      </c>
      <c r="K216" s="306">
        <f t="shared" si="54"/>
        <v>24545.666666666661</v>
      </c>
      <c r="L216" s="307">
        <f t="shared" si="55"/>
        <v>13176.333333333336</v>
      </c>
      <c r="M216" s="307">
        <f t="shared" si="56"/>
        <v>0</v>
      </c>
      <c r="N216" s="307">
        <f t="shared" si="57"/>
        <v>9303.6666666666679</v>
      </c>
      <c r="O216" s="309">
        <f t="shared" si="58"/>
        <v>2065.6666666666661</v>
      </c>
      <c r="P216" s="305">
        <f t="shared" si="59"/>
        <v>1424.6666666666663</v>
      </c>
      <c r="Q216" s="306">
        <f t="shared" si="60"/>
        <v>732.99999999999989</v>
      </c>
      <c r="R216" s="307">
        <f t="shared" si="61"/>
        <v>476.00000000000017</v>
      </c>
      <c r="S216" s="307">
        <f t="shared" si="62"/>
        <v>0</v>
      </c>
      <c r="T216" s="307">
        <f t="shared" si="63"/>
        <v>256.99999999999989</v>
      </c>
      <c r="U216" s="308">
        <f t="shared" si="64"/>
        <v>0</v>
      </c>
      <c r="V216" s="306">
        <f t="shared" si="65"/>
        <v>691.66666666666697</v>
      </c>
      <c r="W216" s="307">
        <f t="shared" si="66"/>
        <v>410.66666666666646</v>
      </c>
      <c r="X216" s="307">
        <f t="shared" si="67"/>
        <v>0</v>
      </c>
      <c r="Y216" s="307">
        <f t="shared" si="68"/>
        <v>219.66666666666677</v>
      </c>
      <c r="Z216" s="309">
        <f t="shared" si="69"/>
        <v>61.333333333333357</v>
      </c>
    </row>
    <row r="217" spans="1:26" ht="14.25" x14ac:dyDescent="0.2">
      <c r="A217" s="342" t="s">
        <v>219</v>
      </c>
      <c r="B217" s="329">
        <v>44621</v>
      </c>
      <c r="C217" s="330">
        <v>2022</v>
      </c>
      <c r="D217" s="305">
        <f t="shared" si="47"/>
        <v>3759009.0000000014</v>
      </c>
      <c r="E217" s="305">
        <f t="shared" si="48"/>
        <v>72034</v>
      </c>
      <c r="F217" s="306">
        <f t="shared" si="49"/>
        <v>47009.000000000015</v>
      </c>
      <c r="G217" s="307">
        <f t="shared" si="50"/>
        <v>29755</v>
      </c>
      <c r="H217" s="307">
        <f t="shared" si="51"/>
        <v>0</v>
      </c>
      <c r="I217" s="307">
        <f t="shared" si="52"/>
        <v>17250</v>
      </c>
      <c r="J217" s="308">
        <f t="shared" si="53"/>
        <v>4</v>
      </c>
      <c r="K217" s="306">
        <f t="shared" si="54"/>
        <v>25024.999999999993</v>
      </c>
      <c r="L217" s="307">
        <f t="shared" si="55"/>
        <v>13227.000000000002</v>
      </c>
      <c r="M217" s="307">
        <f t="shared" si="56"/>
        <v>0</v>
      </c>
      <c r="N217" s="307">
        <f t="shared" si="57"/>
        <v>9652.0000000000018</v>
      </c>
      <c r="O217" s="309">
        <f t="shared" si="58"/>
        <v>2145.9999999999995</v>
      </c>
      <c r="P217" s="305">
        <f t="shared" si="59"/>
        <v>1466.9999999999995</v>
      </c>
      <c r="Q217" s="306">
        <f t="shared" si="60"/>
        <v>764.99999999999989</v>
      </c>
      <c r="R217" s="307">
        <f t="shared" si="61"/>
        <v>494.00000000000017</v>
      </c>
      <c r="S217" s="307">
        <f t="shared" si="62"/>
        <v>0</v>
      </c>
      <c r="T217" s="307">
        <f t="shared" si="63"/>
        <v>270.99999999999989</v>
      </c>
      <c r="U217" s="308">
        <f t="shared" si="64"/>
        <v>0</v>
      </c>
      <c r="V217" s="306">
        <f t="shared" si="65"/>
        <v>702.00000000000034</v>
      </c>
      <c r="W217" s="307">
        <f t="shared" si="66"/>
        <v>410.99999999999977</v>
      </c>
      <c r="X217" s="307">
        <f t="shared" si="67"/>
        <v>0</v>
      </c>
      <c r="Y217" s="307">
        <f t="shared" si="68"/>
        <v>228.00000000000011</v>
      </c>
      <c r="Z217" s="309">
        <f t="shared" si="69"/>
        <v>63.000000000000021</v>
      </c>
    </row>
    <row r="218" spans="1:26" ht="14.25" x14ac:dyDescent="0.2">
      <c r="A218" s="342" t="s">
        <v>220</v>
      </c>
      <c r="B218" s="329">
        <v>44652</v>
      </c>
      <c r="C218" s="330">
        <v>2022</v>
      </c>
      <c r="D218" s="305">
        <f t="shared" si="47"/>
        <v>3815423.6666666679</v>
      </c>
      <c r="E218" s="305">
        <f t="shared" si="48"/>
        <v>75212</v>
      </c>
      <c r="F218" s="306">
        <f t="shared" si="49"/>
        <v>49634.000000000015</v>
      </c>
      <c r="G218" s="307">
        <f t="shared" si="50"/>
        <v>30723</v>
      </c>
      <c r="H218" s="307">
        <f t="shared" si="51"/>
        <v>19.666666666666668</v>
      </c>
      <c r="I218" s="307">
        <f t="shared" si="52"/>
        <v>18872.666666666668</v>
      </c>
      <c r="J218" s="308">
        <f t="shared" si="53"/>
        <v>18.666666666666664</v>
      </c>
      <c r="K218" s="306">
        <f t="shared" si="54"/>
        <v>25577.999999999993</v>
      </c>
      <c r="L218" s="307">
        <f t="shared" si="55"/>
        <v>13317.333333333336</v>
      </c>
      <c r="M218" s="307">
        <f t="shared" si="56"/>
        <v>0</v>
      </c>
      <c r="N218" s="307">
        <f t="shared" si="57"/>
        <v>10075.666666666668</v>
      </c>
      <c r="O218" s="309">
        <f t="shared" si="58"/>
        <v>2184.9999999999995</v>
      </c>
      <c r="P218" s="305">
        <f t="shared" si="59"/>
        <v>1523.3333333333328</v>
      </c>
      <c r="Q218" s="306">
        <f t="shared" si="60"/>
        <v>803.33333333333326</v>
      </c>
      <c r="R218" s="307">
        <f t="shared" si="61"/>
        <v>508.33333333333348</v>
      </c>
      <c r="S218" s="307">
        <f t="shared" si="62"/>
        <v>0.33333333333333331</v>
      </c>
      <c r="T218" s="307">
        <f t="shared" si="63"/>
        <v>293.99999999999989</v>
      </c>
      <c r="U218" s="308">
        <f t="shared" si="64"/>
        <v>0.66666666666666663</v>
      </c>
      <c r="V218" s="306">
        <f t="shared" si="65"/>
        <v>720.00000000000034</v>
      </c>
      <c r="W218" s="307">
        <f t="shared" si="66"/>
        <v>415.33333333333309</v>
      </c>
      <c r="X218" s="307">
        <f t="shared" si="67"/>
        <v>0</v>
      </c>
      <c r="Y218" s="307">
        <f t="shared" si="68"/>
        <v>240.66666666666677</v>
      </c>
      <c r="Z218" s="309">
        <f t="shared" si="69"/>
        <v>64.000000000000028</v>
      </c>
    </row>
    <row r="219" spans="1:26" ht="14.25" x14ac:dyDescent="0.2">
      <c r="A219" s="342" t="s">
        <v>220</v>
      </c>
      <c r="B219" s="329">
        <v>44682</v>
      </c>
      <c r="C219" s="330">
        <v>2022</v>
      </c>
      <c r="D219" s="305">
        <f t="shared" si="47"/>
        <v>3871838.3333333344</v>
      </c>
      <c r="E219" s="305">
        <f t="shared" si="48"/>
        <v>78390</v>
      </c>
      <c r="F219" s="306">
        <f t="shared" si="49"/>
        <v>52259.000000000015</v>
      </c>
      <c r="G219" s="307">
        <f t="shared" si="50"/>
        <v>31691</v>
      </c>
      <c r="H219" s="307">
        <f t="shared" si="51"/>
        <v>39.333333333333336</v>
      </c>
      <c r="I219" s="307">
        <f t="shared" si="52"/>
        <v>20495.333333333336</v>
      </c>
      <c r="J219" s="308">
        <f t="shared" si="53"/>
        <v>33.333333333333329</v>
      </c>
      <c r="K219" s="306">
        <f t="shared" si="54"/>
        <v>26130.999999999993</v>
      </c>
      <c r="L219" s="307">
        <f t="shared" si="55"/>
        <v>13407.66666666667</v>
      </c>
      <c r="M219" s="307">
        <f t="shared" si="56"/>
        <v>0</v>
      </c>
      <c r="N219" s="307">
        <f t="shared" si="57"/>
        <v>10499.333333333334</v>
      </c>
      <c r="O219" s="309">
        <f t="shared" si="58"/>
        <v>2223.9999999999995</v>
      </c>
      <c r="P219" s="305">
        <f t="shared" si="59"/>
        <v>1579.6666666666661</v>
      </c>
      <c r="Q219" s="306">
        <f t="shared" si="60"/>
        <v>841.66666666666663</v>
      </c>
      <c r="R219" s="307">
        <f t="shared" si="61"/>
        <v>522.66666666666686</v>
      </c>
      <c r="S219" s="307">
        <f t="shared" si="62"/>
        <v>0.66666666666666663</v>
      </c>
      <c r="T219" s="307">
        <f t="shared" si="63"/>
        <v>316.99999999999989</v>
      </c>
      <c r="U219" s="308">
        <f t="shared" si="64"/>
        <v>1.3333333333333333</v>
      </c>
      <c r="V219" s="306">
        <f t="shared" si="65"/>
        <v>738.00000000000034</v>
      </c>
      <c r="W219" s="307">
        <f t="shared" si="66"/>
        <v>419.6666666666664</v>
      </c>
      <c r="X219" s="307">
        <f t="shared" si="67"/>
        <v>0</v>
      </c>
      <c r="Y219" s="307">
        <f t="shared" si="68"/>
        <v>253.33333333333343</v>
      </c>
      <c r="Z219" s="309">
        <f t="shared" si="69"/>
        <v>65.000000000000028</v>
      </c>
    </row>
    <row r="220" spans="1:26" ht="14.25" x14ac:dyDescent="0.2">
      <c r="A220" s="342" t="s">
        <v>220</v>
      </c>
      <c r="B220" s="329">
        <v>44713</v>
      </c>
      <c r="C220" s="330">
        <v>2022</v>
      </c>
      <c r="D220" s="305">
        <f t="shared" ref="D220:D249" si="70">D109/3+D219</f>
        <v>3928253.0000000009</v>
      </c>
      <c r="E220" s="305">
        <f t="shared" ref="E220:E249" si="71">E109/3+E219</f>
        <v>81568</v>
      </c>
      <c r="F220" s="306">
        <f t="shared" ref="F220:F249" si="72">F109/3+F219</f>
        <v>54884.000000000015</v>
      </c>
      <c r="G220" s="307">
        <f t="shared" ref="G220:G249" si="73">G109/3+G219</f>
        <v>32659</v>
      </c>
      <c r="H220" s="307">
        <f t="shared" ref="H220:H249" si="74">H109/3+H219</f>
        <v>59</v>
      </c>
      <c r="I220" s="307">
        <f t="shared" ref="I220:I249" si="75">I109/3+I219</f>
        <v>22118.000000000004</v>
      </c>
      <c r="J220" s="308">
        <f t="shared" ref="J220:J249" si="76">J109/3+J219</f>
        <v>47.999999999999993</v>
      </c>
      <c r="K220" s="306">
        <f t="shared" ref="K220:K249" si="77">K109/3+K219</f>
        <v>26683.999999999993</v>
      </c>
      <c r="L220" s="307">
        <f t="shared" ref="L220:L249" si="78">L109/3+L219</f>
        <v>13498.000000000004</v>
      </c>
      <c r="M220" s="307">
        <f t="shared" ref="M220:M249" si="79">M109/3+M219</f>
        <v>0</v>
      </c>
      <c r="N220" s="307">
        <f t="shared" ref="N220:N249" si="80">N109/3+N219</f>
        <v>10923</v>
      </c>
      <c r="O220" s="309">
        <f t="shared" ref="O220:O249" si="81">O109/3+O219</f>
        <v>2262.9999999999995</v>
      </c>
      <c r="P220" s="305">
        <f t="shared" ref="P220:P249" si="82">P109/3+P219</f>
        <v>1635.9999999999993</v>
      </c>
      <c r="Q220" s="306">
        <f t="shared" ref="Q220:Q249" si="83">Q109/3+Q219</f>
        <v>880</v>
      </c>
      <c r="R220" s="307">
        <f t="shared" ref="R220:R249" si="84">R109/3+R219</f>
        <v>537.00000000000023</v>
      </c>
      <c r="S220" s="307">
        <f t="shared" ref="S220:S249" si="85">S109/3+S219</f>
        <v>1</v>
      </c>
      <c r="T220" s="307">
        <f t="shared" ref="T220:T249" si="86">T109/3+T219</f>
        <v>339.99999999999989</v>
      </c>
      <c r="U220" s="308">
        <f t="shared" ref="U220:U249" si="87">U109/3+U219</f>
        <v>2</v>
      </c>
      <c r="V220" s="306">
        <f t="shared" ref="V220:V249" si="88">V109/3+V219</f>
        <v>756.00000000000034</v>
      </c>
      <c r="W220" s="307">
        <f t="shared" ref="W220:W249" si="89">W109/3+W219</f>
        <v>423.99999999999972</v>
      </c>
      <c r="X220" s="307">
        <f t="shared" ref="X220:X249" si="90">X109/3+X219</f>
        <v>0</v>
      </c>
      <c r="Y220" s="307">
        <f t="shared" ref="Y220:Y249" si="91">Y109/3+Y219</f>
        <v>266.00000000000011</v>
      </c>
      <c r="Z220" s="309">
        <f t="shared" ref="Z220:Z249" si="92">Z109/3+Z219</f>
        <v>66.000000000000028</v>
      </c>
    </row>
    <row r="221" spans="1:26" ht="14.25" x14ac:dyDescent="0.2">
      <c r="A221" s="342" t="s">
        <v>221</v>
      </c>
      <c r="B221" s="329">
        <v>44743</v>
      </c>
      <c r="C221" s="330">
        <v>2022</v>
      </c>
      <c r="D221" s="305">
        <f t="shared" si="70"/>
        <v>3979512.6666666674</v>
      </c>
      <c r="E221" s="305">
        <f t="shared" si="71"/>
        <v>85239</v>
      </c>
      <c r="F221" s="306">
        <f t="shared" si="72"/>
        <v>58122.666666666679</v>
      </c>
      <c r="G221" s="307">
        <f t="shared" si="73"/>
        <v>33990.666666666664</v>
      </c>
      <c r="H221" s="307">
        <f t="shared" si="74"/>
        <v>215.33333333333334</v>
      </c>
      <c r="I221" s="307">
        <f t="shared" si="75"/>
        <v>23853.333333333336</v>
      </c>
      <c r="J221" s="308">
        <f t="shared" si="76"/>
        <v>63.333333333333329</v>
      </c>
      <c r="K221" s="306">
        <f t="shared" si="77"/>
        <v>27116.333333333325</v>
      </c>
      <c r="L221" s="307">
        <f t="shared" si="78"/>
        <v>13565.000000000004</v>
      </c>
      <c r="M221" s="307">
        <f t="shared" si="79"/>
        <v>0</v>
      </c>
      <c r="N221" s="307">
        <f t="shared" si="80"/>
        <v>11256.666666666666</v>
      </c>
      <c r="O221" s="309">
        <f t="shared" si="81"/>
        <v>2294.6666666666661</v>
      </c>
      <c r="P221" s="305">
        <f t="shared" si="82"/>
        <v>1701.6666666666661</v>
      </c>
      <c r="Q221" s="306">
        <f t="shared" si="83"/>
        <v>937</v>
      </c>
      <c r="R221" s="307">
        <f t="shared" si="84"/>
        <v>561.3333333333336</v>
      </c>
      <c r="S221" s="307">
        <f t="shared" si="85"/>
        <v>7</v>
      </c>
      <c r="T221" s="307">
        <f t="shared" si="86"/>
        <v>366.66666666666657</v>
      </c>
      <c r="U221" s="308">
        <f t="shared" si="87"/>
        <v>2</v>
      </c>
      <c r="V221" s="306">
        <f t="shared" si="88"/>
        <v>764.66666666666697</v>
      </c>
      <c r="W221" s="307">
        <f t="shared" si="89"/>
        <v>424.6666666666664</v>
      </c>
      <c r="X221" s="307">
        <f t="shared" si="90"/>
        <v>0</v>
      </c>
      <c r="Y221" s="307">
        <f t="shared" si="91"/>
        <v>273.00000000000011</v>
      </c>
      <c r="Z221" s="309">
        <f t="shared" si="92"/>
        <v>67.000000000000028</v>
      </c>
    </row>
    <row r="222" spans="1:26" ht="14.25" x14ac:dyDescent="0.2">
      <c r="A222" s="342" t="s">
        <v>221</v>
      </c>
      <c r="B222" s="329">
        <v>44774</v>
      </c>
      <c r="C222" s="330">
        <v>2022</v>
      </c>
      <c r="D222" s="305">
        <f t="shared" si="70"/>
        <v>4030772.333333334</v>
      </c>
      <c r="E222" s="305">
        <f t="shared" si="71"/>
        <v>88910</v>
      </c>
      <c r="F222" s="306">
        <f t="shared" si="72"/>
        <v>61361.333333333343</v>
      </c>
      <c r="G222" s="307">
        <f t="shared" si="73"/>
        <v>35322.333333333328</v>
      </c>
      <c r="H222" s="307">
        <f t="shared" si="74"/>
        <v>371.66666666666669</v>
      </c>
      <c r="I222" s="307">
        <f t="shared" si="75"/>
        <v>25588.666666666668</v>
      </c>
      <c r="J222" s="308">
        <f t="shared" si="76"/>
        <v>78.666666666666657</v>
      </c>
      <c r="K222" s="306">
        <f t="shared" si="77"/>
        <v>27548.666666666657</v>
      </c>
      <c r="L222" s="307">
        <f t="shared" si="78"/>
        <v>13632.000000000004</v>
      </c>
      <c r="M222" s="307">
        <f t="shared" si="79"/>
        <v>0</v>
      </c>
      <c r="N222" s="307">
        <f t="shared" si="80"/>
        <v>11590.333333333332</v>
      </c>
      <c r="O222" s="309">
        <f t="shared" si="81"/>
        <v>2326.3333333333326</v>
      </c>
      <c r="P222" s="305">
        <f t="shared" si="82"/>
        <v>1767.3333333333328</v>
      </c>
      <c r="Q222" s="306">
        <f t="shared" si="83"/>
        <v>994</v>
      </c>
      <c r="R222" s="307">
        <f t="shared" si="84"/>
        <v>585.66666666666697</v>
      </c>
      <c r="S222" s="307">
        <f t="shared" si="85"/>
        <v>13</v>
      </c>
      <c r="T222" s="307">
        <f t="shared" si="86"/>
        <v>393.33333333333326</v>
      </c>
      <c r="U222" s="308">
        <f t="shared" si="87"/>
        <v>2</v>
      </c>
      <c r="V222" s="306">
        <f t="shared" si="88"/>
        <v>773.3333333333336</v>
      </c>
      <c r="W222" s="307">
        <f t="shared" si="89"/>
        <v>425.33333333333309</v>
      </c>
      <c r="X222" s="307">
        <f t="shared" si="90"/>
        <v>0</v>
      </c>
      <c r="Y222" s="307">
        <f t="shared" si="91"/>
        <v>280.00000000000011</v>
      </c>
      <c r="Z222" s="309">
        <f t="shared" si="92"/>
        <v>68.000000000000028</v>
      </c>
    </row>
    <row r="223" spans="1:26" ht="14.25" x14ac:dyDescent="0.2">
      <c r="A223" s="342" t="s">
        <v>221</v>
      </c>
      <c r="B223" s="329">
        <v>44805</v>
      </c>
      <c r="C223" s="330">
        <v>2022</v>
      </c>
      <c r="D223" s="305">
        <f t="shared" si="70"/>
        <v>4082032.0000000005</v>
      </c>
      <c r="E223" s="305">
        <f t="shared" si="71"/>
        <v>92581</v>
      </c>
      <c r="F223" s="306">
        <f t="shared" si="72"/>
        <v>64600.000000000007</v>
      </c>
      <c r="G223" s="307">
        <f t="shared" si="73"/>
        <v>36653.999999999993</v>
      </c>
      <c r="H223" s="307">
        <f t="shared" si="74"/>
        <v>528</v>
      </c>
      <c r="I223" s="307">
        <f t="shared" si="75"/>
        <v>27324</v>
      </c>
      <c r="J223" s="308">
        <f t="shared" si="76"/>
        <v>93.999999999999986</v>
      </c>
      <c r="K223" s="306">
        <f t="shared" si="77"/>
        <v>27980.999999999989</v>
      </c>
      <c r="L223" s="307">
        <f t="shared" si="78"/>
        <v>13699.000000000004</v>
      </c>
      <c r="M223" s="307">
        <f t="shared" si="79"/>
        <v>0</v>
      </c>
      <c r="N223" s="307">
        <f t="shared" si="80"/>
        <v>11923.999999999998</v>
      </c>
      <c r="O223" s="309">
        <f t="shared" si="81"/>
        <v>2357.9999999999991</v>
      </c>
      <c r="P223" s="305">
        <f t="shared" si="82"/>
        <v>1832.9999999999995</v>
      </c>
      <c r="Q223" s="306">
        <f t="shared" si="83"/>
        <v>1051</v>
      </c>
      <c r="R223" s="307">
        <f t="shared" si="84"/>
        <v>610.00000000000034</v>
      </c>
      <c r="S223" s="307">
        <f t="shared" si="85"/>
        <v>19</v>
      </c>
      <c r="T223" s="307">
        <f t="shared" si="86"/>
        <v>419.99999999999994</v>
      </c>
      <c r="U223" s="308">
        <f t="shared" si="87"/>
        <v>2</v>
      </c>
      <c r="V223" s="306">
        <f t="shared" si="88"/>
        <v>782.00000000000023</v>
      </c>
      <c r="W223" s="307">
        <f t="shared" si="89"/>
        <v>425.99999999999977</v>
      </c>
      <c r="X223" s="307">
        <f t="shared" si="90"/>
        <v>0</v>
      </c>
      <c r="Y223" s="307">
        <f t="shared" si="91"/>
        <v>287.00000000000011</v>
      </c>
      <c r="Z223" s="309">
        <f t="shared" si="92"/>
        <v>69.000000000000028</v>
      </c>
    </row>
    <row r="224" spans="1:26" ht="14.25" x14ac:dyDescent="0.2">
      <c r="A224" s="342" t="s">
        <v>222</v>
      </c>
      <c r="B224" s="329">
        <v>44835</v>
      </c>
      <c r="C224" s="330">
        <v>2022</v>
      </c>
      <c r="D224" s="305">
        <f t="shared" si="70"/>
        <v>4127478.0000000005</v>
      </c>
      <c r="E224" s="305">
        <f t="shared" si="71"/>
        <v>96244.666666666672</v>
      </c>
      <c r="F224" s="306">
        <f t="shared" si="72"/>
        <v>67768.666666666672</v>
      </c>
      <c r="G224" s="307">
        <f t="shared" si="73"/>
        <v>37518.666666666657</v>
      </c>
      <c r="H224" s="307">
        <f t="shared" si="74"/>
        <v>642.66666666666663</v>
      </c>
      <c r="I224" s="307">
        <f t="shared" si="75"/>
        <v>29486</v>
      </c>
      <c r="J224" s="308">
        <f t="shared" si="76"/>
        <v>121.33333333333331</v>
      </c>
      <c r="K224" s="306">
        <f t="shared" si="77"/>
        <v>28475.999999999989</v>
      </c>
      <c r="L224" s="307">
        <f t="shared" si="78"/>
        <v>13756.000000000004</v>
      </c>
      <c r="M224" s="307">
        <f t="shared" si="79"/>
        <v>0</v>
      </c>
      <c r="N224" s="307">
        <f t="shared" si="80"/>
        <v>12339.999999999998</v>
      </c>
      <c r="O224" s="309">
        <f t="shared" si="81"/>
        <v>2379.9999999999991</v>
      </c>
      <c r="P224" s="305">
        <f t="shared" si="82"/>
        <v>1892.9999999999995</v>
      </c>
      <c r="Q224" s="306">
        <f t="shared" si="83"/>
        <v>1099.6666666666667</v>
      </c>
      <c r="R224" s="307">
        <f t="shared" si="84"/>
        <v>625.66666666666697</v>
      </c>
      <c r="S224" s="307">
        <f t="shared" si="85"/>
        <v>20.333333333333332</v>
      </c>
      <c r="T224" s="307">
        <f t="shared" si="86"/>
        <v>450.33333333333326</v>
      </c>
      <c r="U224" s="308">
        <f t="shared" si="87"/>
        <v>3.333333333333333</v>
      </c>
      <c r="V224" s="306">
        <f t="shared" si="88"/>
        <v>793.3333333333336</v>
      </c>
      <c r="W224" s="307">
        <f t="shared" si="89"/>
        <v>427.33333333333309</v>
      </c>
      <c r="X224" s="307">
        <f t="shared" si="90"/>
        <v>0</v>
      </c>
      <c r="Y224" s="307">
        <f t="shared" si="91"/>
        <v>296.33333333333343</v>
      </c>
      <c r="Z224" s="309">
        <f t="shared" si="92"/>
        <v>69.6666666666667</v>
      </c>
    </row>
    <row r="225" spans="1:26" ht="14.25" x14ac:dyDescent="0.2">
      <c r="A225" s="342" t="s">
        <v>222</v>
      </c>
      <c r="B225" s="329">
        <v>44866</v>
      </c>
      <c r="C225" s="330">
        <v>2022</v>
      </c>
      <c r="D225" s="305">
        <f t="shared" si="70"/>
        <v>4172924.0000000005</v>
      </c>
      <c r="E225" s="305">
        <f t="shared" si="71"/>
        <v>99908.333333333343</v>
      </c>
      <c r="F225" s="306">
        <f t="shared" si="72"/>
        <v>70937.333333333343</v>
      </c>
      <c r="G225" s="307">
        <f t="shared" si="73"/>
        <v>38383.333333333321</v>
      </c>
      <c r="H225" s="307">
        <f t="shared" si="74"/>
        <v>757.33333333333326</v>
      </c>
      <c r="I225" s="307">
        <f t="shared" si="75"/>
        <v>31648</v>
      </c>
      <c r="J225" s="308">
        <f t="shared" si="76"/>
        <v>148.66666666666666</v>
      </c>
      <c r="K225" s="306">
        <f t="shared" si="77"/>
        <v>28970.999999999989</v>
      </c>
      <c r="L225" s="307">
        <f t="shared" si="78"/>
        <v>13813.000000000004</v>
      </c>
      <c r="M225" s="307">
        <f t="shared" si="79"/>
        <v>0</v>
      </c>
      <c r="N225" s="307">
        <f t="shared" si="80"/>
        <v>12755.999999999998</v>
      </c>
      <c r="O225" s="309">
        <f t="shared" si="81"/>
        <v>2401.9999999999991</v>
      </c>
      <c r="P225" s="305">
        <f t="shared" si="82"/>
        <v>1952.9999999999995</v>
      </c>
      <c r="Q225" s="306">
        <f t="shared" si="83"/>
        <v>1148.3333333333335</v>
      </c>
      <c r="R225" s="307">
        <f t="shared" si="84"/>
        <v>641.3333333333336</v>
      </c>
      <c r="S225" s="307">
        <f t="shared" si="85"/>
        <v>21.666666666666664</v>
      </c>
      <c r="T225" s="307">
        <f t="shared" si="86"/>
        <v>480.66666666666657</v>
      </c>
      <c r="U225" s="308">
        <f t="shared" si="87"/>
        <v>4.6666666666666661</v>
      </c>
      <c r="V225" s="306">
        <f t="shared" si="88"/>
        <v>804.66666666666697</v>
      </c>
      <c r="W225" s="307">
        <f t="shared" si="89"/>
        <v>428.6666666666664</v>
      </c>
      <c r="X225" s="307">
        <f t="shared" si="90"/>
        <v>0</v>
      </c>
      <c r="Y225" s="307">
        <f t="shared" si="91"/>
        <v>305.66666666666674</v>
      </c>
      <c r="Z225" s="309">
        <f t="shared" si="92"/>
        <v>70.333333333333371</v>
      </c>
    </row>
    <row r="226" spans="1:26" ht="14.25" x14ac:dyDescent="0.2">
      <c r="A226" s="342" t="s">
        <v>222</v>
      </c>
      <c r="B226" s="329">
        <v>44896</v>
      </c>
      <c r="C226" s="330">
        <v>2022</v>
      </c>
      <c r="D226" s="305">
        <f t="shared" si="70"/>
        <v>4218370</v>
      </c>
      <c r="E226" s="305">
        <f t="shared" si="71"/>
        <v>103572.00000000001</v>
      </c>
      <c r="F226" s="306">
        <f t="shared" si="72"/>
        <v>74106.000000000015</v>
      </c>
      <c r="G226" s="307">
        <f t="shared" si="73"/>
        <v>39247.999999999985</v>
      </c>
      <c r="H226" s="307">
        <f t="shared" si="74"/>
        <v>871.99999999999989</v>
      </c>
      <c r="I226" s="307">
        <f t="shared" si="75"/>
        <v>33810</v>
      </c>
      <c r="J226" s="308">
        <f t="shared" si="76"/>
        <v>176</v>
      </c>
      <c r="K226" s="306">
        <f t="shared" si="77"/>
        <v>29465.999999999989</v>
      </c>
      <c r="L226" s="307">
        <f t="shared" si="78"/>
        <v>13870.000000000004</v>
      </c>
      <c r="M226" s="307">
        <f t="shared" si="79"/>
        <v>0</v>
      </c>
      <c r="N226" s="307">
        <f t="shared" si="80"/>
        <v>13171.999999999998</v>
      </c>
      <c r="O226" s="309">
        <f t="shared" si="81"/>
        <v>2423.9999999999991</v>
      </c>
      <c r="P226" s="305">
        <f t="shared" si="82"/>
        <v>2012.9999999999995</v>
      </c>
      <c r="Q226" s="306">
        <f t="shared" si="83"/>
        <v>1197.0000000000002</v>
      </c>
      <c r="R226" s="307">
        <f t="shared" si="84"/>
        <v>657.00000000000023</v>
      </c>
      <c r="S226" s="307">
        <f t="shared" si="85"/>
        <v>22.999999999999996</v>
      </c>
      <c r="T226" s="307">
        <f t="shared" si="86"/>
        <v>510.99999999999989</v>
      </c>
      <c r="U226" s="308">
        <f t="shared" si="87"/>
        <v>5.9999999999999991</v>
      </c>
      <c r="V226" s="306">
        <f t="shared" si="88"/>
        <v>816.00000000000034</v>
      </c>
      <c r="W226" s="307">
        <f t="shared" si="89"/>
        <v>429.99999999999972</v>
      </c>
      <c r="X226" s="307">
        <f t="shared" si="90"/>
        <v>0</v>
      </c>
      <c r="Y226" s="307">
        <f t="shared" si="91"/>
        <v>315.00000000000006</v>
      </c>
      <c r="Z226" s="309">
        <f t="shared" si="92"/>
        <v>71.000000000000043</v>
      </c>
    </row>
    <row r="227" spans="1:26" ht="14.25" x14ac:dyDescent="0.2">
      <c r="A227" s="342" t="s">
        <v>223</v>
      </c>
      <c r="B227" s="329">
        <v>44927</v>
      </c>
      <c r="C227" s="330">
        <v>2023</v>
      </c>
      <c r="D227" s="305">
        <f t="shared" si="70"/>
        <v>4266242.666666667</v>
      </c>
      <c r="E227" s="305">
        <f t="shared" si="71"/>
        <v>106412.00000000001</v>
      </c>
      <c r="F227" s="306">
        <f t="shared" si="72"/>
        <v>76359.333333333343</v>
      </c>
      <c r="G227" s="307">
        <f t="shared" si="73"/>
        <v>40036.333333333321</v>
      </c>
      <c r="H227" s="307">
        <f t="shared" si="74"/>
        <v>989.99999999999989</v>
      </c>
      <c r="I227" s="307">
        <f t="shared" si="75"/>
        <v>35122.666666666664</v>
      </c>
      <c r="J227" s="308">
        <f t="shared" si="76"/>
        <v>210.33333333333334</v>
      </c>
      <c r="K227" s="306">
        <f t="shared" si="77"/>
        <v>30052.666666666657</v>
      </c>
      <c r="L227" s="307">
        <f t="shared" si="78"/>
        <v>13898.333333333338</v>
      </c>
      <c r="M227" s="307">
        <f t="shared" si="79"/>
        <v>0</v>
      </c>
      <c r="N227" s="307">
        <f t="shared" si="80"/>
        <v>13665.333333333332</v>
      </c>
      <c r="O227" s="309">
        <f t="shared" si="81"/>
        <v>2488.9999999999991</v>
      </c>
      <c r="P227" s="305">
        <f t="shared" si="82"/>
        <v>2065.6666666666661</v>
      </c>
      <c r="Q227" s="306">
        <f t="shared" si="83"/>
        <v>1235.0000000000002</v>
      </c>
      <c r="R227" s="307">
        <f t="shared" si="84"/>
        <v>669.66666666666686</v>
      </c>
      <c r="S227" s="307">
        <f t="shared" si="85"/>
        <v>26.999999999999996</v>
      </c>
      <c r="T227" s="307">
        <f t="shared" si="86"/>
        <v>530.99999999999989</v>
      </c>
      <c r="U227" s="308">
        <f t="shared" si="87"/>
        <v>7.3333333333333321</v>
      </c>
      <c r="V227" s="306">
        <f t="shared" si="88"/>
        <v>830.66666666666697</v>
      </c>
      <c r="W227" s="307">
        <f t="shared" si="89"/>
        <v>430.6666666666664</v>
      </c>
      <c r="X227" s="307">
        <f t="shared" si="90"/>
        <v>0</v>
      </c>
      <c r="Y227" s="307">
        <f t="shared" si="91"/>
        <v>327.33333333333337</v>
      </c>
      <c r="Z227" s="309">
        <f t="shared" si="92"/>
        <v>72.666666666666714</v>
      </c>
    </row>
    <row r="228" spans="1:26" ht="14.25" x14ac:dyDescent="0.2">
      <c r="A228" s="342" t="s">
        <v>223</v>
      </c>
      <c r="B228" s="329">
        <v>44958</v>
      </c>
      <c r="C228" s="330">
        <v>2023</v>
      </c>
      <c r="D228" s="305">
        <f t="shared" si="70"/>
        <v>4314115.333333334</v>
      </c>
      <c r="E228" s="305">
        <f t="shared" si="71"/>
        <v>109252.00000000001</v>
      </c>
      <c r="F228" s="306">
        <f t="shared" si="72"/>
        <v>78612.666666666672</v>
      </c>
      <c r="G228" s="307">
        <f t="shared" si="73"/>
        <v>40824.666666666657</v>
      </c>
      <c r="H228" s="307">
        <f t="shared" si="74"/>
        <v>1108</v>
      </c>
      <c r="I228" s="307">
        <f t="shared" si="75"/>
        <v>36435.333333333328</v>
      </c>
      <c r="J228" s="308">
        <f t="shared" si="76"/>
        <v>244.66666666666669</v>
      </c>
      <c r="K228" s="306">
        <f t="shared" si="77"/>
        <v>30639.333333333325</v>
      </c>
      <c r="L228" s="307">
        <f t="shared" si="78"/>
        <v>13926.666666666672</v>
      </c>
      <c r="M228" s="307">
        <f t="shared" si="79"/>
        <v>0</v>
      </c>
      <c r="N228" s="307">
        <f t="shared" si="80"/>
        <v>14158.666666666666</v>
      </c>
      <c r="O228" s="309">
        <f t="shared" si="81"/>
        <v>2553.9999999999991</v>
      </c>
      <c r="P228" s="305">
        <f t="shared" si="82"/>
        <v>2118.3333333333326</v>
      </c>
      <c r="Q228" s="306">
        <f t="shared" si="83"/>
        <v>1273.0000000000002</v>
      </c>
      <c r="R228" s="307">
        <f t="shared" si="84"/>
        <v>682.33333333333348</v>
      </c>
      <c r="S228" s="307">
        <f t="shared" si="85"/>
        <v>30.999999999999996</v>
      </c>
      <c r="T228" s="307">
        <f t="shared" si="86"/>
        <v>550.99999999999989</v>
      </c>
      <c r="U228" s="308">
        <f t="shared" si="87"/>
        <v>8.6666666666666661</v>
      </c>
      <c r="V228" s="306">
        <f t="shared" si="88"/>
        <v>845.3333333333336</v>
      </c>
      <c r="W228" s="307">
        <f t="shared" si="89"/>
        <v>431.33333333333309</v>
      </c>
      <c r="X228" s="307">
        <f t="shared" si="90"/>
        <v>0</v>
      </c>
      <c r="Y228" s="307">
        <f t="shared" si="91"/>
        <v>339.66666666666669</v>
      </c>
      <c r="Z228" s="309">
        <f t="shared" si="92"/>
        <v>74.333333333333385</v>
      </c>
    </row>
    <row r="229" spans="1:26" ht="14.25" x14ac:dyDescent="0.2">
      <c r="A229" s="342" t="s">
        <v>223</v>
      </c>
      <c r="B229" s="329">
        <v>44986</v>
      </c>
      <c r="C229" s="330">
        <v>2023</v>
      </c>
      <c r="D229" s="305">
        <f t="shared" si="70"/>
        <v>4361988.0000000009</v>
      </c>
      <c r="E229" s="305">
        <f t="shared" si="71"/>
        <v>112092.00000000001</v>
      </c>
      <c r="F229" s="306">
        <f t="shared" si="72"/>
        <v>80866</v>
      </c>
      <c r="G229" s="307">
        <f t="shared" si="73"/>
        <v>41612.999999999993</v>
      </c>
      <c r="H229" s="307">
        <f t="shared" si="74"/>
        <v>1226</v>
      </c>
      <c r="I229" s="307">
        <f t="shared" si="75"/>
        <v>37747.999999999993</v>
      </c>
      <c r="J229" s="308">
        <f t="shared" si="76"/>
        <v>279</v>
      </c>
      <c r="K229" s="306">
        <f t="shared" si="77"/>
        <v>31225.999999999993</v>
      </c>
      <c r="L229" s="307">
        <f t="shared" si="78"/>
        <v>13955.000000000005</v>
      </c>
      <c r="M229" s="307">
        <f t="shared" si="79"/>
        <v>0</v>
      </c>
      <c r="N229" s="307">
        <f t="shared" si="80"/>
        <v>14652</v>
      </c>
      <c r="O229" s="309">
        <f t="shared" si="81"/>
        <v>2618.9999999999991</v>
      </c>
      <c r="P229" s="305">
        <f t="shared" si="82"/>
        <v>2170.9999999999991</v>
      </c>
      <c r="Q229" s="306">
        <f t="shared" si="83"/>
        <v>1311.0000000000002</v>
      </c>
      <c r="R229" s="307">
        <f t="shared" si="84"/>
        <v>695.00000000000011</v>
      </c>
      <c r="S229" s="307">
        <f t="shared" si="85"/>
        <v>35</v>
      </c>
      <c r="T229" s="307">
        <f t="shared" si="86"/>
        <v>570.99999999999989</v>
      </c>
      <c r="U229" s="308">
        <f t="shared" si="87"/>
        <v>10</v>
      </c>
      <c r="V229" s="306">
        <f t="shared" si="88"/>
        <v>860.00000000000023</v>
      </c>
      <c r="W229" s="307">
        <f t="shared" si="89"/>
        <v>431.99999999999977</v>
      </c>
      <c r="X229" s="307">
        <f t="shared" si="90"/>
        <v>0</v>
      </c>
      <c r="Y229" s="307">
        <f t="shared" si="91"/>
        <v>352</v>
      </c>
      <c r="Z229" s="309">
        <f t="shared" si="92"/>
        <v>76.000000000000057</v>
      </c>
    </row>
    <row r="230" spans="1:26" ht="14.25" x14ac:dyDescent="0.2">
      <c r="A230" s="342" t="s">
        <v>224</v>
      </c>
      <c r="B230" s="329">
        <v>45017</v>
      </c>
      <c r="C230" s="330">
        <v>2023</v>
      </c>
      <c r="D230" s="305">
        <f t="shared" si="70"/>
        <v>4423205.333333334</v>
      </c>
      <c r="E230" s="305">
        <f t="shared" si="71"/>
        <v>116357.66666666669</v>
      </c>
      <c r="F230" s="306">
        <f t="shared" si="72"/>
        <v>84028</v>
      </c>
      <c r="G230" s="307">
        <f t="shared" si="73"/>
        <v>42343.666666666657</v>
      </c>
      <c r="H230" s="307">
        <f t="shared" si="74"/>
        <v>1353.3333333333333</v>
      </c>
      <c r="I230" s="307">
        <f t="shared" si="75"/>
        <v>39995.666666666657</v>
      </c>
      <c r="J230" s="308">
        <f t="shared" si="76"/>
        <v>335.33333333333331</v>
      </c>
      <c r="K230" s="306">
        <f t="shared" si="77"/>
        <v>32329.666666666661</v>
      </c>
      <c r="L230" s="307">
        <f t="shared" si="78"/>
        <v>14025.000000000005</v>
      </c>
      <c r="M230" s="307">
        <f t="shared" si="79"/>
        <v>0</v>
      </c>
      <c r="N230" s="307">
        <f t="shared" si="80"/>
        <v>15599.666666666666</v>
      </c>
      <c r="O230" s="309">
        <f t="shared" si="81"/>
        <v>2704.9999999999991</v>
      </c>
      <c r="P230" s="305">
        <f t="shared" si="82"/>
        <v>2247.3333333333326</v>
      </c>
      <c r="Q230" s="306">
        <f t="shared" si="83"/>
        <v>1361.0000000000002</v>
      </c>
      <c r="R230" s="307">
        <f t="shared" si="84"/>
        <v>705.33333333333348</v>
      </c>
      <c r="S230" s="307">
        <f t="shared" si="85"/>
        <v>37.666666666666664</v>
      </c>
      <c r="T230" s="307">
        <f t="shared" si="86"/>
        <v>606.99999999999989</v>
      </c>
      <c r="U230" s="308">
        <f t="shared" si="87"/>
        <v>11</v>
      </c>
      <c r="V230" s="306">
        <f t="shared" si="88"/>
        <v>886.3333333333336</v>
      </c>
      <c r="W230" s="307">
        <f t="shared" si="89"/>
        <v>434.33333333333309</v>
      </c>
      <c r="X230" s="307">
        <f t="shared" si="90"/>
        <v>0</v>
      </c>
      <c r="Y230" s="307">
        <f t="shared" si="91"/>
        <v>373.66666666666669</v>
      </c>
      <c r="Z230" s="309">
        <f t="shared" si="92"/>
        <v>78.333333333333385</v>
      </c>
    </row>
    <row r="231" spans="1:26" ht="14.25" x14ac:dyDescent="0.2">
      <c r="A231" s="342" t="s">
        <v>224</v>
      </c>
      <c r="B231" s="329">
        <v>45047</v>
      </c>
      <c r="C231" s="330">
        <v>2023</v>
      </c>
      <c r="D231" s="305">
        <f t="shared" si="70"/>
        <v>4484422.666666667</v>
      </c>
      <c r="E231" s="305">
        <f t="shared" si="71"/>
        <v>120623.33333333336</v>
      </c>
      <c r="F231" s="306">
        <f t="shared" si="72"/>
        <v>87190</v>
      </c>
      <c r="G231" s="307">
        <f t="shared" si="73"/>
        <v>43074.333333333321</v>
      </c>
      <c r="H231" s="307">
        <f t="shared" si="74"/>
        <v>1480.6666666666665</v>
      </c>
      <c r="I231" s="307">
        <f t="shared" si="75"/>
        <v>42243.333333333321</v>
      </c>
      <c r="J231" s="308">
        <f t="shared" si="76"/>
        <v>391.66666666666663</v>
      </c>
      <c r="K231" s="306">
        <f t="shared" si="77"/>
        <v>33433.333333333328</v>
      </c>
      <c r="L231" s="307">
        <f t="shared" si="78"/>
        <v>14095.000000000005</v>
      </c>
      <c r="M231" s="307">
        <f t="shared" si="79"/>
        <v>0</v>
      </c>
      <c r="N231" s="307">
        <f t="shared" si="80"/>
        <v>16547.333333333332</v>
      </c>
      <c r="O231" s="309">
        <f t="shared" si="81"/>
        <v>2790.9999999999991</v>
      </c>
      <c r="P231" s="305">
        <f t="shared" si="82"/>
        <v>2323.6666666666661</v>
      </c>
      <c r="Q231" s="306">
        <f t="shared" si="83"/>
        <v>1411.0000000000002</v>
      </c>
      <c r="R231" s="307">
        <f t="shared" si="84"/>
        <v>715.66666666666686</v>
      </c>
      <c r="S231" s="307">
        <f t="shared" si="85"/>
        <v>40.333333333333329</v>
      </c>
      <c r="T231" s="307">
        <f t="shared" si="86"/>
        <v>642.99999999999989</v>
      </c>
      <c r="U231" s="308">
        <f t="shared" si="87"/>
        <v>12</v>
      </c>
      <c r="V231" s="306">
        <f t="shared" si="88"/>
        <v>912.66666666666697</v>
      </c>
      <c r="W231" s="307">
        <f t="shared" si="89"/>
        <v>436.6666666666664</v>
      </c>
      <c r="X231" s="307">
        <f t="shared" si="90"/>
        <v>0</v>
      </c>
      <c r="Y231" s="307">
        <f t="shared" si="91"/>
        <v>395.33333333333337</v>
      </c>
      <c r="Z231" s="309">
        <f t="shared" si="92"/>
        <v>80.666666666666714</v>
      </c>
    </row>
    <row r="232" spans="1:26" ht="14.25" x14ac:dyDescent="0.2">
      <c r="A232" s="342" t="s">
        <v>224</v>
      </c>
      <c r="B232" s="329">
        <v>45078</v>
      </c>
      <c r="C232" s="330">
        <v>2023</v>
      </c>
      <c r="D232" s="305">
        <f t="shared" si="70"/>
        <v>4545640</v>
      </c>
      <c r="E232" s="305">
        <f t="shared" si="71"/>
        <v>124889.00000000003</v>
      </c>
      <c r="F232" s="306">
        <f t="shared" si="72"/>
        <v>90352</v>
      </c>
      <c r="G232" s="307">
        <f t="shared" si="73"/>
        <v>43804.999999999985</v>
      </c>
      <c r="H232" s="307">
        <f t="shared" si="74"/>
        <v>1607.9999999999998</v>
      </c>
      <c r="I232" s="307">
        <f t="shared" si="75"/>
        <v>44490.999999999985</v>
      </c>
      <c r="J232" s="308">
        <f t="shared" si="76"/>
        <v>447.99999999999994</v>
      </c>
      <c r="K232" s="306">
        <f t="shared" si="77"/>
        <v>34536.999999999993</v>
      </c>
      <c r="L232" s="307">
        <f t="shared" si="78"/>
        <v>14165.000000000005</v>
      </c>
      <c r="M232" s="307">
        <f t="shared" si="79"/>
        <v>0</v>
      </c>
      <c r="N232" s="307">
        <f t="shared" si="80"/>
        <v>17495</v>
      </c>
      <c r="O232" s="309">
        <f t="shared" si="81"/>
        <v>2876.9999999999991</v>
      </c>
      <c r="P232" s="305">
        <f t="shared" si="82"/>
        <v>2399.9999999999995</v>
      </c>
      <c r="Q232" s="306">
        <f t="shared" si="83"/>
        <v>1461.0000000000002</v>
      </c>
      <c r="R232" s="307">
        <f t="shared" si="84"/>
        <v>726.00000000000023</v>
      </c>
      <c r="S232" s="307">
        <f t="shared" si="85"/>
        <v>42.999999999999993</v>
      </c>
      <c r="T232" s="307">
        <f t="shared" si="86"/>
        <v>678.99999999999989</v>
      </c>
      <c r="U232" s="308">
        <f t="shared" si="87"/>
        <v>13</v>
      </c>
      <c r="V232" s="306">
        <f t="shared" si="88"/>
        <v>939.00000000000034</v>
      </c>
      <c r="W232" s="307">
        <f t="shared" si="89"/>
        <v>438.99999999999972</v>
      </c>
      <c r="X232" s="307">
        <f t="shared" si="90"/>
        <v>0</v>
      </c>
      <c r="Y232" s="307">
        <f t="shared" si="91"/>
        <v>417.00000000000006</v>
      </c>
      <c r="Z232" s="309">
        <f t="shared" si="92"/>
        <v>83.000000000000043</v>
      </c>
    </row>
    <row r="233" spans="1:26" ht="14.25" x14ac:dyDescent="0.2">
      <c r="A233" s="342" t="s">
        <v>225</v>
      </c>
      <c r="B233" s="329">
        <v>45108</v>
      </c>
      <c r="C233" s="330">
        <v>2023</v>
      </c>
      <c r="D233" s="305">
        <f t="shared" si="70"/>
        <v>4605172</v>
      </c>
      <c r="E233" s="305">
        <f t="shared" si="71"/>
        <v>129792.33333333336</v>
      </c>
      <c r="F233" s="306">
        <f t="shared" si="72"/>
        <v>94171.333333333328</v>
      </c>
      <c r="G233" s="307">
        <f t="shared" si="73"/>
        <v>44847.999999999985</v>
      </c>
      <c r="H233" s="307">
        <f t="shared" si="74"/>
        <v>1782.333333333333</v>
      </c>
      <c r="I233" s="307">
        <f t="shared" si="75"/>
        <v>47067.66666666665</v>
      </c>
      <c r="J233" s="308">
        <f t="shared" si="76"/>
        <v>473.33333333333326</v>
      </c>
      <c r="K233" s="306">
        <f t="shared" si="77"/>
        <v>35620.999999999993</v>
      </c>
      <c r="L233" s="307">
        <f t="shared" si="78"/>
        <v>14272.333333333339</v>
      </c>
      <c r="M233" s="307">
        <f t="shared" si="79"/>
        <v>0</v>
      </c>
      <c r="N233" s="307">
        <f t="shared" si="80"/>
        <v>18436.666666666668</v>
      </c>
      <c r="O233" s="309">
        <f t="shared" si="81"/>
        <v>2911.9999999999991</v>
      </c>
      <c r="P233" s="305">
        <f t="shared" si="82"/>
        <v>2485.9999999999995</v>
      </c>
      <c r="Q233" s="306">
        <f t="shared" si="83"/>
        <v>1522.666666666667</v>
      </c>
      <c r="R233" s="307">
        <f t="shared" si="84"/>
        <v>746.00000000000023</v>
      </c>
      <c r="S233" s="307">
        <f t="shared" si="85"/>
        <v>44.999999999999993</v>
      </c>
      <c r="T233" s="307">
        <f t="shared" si="86"/>
        <v>717.99999999999989</v>
      </c>
      <c r="U233" s="308">
        <f t="shared" si="87"/>
        <v>13.666666666666666</v>
      </c>
      <c r="V233" s="306">
        <f t="shared" si="88"/>
        <v>963.33333333333371</v>
      </c>
      <c r="W233" s="307">
        <f t="shared" si="89"/>
        <v>442.33333333333303</v>
      </c>
      <c r="X233" s="307">
        <f t="shared" si="90"/>
        <v>0</v>
      </c>
      <c r="Y233" s="307">
        <f t="shared" si="91"/>
        <v>436.66666666666674</v>
      </c>
      <c r="Z233" s="309">
        <f t="shared" si="92"/>
        <v>84.333333333333371</v>
      </c>
    </row>
    <row r="234" spans="1:26" ht="14.25" x14ac:dyDescent="0.2">
      <c r="A234" s="342" t="s">
        <v>225</v>
      </c>
      <c r="B234" s="329">
        <v>45139</v>
      </c>
      <c r="C234" s="330">
        <v>2023</v>
      </c>
      <c r="D234" s="305">
        <f t="shared" si="70"/>
        <v>4664704</v>
      </c>
      <c r="E234" s="305">
        <f t="shared" si="71"/>
        <v>134695.66666666669</v>
      </c>
      <c r="F234" s="306">
        <f t="shared" si="72"/>
        <v>97990.666666666657</v>
      </c>
      <c r="G234" s="307">
        <f t="shared" si="73"/>
        <v>45890.999999999985</v>
      </c>
      <c r="H234" s="307">
        <f t="shared" si="74"/>
        <v>1956.6666666666663</v>
      </c>
      <c r="I234" s="307">
        <f t="shared" si="75"/>
        <v>49644.333333333314</v>
      </c>
      <c r="J234" s="308">
        <f t="shared" si="76"/>
        <v>498.66666666666657</v>
      </c>
      <c r="K234" s="306">
        <f t="shared" si="77"/>
        <v>36704.999999999993</v>
      </c>
      <c r="L234" s="307">
        <f t="shared" si="78"/>
        <v>14379.666666666673</v>
      </c>
      <c r="M234" s="307">
        <f t="shared" si="79"/>
        <v>0</v>
      </c>
      <c r="N234" s="307">
        <f t="shared" si="80"/>
        <v>19378.333333333336</v>
      </c>
      <c r="O234" s="309">
        <f t="shared" si="81"/>
        <v>2946.9999999999991</v>
      </c>
      <c r="P234" s="305">
        <f t="shared" si="82"/>
        <v>2571.9999999999995</v>
      </c>
      <c r="Q234" s="306">
        <f t="shared" si="83"/>
        <v>1584.3333333333337</v>
      </c>
      <c r="R234" s="307">
        <f t="shared" si="84"/>
        <v>766.00000000000023</v>
      </c>
      <c r="S234" s="307">
        <f t="shared" si="85"/>
        <v>46.999999999999993</v>
      </c>
      <c r="T234" s="307">
        <f t="shared" si="86"/>
        <v>756.99999999999989</v>
      </c>
      <c r="U234" s="308">
        <f t="shared" si="87"/>
        <v>14.333333333333332</v>
      </c>
      <c r="V234" s="306">
        <f t="shared" si="88"/>
        <v>987.66666666666708</v>
      </c>
      <c r="W234" s="307">
        <f t="shared" si="89"/>
        <v>445.66666666666634</v>
      </c>
      <c r="X234" s="307">
        <f t="shared" si="90"/>
        <v>0</v>
      </c>
      <c r="Y234" s="307">
        <f t="shared" si="91"/>
        <v>456.33333333333343</v>
      </c>
      <c r="Z234" s="309">
        <f t="shared" si="92"/>
        <v>85.6666666666667</v>
      </c>
    </row>
    <row r="235" spans="1:26" ht="14.25" x14ac:dyDescent="0.2">
      <c r="A235" s="342" t="s">
        <v>225</v>
      </c>
      <c r="B235" s="329">
        <v>45170</v>
      </c>
      <c r="C235" s="330">
        <v>2023</v>
      </c>
      <c r="D235" s="305">
        <f t="shared" si="70"/>
        <v>4724236</v>
      </c>
      <c r="E235" s="305">
        <f t="shared" si="71"/>
        <v>139599.00000000003</v>
      </c>
      <c r="F235" s="306">
        <f t="shared" si="72"/>
        <v>101809.99999999999</v>
      </c>
      <c r="G235" s="307">
        <f t="shared" si="73"/>
        <v>46933.999999999985</v>
      </c>
      <c r="H235" s="307">
        <f t="shared" si="74"/>
        <v>2130.9999999999995</v>
      </c>
      <c r="I235" s="307">
        <f t="shared" si="75"/>
        <v>52220.999999999978</v>
      </c>
      <c r="J235" s="308">
        <f t="shared" si="76"/>
        <v>523.99999999999989</v>
      </c>
      <c r="K235" s="306">
        <f t="shared" si="77"/>
        <v>37788.999999999993</v>
      </c>
      <c r="L235" s="307">
        <f t="shared" si="78"/>
        <v>14487.000000000007</v>
      </c>
      <c r="M235" s="307">
        <f t="shared" si="79"/>
        <v>0</v>
      </c>
      <c r="N235" s="307">
        <f t="shared" si="80"/>
        <v>20320.000000000004</v>
      </c>
      <c r="O235" s="309">
        <f t="shared" si="81"/>
        <v>2981.9999999999991</v>
      </c>
      <c r="P235" s="305">
        <f t="shared" si="82"/>
        <v>2657.9999999999995</v>
      </c>
      <c r="Q235" s="306">
        <f t="shared" si="83"/>
        <v>1646.0000000000005</v>
      </c>
      <c r="R235" s="307">
        <f t="shared" si="84"/>
        <v>786.00000000000023</v>
      </c>
      <c r="S235" s="307">
        <f t="shared" si="85"/>
        <v>48.999999999999993</v>
      </c>
      <c r="T235" s="307">
        <f t="shared" si="86"/>
        <v>795.99999999999989</v>
      </c>
      <c r="U235" s="308">
        <f t="shared" si="87"/>
        <v>14.999999999999998</v>
      </c>
      <c r="V235" s="306">
        <f t="shared" si="88"/>
        <v>1012.0000000000005</v>
      </c>
      <c r="W235" s="307">
        <f t="shared" si="89"/>
        <v>448.99999999999966</v>
      </c>
      <c r="X235" s="307">
        <f t="shared" si="90"/>
        <v>0</v>
      </c>
      <c r="Y235" s="307">
        <f t="shared" si="91"/>
        <v>476.00000000000011</v>
      </c>
      <c r="Z235" s="309">
        <f t="shared" si="92"/>
        <v>87.000000000000028</v>
      </c>
    </row>
    <row r="236" spans="1:26" ht="14.25" x14ac:dyDescent="0.2">
      <c r="A236" s="342" t="s">
        <v>226</v>
      </c>
      <c r="B236" s="329">
        <v>45200</v>
      </c>
      <c r="C236" s="330">
        <v>2023</v>
      </c>
      <c r="D236" s="305">
        <f t="shared" si="70"/>
        <v>4781281</v>
      </c>
      <c r="E236" s="305">
        <f t="shared" si="71"/>
        <v>144300.66666666669</v>
      </c>
      <c r="F236" s="306">
        <f t="shared" si="72"/>
        <v>105453.66666666666</v>
      </c>
      <c r="G236" s="307">
        <f t="shared" si="73"/>
        <v>47763.333333333321</v>
      </c>
      <c r="H236" s="307">
        <f t="shared" si="74"/>
        <v>2314.333333333333</v>
      </c>
      <c r="I236" s="307">
        <f t="shared" si="75"/>
        <v>54798.999999999978</v>
      </c>
      <c r="J236" s="308">
        <f t="shared" si="76"/>
        <v>576.99999999999989</v>
      </c>
      <c r="K236" s="306">
        <f t="shared" si="77"/>
        <v>38846.999999999993</v>
      </c>
      <c r="L236" s="307">
        <f t="shared" si="78"/>
        <v>14557.000000000007</v>
      </c>
      <c r="M236" s="307">
        <f t="shared" si="79"/>
        <v>0</v>
      </c>
      <c r="N236" s="307">
        <f t="shared" si="80"/>
        <v>21287.333333333336</v>
      </c>
      <c r="O236" s="309">
        <f t="shared" si="81"/>
        <v>3002.6666666666656</v>
      </c>
      <c r="P236" s="305">
        <f t="shared" si="82"/>
        <v>2759.333333333333</v>
      </c>
      <c r="Q236" s="306">
        <f t="shared" si="83"/>
        <v>1713.6666666666672</v>
      </c>
      <c r="R236" s="307">
        <f t="shared" si="84"/>
        <v>799.3333333333336</v>
      </c>
      <c r="S236" s="307">
        <f t="shared" si="85"/>
        <v>51.999999999999993</v>
      </c>
      <c r="T236" s="307">
        <f t="shared" si="86"/>
        <v>845.99999999999989</v>
      </c>
      <c r="U236" s="308">
        <f t="shared" si="87"/>
        <v>16.333333333333332</v>
      </c>
      <c r="V236" s="306">
        <f t="shared" si="88"/>
        <v>1045.6666666666672</v>
      </c>
      <c r="W236" s="307">
        <f t="shared" si="89"/>
        <v>450.66666666666634</v>
      </c>
      <c r="X236" s="307">
        <f t="shared" si="90"/>
        <v>0</v>
      </c>
      <c r="Y236" s="307">
        <f t="shared" si="91"/>
        <v>506.6666666666668</v>
      </c>
      <c r="Z236" s="309">
        <f t="shared" si="92"/>
        <v>88.333333333333357</v>
      </c>
    </row>
    <row r="237" spans="1:26" ht="14.25" x14ac:dyDescent="0.2">
      <c r="A237" s="342" t="s">
        <v>226</v>
      </c>
      <c r="B237" s="329">
        <v>45231</v>
      </c>
      <c r="C237" s="330">
        <v>2023</v>
      </c>
      <c r="D237" s="305">
        <f t="shared" si="70"/>
        <v>4838326</v>
      </c>
      <c r="E237" s="305">
        <f t="shared" si="71"/>
        <v>149002.33333333334</v>
      </c>
      <c r="F237" s="306">
        <f t="shared" si="72"/>
        <v>109097.33333333333</v>
      </c>
      <c r="G237" s="307">
        <f t="shared" si="73"/>
        <v>48592.666666666657</v>
      </c>
      <c r="H237" s="307">
        <f t="shared" si="74"/>
        <v>2497.6666666666665</v>
      </c>
      <c r="I237" s="307">
        <f t="shared" si="75"/>
        <v>57376.999999999978</v>
      </c>
      <c r="J237" s="308">
        <f t="shared" si="76"/>
        <v>629.99999999999989</v>
      </c>
      <c r="K237" s="306">
        <f t="shared" si="77"/>
        <v>39904.999999999993</v>
      </c>
      <c r="L237" s="307">
        <f t="shared" si="78"/>
        <v>14627.000000000007</v>
      </c>
      <c r="M237" s="307">
        <f t="shared" si="79"/>
        <v>0</v>
      </c>
      <c r="N237" s="307">
        <f t="shared" si="80"/>
        <v>22254.666666666668</v>
      </c>
      <c r="O237" s="309">
        <f t="shared" si="81"/>
        <v>3023.3333333333321</v>
      </c>
      <c r="P237" s="305">
        <f t="shared" si="82"/>
        <v>2860.6666666666665</v>
      </c>
      <c r="Q237" s="306">
        <f t="shared" si="83"/>
        <v>1781.3333333333339</v>
      </c>
      <c r="R237" s="307">
        <f t="shared" si="84"/>
        <v>812.66666666666697</v>
      </c>
      <c r="S237" s="307">
        <f t="shared" si="85"/>
        <v>54.999999999999993</v>
      </c>
      <c r="T237" s="307">
        <f t="shared" si="86"/>
        <v>895.99999999999989</v>
      </c>
      <c r="U237" s="308">
        <f t="shared" si="87"/>
        <v>17.666666666666664</v>
      </c>
      <c r="V237" s="306">
        <f t="shared" si="88"/>
        <v>1079.3333333333339</v>
      </c>
      <c r="W237" s="307">
        <f t="shared" si="89"/>
        <v>452.33333333333303</v>
      </c>
      <c r="X237" s="307">
        <f t="shared" si="90"/>
        <v>0</v>
      </c>
      <c r="Y237" s="307">
        <f t="shared" si="91"/>
        <v>537.33333333333348</v>
      </c>
      <c r="Z237" s="309">
        <f t="shared" si="92"/>
        <v>89.666666666666686</v>
      </c>
    </row>
    <row r="238" spans="1:26" ht="14.25" x14ac:dyDescent="0.2">
      <c r="A238" s="342" t="s">
        <v>226</v>
      </c>
      <c r="B238" s="329">
        <v>45261</v>
      </c>
      <c r="C238" s="330">
        <v>2023</v>
      </c>
      <c r="D238" s="305">
        <f t="shared" si="70"/>
        <v>4895371</v>
      </c>
      <c r="E238" s="305">
        <f t="shared" si="71"/>
        <v>153704</v>
      </c>
      <c r="F238" s="306">
        <f t="shared" si="72"/>
        <v>112741</v>
      </c>
      <c r="G238" s="307">
        <f t="shared" si="73"/>
        <v>49421.999999999993</v>
      </c>
      <c r="H238" s="307">
        <f t="shared" si="74"/>
        <v>2681</v>
      </c>
      <c r="I238" s="307">
        <f t="shared" si="75"/>
        <v>59954.999999999978</v>
      </c>
      <c r="J238" s="308">
        <f t="shared" si="76"/>
        <v>682.99999999999989</v>
      </c>
      <c r="K238" s="306">
        <f t="shared" si="77"/>
        <v>40962.999999999993</v>
      </c>
      <c r="L238" s="307">
        <f t="shared" si="78"/>
        <v>14697.000000000007</v>
      </c>
      <c r="M238" s="307">
        <f t="shared" si="79"/>
        <v>0</v>
      </c>
      <c r="N238" s="307">
        <f t="shared" si="80"/>
        <v>23222</v>
      </c>
      <c r="O238" s="309">
        <f t="shared" si="81"/>
        <v>3043.9999999999986</v>
      </c>
      <c r="P238" s="305">
        <f t="shared" si="82"/>
        <v>2962</v>
      </c>
      <c r="Q238" s="306">
        <f t="shared" si="83"/>
        <v>1849.0000000000007</v>
      </c>
      <c r="R238" s="307">
        <f t="shared" si="84"/>
        <v>826.00000000000034</v>
      </c>
      <c r="S238" s="307">
        <f t="shared" si="85"/>
        <v>57.999999999999993</v>
      </c>
      <c r="T238" s="307">
        <f t="shared" si="86"/>
        <v>945.99999999999989</v>
      </c>
      <c r="U238" s="308">
        <f t="shared" si="87"/>
        <v>18.999999999999996</v>
      </c>
      <c r="V238" s="306">
        <f t="shared" si="88"/>
        <v>1113.0000000000007</v>
      </c>
      <c r="W238" s="307">
        <f t="shared" si="89"/>
        <v>453.99999999999972</v>
      </c>
      <c r="X238" s="307">
        <f t="shared" si="90"/>
        <v>0</v>
      </c>
      <c r="Y238" s="307">
        <f t="shared" si="91"/>
        <v>568.00000000000011</v>
      </c>
      <c r="Z238" s="309">
        <f t="shared" si="92"/>
        <v>91.000000000000014</v>
      </c>
    </row>
    <row r="239" spans="1:26" ht="14.25" x14ac:dyDescent="0.2">
      <c r="A239" s="342" t="s">
        <v>377</v>
      </c>
      <c r="B239" s="329">
        <v>45292</v>
      </c>
      <c r="C239" s="330">
        <v>2024</v>
      </c>
      <c r="D239" s="305">
        <f t="shared" si="70"/>
        <v>4949713.333333333</v>
      </c>
      <c r="E239" s="305">
        <f t="shared" si="71"/>
        <v>157379.33333333334</v>
      </c>
      <c r="F239" s="306">
        <f t="shared" si="72"/>
        <v>115455.66666666667</v>
      </c>
      <c r="G239" s="307">
        <f t="shared" si="73"/>
        <v>49953.999999999993</v>
      </c>
      <c r="H239" s="307">
        <f t="shared" si="74"/>
        <v>2837.3333333333335</v>
      </c>
      <c r="I239" s="307">
        <f t="shared" si="75"/>
        <v>61964.999999999978</v>
      </c>
      <c r="J239" s="308">
        <f t="shared" si="76"/>
        <v>699.33333333333326</v>
      </c>
      <c r="K239" s="306">
        <f t="shared" si="77"/>
        <v>41923.666666666657</v>
      </c>
      <c r="L239" s="307">
        <f t="shared" si="78"/>
        <v>14826.333333333341</v>
      </c>
      <c r="M239" s="307">
        <f t="shared" si="79"/>
        <v>0</v>
      </c>
      <c r="N239" s="307">
        <f t="shared" si="80"/>
        <v>24029.666666666668</v>
      </c>
      <c r="O239" s="309">
        <f t="shared" si="81"/>
        <v>3067.6666666666652</v>
      </c>
      <c r="P239" s="305">
        <f t="shared" si="82"/>
        <v>3046</v>
      </c>
      <c r="Q239" s="306">
        <f t="shared" si="83"/>
        <v>1902.3333333333339</v>
      </c>
      <c r="R239" s="307">
        <f t="shared" si="84"/>
        <v>835.33333333333371</v>
      </c>
      <c r="S239" s="307">
        <f t="shared" si="85"/>
        <v>60.666666666666657</v>
      </c>
      <c r="T239" s="307">
        <f t="shared" si="86"/>
        <v>986.99999999999989</v>
      </c>
      <c r="U239" s="308">
        <f t="shared" si="87"/>
        <v>19.333333333333329</v>
      </c>
      <c r="V239" s="306">
        <f t="shared" si="88"/>
        <v>1143.6666666666674</v>
      </c>
      <c r="W239" s="307">
        <f t="shared" si="89"/>
        <v>457.99999999999972</v>
      </c>
      <c r="X239" s="307">
        <f t="shared" si="90"/>
        <v>0</v>
      </c>
      <c r="Y239" s="307">
        <f t="shared" si="91"/>
        <v>593.33333333333348</v>
      </c>
      <c r="Z239" s="309">
        <f t="shared" si="92"/>
        <v>92.333333333333343</v>
      </c>
    </row>
    <row r="240" spans="1:26" ht="14.25" x14ac:dyDescent="0.2">
      <c r="A240" s="342" t="s">
        <v>377</v>
      </c>
      <c r="B240" s="329">
        <v>45323</v>
      </c>
      <c r="C240" s="330">
        <v>2024</v>
      </c>
      <c r="D240" s="305">
        <f t="shared" si="70"/>
        <v>5004055.666666666</v>
      </c>
      <c r="E240" s="305">
        <f t="shared" si="71"/>
        <v>161054.66666666669</v>
      </c>
      <c r="F240" s="306">
        <f t="shared" si="72"/>
        <v>118170.33333333334</v>
      </c>
      <c r="G240" s="307">
        <f t="shared" si="73"/>
        <v>50485.999999999993</v>
      </c>
      <c r="H240" s="307">
        <f t="shared" si="74"/>
        <v>2993.666666666667</v>
      </c>
      <c r="I240" s="307">
        <f t="shared" si="75"/>
        <v>63974.999999999978</v>
      </c>
      <c r="J240" s="308">
        <f t="shared" si="76"/>
        <v>715.66666666666663</v>
      </c>
      <c r="K240" s="306">
        <f t="shared" si="77"/>
        <v>42884.333333333321</v>
      </c>
      <c r="L240" s="307">
        <f t="shared" si="78"/>
        <v>14955.666666666675</v>
      </c>
      <c r="M240" s="307">
        <f t="shared" si="79"/>
        <v>0</v>
      </c>
      <c r="N240" s="307">
        <f t="shared" si="80"/>
        <v>24837.333333333336</v>
      </c>
      <c r="O240" s="309">
        <f t="shared" si="81"/>
        <v>3091.3333333333317</v>
      </c>
      <c r="P240" s="305">
        <f t="shared" si="82"/>
        <v>3130</v>
      </c>
      <c r="Q240" s="306">
        <f t="shared" si="83"/>
        <v>1955.6666666666672</v>
      </c>
      <c r="R240" s="307">
        <f t="shared" si="84"/>
        <v>844.66666666666708</v>
      </c>
      <c r="S240" s="307">
        <f t="shared" si="85"/>
        <v>63.333333333333321</v>
      </c>
      <c r="T240" s="307">
        <f t="shared" si="86"/>
        <v>1028</v>
      </c>
      <c r="U240" s="308">
        <f t="shared" si="87"/>
        <v>19.666666666666661</v>
      </c>
      <c r="V240" s="306">
        <f t="shared" si="88"/>
        <v>1174.3333333333342</v>
      </c>
      <c r="W240" s="307">
        <f t="shared" si="89"/>
        <v>461.99999999999972</v>
      </c>
      <c r="X240" s="307">
        <f t="shared" si="90"/>
        <v>0</v>
      </c>
      <c r="Y240" s="307">
        <f t="shared" si="91"/>
        <v>618.66666666666686</v>
      </c>
      <c r="Z240" s="309">
        <f t="shared" si="92"/>
        <v>93.666666666666671</v>
      </c>
    </row>
    <row r="241" spans="1:26" ht="14.25" x14ac:dyDescent="0.2">
      <c r="A241" s="342" t="s">
        <v>377</v>
      </c>
      <c r="B241" s="329">
        <v>45352</v>
      </c>
      <c r="C241" s="330">
        <v>2024</v>
      </c>
      <c r="D241" s="305">
        <f t="shared" si="70"/>
        <v>5058397.9999999991</v>
      </c>
      <c r="E241" s="305">
        <f t="shared" si="71"/>
        <v>164730.00000000003</v>
      </c>
      <c r="F241" s="306">
        <f t="shared" si="72"/>
        <v>120885.00000000001</v>
      </c>
      <c r="G241" s="307">
        <f t="shared" si="73"/>
        <v>51017.999999999993</v>
      </c>
      <c r="H241" s="307">
        <f t="shared" si="74"/>
        <v>3150.0000000000005</v>
      </c>
      <c r="I241" s="307">
        <f t="shared" si="75"/>
        <v>65984.999999999971</v>
      </c>
      <c r="J241" s="308">
        <f t="shared" si="76"/>
        <v>732</v>
      </c>
      <c r="K241" s="306">
        <f t="shared" si="77"/>
        <v>43844.999999999985</v>
      </c>
      <c r="L241" s="307">
        <f t="shared" si="78"/>
        <v>15085.000000000009</v>
      </c>
      <c r="M241" s="307">
        <f t="shared" si="79"/>
        <v>0</v>
      </c>
      <c r="N241" s="307">
        <f t="shared" si="80"/>
        <v>25645.000000000004</v>
      </c>
      <c r="O241" s="309">
        <f t="shared" si="81"/>
        <v>3114.9999999999982</v>
      </c>
      <c r="P241" s="305">
        <f t="shared" si="82"/>
        <v>3214</v>
      </c>
      <c r="Q241" s="306">
        <f t="shared" si="83"/>
        <v>2009.0000000000005</v>
      </c>
      <c r="R241" s="307">
        <f t="shared" si="84"/>
        <v>854.00000000000045</v>
      </c>
      <c r="S241" s="307">
        <f t="shared" si="85"/>
        <v>65.999999999999986</v>
      </c>
      <c r="T241" s="307">
        <f t="shared" si="86"/>
        <v>1069</v>
      </c>
      <c r="U241" s="308">
        <f t="shared" si="87"/>
        <v>19.999999999999993</v>
      </c>
      <c r="V241" s="306">
        <f t="shared" si="88"/>
        <v>1205.0000000000009</v>
      </c>
      <c r="W241" s="307">
        <f t="shared" si="89"/>
        <v>465.99999999999972</v>
      </c>
      <c r="X241" s="307">
        <f t="shared" si="90"/>
        <v>0</v>
      </c>
      <c r="Y241" s="307">
        <f t="shared" si="91"/>
        <v>644.00000000000023</v>
      </c>
      <c r="Z241" s="309">
        <f t="shared" si="92"/>
        <v>95</v>
      </c>
    </row>
    <row r="242" spans="1:26" ht="14.25" x14ac:dyDescent="0.2">
      <c r="A242" s="342" t="s">
        <v>378</v>
      </c>
      <c r="B242" s="329">
        <v>45383</v>
      </c>
      <c r="C242" s="330">
        <v>2024</v>
      </c>
      <c r="D242" s="305">
        <f t="shared" si="70"/>
        <v>5121907.9999999991</v>
      </c>
      <c r="E242" s="305">
        <f t="shared" si="71"/>
        <v>169520.00000000003</v>
      </c>
      <c r="F242" s="306">
        <f t="shared" si="72"/>
        <v>124372.33333333334</v>
      </c>
      <c r="G242" s="307">
        <f t="shared" si="73"/>
        <v>51842.666666666657</v>
      </c>
      <c r="H242" s="307">
        <f t="shared" si="74"/>
        <v>3393.3333333333339</v>
      </c>
      <c r="I242" s="307">
        <f t="shared" si="75"/>
        <v>68387.999999999971</v>
      </c>
      <c r="J242" s="308">
        <f t="shared" si="76"/>
        <v>748.33333333333337</v>
      </c>
      <c r="K242" s="306">
        <f t="shared" si="77"/>
        <v>45147.66666666665</v>
      </c>
      <c r="L242" s="307">
        <f t="shared" si="78"/>
        <v>15150.333333333343</v>
      </c>
      <c r="M242" s="307">
        <f t="shared" si="79"/>
        <v>0</v>
      </c>
      <c r="N242" s="307">
        <f t="shared" si="80"/>
        <v>26837.666666666672</v>
      </c>
      <c r="O242" s="309">
        <f t="shared" si="81"/>
        <v>3159.6666666666647</v>
      </c>
      <c r="P242" s="305">
        <f t="shared" si="82"/>
        <v>3319</v>
      </c>
      <c r="Q242" s="306">
        <f t="shared" si="83"/>
        <v>2079.0000000000005</v>
      </c>
      <c r="R242" s="307">
        <f t="shared" si="84"/>
        <v>868.66666666666708</v>
      </c>
      <c r="S242" s="307">
        <f t="shared" si="85"/>
        <v>70.666666666666657</v>
      </c>
      <c r="T242" s="307">
        <f t="shared" si="86"/>
        <v>1119.3333333333333</v>
      </c>
      <c r="U242" s="308">
        <f t="shared" si="87"/>
        <v>20.333333333333325</v>
      </c>
      <c r="V242" s="306">
        <f t="shared" si="88"/>
        <v>1240.0000000000009</v>
      </c>
      <c r="W242" s="307">
        <f t="shared" si="89"/>
        <v>467.6666666666664</v>
      </c>
      <c r="X242" s="307">
        <f t="shared" si="90"/>
        <v>0</v>
      </c>
      <c r="Y242" s="307">
        <f t="shared" si="91"/>
        <v>676.3333333333336</v>
      </c>
      <c r="Z242" s="309">
        <f t="shared" si="92"/>
        <v>96</v>
      </c>
    </row>
    <row r="243" spans="1:26" ht="14.25" x14ac:dyDescent="0.2">
      <c r="A243" s="342" t="s">
        <v>378</v>
      </c>
      <c r="B243" s="329">
        <v>45413</v>
      </c>
      <c r="C243" s="330">
        <v>2024</v>
      </c>
      <c r="D243" s="305">
        <f t="shared" si="70"/>
        <v>5185417.9999999991</v>
      </c>
      <c r="E243" s="305">
        <f t="shared" si="71"/>
        <v>174310.00000000003</v>
      </c>
      <c r="F243" s="306">
        <f t="shared" si="72"/>
        <v>127859.66666666667</v>
      </c>
      <c r="G243" s="307">
        <f t="shared" si="73"/>
        <v>52667.333333333321</v>
      </c>
      <c r="H243" s="307">
        <f t="shared" si="74"/>
        <v>3636.6666666666674</v>
      </c>
      <c r="I243" s="307">
        <f t="shared" si="75"/>
        <v>70790.999999999971</v>
      </c>
      <c r="J243" s="308">
        <f t="shared" si="76"/>
        <v>764.66666666666674</v>
      </c>
      <c r="K243" s="306">
        <f t="shared" si="77"/>
        <v>46450.333333333314</v>
      </c>
      <c r="L243" s="307">
        <f t="shared" si="78"/>
        <v>15215.666666666677</v>
      </c>
      <c r="M243" s="307">
        <f t="shared" si="79"/>
        <v>0</v>
      </c>
      <c r="N243" s="307">
        <f t="shared" si="80"/>
        <v>28030.333333333339</v>
      </c>
      <c r="O243" s="309">
        <f t="shared" si="81"/>
        <v>3204.3333333333312</v>
      </c>
      <c r="P243" s="305">
        <f t="shared" si="82"/>
        <v>3424</v>
      </c>
      <c r="Q243" s="306">
        <f t="shared" si="83"/>
        <v>2149.0000000000005</v>
      </c>
      <c r="R243" s="307">
        <f t="shared" si="84"/>
        <v>883.33333333333371</v>
      </c>
      <c r="S243" s="307">
        <f t="shared" si="85"/>
        <v>75.333333333333329</v>
      </c>
      <c r="T243" s="307">
        <f t="shared" si="86"/>
        <v>1169.6666666666665</v>
      </c>
      <c r="U243" s="308">
        <f t="shared" si="87"/>
        <v>20.666666666666657</v>
      </c>
      <c r="V243" s="306">
        <f t="shared" si="88"/>
        <v>1275.0000000000009</v>
      </c>
      <c r="W243" s="307">
        <f t="shared" si="89"/>
        <v>469.33333333333309</v>
      </c>
      <c r="X243" s="307">
        <f t="shared" si="90"/>
        <v>0</v>
      </c>
      <c r="Y243" s="307">
        <f t="shared" si="91"/>
        <v>708.66666666666697</v>
      </c>
      <c r="Z243" s="309">
        <f t="shared" si="92"/>
        <v>97</v>
      </c>
    </row>
    <row r="244" spans="1:26" ht="14.25" x14ac:dyDescent="0.2">
      <c r="A244" s="342" t="s">
        <v>378</v>
      </c>
      <c r="B244" s="329">
        <v>45444</v>
      </c>
      <c r="C244" s="330">
        <v>2024</v>
      </c>
      <c r="D244" s="305">
        <f t="shared" si="70"/>
        <v>5248927.9999999991</v>
      </c>
      <c r="E244" s="305">
        <f t="shared" si="71"/>
        <v>179100.00000000003</v>
      </c>
      <c r="F244" s="306">
        <f t="shared" si="72"/>
        <v>131347</v>
      </c>
      <c r="G244" s="307">
        <f t="shared" si="73"/>
        <v>53491.999999999985</v>
      </c>
      <c r="H244" s="307">
        <f t="shared" si="74"/>
        <v>3880.0000000000009</v>
      </c>
      <c r="I244" s="307">
        <f t="shared" si="75"/>
        <v>73193.999999999971</v>
      </c>
      <c r="J244" s="308">
        <f t="shared" si="76"/>
        <v>781.00000000000011</v>
      </c>
      <c r="K244" s="306">
        <f t="shared" si="77"/>
        <v>47752.999999999978</v>
      </c>
      <c r="L244" s="307">
        <f t="shared" si="78"/>
        <v>15281.000000000011</v>
      </c>
      <c r="M244" s="307">
        <f t="shared" si="79"/>
        <v>0</v>
      </c>
      <c r="N244" s="307">
        <f t="shared" si="80"/>
        <v>29223.000000000007</v>
      </c>
      <c r="O244" s="309">
        <f t="shared" si="81"/>
        <v>3248.9999999999977</v>
      </c>
      <c r="P244" s="305">
        <f t="shared" si="82"/>
        <v>3529</v>
      </c>
      <c r="Q244" s="306">
        <f t="shared" si="83"/>
        <v>2219.0000000000005</v>
      </c>
      <c r="R244" s="307">
        <f t="shared" si="84"/>
        <v>898.00000000000034</v>
      </c>
      <c r="S244" s="307">
        <f t="shared" si="85"/>
        <v>80</v>
      </c>
      <c r="T244" s="307">
        <f t="shared" si="86"/>
        <v>1219.9999999999998</v>
      </c>
      <c r="U244" s="308">
        <f t="shared" si="87"/>
        <v>20.999999999999989</v>
      </c>
      <c r="V244" s="306">
        <f t="shared" si="88"/>
        <v>1310.0000000000009</v>
      </c>
      <c r="W244" s="307">
        <f t="shared" si="89"/>
        <v>470.99999999999977</v>
      </c>
      <c r="X244" s="307">
        <f t="shared" si="90"/>
        <v>0</v>
      </c>
      <c r="Y244" s="307">
        <f t="shared" si="91"/>
        <v>741.00000000000034</v>
      </c>
      <c r="Z244" s="309">
        <f t="shared" si="92"/>
        <v>98</v>
      </c>
    </row>
    <row r="245" spans="1:26" ht="14.25" x14ac:dyDescent="0.2">
      <c r="A245" s="342" t="s">
        <v>390</v>
      </c>
      <c r="B245" s="329">
        <v>45474</v>
      </c>
      <c r="C245" s="330">
        <v>2024</v>
      </c>
      <c r="D245" s="305">
        <f t="shared" si="70"/>
        <v>5309714.9999999991</v>
      </c>
      <c r="E245" s="305">
        <f t="shared" si="71"/>
        <v>184415.33333333337</v>
      </c>
      <c r="F245" s="306">
        <f t="shared" si="72"/>
        <v>135270.66666666666</v>
      </c>
      <c r="G245" s="307">
        <f t="shared" si="73"/>
        <v>54339.333333333321</v>
      </c>
      <c r="H245" s="307">
        <f t="shared" si="74"/>
        <v>4202.3333333333339</v>
      </c>
      <c r="I245" s="307">
        <f t="shared" si="75"/>
        <v>75924.666666666642</v>
      </c>
      <c r="J245" s="308">
        <f t="shared" si="76"/>
        <v>804.33333333333348</v>
      </c>
      <c r="K245" s="306">
        <f t="shared" si="77"/>
        <v>49144.666666666642</v>
      </c>
      <c r="L245" s="307">
        <f t="shared" si="78"/>
        <v>15426.000000000011</v>
      </c>
      <c r="M245" s="307">
        <f t="shared" si="79"/>
        <v>0</v>
      </c>
      <c r="N245" s="307">
        <f t="shared" si="80"/>
        <v>30438.000000000007</v>
      </c>
      <c r="O245" s="309">
        <f t="shared" si="81"/>
        <v>3280.6666666666642</v>
      </c>
      <c r="P245" s="305">
        <f t="shared" si="82"/>
        <v>3634</v>
      </c>
      <c r="Q245" s="306">
        <f t="shared" si="83"/>
        <v>2289.3333333333339</v>
      </c>
      <c r="R245" s="307">
        <f t="shared" si="84"/>
        <v>911.33333333333371</v>
      </c>
      <c r="S245" s="307">
        <f t="shared" si="85"/>
        <v>88.666666666666671</v>
      </c>
      <c r="T245" s="307">
        <f t="shared" si="86"/>
        <v>1267.6666666666665</v>
      </c>
      <c r="U245" s="308">
        <f t="shared" si="87"/>
        <v>21.666666666666657</v>
      </c>
      <c r="V245" s="306">
        <f t="shared" si="88"/>
        <v>1344.6666666666677</v>
      </c>
      <c r="W245" s="307">
        <f t="shared" si="89"/>
        <v>473.66666666666646</v>
      </c>
      <c r="X245" s="307">
        <f t="shared" si="90"/>
        <v>0</v>
      </c>
      <c r="Y245" s="307">
        <f t="shared" si="91"/>
        <v>772.00000000000034</v>
      </c>
      <c r="Z245" s="309">
        <f t="shared" si="92"/>
        <v>99</v>
      </c>
    </row>
    <row r="246" spans="1:26" ht="14.25" x14ac:dyDescent="0.2">
      <c r="A246" s="342" t="s">
        <v>390</v>
      </c>
      <c r="B246" s="329">
        <v>45505</v>
      </c>
      <c r="C246" s="330">
        <v>2024</v>
      </c>
      <c r="D246" s="305">
        <f t="shared" si="70"/>
        <v>5370501.9999999991</v>
      </c>
      <c r="E246" s="305">
        <f t="shared" si="71"/>
        <v>189730.66666666672</v>
      </c>
      <c r="F246" s="306">
        <f t="shared" si="72"/>
        <v>139194.33333333331</v>
      </c>
      <c r="G246" s="307">
        <f t="shared" si="73"/>
        <v>55186.666666666657</v>
      </c>
      <c r="H246" s="307">
        <f t="shared" si="74"/>
        <v>4524.666666666667</v>
      </c>
      <c r="I246" s="307">
        <f t="shared" si="75"/>
        <v>78655.333333333314</v>
      </c>
      <c r="J246" s="308">
        <f t="shared" si="76"/>
        <v>827.66666666666686</v>
      </c>
      <c r="K246" s="306">
        <f t="shared" si="77"/>
        <v>50536.333333333307</v>
      </c>
      <c r="L246" s="307">
        <f t="shared" si="78"/>
        <v>15571.000000000011</v>
      </c>
      <c r="M246" s="307">
        <f t="shared" si="79"/>
        <v>0</v>
      </c>
      <c r="N246" s="307">
        <f t="shared" si="80"/>
        <v>31653.000000000007</v>
      </c>
      <c r="O246" s="309">
        <f t="shared" si="81"/>
        <v>3312.3333333333308</v>
      </c>
      <c r="P246" s="305">
        <f t="shared" si="82"/>
        <v>3739</v>
      </c>
      <c r="Q246" s="306">
        <f t="shared" si="83"/>
        <v>2359.6666666666674</v>
      </c>
      <c r="R246" s="307">
        <f t="shared" si="84"/>
        <v>924.66666666666708</v>
      </c>
      <c r="S246" s="307">
        <f t="shared" si="85"/>
        <v>97.333333333333343</v>
      </c>
      <c r="T246" s="307">
        <f t="shared" si="86"/>
        <v>1315.3333333333333</v>
      </c>
      <c r="U246" s="308">
        <f t="shared" si="87"/>
        <v>22.333333333333325</v>
      </c>
      <c r="V246" s="306">
        <f t="shared" si="88"/>
        <v>1379.3333333333344</v>
      </c>
      <c r="W246" s="307">
        <f t="shared" si="89"/>
        <v>476.33333333333314</v>
      </c>
      <c r="X246" s="307">
        <f t="shared" si="90"/>
        <v>0</v>
      </c>
      <c r="Y246" s="307">
        <f t="shared" si="91"/>
        <v>803.00000000000034</v>
      </c>
      <c r="Z246" s="309">
        <f t="shared" si="92"/>
        <v>100</v>
      </c>
    </row>
    <row r="247" spans="1:26" ht="14.25" x14ac:dyDescent="0.2">
      <c r="A247" s="342" t="s">
        <v>390</v>
      </c>
      <c r="B247" s="329">
        <v>45536</v>
      </c>
      <c r="C247" s="330">
        <v>2024</v>
      </c>
      <c r="D247" s="305">
        <f t="shared" si="70"/>
        <v>5431288.9999999991</v>
      </c>
      <c r="E247" s="305">
        <f t="shared" si="71"/>
        <v>195046.00000000006</v>
      </c>
      <c r="F247" s="306">
        <f t="shared" si="72"/>
        <v>143117.99999999997</v>
      </c>
      <c r="G247" s="307">
        <f t="shared" si="73"/>
        <v>56033.999999999993</v>
      </c>
      <c r="H247" s="307">
        <f t="shared" si="74"/>
        <v>4847</v>
      </c>
      <c r="I247" s="307">
        <f t="shared" si="75"/>
        <v>81385.999999999985</v>
      </c>
      <c r="J247" s="308">
        <f t="shared" si="76"/>
        <v>851.00000000000023</v>
      </c>
      <c r="K247" s="306">
        <f t="shared" si="77"/>
        <v>51927.999999999971</v>
      </c>
      <c r="L247" s="307">
        <f t="shared" si="78"/>
        <v>15716.000000000011</v>
      </c>
      <c r="M247" s="307">
        <f t="shared" si="79"/>
        <v>0</v>
      </c>
      <c r="N247" s="307">
        <f t="shared" si="80"/>
        <v>32868.000000000007</v>
      </c>
      <c r="O247" s="309">
        <f t="shared" si="81"/>
        <v>3343.9999999999973</v>
      </c>
      <c r="P247" s="305">
        <f t="shared" si="82"/>
        <v>3844</v>
      </c>
      <c r="Q247" s="306">
        <f t="shared" si="83"/>
        <v>2430.0000000000009</v>
      </c>
      <c r="R247" s="307">
        <f t="shared" si="84"/>
        <v>938.00000000000045</v>
      </c>
      <c r="S247" s="307">
        <f t="shared" si="85"/>
        <v>106.00000000000001</v>
      </c>
      <c r="T247" s="307">
        <f t="shared" si="86"/>
        <v>1363</v>
      </c>
      <c r="U247" s="308">
        <f t="shared" si="87"/>
        <v>22.999999999999993</v>
      </c>
      <c r="V247" s="306">
        <f t="shared" si="88"/>
        <v>1414.0000000000011</v>
      </c>
      <c r="W247" s="307">
        <f t="shared" si="89"/>
        <v>478.99999999999983</v>
      </c>
      <c r="X247" s="307">
        <f t="shared" si="90"/>
        <v>0</v>
      </c>
      <c r="Y247" s="307">
        <f t="shared" si="91"/>
        <v>834.00000000000034</v>
      </c>
      <c r="Z247" s="309">
        <f t="shared" si="92"/>
        <v>101</v>
      </c>
    </row>
    <row r="248" spans="1:26" ht="14.25" x14ac:dyDescent="0.2">
      <c r="A248" s="342" t="s">
        <v>391</v>
      </c>
      <c r="B248" s="329">
        <v>45566</v>
      </c>
      <c r="C248" s="330">
        <v>2024</v>
      </c>
      <c r="D248" s="305">
        <f t="shared" si="70"/>
        <v>5485737.3333333321</v>
      </c>
      <c r="E248" s="305">
        <f t="shared" si="71"/>
        <v>200129.66666666672</v>
      </c>
      <c r="F248" s="306">
        <f t="shared" si="72"/>
        <v>146878.66666666663</v>
      </c>
      <c r="G248" s="307">
        <f t="shared" si="73"/>
        <v>56639.333333333328</v>
      </c>
      <c r="H248" s="307">
        <f t="shared" si="74"/>
        <v>5485</v>
      </c>
      <c r="I248" s="307">
        <f t="shared" si="75"/>
        <v>83866.666666666657</v>
      </c>
      <c r="J248" s="308">
        <f t="shared" si="76"/>
        <v>887.66666666666686</v>
      </c>
      <c r="K248" s="306">
        <f t="shared" si="77"/>
        <v>53250.999999999971</v>
      </c>
      <c r="L248" s="307">
        <f t="shared" si="78"/>
        <v>15829.666666666677</v>
      </c>
      <c r="M248" s="307">
        <f t="shared" si="79"/>
        <v>0</v>
      </c>
      <c r="N248" s="307">
        <f t="shared" si="80"/>
        <v>34059.333333333343</v>
      </c>
      <c r="O248" s="309">
        <f t="shared" si="81"/>
        <v>3361.9999999999973</v>
      </c>
      <c r="P248" s="305">
        <f t="shared" si="82"/>
        <v>3968.6666666666665</v>
      </c>
      <c r="Q248" s="306">
        <f t="shared" si="83"/>
        <v>2510.0000000000009</v>
      </c>
      <c r="R248" s="307">
        <f t="shared" si="84"/>
        <v>951.00000000000045</v>
      </c>
      <c r="S248" s="307">
        <f t="shared" si="85"/>
        <v>118.33333333333334</v>
      </c>
      <c r="T248" s="307">
        <f t="shared" si="86"/>
        <v>1416.3333333333333</v>
      </c>
      <c r="U248" s="308">
        <f t="shared" si="87"/>
        <v>24.333333333333325</v>
      </c>
      <c r="V248" s="306">
        <f t="shared" si="88"/>
        <v>1458.6666666666679</v>
      </c>
      <c r="W248" s="307">
        <f t="shared" si="89"/>
        <v>484.33333333333314</v>
      </c>
      <c r="X248" s="307">
        <f t="shared" si="90"/>
        <v>0</v>
      </c>
      <c r="Y248" s="307">
        <f t="shared" si="91"/>
        <v>873.00000000000034</v>
      </c>
      <c r="Z248" s="309">
        <f t="shared" si="92"/>
        <v>101.33333333333333</v>
      </c>
    </row>
    <row r="249" spans="1:26" ht="14.25" x14ac:dyDescent="0.2">
      <c r="A249" s="342" t="s">
        <v>391</v>
      </c>
      <c r="B249" s="329">
        <v>45597</v>
      </c>
      <c r="C249" s="330">
        <v>2024</v>
      </c>
      <c r="D249" s="305">
        <f t="shared" si="70"/>
        <v>5540185.6666666651</v>
      </c>
      <c r="E249" s="305">
        <f t="shared" si="71"/>
        <v>205213.33333333337</v>
      </c>
      <c r="F249" s="306">
        <f t="shared" si="72"/>
        <v>150639.33333333328</v>
      </c>
      <c r="G249" s="307">
        <f t="shared" si="73"/>
        <v>57244.666666666664</v>
      </c>
      <c r="H249" s="307">
        <f t="shared" si="74"/>
        <v>6123</v>
      </c>
      <c r="I249" s="307">
        <f t="shared" si="75"/>
        <v>86347.333333333328</v>
      </c>
      <c r="J249" s="308">
        <f t="shared" si="76"/>
        <v>924.33333333333348</v>
      </c>
      <c r="K249" s="306">
        <f t="shared" si="77"/>
        <v>54573.999999999971</v>
      </c>
      <c r="L249" s="307">
        <f t="shared" si="78"/>
        <v>15943.333333333343</v>
      </c>
      <c r="M249" s="307">
        <f t="shared" si="79"/>
        <v>0</v>
      </c>
      <c r="N249" s="307">
        <f t="shared" si="80"/>
        <v>35250.666666666679</v>
      </c>
      <c r="O249" s="309">
        <f t="shared" si="81"/>
        <v>3379.9999999999973</v>
      </c>
      <c r="P249" s="305">
        <f t="shared" si="82"/>
        <v>4093.333333333333</v>
      </c>
      <c r="Q249" s="306">
        <f t="shared" si="83"/>
        <v>2590.0000000000009</v>
      </c>
      <c r="R249" s="307">
        <f t="shared" si="84"/>
        <v>964.00000000000045</v>
      </c>
      <c r="S249" s="307">
        <f t="shared" si="85"/>
        <v>130.66666666666669</v>
      </c>
      <c r="T249" s="307">
        <f t="shared" si="86"/>
        <v>1469.6666666666665</v>
      </c>
      <c r="U249" s="308">
        <f t="shared" si="87"/>
        <v>25.666666666666657</v>
      </c>
      <c r="V249" s="306">
        <f t="shared" si="88"/>
        <v>1503.3333333333346</v>
      </c>
      <c r="W249" s="307">
        <f t="shared" si="89"/>
        <v>489.66666666666646</v>
      </c>
      <c r="X249" s="307">
        <f t="shared" si="90"/>
        <v>0</v>
      </c>
      <c r="Y249" s="307">
        <f t="shared" si="91"/>
        <v>912.00000000000034</v>
      </c>
      <c r="Z249" s="309">
        <f t="shared" si="92"/>
        <v>101.66666666666666</v>
      </c>
    </row>
    <row r="250" spans="1:26" ht="14.25" x14ac:dyDescent="0.2">
      <c r="A250" s="342" t="s">
        <v>391</v>
      </c>
      <c r="B250" s="329">
        <v>45627</v>
      </c>
      <c r="C250" s="330">
        <v>2024</v>
      </c>
      <c r="D250" s="305">
        <f t="shared" ref="D250:Z250" si="93">D139/3+D249</f>
        <v>5594633.9999999981</v>
      </c>
      <c r="E250" s="305">
        <f t="shared" si="93"/>
        <v>210297.00000000003</v>
      </c>
      <c r="F250" s="306">
        <f t="shared" si="93"/>
        <v>154399.99999999994</v>
      </c>
      <c r="G250" s="307">
        <f t="shared" si="93"/>
        <v>57850</v>
      </c>
      <c r="H250" s="307">
        <f t="shared" si="93"/>
        <v>6761</v>
      </c>
      <c r="I250" s="307">
        <f t="shared" si="93"/>
        <v>88828</v>
      </c>
      <c r="J250" s="308">
        <f t="shared" si="93"/>
        <v>961.00000000000011</v>
      </c>
      <c r="K250" s="306">
        <f t="shared" si="93"/>
        <v>55896.999999999971</v>
      </c>
      <c r="L250" s="307">
        <f t="shared" si="93"/>
        <v>16057.000000000009</v>
      </c>
      <c r="M250" s="307">
        <f t="shared" si="93"/>
        <v>0</v>
      </c>
      <c r="N250" s="307">
        <f t="shared" si="93"/>
        <v>36442.000000000015</v>
      </c>
      <c r="O250" s="309">
        <f t="shared" si="93"/>
        <v>3397.9999999999973</v>
      </c>
      <c r="P250" s="305">
        <f t="shared" si="93"/>
        <v>4218</v>
      </c>
      <c r="Q250" s="306">
        <f t="shared" si="93"/>
        <v>2670.0000000000009</v>
      </c>
      <c r="R250" s="307">
        <f t="shared" si="93"/>
        <v>977.00000000000045</v>
      </c>
      <c r="S250" s="307">
        <f t="shared" si="93"/>
        <v>143.00000000000003</v>
      </c>
      <c r="T250" s="307">
        <f t="shared" si="93"/>
        <v>1522.9999999999998</v>
      </c>
      <c r="U250" s="308">
        <f t="shared" si="93"/>
        <v>26.999999999999989</v>
      </c>
      <c r="V250" s="306">
        <f t="shared" si="93"/>
        <v>1548.0000000000014</v>
      </c>
      <c r="W250" s="307">
        <f t="shared" si="93"/>
        <v>494.99999999999977</v>
      </c>
      <c r="X250" s="307">
        <f t="shared" si="93"/>
        <v>0</v>
      </c>
      <c r="Y250" s="307">
        <f t="shared" si="93"/>
        <v>951.00000000000034</v>
      </c>
      <c r="Z250" s="309">
        <f t="shared" si="93"/>
        <v>101.99999999999999</v>
      </c>
    </row>
    <row r="251" spans="1:26" ht="14.25" x14ac:dyDescent="0.2">
      <c r="A251" s="342" t="s">
        <v>482</v>
      </c>
      <c r="B251" s="329">
        <v>45658</v>
      </c>
      <c r="C251" s="330">
        <v>2025</v>
      </c>
      <c r="D251" s="305">
        <f t="shared" ref="D251:Z251" si="94">D140/3+D250</f>
        <v>5652522.9999999981</v>
      </c>
      <c r="E251" s="305">
        <f t="shared" si="94"/>
        <v>214299.00000000003</v>
      </c>
      <c r="F251" s="306">
        <f t="shared" si="94"/>
        <v>157216.6666666666</v>
      </c>
      <c r="G251" s="307">
        <f t="shared" si="94"/>
        <v>58223.666666666664</v>
      </c>
      <c r="H251" s="307">
        <f t="shared" si="94"/>
        <v>7157</v>
      </c>
      <c r="I251" s="307">
        <f t="shared" si="94"/>
        <v>90825</v>
      </c>
      <c r="J251" s="308">
        <f t="shared" si="94"/>
        <v>1011.0000000000001</v>
      </c>
      <c r="K251" s="306">
        <f t="shared" si="94"/>
        <v>57082.333333333307</v>
      </c>
      <c r="L251" s="307">
        <f t="shared" si="94"/>
        <v>16191.666666666675</v>
      </c>
      <c r="M251" s="307">
        <f t="shared" si="94"/>
        <v>0</v>
      </c>
      <c r="N251" s="307">
        <f t="shared" si="94"/>
        <v>37462.33333333335</v>
      </c>
      <c r="O251" s="309">
        <f t="shared" si="94"/>
        <v>3428.3333333333308</v>
      </c>
      <c r="P251" s="305">
        <f t="shared" si="94"/>
        <v>4318</v>
      </c>
      <c r="Q251" s="306">
        <f t="shared" si="94"/>
        <v>2737.0000000000009</v>
      </c>
      <c r="R251" s="307">
        <f t="shared" si="94"/>
        <v>983.00000000000045</v>
      </c>
      <c r="S251" s="307">
        <f t="shared" si="94"/>
        <v>156.66666666666669</v>
      </c>
      <c r="T251" s="307">
        <f t="shared" si="94"/>
        <v>1568.6666666666665</v>
      </c>
      <c r="U251" s="308">
        <f t="shared" si="94"/>
        <v>28.666666666666657</v>
      </c>
      <c r="V251" s="306">
        <f t="shared" si="94"/>
        <v>1581.0000000000014</v>
      </c>
      <c r="W251" s="307">
        <f t="shared" si="94"/>
        <v>497.99999999999977</v>
      </c>
      <c r="X251" s="307">
        <f t="shared" si="94"/>
        <v>0</v>
      </c>
      <c r="Y251" s="307">
        <f t="shared" si="94"/>
        <v>980.66666666666697</v>
      </c>
      <c r="Z251" s="309">
        <f t="shared" si="94"/>
        <v>102.33333333333331</v>
      </c>
    </row>
    <row r="252" spans="1:26" ht="14.25" x14ac:dyDescent="0.2">
      <c r="A252" s="342" t="s">
        <v>482</v>
      </c>
      <c r="B252" s="329">
        <v>45689</v>
      </c>
      <c r="C252" s="330">
        <v>2025</v>
      </c>
      <c r="D252" s="305">
        <f t="shared" ref="D252:Z252" si="95">D141/3+D251</f>
        <v>5710411.9999999981</v>
      </c>
      <c r="E252" s="305">
        <f t="shared" si="95"/>
        <v>218301.00000000003</v>
      </c>
      <c r="F252" s="306">
        <f t="shared" si="95"/>
        <v>160033.33333333326</v>
      </c>
      <c r="G252" s="307">
        <f t="shared" si="95"/>
        <v>58597.333333333328</v>
      </c>
      <c r="H252" s="307">
        <f t="shared" si="95"/>
        <v>7553</v>
      </c>
      <c r="I252" s="307">
        <f t="shared" si="95"/>
        <v>92822</v>
      </c>
      <c r="J252" s="308">
        <f t="shared" si="95"/>
        <v>1061</v>
      </c>
      <c r="K252" s="306">
        <f t="shared" si="95"/>
        <v>58267.666666666642</v>
      </c>
      <c r="L252" s="307">
        <f t="shared" si="95"/>
        <v>16326.333333333341</v>
      </c>
      <c r="M252" s="307">
        <f t="shared" si="95"/>
        <v>0</v>
      </c>
      <c r="N252" s="307">
        <f t="shared" si="95"/>
        <v>38482.666666666686</v>
      </c>
      <c r="O252" s="309">
        <f t="shared" si="95"/>
        <v>3458.6666666666642</v>
      </c>
      <c r="P252" s="305">
        <f t="shared" si="95"/>
        <v>4418</v>
      </c>
      <c r="Q252" s="306">
        <f t="shared" si="95"/>
        <v>2804.0000000000009</v>
      </c>
      <c r="R252" s="307">
        <f t="shared" si="95"/>
        <v>989.00000000000045</v>
      </c>
      <c r="S252" s="307">
        <f t="shared" si="95"/>
        <v>170.33333333333334</v>
      </c>
      <c r="T252" s="307">
        <f t="shared" si="95"/>
        <v>1614.3333333333333</v>
      </c>
      <c r="U252" s="308">
        <f t="shared" si="95"/>
        <v>30.333333333333325</v>
      </c>
      <c r="V252" s="306">
        <f t="shared" si="95"/>
        <v>1614.0000000000014</v>
      </c>
      <c r="W252" s="307">
        <f t="shared" si="95"/>
        <v>500.99999999999977</v>
      </c>
      <c r="X252" s="307">
        <f t="shared" si="95"/>
        <v>0</v>
      </c>
      <c r="Y252" s="307">
        <f t="shared" si="95"/>
        <v>1010.3333333333336</v>
      </c>
      <c r="Z252" s="309">
        <f t="shared" si="95"/>
        <v>102.66666666666664</v>
      </c>
    </row>
    <row r="253" spans="1:26" ht="14.25" x14ac:dyDescent="0.2">
      <c r="A253" s="342" t="s">
        <v>482</v>
      </c>
      <c r="B253" s="329">
        <v>45717</v>
      </c>
      <c r="C253" s="330">
        <v>2025</v>
      </c>
      <c r="D253" s="305">
        <f t="shared" ref="D253:Z253" si="96">D142/3+D252</f>
        <v>5768300.9999999981</v>
      </c>
      <c r="E253" s="305">
        <f t="shared" si="96"/>
        <v>222303.00000000003</v>
      </c>
      <c r="F253" s="306">
        <f t="shared" si="96"/>
        <v>162849.99999999991</v>
      </c>
      <c r="G253" s="307">
        <f t="shared" si="96"/>
        <v>58970.999999999993</v>
      </c>
      <c r="H253" s="307">
        <f t="shared" si="96"/>
        <v>7949</v>
      </c>
      <c r="I253" s="307">
        <f t="shared" si="96"/>
        <v>94819</v>
      </c>
      <c r="J253" s="308">
        <f t="shared" si="96"/>
        <v>1111</v>
      </c>
      <c r="K253" s="306">
        <f t="shared" si="96"/>
        <v>59452.999999999978</v>
      </c>
      <c r="L253" s="307">
        <f t="shared" si="96"/>
        <v>16461.000000000007</v>
      </c>
      <c r="M253" s="307">
        <f t="shared" si="96"/>
        <v>0</v>
      </c>
      <c r="N253" s="307">
        <f t="shared" si="96"/>
        <v>39503.000000000022</v>
      </c>
      <c r="O253" s="309">
        <f t="shared" si="96"/>
        <v>3488.9999999999977</v>
      </c>
      <c r="P253" s="305">
        <f t="shared" si="96"/>
        <v>4518</v>
      </c>
      <c r="Q253" s="306">
        <f t="shared" si="96"/>
        <v>2871.0000000000009</v>
      </c>
      <c r="R253" s="307">
        <f t="shared" si="96"/>
        <v>995.00000000000045</v>
      </c>
      <c r="S253" s="307">
        <f t="shared" si="96"/>
        <v>184</v>
      </c>
      <c r="T253" s="307">
        <f t="shared" si="96"/>
        <v>1660</v>
      </c>
      <c r="U253" s="308">
        <f t="shared" si="96"/>
        <v>31.999999999999993</v>
      </c>
      <c r="V253" s="306">
        <f t="shared" si="96"/>
        <v>1647.0000000000014</v>
      </c>
      <c r="W253" s="307">
        <f t="shared" si="96"/>
        <v>503.99999999999977</v>
      </c>
      <c r="X253" s="307">
        <f t="shared" si="96"/>
        <v>0</v>
      </c>
      <c r="Y253" s="307">
        <f t="shared" si="96"/>
        <v>1040.0000000000002</v>
      </c>
      <c r="Z253" s="309">
        <f t="shared" si="96"/>
        <v>102.99999999999997</v>
      </c>
    </row>
    <row r="254" spans="1:26" ht="14.25" x14ac:dyDescent="0.2">
      <c r="A254" s="342" t="s">
        <v>483</v>
      </c>
      <c r="B254" s="329">
        <v>45748</v>
      </c>
      <c r="C254" s="330">
        <v>2025</v>
      </c>
      <c r="D254" s="305">
        <f t="shared" ref="D254:Z254" si="97">D143/3+D253</f>
        <v>5835702.3333333312</v>
      </c>
      <c r="E254" s="305">
        <f t="shared" si="97"/>
        <v>226201.00000000003</v>
      </c>
      <c r="F254" s="306">
        <f t="shared" si="97"/>
        <v>165359.99999999991</v>
      </c>
      <c r="G254" s="307">
        <f>G143/3+G253</f>
        <v>59335.333333333328</v>
      </c>
      <c r="H254" s="307">
        <f t="shared" si="97"/>
        <v>8309.6666666666661</v>
      </c>
      <c r="I254" s="307">
        <f t="shared" si="97"/>
        <v>96544.333333333328</v>
      </c>
      <c r="J254" s="308">
        <f t="shared" si="97"/>
        <v>1170.6666666666667</v>
      </c>
      <c r="K254" s="306">
        <f t="shared" si="97"/>
        <v>60840.999999999978</v>
      </c>
      <c r="L254" s="307">
        <f t="shared" si="97"/>
        <v>16697.000000000007</v>
      </c>
      <c r="M254" s="307">
        <f t="shared" si="97"/>
        <v>0</v>
      </c>
      <c r="N254" s="307">
        <f t="shared" si="97"/>
        <v>40632.666666666686</v>
      </c>
      <c r="O254" s="309">
        <f t="shared" si="97"/>
        <v>3511.3333333333312</v>
      </c>
      <c r="P254" s="305">
        <f t="shared" si="97"/>
        <v>4609.666666666667</v>
      </c>
      <c r="Q254" s="306">
        <f t="shared" si="97"/>
        <v>2931.6666666666674</v>
      </c>
      <c r="R254" s="307">
        <f t="shared" si="97"/>
        <v>1001.6666666666671</v>
      </c>
      <c r="S254" s="307">
        <f t="shared" si="97"/>
        <v>193</v>
      </c>
      <c r="T254" s="307">
        <f t="shared" si="97"/>
        <v>1701</v>
      </c>
      <c r="U254" s="308">
        <f t="shared" si="97"/>
        <v>35.999999999999993</v>
      </c>
      <c r="V254" s="306">
        <f t="shared" si="97"/>
        <v>1678.0000000000014</v>
      </c>
      <c r="W254" s="307">
        <f t="shared" si="97"/>
        <v>507.99999999999977</v>
      </c>
      <c r="X254" s="307">
        <f t="shared" si="97"/>
        <v>0</v>
      </c>
      <c r="Y254" s="307">
        <f t="shared" si="97"/>
        <v>1066.666666666667</v>
      </c>
      <c r="Z254" s="309">
        <f t="shared" si="97"/>
        <v>103.3333333333333</v>
      </c>
    </row>
    <row r="255" spans="1:26" ht="14.25" x14ac:dyDescent="0.2">
      <c r="A255" s="342" t="s">
        <v>483</v>
      </c>
      <c r="B255" s="329">
        <v>45778</v>
      </c>
      <c r="C255" s="330">
        <v>2025</v>
      </c>
      <c r="D255" s="305">
        <f t="shared" ref="D255:Z255" si="98">D144/3+D254</f>
        <v>5903103.6666666642</v>
      </c>
      <c r="E255" s="305">
        <f t="shared" si="98"/>
        <v>230099.00000000003</v>
      </c>
      <c r="F255" s="306">
        <f t="shared" si="98"/>
        <v>167869.99999999991</v>
      </c>
      <c r="G255" s="307">
        <f t="shared" si="98"/>
        <v>59699.666666666664</v>
      </c>
      <c r="H255" s="307">
        <f t="shared" si="98"/>
        <v>8670.3333333333321</v>
      </c>
      <c r="I255" s="307">
        <f t="shared" si="98"/>
        <v>98269.666666666657</v>
      </c>
      <c r="J255" s="308">
        <f t="shared" si="98"/>
        <v>1230.3333333333335</v>
      </c>
      <c r="K255" s="306">
        <f t="shared" si="98"/>
        <v>62228.999999999978</v>
      </c>
      <c r="L255" s="307">
        <f t="shared" si="98"/>
        <v>16933.000000000007</v>
      </c>
      <c r="M255" s="307">
        <f t="shared" si="98"/>
        <v>0</v>
      </c>
      <c r="N255" s="307">
        <f t="shared" si="98"/>
        <v>41762.33333333335</v>
      </c>
      <c r="O255" s="309">
        <f t="shared" si="98"/>
        <v>3533.6666666666647</v>
      </c>
      <c r="P255" s="305">
        <f t="shared" si="98"/>
        <v>4701.3333333333339</v>
      </c>
      <c r="Q255" s="306">
        <f t="shared" si="98"/>
        <v>2992.3333333333339</v>
      </c>
      <c r="R255" s="307">
        <f t="shared" si="98"/>
        <v>1008.3333333333337</v>
      </c>
      <c r="S255" s="307">
        <f t="shared" si="98"/>
        <v>202</v>
      </c>
      <c r="T255" s="307">
        <f t="shared" si="98"/>
        <v>1742</v>
      </c>
      <c r="U255" s="308">
        <f t="shared" si="98"/>
        <v>39.999999999999993</v>
      </c>
      <c r="V255" s="306">
        <f t="shared" si="98"/>
        <v>1709.0000000000014</v>
      </c>
      <c r="W255" s="307">
        <f t="shared" si="98"/>
        <v>511.99999999999977</v>
      </c>
      <c r="X255" s="307">
        <f t="shared" si="98"/>
        <v>0</v>
      </c>
      <c r="Y255" s="307">
        <f t="shared" si="98"/>
        <v>1093.3333333333337</v>
      </c>
      <c r="Z255" s="309">
        <f t="shared" si="98"/>
        <v>103.66666666666663</v>
      </c>
    </row>
    <row r="256" spans="1:26" ht="14.25" x14ac:dyDescent="0.2">
      <c r="A256" s="342" t="s">
        <v>483</v>
      </c>
      <c r="B256" s="329">
        <v>45809</v>
      </c>
      <c r="C256" s="330">
        <v>2025</v>
      </c>
      <c r="D256" s="305">
        <f t="shared" ref="D256:Z256" si="99">D145/3+D255</f>
        <v>5970504.9999999972</v>
      </c>
      <c r="E256" s="305">
        <f t="shared" si="99"/>
        <v>233997.00000000003</v>
      </c>
      <c r="F256" s="306">
        <f t="shared" si="99"/>
        <v>170379.99999999991</v>
      </c>
      <c r="G256" s="307">
        <f t="shared" si="99"/>
        <v>60064</v>
      </c>
      <c r="H256" s="307">
        <f t="shared" si="99"/>
        <v>9030.9999999999982</v>
      </c>
      <c r="I256" s="307">
        <f t="shared" si="99"/>
        <v>99994.999999999985</v>
      </c>
      <c r="J256" s="308">
        <f t="shared" si="99"/>
        <v>1290.0000000000002</v>
      </c>
      <c r="K256" s="306">
        <f t="shared" si="99"/>
        <v>63616.999999999978</v>
      </c>
      <c r="L256" s="307">
        <f t="shared" si="99"/>
        <v>17169.000000000007</v>
      </c>
      <c r="M256" s="307">
        <f t="shared" si="99"/>
        <v>0</v>
      </c>
      <c r="N256" s="307">
        <f t="shared" si="99"/>
        <v>42892.000000000015</v>
      </c>
      <c r="O256" s="309">
        <f t="shared" si="99"/>
        <v>3555.9999999999982</v>
      </c>
      <c r="P256" s="305">
        <f t="shared" si="99"/>
        <v>4793.0000000000009</v>
      </c>
      <c r="Q256" s="306">
        <f t="shared" si="99"/>
        <v>3053.0000000000005</v>
      </c>
      <c r="R256" s="307">
        <f t="shared" si="99"/>
        <v>1015.0000000000003</v>
      </c>
      <c r="S256" s="307">
        <f t="shared" si="99"/>
        <v>211</v>
      </c>
      <c r="T256" s="307">
        <f t="shared" si="99"/>
        <v>1783</v>
      </c>
      <c r="U256" s="308">
        <f t="shared" si="99"/>
        <v>43.999999999999993</v>
      </c>
      <c r="V256" s="306">
        <f t="shared" si="99"/>
        <v>1740.0000000000014</v>
      </c>
      <c r="W256" s="307">
        <f t="shared" si="99"/>
        <v>515.99999999999977</v>
      </c>
      <c r="X256" s="307">
        <f t="shared" si="99"/>
        <v>0</v>
      </c>
      <c r="Y256" s="307">
        <f t="shared" si="99"/>
        <v>1120.0000000000005</v>
      </c>
      <c r="Z256" s="309">
        <f t="shared" si="99"/>
        <v>103.99999999999996</v>
      </c>
    </row>
    <row r="257" spans="1:26" ht="14.25" x14ac:dyDescent="0.2">
      <c r="A257" s="342" t="s">
        <v>484</v>
      </c>
      <c r="B257" s="329">
        <v>45839</v>
      </c>
      <c r="C257" s="330">
        <v>2025</v>
      </c>
      <c r="D257" s="305">
        <f t="shared" ref="D257:Z257" si="100">D146/3+D256</f>
        <v>6032104.6666666642</v>
      </c>
      <c r="E257" s="305">
        <f t="shared" si="100"/>
        <v>237960.33333333337</v>
      </c>
      <c r="F257" s="306">
        <f t="shared" si="100"/>
        <v>172855.33333333326</v>
      </c>
      <c r="G257" s="307">
        <f t="shared" si="100"/>
        <v>60450</v>
      </c>
      <c r="H257" s="307">
        <f t="shared" si="100"/>
        <v>9300.3333333333321</v>
      </c>
      <c r="I257" s="307">
        <f t="shared" si="100"/>
        <v>101697.66666666666</v>
      </c>
      <c r="J257" s="308">
        <f t="shared" si="100"/>
        <v>1407.3333333333335</v>
      </c>
      <c r="K257" s="306">
        <f t="shared" si="100"/>
        <v>65104.999999999978</v>
      </c>
      <c r="L257" s="307">
        <f t="shared" si="100"/>
        <v>17456.000000000007</v>
      </c>
      <c r="M257" s="307">
        <f t="shared" si="100"/>
        <v>0</v>
      </c>
      <c r="N257" s="307">
        <f t="shared" si="100"/>
        <v>44071.666666666679</v>
      </c>
      <c r="O257" s="309">
        <f t="shared" si="100"/>
        <v>3577.3333333333317</v>
      </c>
      <c r="P257" s="305">
        <f t="shared" si="100"/>
        <v>4908.3333333333339</v>
      </c>
      <c r="Q257" s="306">
        <f t="shared" si="100"/>
        <v>3120.666666666667</v>
      </c>
      <c r="R257" s="307">
        <f t="shared" si="100"/>
        <v>1024.3333333333337</v>
      </c>
      <c r="S257" s="307">
        <f t="shared" si="100"/>
        <v>216</v>
      </c>
      <c r="T257" s="307">
        <f t="shared" si="100"/>
        <v>1825.3333333333333</v>
      </c>
      <c r="U257" s="308">
        <f t="shared" si="100"/>
        <v>54.999999999999993</v>
      </c>
      <c r="V257" s="306">
        <f t="shared" si="100"/>
        <v>1787.6666666666681</v>
      </c>
      <c r="W257" s="307">
        <f t="shared" si="100"/>
        <v>528.33333333333314</v>
      </c>
      <c r="X257" s="307">
        <f t="shared" si="100"/>
        <v>0</v>
      </c>
      <c r="Y257" s="307">
        <f t="shared" si="100"/>
        <v>1155.0000000000005</v>
      </c>
      <c r="Z257" s="309">
        <f t="shared" si="100"/>
        <v>104.33333333333329</v>
      </c>
    </row>
    <row r="258" spans="1:26" ht="14.25" x14ac:dyDescent="0.2">
      <c r="A258" s="342" t="s">
        <v>484</v>
      </c>
      <c r="B258" s="329">
        <v>45870</v>
      </c>
      <c r="C258" s="330">
        <v>2025</v>
      </c>
      <c r="D258" s="305">
        <f t="shared" ref="D258:Z258" si="101">D147/3+D257</f>
        <v>6093704.3333333312</v>
      </c>
      <c r="E258" s="305">
        <f t="shared" si="101"/>
        <v>241923.66666666672</v>
      </c>
      <c r="F258" s="306">
        <f t="shared" si="101"/>
        <v>175330.6666666666</v>
      </c>
      <c r="G258" s="307">
        <f t="shared" si="101"/>
        <v>60836</v>
      </c>
      <c r="H258" s="307">
        <f t="shared" si="101"/>
        <v>9569.6666666666661</v>
      </c>
      <c r="I258" s="307">
        <f t="shared" si="101"/>
        <v>103400.33333333333</v>
      </c>
      <c r="J258" s="308">
        <f t="shared" si="101"/>
        <v>1524.6666666666667</v>
      </c>
      <c r="K258" s="306">
        <f t="shared" si="101"/>
        <v>66592.999999999971</v>
      </c>
      <c r="L258" s="307">
        <f t="shared" si="101"/>
        <v>17743.000000000007</v>
      </c>
      <c r="M258" s="307">
        <f t="shared" si="101"/>
        <v>0</v>
      </c>
      <c r="N258" s="307">
        <f t="shared" si="101"/>
        <v>45251.333333333343</v>
      </c>
      <c r="O258" s="309">
        <f t="shared" si="101"/>
        <v>3598.6666666666652</v>
      </c>
      <c r="P258" s="305">
        <f t="shared" si="101"/>
        <v>5023.666666666667</v>
      </c>
      <c r="Q258" s="306">
        <f t="shared" si="101"/>
        <v>3188.3333333333335</v>
      </c>
      <c r="R258" s="307">
        <f t="shared" si="101"/>
        <v>1033.666666666667</v>
      </c>
      <c r="S258" s="307">
        <f t="shared" si="101"/>
        <v>221</v>
      </c>
      <c r="T258" s="307">
        <f t="shared" si="101"/>
        <v>1867.6666666666665</v>
      </c>
      <c r="U258" s="308">
        <f t="shared" si="101"/>
        <v>66</v>
      </c>
      <c r="V258" s="306">
        <f t="shared" si="101"/>
        <v>1835.3333333333348</v>
      </c>
      <c r="W258" s="307">
        <f t="shared" si="101"/>
        <v>540.66666666666652</v>
      </c>
      <c r="X258" s="307">
        <f t="shared" si="101"/>
        <v>0</v>
      </c>
      <c r="Y258" s="307">
        <f t="shared" si="101"/>
        <v>1190.0000000000005</v>
      </c>
      <c r="Z258" s="309">
        <f t="shared" si="101"/>
        <v>104.66666666666661</v>
      </c>
    </row>
    <row r="259" spans="1:26" ht="14.25" x14ac:dyDescent="0.2">
      <c r="A259" s="342" t="s">
        <v>484</v>
      </c>
      <c r="B259" s="329">
        <v>45901</v>
      </c>
      <c r="C259" s="330">
        <v>2025</v>
      </c>
      <c r="D259" s="305">
        <f t="shared" ref="D259:Z259" si="102">D148/3+D258</f>
        <v>6155303.9999999981</v>
      </c>
      <c r="E259" s="305">
        <f t="shared" si="102"/>
        <v>245887.00000000006</v>
      </c>
      <c r="F259" s="306">
        <f t="shared" si="102"/>
        <v>177805.99999999994</v>
      </c>
      <c r="G259" s="307">
        <f t="shared" si="102"/>
        <v>61222</v>
      </c>
      <c r="H259" s="307">
        <f t="shared" si="102"/>
        <v>9839</v>
      </c>
      <c r="I259" s="307">
        <f t="shared" si="102"/>
        <v>105103</v>
      </c>
      <c r="J259" s="308">
        <f t="shared" si="102"/>
        <v>1642</v>
      </c>
      <c r="K259" s="306">
        <f t="shared" si="102"/>
        <v>68080.999999999971</v>
      </c>
      <c r="L259" s="307">
        <f t="shared" si="102"/>
        <v>18030.000000000007</v>
      </c>
      <c r="M259" s="307">
        <f t="shared" si="102"/>
        <v>0</v>
      </c>
      <c r="N259" s="307">
        <f t="shared" si="102"/>
        <v>46431.000000000007</v>
      </c>
      <c r="O259" s="309">
        <f t="shared" si="102"/>
        <v>3619.9999999999986</v>
      </c>
      <c r="P259" s="305">
        <f t="shared" si="102"/>
        <v>5139</v>
      </c>
      <c r="Q259" s="306">
        <f t="shared" si="102"/>
        <v>3256</v>
      </c>
      <c r="R259" s="307">
        <f t="shared" si="102"/>
        <v>1043.0000000000002</v>
      </c>
      <c r="S259" s="307">
        <f t="shared" si="102"/>
        <v>226</v>
      </c>
      <c r="T259" s="307">
        <f t="shared" si="102"/>
        <v>1909.9999999999998</v>
      </c>
      <c r="U259" s="308">
        <f t="shared" si="102"/>
        <v>77</v>
      </c>
      <c r="V259" s="306">
        <f t="shared" si="102"/>
        <v>1883.0000000000016</v>
      </c>
      <c r="W259" s="307">
        <f t="shared" si="102"/>
        <v>552.99999999999989</v>
      </c>
      <c r="X259" s="307">
        <f t="shared" si="102"/>
        <v>0</v>
      </c>
      <c r="Y259" s="307">
        <f t="shared" si="102"/>
        <v>1225.0000000000005</v>
      </c>
      <c r="Z259" s="309">
        <f t="shared" si="102"/>
        <v>104.99999999999994</v>
      </c>
    </row>
    <row r="260" spans="1:26" ht="14.25" x14ac:dyDescent="0.2">
      <c r="A260" s="342" t="s">
        <v>485</v>
      </c>
      <c r="B260" s="329">
        <v>45931</v>
      </c>
      <c r="C260" s="330">
        <v>2025</v>
      </c>
      <c r="D260" s="305">
        <f t="shared" ref="D260:Z260" si="103">D149/3+D259</f>
        <v>6206700.6666666651</v>
      </c>
      <c r="E260" s="305">
        <f t="shared" si="103"/>
        <v>249640.66666666672</v>
      </c>
      <c r="F260" s="306">
        <f t="shared" si="103"/>
        <v>180301.99999999994</v>
      </c>
      <c r="G260" s="307">
        <f t="shared" si="103"/>
        <v>61468.666666666664</v>
      </c>
      <c r="H260" s="307">
        <f t="shared" si="103"/>
        <v>10048</v>
      </c>
      <c r="I260" s="307">
        <f t="shared" si="103"/>
        <v>107031</v>
      </c>
      <c r="J260" s="308">
        <f t="shared" si="103"/>
        <v>1754.3333333333333</v>
      </c>
      <c r="K260" s="306">
        <f t="shared" si="103"/>
        <v>69338.666666666642</v>
      </c>
      <c r="L260" s="307">
        <f t="shared" si="103"/>
        <v>18272.666666666675</v>
      </c>
      <c r="M260" s="307">
        <f t="shared" si="103"/>
        <v>0</v>
      </c>
      <c r="N260" s="307">
        <f t="shared" si="103"/>
        <v>47424.333333333343</v>
      </c>
      <c r="O260" s="309">
        <f t="shared" si="103"/>
        <v>3641.6666666666652</v>
      </c>
      <c r="P260" s="305">
        <f t="shared" si="103"/>
        <v>5241</v>
      </c>
      <c r="Q260" s="306">
        <f t="shared" si="103"/>
        <v>3308</v>
      </c>
      <c r="R260" s="307">
        <f t="shared" si="103"/>
        <v>1048.666666666667</v>
      </c>
      <c r="S260" s="307">
        <f t="shared" si="103"/>
        <v>228</v>
      </c>
      <c r="T260" s="307">
        <f t="shared" si="103"/>
        <v>1951.9999999999998</v>
      </c>
      <c r="U260" s="308">
        <f t="shared" si="103"/>
        <v>79.333333333333329</v>
      </c>
      <c r="V260" s="306">
        <f t="shared" si="103"/>
        <v>1933.0000000000016</v>
      </c>
      <c r="W260" s="307">
        <f t="shared" si="103"/>
        <v>570.99999999999989</v>
      </c>
      <c r="X260" s="307">
        <f t="shared" si="103"/>
        <v>0</v>
      </c>
      <c r="Y260" s="307">
        <f t="shared" si="103"/>
        <v>1256.6666666666672</v>
      </c>
      <c r="Z260" s="309">
        <f t="shared" si="103"/>
        <v>105.33333333333327</v>
      </c>
    </row>
    <row r="261" spans="1:26" ht="14.25" x14ac:dyDescent="0.2">
      <c r="A261" s="342" t="s">
        <v>485</v>
      </c>
      <c r="B261" s="329">
        <v>45962</v>
      </c>
      <c r="C261" s="330">
        <v>2025</v>
      </c>
      <c r="D261" s="305">
        <f t="shared" ref="D261:Z261" si="104">D150/3+D260</f>
        <v>6258097.3333333321</v>
      </c>
      <c r="E261" s="305">
        <f t="shared" si="104"/>
        <v>253394.33333333337</v>
      </c>
      <c r="F261" s="306">
        <f t="shared" si="104"/>
        <v>182797.99999999994</v>
      </c>
      <c r="G261" s="307">
        <f t="shared" si="104"/>
        <v>61715.333333333328</v>
      </c>
      <c r="H261" s="307">
        <f t="shared" si="104"/>
        <v>10257</v>
      </c>
      <c r="I261" s="307">
        <f t="shared" si="104"/>
        <v>108959</v>
      </c>
      <c r="J261" s="308">
        <f t="shared" si="104"/>
        <v>1866.6666666666665</v>
      </c>
      <c r="K261" s="306">
        <f t="shared" si="104"/>
        <v>70596.333333333314</v>
      </c>
      <c r="L261" s="307">
        <f t="shared" si="104"/>
        <v>18515.333333333343</v>
      </c>
      <c r="M261" s="307">
        <f t="shared" si="104"/>
        <v>0</v>
      </c>
      <c r="N261" s="307">
        <f t="shared" si="104"/>
        <v>48417.666666666679</v>
      </c>
      <c r="O261" s="309">
        <f t="shared" si="104"/>
        <v>3663.3333333333317</v>
      </c>
      <c r="P261" s="305">
        <f t="shared" si="104"/>
        <v>5343</v>
      </c>
      <c r="Q261" s="306">
        <f t="shared" si="104"/>
        <v>3360</v>
      </c>
      <c r="R261" s="307">
        <f t="shared" si="104"/>
        <v>1054.3333333333337</v>
      </c>
      <c r="S261" s="307">
        <f t="shared" si="104"/>
        <v>230</v>
      </c>
      <c r="T261" s="307">
        <f t="shared" si="104"/>
        <v>1993.9999999999998</v>
      </c>
      <c r="U261" s="308">
        <f t="shared" si="104"/>
        <v>81.666666666666657</v>
      </c>
      <c r="V261" s="306">
        <f t="shared" si="104"/>
        <v>1983.0000000000016</v>
      </c>
      <c r="W261" s="307">
        <f t="shared" si="104"/>
        <v>588.99999999999989</v>
      </c>
      <c r="X261" s="307">
        <f t="shared" si="104"/>
        <v>0</v>
      </c>
      <c r="Y261" s="307">
        <f t="shared" si="104"/>
        <v>1288.3333333333339</v>
      </c>
      <c r="Z261" s="309">
        <f t="shared" si="104"/>
        <v>105.6666666666666</v>
      </c>
    </row>
    <row r="262" spans="1:26" ht="15" thickBot="1" x14ac:dyDescent="0.25">
      <c r="A262" s="343" t="s">
        <v>485</v>
      </c>
      <c r="B262" s="344">
        <v>45992</v>
      </c>
      <c r="C262" s="345">
        <v>2025</v>
      </c>
      <c r="D262" s="310">
        <f t="shared" ref="D262:Z262" si="105">D151/3+D261</f>
        <v>6309493.9999999991</v>
      </c>
      <c r="E262" s="310">
        <f t="shared" si="105"/>
        <v>257148.00000000003</v>
      </c>
      <c r="F262" s="311">
        <f t="shared" si="105"/>
        <v>185293.99999999994</v>
      </c>
      <c r="G262" s="312">
        <f t="shared" si="105"/>
        <v>61961.999999999993</v>
      </c>
      <c r="H262" s="312">
        <f t="shared" si="105"/>
        <v>10466</v>
      </c>
      <c r="I262" s="312">
        <f t="shared" si="105"/>
        <v>110887</v>
      </c>
      <c r="J262" s="313">
        <f t="shared" si="105"/>
        <v>1978.9999999999998</v>
      </c>
      <c r="K262" s="311">
        <f t="shared" si="105"/>
        <v>71853.999999999985</v>
      </c>
      <c r="L262" s="312">
        <f t="shared" si="105"/>
        <v>18758.000000000011</v>
      </c>
      <c r="M262" s="312">
        <f t="shared" si="105"/>
        <v>0</v>
      </c>
      <c r="N262" s="312">
        <f t="shared" si="105"/>
        <v>49411.000000000015</v>
      </c>
      <c r="O262" s="314">
        <f t="shared" si="105"/>
        <v>3684.9999999999982</v>
      </c>
      <c r="P262" s="310">
        <f t="shared" si="105"/>
        <v>5445</v>
      </c>
      <c r="Q262" s="311">
        <f t="shared" si="105"/>
        <v>3412</v>
      </c>
      <c r="R262" s="312">
        <f t="shared" si="105"/>
        <v>1060.0000000000005</v>
      </c>
      <c r="S262" s="312">
        <f t="shared" si="105"/>
        <v>232</v>
      </c>
      <c r="T262" s="312">
        <f t="shared" si="105"/>
        <v>2035.9999999999998</v>
      </c>
      <c r="U262" s="313">
        <f t="shared" si="105"/>
        <v>83.999999999999986</v>
      </c>
      <c r="V262" s="311">
        <f t="shared" si="105"/>
        <v>2033.0000000000016</v>
      </c>
      <c r="W262" s="312">
        <f t="shared" si="105"/>
        <v>606.99999999999989</v>
      </c>
      <c r="X262" s="312">
        <f t="shared" si="105"/>
        <v>0</v>
      </c>
      <c r="Y262" s="312">
        <f t="shared" si="105"/>
        <v>1320.0000000000007</v>
      </c>
      <c r="Z262" s="314">
        <f t="shared" si="105"/>
        <v>105.99999999999993</v>
      </c>
    </row>
    <row r="263" spans="1:26" ht="14.25" x14ac:dyDescent="0.2">
      <c r="A263" s="292"/>
      <c r="B263" s="292"/>
      <c r="C263" s="292"/>
      <c r="D263" s="292"/>
      <c r="E263" s="292"/>
      <c r="F263" s="292"/>
      <c r="G263" s="292"/>
      <c r="H263" s="292"/>
      <c r="I263" s="292"/>
      <c r="J263" s="292"/>
      <c r="K263" s="292"/>
      <c r="L263" s="292"/>
      <c r="M263" s="292"/>
      <c r="N263" s="292"/>
      <c r="O263" s="292"/>
      <c r="P263" s="292"/>
      <c r="Q263" s="292"/>
      <c r="R263" s="292"/>
      <c r="S263" s="292"/>
      <c r="T263" s="292"/>
      <c r="U263" s="292"/>
      <c r="V263" s="292"/>
      <c r="W263" s="292"/>
      <c r="X263" s="292"/>
      <c r="Y263" s="292"/>
      <c r="Z263" s="292"/>
    </row>
    <row r="264" spans="1:26" ht="14.25" x14ac:dyDescent="0.2">
      <c r="A264" s="292"/>
      <c r="B264" s="292"/>
      <c r="C264" s="292"/>
      <c r="D264" s="292"/>
      <c r="E264" s="292"/>
      <c r="F264" s="292"/>
      <c r="G264" s="292"/>
      <c r="H264" s="292"/>
      <c r="I264" s="292"/>
      <c r="J264" s="292"/>
      <c r="K264" s="292"/>
      <c r="L264" s="292"/>
      <c r="M264" s="292"/>
      <c r="N264" s="292"/>
      <c r="O264" s="292"/>
      <c r="P264" s="292"/>
      <c r="Q264" s="292"/>
      <c r="R264" s="292"/>
      <c r="S264" s="292"/>
      <c r="T264" s="292"/>
      <c r="U264" s="292"/>
      <c r="V264" s="292"/>
      <c r="W264" s="292"/>
      <c r="X264" s="292"/>
      <c r="Y264" s="292"/>
      <c r="Z264" s="292"/>
    </row>
    <row r="265" spans="1:26" ht="14.25" x14ac:dyDescent="0.2">
      <c r="A265" s="292"/>
      <c r="B265" s="292"/>
      <c r="C265" s="292"/>
      <c r="D265" s="292"/>
      <c r="E265" s="292"/>
      <c r="F265" s="292"/>
      <c r="G265" s="292"/>
      <c r="H265" s="292"/>
      <c r="I265" s="292"/>
      <c r="J265" s="292"/>
      <c r="K265" s="292"/>
      <c r="L265" s="292"/>
      <c r="M265" s="292"/>
      <c r="N265" s="292"/>
      <c r="O265" s="292"/>
      <c r="P265" s="292"/>
      <c r="Q265" s="292"/>
      <c r="R265" s="292"/>
      <c r="S265" s="292"/>
      <c r="T265" s="292"/>
      <c r="U265" s="292"/>
      <c r="V265" s="292"/>
      <c r="W265" s="292"/>
      <c r="X265" s="292"/>
      <c r="Y265" s="292"/>
      <c r="Z265" s="292"/>
    </row>
    <row r="266" spans="1:26" ht="14.25" x14ac:dyDescent="0.2">
      <c r="A266" s="292"/>
      <c r="B266" s="292"/>
      <c r="C266" s="292"/>
      <c r="D266" s="292"/>
      <c r="E266" s="292"/>
      <c r="F266" s="292"/>
      <c r="G266" s="292"/>
      <c r="H266" s="292"/>
      <c r="I266" s="292"/>
      <c r="J266" s="292"/>
      <c r="K266" s="292"/>
      <c r="L266" s="292"/>
      <c r="M266" s="292"/>
      <c r="N266" s="292"/>
      <c r="O266" s="292"/>
      <c r="P266" s="292"/>
      <c r="Q266" s="292"/>
      <c r="R266" s="292"/>
      <c r="S266" s="292"/>
      <c r="T266" s="292"/>
      <c r="U266" s="292"/>
      <c r="V266" s="292"/>
      <c r="W266" s="292"/>
      <c r="X266" s="292"/>
      <c r="Y266" s="292"/>
      <c r="Z266" s="292"/>
    </row>
    <row r="267" spans="1:26" ht="14.25" x14ac:dyDescent="0.2">
      <c r="A267" s="292"/>
      <c r="B267" s="292"/>
      <c r="C267" s="292"/>
      <c r="D267" s="292"/>
      <c r="E267" s="292"/>
      <c r="F267" s="292"/>
      <c r="G267" s="292"/>
      <c r="H267" s="292"/>
      <c r="I267" s="292"/>
      <c r="J267" s="292"/>
      <c r="K267" s="292"/>
      <c r="L267" s="292"/>
      <c r="M267" s="292"/>
      <c r="N267" s="292"/>
      <c r="O267" s="292"/>
      <c r="P267" s="292"/>
      <c r="Q267" s="292"/>
      <c r="R267" s="292"/>
      <c r="S267" s="292"/>
      <c r="T267" s="292"/>
      <c r="U267" s="292"/>
      <c r="V267" s="292"/>
      <c r="W267" s="292"/>
      <c r="X267" s="292"/>
      <c r="Y267" s="292"/>
      <c r="Z267" s="292"/>
    </row>
  </sheetData>
  <mergeCells count="11">
    <mergeCell ref="D2:O2"/>
    <mergeCell ref="P2:Z2"/>
    <mergeCell ref="A153:Z153"/>
    <mergeCell ref="A42:Z42"/>
    <mergeCell ref="Q3:U3"/>
    <mergeCell ref="V3:Z3"/>
    <mergeCell ref="D3:D4"/>
    <mergeCell ref="E3:E4"/>
    <mergeCell ref="F3:J3"/>
    <mergeCell ref="K3:O3"/>
    <mergeCell ref="P3:P4"/>
  </mergeCells>
  <phoneticPr fontId="4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C5F2-950D-478E-8B00-F4B57990C48E}">
  <sheetPr codeName="Sheet16">
    <tabColor theme="3" tint="0.499984740745262"/>
  </sheetPr>
  <dimension ref="B1:AD137"/>
  <sheetViews>
    <sheetView topLeftCell="D92" zoomScaleNormal="100" workbookViewId="0">
      <selection activeCell="O109" sqref="O109"/>
    </sheetView>
  </sheetViews>
  <sheetFormatPr defaultColWidth="8.83203125" defaultRowHeight="15" x14ac:dyDescent="0.25"/>
  <cols>
    <col min="1" max="1" width="2.83203125" style="74" customWidth="1"/>
    <col min="2" max="2" width="37.6640625" style="74" customWidth="1"/>
    <col min="3" max="3" width="13.6640625" style="74" customWidth="1"/>
    <col min="4" max="4" width="17.1640625" style="74" customWidth="1"/>
    <col min="5" max="5" width="33.83203125" style="74" customWidth="1"/>
    <col min="6" max="7" width="18.6640625" style="74" bestFit="1" customWidth="1"/>
    <col min="8" max="8" width="18.83203125" style="74" bestFit="1" customWidth="1"/>
    <col min="9" max="9" width="18.1640625" style="74" customWidth="1"/>
    <col min="10" max="10" width="23.6640625" style="74" customWidth="1"/>
    <col min="11" max="11" width="13.83203125" style="74" bestFit="1" customWidth="1"/>
    <col min="12" max="12" width="16.1640625" style="74" bestFit="1" customWidth="1"/>
    <col min="13" max="17" width="13.1640625" style="74" customWidth="1"/>
    <col min="18" max="21" width="12.6640625" style="74" bestFit="1" customWidth="1"/>
    <col min="22" max="23" width="13.1640625" style="74" bestFit="1" customWidth="1"/>
    <col min="24" max="24" width="14.33203125" style="74" customWidth="1"/>
    <col min="25" max="25" width="11.1640625" style="74" customWidth="1"/>
    <col min="26" max="26" width="13.1640625" style="74" customWidth="1"/>
    <col min="27" max="27" width="10" style="74" customWidth="1"/>
    <col min="28" max="16384" width="8.83203125" style="74"/>
  </cols>
  <sheetData>
    <row r="1" spans="2:24" x14ac:dyDescent="0.25">
      <c r="C1" s="74" t="s">
        <v>227</v>
      </c>
      <c r="D1" s="74" t="s">
        <v>228</v>
      </c>
    </row>
    <row r="2" spans="2:24" x14ac:dyDescent="0.25">
      <c r="C2" s="74" t="s">
        <v>229</v>
      </c>
      <c r="D2" s="74" t="s">
        <v>230</v>
      </c>
    </row>
    <row r="3" spans="2:24" x14ac:dyDescent="0.25">
      <c r="B3" s="74" t="s">
        <v>231</v>
      </c>
      <c r="C3" s="84">
        <f>39*365</f>
        <v>14235</v>
      </c>
      <c r="D3" s="74">
        <v>20</v>
      </c>
      <c r="E3" s="85">
        <f>C3*D3/100</f>
        <v>2847</v>
      </c>
      <c r="F3" s="67" t="s">
        <v>232</v>
      </c>
      <c r="Q3" s="86"/>
      <c r="R3" s="86"/>
      <c r="S3" s="86"/>
    </row>
    <row r="4" spans="2:24" x14ac:dyDescent="0.25">
      <c r="B4" s="74" t="s">
        <v>233</v>
      </c>
      <c r="C4" s="84">
        <f>C3</f>
        <v>14235</v>
      </c>
      <c r="D4" s="74">
        <v>20</v>
      </c>
      <c r="E4" s="85">
        <f>C4*D4/100</f>
        <v>2847</v>
      </c>
      <c r="K4" s="89"/>
      <c r="O4" s="98"/>
      <c r="P4" s="86"/>
      <c r="Q4" s="86"/>
      <c r="R4" s="86"/>
      <c r="S4" s="86"/>
      <c r="T4" s="87"/>
      <c r="U4" s="87"/>
      <c r="V4" s="87"/>
      <c r="W4" s="87"/>
      <c r="X4" s="86"/>
    </row>
    <row r="5" spans="2:24" x14ac:dyDescent="0.25">
      <c r="B5" s="74" t="s">
        <v>234</v>
      </c>
      <c r="C5" s="84">
        <v>20000</v>
      </c>
      <c r="D5" s="74">
        <v>25</v>
      </c>
      <c r="E5" s="85">
        <f>C5*D5/100</f>
        <v>5000</v>
      </c>
      <c r="F5" s="84"/>
      <c r="G5" s="84"/>
      <c r="H5" s="84"/>
      <c r="I5" s="84"/>
      <c r="L5" s="98"/>
      <c r="M5" s="98"/>
      <c r="N5" s="98"/>
      <c r="O5" s="98"/>
    </row>
    <row r="6" spans="2:24" x14ac:dyDescent="0.25">
      <c r="B6" s="74" t="s">
        <v>235</v>
      </c>
      <c r="C6" s="84">
        <v>20000</v>
      </c>
      <c r="D6" s="74">
        <v>30</v>
      </c>
      <c r="E6" s="85">
        <f>C6*D6/100</f>
        <v>6000</v>
      </c>
    </row>
    <row r="7" spans="2:24" x14ac:dyDescent="0.25">
      <c r="C7" s="84"/>
      <c r="E7" s="85"/>
    </row>
    <row r="8" spans="2:24" x14ac:dyDescent="0.25">
      <c r="C8" s="84"/>
      <c r="E8" s="85"/>
    </row>
    <row r="9" spans="2:24" x14ac:dyDescent="0.25">
      <c r="B9" s="573" t="s">
        <v>381</v>
      </c>
      <c r="C9" s="72"/>
      <c r="D9" s="73"/>
      <c r="E9" s="199"/>
      <c r="F9" s="88">
        <v>2017</v>
      </c>
      <c r="G9" s="88">
        <v>2018</v>
      </c>
      <c r="H9" s="88">
        <v>2019</v>
      </c>
      <c r="I9" s="88">
        <v>2020</v>
      </c>
      <c r="J9" s="88">
        <v>2021</v>
      </c>
      <c r="K9" s="88">
        <v>2022</v>
      </c>
      <c r="L9" s="88">
        <v>2023</v>
      </c>
      <c r="M9" s="88">
        <v>2024</v>
      </c>
      <c r="N9" s="88">
        <v>2025</v>
      </c>
      <c r="O9" s="88">
        <v>2026</v>
      </c>
      <c r="P9" s="88">
        <v>2027</v>
      </c>
      <c r="Q9" s="88">
        <v>2028</v>
      </c>
      <c r="R9" s="88">
        <v>2029</v>
      </c>
      <c r="S9" s="88">
        <v>2030</v>
      </c>
      <c r="T9" s="88">
        <v>2031</v>
      </c>
      <c r="U9" s="88">
        <v>2032</v>
      </c>
      <c r="V9" s="88">
        <v>2033</v>
      </c>
      <c r="W9" s="88">
        <v>2034</v>
      </c>
      <c r="X9" s="88">
        <v>2035</v>
      </c>
    </row>
    <row r="10" spans="2:24" x14ac:dyDescent="0.25">
      <c r="B10" s="574"/>
      <c r="C10" s="76"/>
      <c r="X10" s="77"/>
    </row>
    <row r="11" spans="2:24" x14ac:dyDescent="0.25">
      <c r="B11" s="574"/>
      <c r="C11" s="576" t="s">
        <v>236</v>
      </c>
      <c r="D11" s="495" t="s">
        <v>445</v>
      </c>
      <c r="E11" s="74" t="s">
        <v>237</v>
      </c>
      <c r="F11" s="78">
        <f>SUMIFS('EV Data'!$Q$44:$Q$151,'EV Data'!$C$44:$C$151,'EV Forecast'!F9)/3</f>
        <v>48</v>
      </c>
      <c r="G11" s="78">
        <f>SUMIFS('EV Data'!$Q$44:$Q$151,'EV Data'!$C$44:$C$151,'EV Forecast'!G9)/3</f>
        <v>134</v>
      </c>
      <c r="H11" s="78">
        <f>SUMIFS('EV Data'!$Q$44:$Q$151,'EV Data'!$C$44:$C$151,'EV Forecast'!H9)/3</f>
        <v>92</v>
      </c>
      <c r="I11" s="78">
        <f>SUMIFS('EV Data'!$Q$44:$Q$151,'EV Data'!$C$44:$C$151,'EV Forecast'!I9)/3</f>
        <v>139</v>
      </c>
      <c r="J11" s="78">
        <f>SUMIFS('EV Data'!$Q$44:$Q$151,'EV Data'!$C$44:$C$151,'EV Forecast'!J9)/3</f>
        <v>256</v>
      </c>
      <c r="K11" s="78">
        <f>SUMIFS('EV Data'!$Q$44:$Q$151,'EV Data'!$C$44:$C$151,'EV Forecast'!K9)/3</f>
        <v>528</v>
      </c>
      <c r="L11" s="78">
        <f>SUMIFS('EV Data'!$Q$44:$Q$151,'EV Data'!$C$44:$C$151,'EV Forecast'!L9)/3</f>
        <v>652</v>
      </c>
      <c r="M11" s="78">
        <f>SUMIFS('EV Data'!$Q$44:$Q$151,'EV Data'!$C$44:$C$151,'EV Forecast'!M9)/3</f>
        <v>821</v>
      </c>
      <c r="N11" s="78">
        <f>SUMIFS('EV Data'!$Q$44:$Q$151,'EV Data'!$C$44:$C$151,'EV Forecast'!N9)/3</f>
        <v>742</v>
      </c>
      <c r="O11" s="200">
        <f t="shared" ref="O11:W11" si="0">O14+O19+O24</f>
        <v>959.05185175725478</v>
      </c>
      <c r="P11" s="200">
        <f t="shared" si="0"/>
        <v>1200.1100266850344</v>
      </c>
      <c r="Q11" s="200">
        <f t="shared" si="0"/>
        <v>1504.024271144762</v>
      </c>
      <c r="R11" s="200">
        <f t="shared" si="0"/>
        <v>1890.3547195507285</v>
      </c>
      <c r="S11" s="200">
        <f t="shared" si="0"/>
        <v>2382.4393218603791</v>
      </c>
      <c r="T11" s="200">
        <f t="shared" si="0"/>
        <v>3002.6563046211213</v>
      </c>
      <c r="U11" s="200">
        <f t="shared" si="0"/>
        <v>3784.3607232363702</v>
      </c>
      <c r="V11" s="200">
        <f t="shared" si="0"/>
        <v>4769.6048600431495</v>
      </c>
      <c r="W11" s="200">
        <f t="shared" si="0"/>
        <v>6011.3947105032994</v>
      </c>
      <c r="X11" s="201">
        <f>X14+X19+X24</f>
        <v>7576.5634707447489</v>
      </c>
    </row>
    <row r="12" spans="2:24" x14ac:dyDescent="0.25">
      <c r="B12" s="574"/>
      <c r="C12" s="576"/>
      <c r="D12" s="495" t="s">
        <v>445</v>
      </c>
      <c r="E12" s="74" t="s">
        <v>192</v>
      </c>
      <c r="F12" s="78">
        <f>F11</f>
        <v>48</v>
      </c>
      <c r="G12" s="78">
        <f>G11+F12</f>
        <v>182</v>
      </c>
      <c r="H12" s="78">
        <f t="shared" ref="H12:N12" si="1">H11+G12</f>
        <v>274</v>
      </c>
      <c r="I12" s="78">
        <f t="shared" si="1"/>
        <v>413</v>
      </c>
      <c r="J12" s="78">
        <f t="shared" si="1"/>
        <v>669</v>
      </c>
      <c r="K12" s="78">
        <f t="shared" si="1"/>
        <v>1197</v>
      </c>
      <c r="L12" s="78">
        <f t="shared" si="1"/>
        <v>1849</v>
      </c>
      <c r="M12" s="78">
        <f t="shared" si="1"/>
        <v>2670</v>
      </c>
      <c r="N12" s="78">
        <f t="shared" si="1"/>
        <v>3412</v>
      </c>
      <c r="O12" s="200">
        <f t="shared" ref="O12:T12" si="2">N12+O11</f>
        <v>4371.0518517572546</v>
      </c>
      <c r="P12" s="200">
        <f t="shared" si="2"/>
        <v>5571.161878442289</v>
      </c>
      <c r="Q12" s="200">
        <f t="shared" si="2"/>
        <v>7075.1861495870507</v>
      </c>
      <c r="R12" s="200">
        <f t="shared" si="2"/>
        <v>8965.5408691377797</v>
      </c>
      <c r="S12" s="200">
        <f t="shared" si="2"/>
        <v>11347.980190998158</v>
      </c>
      <c r="T12" s="200">
        <f t="shared" si="2"/>
        <v>14350.636495619279</v>
      </c>
      <c r="U12" s="200">
        <f t="shared" ref="U12:X12" si="3">T12+U11-F11</f>
        <v>18086.997218855649</v>
      </c>
      <c r="V12" s="200">
        <f t="shared" si="3"/>
        <v>22722.602078898799</v>
      </c>
      <c r="W12" s="200">
        <f t="shared" si="3"/>
        <v>28641.996789402099</v>
      </c>
      <c r="X12" s="201">
        <f t="shared" si="3"/>
        <v>36079.560260146849</v>
      </c>
    </row>
    <row r="13" spans="2:24" x14ac:dyDescent="0.25">
      <c r="B13" s="574"/>
      <c r="C13" s="76"/>
      <c r="D13" s="495"/>
      <c r="G13" s="496"/>
      <c r="X13" s="77"/>
    </row>
    <row r="14" spans="2:24" x14ac:dyDescent="0.25">
      <c r="B14" s="574"/>
      <c r="C14" s="570" t="s">
        <v>238</v>
      </c>
      <c r="D14" s="90" t="s">
        <v>445</v>
      </c>
      <c r="E14" s="73" t="s">
        <v>237</v>
      </c>
      <c r="F14" s="91">
        <f>SUMIFS('EV Data'!$R$44:$R$151,'EV Data'!$C$44:$C$151,'EV Forecast'!F9)/3+SUMIFS('EV Data'!$T$44:$T$151,'EV Data'!$C$44:$C$151,'EV Forecast'!F9)/3</f>
        <v>48</v>
      </c>
      <c r="G14" s="91">
        <f>SUMIFS('EV Data'!$R$44:$R$151,'EV Data'!$C$44:$C$151,'EV Forecast'!G9)/3+SUMIFS('EV Data'!$T$44:$T$151,'EV Data'!$C$44:$C$151,'EV Forecast'!G9)/3</f>
        <v>134</v>
      </c>
      <c r="H14" s="91">
        <f>SUMIFS('EV Data'!$R$44:$R$151,'EV Data'!$C$44:$C$151,'EV Forecast'!H9)/3+SUMIFS('EV Data'!$T$44:$T$151,'EV Data'!$C$44:$C$151,'EV Forecast'!H9)/3</f>
        <v>92</v>
      </c>
      <c r="I14" s="91">
        <f>SUMIFS('EV Data'!$R$44:$R$151,'EV Data'!$C$44:$C$151,'EV Forecast'!I9)/3+SUMIFS('EV Data'!$T$44:$T$151,'EV Data'!$C$44:$C$151,'EV Forecast'!I9)/3</f>
        <v>139</v>
      </c>
      <c r="J14" s="91">
        <f>SUMIFS('EV Data'!$R$44:$R$151,'EV Data'!$C$44:$C$151,'EV Forecast'!J9)/3+SUMIFS('EV Data'!$T$44:$T$151,'EV Data'!$C$44:$C$151,'EV Forecast'!J9)/3</f>
        <v>256</v>
      </c>
      <c r="K14" s="91">
        <f>SUMIFS('EV Data'!$R$44:$R$151,'EV Data'!$C$44:$C$151,'EV Forecast'!K9)/3+SUMIFS('EV Data'!$T$44:$T$151,'EV Data'!$C$44:$C$151,'EV Forecast'!K9)/3</f>
        <v>499</v>
      </c>
      <c r="L14" s="91">
        <f>SUMIFS('EV Data'!$R$44:$R$151,'EV Data'!$C$44:$C$151,'EV Forecast'!L9)/3+SUMIFS('EV Data'!$T$44:$T$151,'EV Data'!$C$44:$C$151,'EV Forecast'!L9)/3</f>
        <v>604</v>
      </c>
      <c r="M14" s="91">
        <f>SUMIFS('EV Data'!$R$44:$R$151,'EV Data'!$C$44:$C$151,'EV Forecast'!M9)/3+SUMIFS('EV Data'!$T$44:$T$151,'EV Data'!$C$44:$C$151,'EV Forecast'!M9)/3</f>
        <v>728</v>
      </c>
      <c r="N14" s="91">
        <f>SUMIFS('EV Data'!$R$44:$R$151,'EV Data'!$C$44:$C$151,'EV Forecast'!N9)/3+SUMIFS('EV Data'!$T$44:$T$151,'EV Data'!$C$44:$C$151,'EV Forecast'!N9)/3</f>
        <v>596</v>
      </c>
      <c r="O14" s="92">
        <f t="shared" ref="O14:X14" si="4">O35*O75*O37*O30</f>
        <v>895.77717620198041</v>
      </c>
      <c r="P14" s="92">
        <f t="shared" si="4"/>
        <v>1120.9312289693635</v>
      </c>
      <c r="Q14" s="92">
        <f t="shared" si="4"/>
        <v>1404.79434149125</v>
      </c>
      <c r="R14" s="92">
        <f t="shared" si="4"/>
        <v>1765.6361432351814</v>
      </c>
      <c r="S14" s="92">
        <f t="shared" si="4"/>
        <v>2225.2548329877177</v>
      </c>
      <c r="T14" s="92">
        <f t="shared" si="4"/>
        <v>2804.552205107856</v>
      </c>
      <c r="U14" s="92">
        <f t="shared" si="4"/>
        <v>3534.6826724530292</v>
      </c>
      <c r="V14" s="92">
        <f t="shared" si="4"/>
        <v>4454.9240641163015</v>
      </c>
      <c r="W14" s="92">
        <f t="shared" si="4"/>
        <v>5614.785237047985</v>
      </c>
      <c r="X14" s="497">
        <f t="shared" si="4"/>
        <v>7076.6899815721745</v>
      </c>
    </row>
    <row r="15" spans="2:24" x14ac:dyDescent="0.25">
      <c r="B15" s="574"/>
      <c r="C15" s="571"/>
      <c r="D15" s="495" t="s">
        <v>445</v>
      </c>
      <c r="E15" s="74" t="s">
        <v>192</v>
      </c>
      <c r="F15" s="78">
        <f>F14</f>
        <v>48</v>
      </c>
      <c r="G15" s="78">
        <f>F15+G14</f>
        <v>182</v>
      </c>
      <c r="H15" s="78">
        <f t="shared" ref="H15:N15" si="5">G15+H14</f>
        <v>274</v>
      </c>
      <c r="I15" s="78">
        <f>H15+I14</f>
        <v>413</v>
      </c>
      <c r="J15" s="78">
        <f t="shared" si="5"/>
        <v>669</v>
      </c>
      <c r="K15" s="78">
        <f t="shared" si="5"/>
        <v>1168</v>
      </c>
      <c r="L15" s="78">
        <f t="shared" si="5"/>
        <v>1772</v>
      </c>
      <c r="M15" s="93">
        <f t="shared" si="5"/>
        <v>2500</v>
      </c>
      <c r="N15" s="93">
        <f t="shared" si="5"/>
        <v>3096</v>
      </c>
      <c r="O15" s="93">
        <f t="shared" ref="O15:W15" si="6">N15+O14</f>
        <v>3991.7771762019802</v>
      </c>
      <c r="P15" s="93">
        <f t="shared" si="6"/>
        <v>5112.7084051713437</v>
      </c>
      <c r="Q15" s="93">
        <f t="shared" si="6"/>
        <v>6517.5027466625934</v>
      </c>
      <c r="R15" s="93">
        <f t="shared" si="6"/>
        <v>8283.1388898977748</v>
      </c>
      <c r="S15" s="93">
        <f t="shared" si="6"/>
        <v>10508.393722885492</v>
      </c>
      <c r="T15" s="93">
        <f t="shared" si="6"/>
        <v>13312.945927993347</v>
      </c>
      <c r="U15" s="93">
        <f t="shared" si="6"/>
        <v>16847.628600446376</v>
      </c>
      <c r="V15" s="93">
        <f t="shared" si="6"/>
        <v>21302.552664562678</v>
      </c>
      <c r="W15" s="93">
        <f t="shared" si="6"/>
        <v>26917.337901610663</v>
      </c>
      <c r="X15" s="94">
        <f>W15+X14</f>
        <v>33994.02788318284</v>
      </c>
    </row>
    <row r="16" spans="2:24" x14ac:dyDescent="0.25">
      <c r="B16" s="574"/>
      <c r="C16" s="571"/>
      <c r="D16" s="495" t="s">
        <v>445</v>
      </c>
      <c r="E16" s="74" t="s">
        <v>239</v>
      </c>
      <c r="F16" s="78">
        <f>E3</f>
        <v>2847</v>
      </c>
      <c r="G16" s="78">
        <f>F16</f>
        <v>2847</v>
      </c>
      <c r="H16" s="78">
        <f t="shared" ref="H16:W16" si="7">G16</f>
        <v>2847</v>
      </c>
      <c r="I16" s="78">
        <f t="shared" si="7"/>
        <v>2847</v>
      </c>
      <c r="J16" s="78">
        <f t="shared" si="7"/>
        <v>2847</v>
      </c>
      <c r="K16" s="78">
        <f t="shared" si="7"/>
        <v>2847</v>
      </c>
      <c r="L16" s="78">
        <f t="shared" si="7"/>
        <v>2847</v>
      </c>
      <c r="M16" s="78">
        <f t="shared" si="7"/>
        <v>2847</v>
      </c>
      <c r="N16" s="78">
        <f t="shared" si="7"/>
        <v>2847</v>
      </c>
      <c r="O16" s="78">
        <f t="shared" si="7"/>
        <v>2847</v>
      </c>
      <c r="P16" s="78">
        <f t="shared" si="7"/>
        <v>2847</v>
      </c>
      <c r="Q16" s="78">
        <f t="shared" si="7"/>
        <v>2847</v>
      </c>
      <c r="R16" s="78">
        <f t="shared" si="7"/>
        <v>2847</v>
      </c>
      <c r="S16" s="78">
        <f t="shared" si="7"/>
        <v>2847</v>
      </c>
      <c r="T16" s="78">
        <f t="shared" si="7"/>
        <v>2847</v>
      </c>
      <c r="U16" s="78">
        <f t="shared" si="7"/>
        <v>2847</v>
      </c>
      <c r="V16" s="78">
        <f t="shared" si="7"/>
        <v>2847</v>
      </c>
      <c r="W16" s="78">
        <f t="shared" si="7"/>
        <v>2847</v>
      </c>
      <c r="X16" s="79">
        <f>W16</f>
        <v>2847</v>
      </c>
    </row>
    <row r="17" spans="2:24" x14ac:dyDescent="0.25">
      <c r="B17" s="574"/>
      <c r="C17" s="571"/>
      <c r="D17" s="495" t="s">
        <v>445</v>
      </c>
      <c r="E17" s="74" t="s">
        <v>240</v>
      </c>
      <c r="F17" s="78">
        <f>F14*F16</f>
        <v>136656</v>
      </c>
      <c r="G17" s="78">
        <f t="shared" ref="G17:W17" si="8">G14*G16</f>
        <v>381498</v>
      </c>
      <c r="H17" s="78">
        <f t="shared" si="8"/>
        <v>261924</v>
      </c>
      <c r="I17" s="78">
        <f t="shared" si="8"/>
        <v>395733</v>
      </c>
      <c r="J17" s="78">
        <f t="shared" si="8"/>
        <v>728832</v>
      </c>
      <c r="K17" s="78">
        <f t="shared" si="8"/>
        <v>1420653</v>
      </c>
      <c r="L17" s="78">
        <f t="shared" si="8"/>
        <v>1719588</v>
      </c>
      <c r="M17" s="78">
        <f t="shared" si="8"/>
        <v>2072616</v>
      </c>
      <c r="N17" s="78">
        <f>N14*N16</f>
        <v>1696812</v>
      </c>
      <c r="O17" s="78">
        <f t="shared" si="8"/>
        <v>2550277.6206470383</v>
      </c>
      <c r="P17" s="78">
        <f t="shared" si="8"/>
        <v>3191291.2088757777</v>
      </c>
      <c r="Q17" s="78">
        <f t="shared" si="8"/>
        <v>3999449.4902255884</v>
      </c>
      <c r="R17" s="78">
        <f t="shared" si="8"/>
        <v>5026766.099790561</v>
      </c>
      <c r="S17" s="78">
        <f t="shared" si="8"/>
        <v>6335300.5095160324</v>
      </c>
      <c r="T17" s="78">
        <f t="shared" si="8"/>
        <v>7984560.1279420657</v>
      </c>
      <c r="U17" s="78">
        <f t="shared" si="8"/>
        <v>10063241.568473775</v>
      </c>
      <c r="V17" s="78">
        <f t="shared" si="8"/>
        <v>12683168.81053911</v>
      </c>
      <c r="W17" s="78">
        <f t="shared" si="8"/>
        <v>15985293.569875613</v>
      </c>
      <c r="X17" s="79">
        <f>X14*X16</f>
        <v>20147336.37753598</v>
      </c>
    </row>
    <row r="18" spans="2:24" x14ac:dyDescent="0.25">
      <c r="B18" s="574"/>
      <c r="C18" s="572"/>
      <c r="D18" s="95" t="s">
        <v>445</v>
      </c>
      <c r="E18" s="81" t="s">
        <v>241</v>
      </c>
      <c r="F18" s="83">
        <f>F15*F16-F14*F16/2</f>
        <v>68328</v>
      </c>
      <c r="G18" s="83">
        <f>G15*G16-G14*G16/2</f>
        <v>327405</v>
      </c>
      <c r="H18" s="83">
        <f>H15*H16-H14*H16/2</f>
        <v>649116</v>
      </c>
      <c r="I18" s="83">
        <f>I15*I16-I14*I16/2</f>
        <v>977944.5</v>
      </c>
      <c r="J18" s="83">
        <f>J15*J16-J14*J16/2</f>
        <v>1540227</v>
      </c>
      <c r="K18" s="83">
        <f t="shared" ref="K18:W18" si="9">K15*K16-K14*K16/2</f>
        <v>2614969.5</v>
      </c>
      <c r="L18" s="83">
        <f t="shared" si="9"/>
        <v>4185090</v>
      </c>
      <c r="M18" s="83">
        <f t="shared" si="9"/>
        <v>6081192</v>
      </c>
      <c r="N18" s="83">
        <f>N15*N16-N14*N16/2</f>
        <v>7965906</v>
      </c>
      <c r="O18" s="83">
        <f t="shared" si="9"/>
        <v>10089450.810323518</v>
      </c>
      <c r="P18" s="83">
        <f t="shared" si="9"/>
        <v>12960235.225084925</v>
      </c>
      <c r="Q18" s="83">
        <f t="shared" si="9"/>
        <v>16555605.574635608</v>
      </c>
      <c r="R18" s="83">
        <f t="shared" si="9"/>
        <v>21068713.369643684</v>
      </c>
      <c r="S18" s="83">
        <f t="shared" si="9"/>
        <v>26749746.674296979</v>
      </c>
      <c r="T18" s="83">
        <f t="shared" si="9"/>
        <v>33909676.993026026</v>
      </c>
      <c r="U18" s="83">
        <f t="shared" si="9"/>
        <v>42933577.841233946</v>
      </c>
      <c r="V18" s="83">
        <f t="shared" si="9"/>
        <v>54306783.030740388</v>
      </c>
      <c r="W18" s="83">
        <f t="shared" si="9"/>
        <v>68641014.220947742</v>
      </c>
      <c r="X18" s="202">
        <f>X15*X16-X14*X16/2</f>
        <v>86707329.194653556</v>
      </c>
    </row>
    <row r="19" spans="2:24" x14ac:dyDescent="0.25">
      <c r="B19" s="574"/>
      <c r="C19" s="571" t="s">
        <v>242</v>
      </c>
      <c r="D19" s="90" t="s">
        <v>445</v>
      </c>
      <c r="E19" s="74" t="s">
        <v>237</v>
      </c>
      <c r="F19" s="498">
        <f>SUMIFS('EV Data'!$U$44:$U$151,'EV Data'!$C$44:$C$151,'EV Forecast'!F9)/3</f>
        <v>0</v>
      </c>
      <c r="G19" s="498">
        <f>SUMIFS('EV Data'!$U$44:$U$151,'EV Data'!$C$44:$C$151,'EV Forecast'!G9)/3</f>
        <v>0</v>
      </c>
      <c r="H19" s="498">
        <f>SUMIFS('EV Data'!$U$44:$U$151,'EV Data'!$C$44:$C$151,'EV Forecast'!H9)/3</f>
        <v>0</v>
      </c>
      <c r="I19" s="498">
        <f>SUMIFS('EV Data'!$U$44:$U$151,'EV Data'!$C$44:$C$151,'EV Forecast'!I9)/3</f>
        <v>0</v>
      </c>
      <c r="J19" s="498">
        <f>SUMIFS('EV Data'!$U$44:$U$151,'EV Data'!$C$44:$C$151,'EV Forecast'!J9)/3</f>
        <v>0</v>
      </c>
      <c r="K19" s="498">
        <f>SUMIFS('EV Data'!$U$44:$U$151,'EV Data'!$C$44:$C$151,'EV Forecast'!K9)/3</f>
        <v>6</v>
      </c>
      <c r="L19" s="498">
        <f>SUMIFS('EV Data'!$U$44:$U$151,'EV Data'!$C$44:$C$151,'EV Forecast'!L9)/3</f>
        <v>13</v>
      </c>
      <c r="M19" s="498">
        <f>SUMIFS('EV Data'!$U$44:$U$151,'EV Data'!$C$44:$C$151,'EV Forecast'!M9)/3</f>
        <v>8</v>
      </c>
      <c r="N19" s="498">
        <f>SUMIFS('EV Data'!$U$44:$U$151,'EV Data'!$C$44:$C$151,'EV Forecast'!N9)/3</f>
        <v>57</v>
      </c>
      <c r="O19" s="92">
        <f t="shared" ref="O19:X19" si="10">O35*O75*O38*O30</f>
        <v>14.388071864952789</v>
      </c>
      <c r="P19" s="92">
        <f t="shared" si="10"/>
        <v>18.00452110921443</v>
      </c>
      <c r="Q19" s="92">
        <f t="shared" si="10"/>
        <v>22.563961750570048</v>
      </c>
      <c r="R19" s="92">
        <f t="shared" si="10"/>
        <v>28.35984259382127</v>
      </c>
      <c r="S19" s="92">
        <f t="shared" si="10"/>
        <v>35.742288713595833</v>
      </c>
      <c r="T19" s="92">
        <f t="shared" si="10"/>
        <v>45.047027037675974</v>
      </c>
      <c r="U19" s="92">
        <f t="shared" si="10"/>
        <v>56.774463183677099</v>
      </c>
      <c r="V19" s="92">
        <f t="shared" si="10"/>
        <v>71.555481977317172</v>
      </c>
      <c r="W19" s="92">
        <f t="shared" si="10"/>
        <v>90.185300142885879</v>
      </c>
      <c r="X19" s="497">
        <f t="shared" si="10"/>
        <v>113.66657548985536</v>
      </c>
    </row>
    <row r="20" spans="2:24" x14ac:dyDescent="0.25">
      <c r="B20" s="574"/>
      <c r="C20" s="571"/>
      <c r="D20" s="495" t="s">
        <v>445</v>
      </c>
      <c r="E20" s="74" t="s">
        <v>192</v>
      </c>
      <c r="F20" s="498">
        <f>F19</f>
        <v>0</v>
      </c>
      <c r="G20" s="498">
        <f t="shared" ref="G20:N20" si="11">F20+G19</f>
        <v>0</v>
      </c>
      <c r="H20" s="498">
        <f t="shared" si="11"/>
        <v>0</v>
      </c>
      <c r="I20" s="498">
        <f t="shared" si="11"/>
        <v>0</v>
      </c>
      <c r="J20" s="498">
        <f t="shared" si="11"/>
        <v>0</v>
      </c>
      <c r="K20" s="498">
        <f t="shared" si="11"/>
        <v>6</v>
      </c>
      <c r="L20" s="498">
        <f t="shared" si="11"/>
        <v>19</v>
      </c>
      <c r="M20" s="498">
        <f t="shared" si="11"/>
        <v>27</v>
      </c>
      <c r="N20" s="498">
        <f t="shared" si="11"/>
        <v>84</v>
      </c>
      <c r="O20" s="498">
        <f t="shared" ref="O20:W20" si="12">N20+O19</f>
        <v>98.388071864952792</v>
      </c>
      <c r="P20" s="498">
        <f t="shared" si="12"/>
        <v>116.39259297416723</v>
      </c>
      <c r="Q20" s="498">
        <f t="shared" si="12"/>
        <v>138.95655472473729</v>
      </c>
      <c r="R20" s="498">
        <f t="shared" si="12"/>
        <v>167.31639731855856</v>
      </c>
      <c r="S20" s="498">
        <f t="shared" si="12"/>
        <v>203.05868603215438</v>
      </c>
      <c r="T20" s="498">
        <f t="shared" si="12"/>
        <v>248.10571306983036</v>
      </c>
      <c r="U20" s="498">
        <f t="shared" si="12"/>
        <v>304.88017625350744</v>
      </c>
      <c r="V20" s="498">
        <f t="shared" si="12"/>
        <v>376.43565823082463</v>
      </c>
      <c r="W20" s="498">
        <f t="shared" si="12"/>
        <v>466.62095837371049</v>
      </c>
      <c r="X20" s="96">
        <f>W20+X19</f>
        <v>580.28753386356584</v>
      </c>
    </row>
    <row r="21" spans="2:24" x14ac:dyDescent="0.25">
      <c r="B21" s="574"/>
      <c r="C21" s="571"/>
      <c r="D21" s="495" t="s">
        <v>445</v>
      </c>
      <c r="E21" s="74" t="s">
        <v>239</v>
      </c>
      <c r="F21" s="78"/>
      <c r="G21" s="78"/>
      <c r="H21" s="78"/>
      <c r="I21" s="78"/>
      <c r="J21" s="78"/>
      <c r="K21" s="78">
        <f>E5</f>
        <v>5000</v>
      </c>
      <c r="L21" s="78">
        <f t="shared" ref="L21:W21" si="13">K21</f>
        <v>5000</v>
      </c>
      <c r="M21" s="78">
        <f t="shared" si="13"/>
        <v>5000</v>
      </c>
      <c r="N21" s="78">
        <f t="shared" si="13"/>
        <v>5000</v>
      </c>
      <c r="O21" s="78">
        <f t="shared" si="13"/>
        <v>5000</v>
      </c>
      <c r="P21" s="78">
        <f t="shared" si="13"/>
        <v>5000</v>
      </c>
      <c r="Q21" s="78">
        <f t="shared" si="13"/>
        <v>5000</v>
      </c>
      <c r="R21" s="78">
        <f t="shared" si="13"/>
        <v>5000</v>
      </c>
      <c r="S21" s="78">
        <f t="shared" si="13"/>
        <v>5000</v>
      </c>
      <c r="T21" s="78">
        <f t="shared" si="13"/>
        <v>5000</v>
      </c>
      <c r="U21" s="78">
        <f t="shared" si="13"/>
        <v>5000</v>
      </c>
      <c r="V21" s="78">
        <f t="shared" si="13"/>
        <v>5000</v>
      </c>
      <c r="W21" s="78">
        <f t="shared" si="13"/>
        <v>5000</v>
      </c>
      <c r="X21" s="79">
        <f>W21</f>
        <v>5000</v>
      </c>
    </row>
    <row r="22" spans="2:24" x14ac:dyDescent="0.25">
      <c r="B22" s="574"/>
      <c r="C22" s="571"/>
      <c r="D22" s="495" t="s">
        <v>445</v>
      </c>
      <c r="E22" s="74" t="s">
        <v>240</v>
      </c>
      <c r="F22" s="78">
        <f>F19*F21</f>
        <v>0</v>
      </c>
      <c r="G22" s="78">
        <f t="shared" ref="G22:W22" si="14">G19*G21</f>
        <v>0</v>
      </c>
      <c r="H22" s="78">
        <f t="shared" si="14"/>
        <v>0</v>
      </c>
      <c r="I22" s="78">
        <f t="shared" si="14"/>
        <v>0</v>
      </c>
      <c r="J22" s="78">
        <f t="shared" si="14"/>
        <v>0</v>
      </c>
      <c r="K22" s="78">
        <f t="shared" si="14"/>
        <v>30000</v>
      </c>
      <c r="L22" s="78">
        <f t="shared" si="14"/>
        <v>65000</v>
      </c>
      <c r="M22" s="78">
        <f t="shared" si="14"/>
        <v>40000</v>
      </c>
      <c r="N22" s="78">
        <f>N19*N21</f>
        <v>285000</v>
      </c>
      <c r="O22" s="78">
        <f t="shared" si="14"/>
        <v>71940.359324763936</v>
      </c>
      <c r="P22" s="78">
        <f t="shared" si="14"/>
        <v>90022.605546072155</v>
      </c>
      <c r="Q22" s="78">
        <f t="shared" si="14"/>
        <v>112819.80875285024</v>
      </c>
      <c r="R22" s="78">
        <f t="shared" si="14"/>
        <v>141799.21296910636</v>
      </c>
      <c r="S22" s="78">
        <f t="shared" si="14"/>
        <v>178711.44356797918</v>
      </c>
      <c r="T22" s="78">
        <f t="shared" si="14"/>
        <v>225235.13518837988</v>
      </c>
      <c r="U22" s="78">
        <f t="shared" si="14"/>
        <v>283872.31591838552</v>
      </c>
      <c r="V22" s="78">
        <f t="shared" si="14"/>
        <v>357777.40988658584</v>
      </c>
      <c r="W22" s="78">
        <f t="shared" si="14"/>
        <v>450926.50071442942</v>
      </c>
      <c r="X22" s="79">
        <f>X19*X21</f>
        <v>568332.87744927686</v>
      </c>
    </row>
    <row r="23" spans="2:24" x14ac:dyDescent="0.25">
      <c r="B23" s="574"/>
      <c r="C23" s="571"/>
      <c r="D23" s="95" t="s">
        <v>445</v>
      </c>
      <c r="E23" s="74" t="s">
        <v>241</v>
      </c>
      <c r="F23" s="83">
        <f>F20*F21-F19*F21/2</f>
        <v>0</v>
      </c>
      <c r="G23" s="83">
        <f>G20*G21-G19*G21/2</f>
        <v>0</v>
      </c>
      <c r="H23" s="83">
        <f>H20*H21-H19*H21/2</f>
        <v>0</v>
      </c>
      <c r="I23" s="83">
        <f>I20*I21-I19*I21/2</f>
        <v>0</v>
      </c>
      <c r="J23" s="83">
        <f>J20*J21-J19*J21/2</f>
        <v>0</v>
      </c>
      <c r="K23" s="83">
        <f t="shared" ref="K23:W23" si="15">K20*K21-K19*K21/2</f>
        <v>15000</v>
      </c>
      <c r="L23" s="83">
        <f t="shared" si="15"/>
        <v>62500</v>
      </c>
      <c r="M23" s="83">
        <f t="shared" si="15"/>
        <v>115000</v>
      </c>
      <c r="N23" s="83">
        <f>N20*N21-N19*N21/2</f>
        <v>277500</v>
      </c>
      <c r="O23" s="83">
        <f t="shared" si="15"/>
        <v>455970.179662382</v>
      </c>
      <c r="P23" s="83">
        <f t="shared" si="15"/>
        <v>536951.66209780006</v>
      </c>
      <c r="Q23" s="83">
        <f t="shared" si="15"/>
        <v>638372.86924726132</v>
      </c>
      <c r="R23" s="83">
        <f t="shared" si="15"/>
        <v>765682.38010823959</v>
      </c>
      <c r="S23" s="83">
        <f t="shared" si="15"/>
        <v>925937.70837678236</v>
      </c>
      <c r="T23" s="83">
        <f t="shared" si="15"/>
        <v>1127910.997754962</v>
      </c>
      <c r="U23" s="83">
        <f t="shared" si="15"/>
        <v>1382464.7233083444</v>
      </c>
      <c r="V23" s="83">
        <f t="shared" si="15"/>
        <v>1703289.5862108301</v>
      </c>
      <c r="W23" s="83">
        <f t="shared" si="15"/>
        <v>2107641.5415113377</v>
      </c>
      <c r="X23" s="202">
        <f>X20*X21-X19*X21/2</f>
        <v>2617271.230593191</v>
      </c>
    </row>
    <row r="24" spans="2:24" x14ac:dyDescent="0.25">
      <c r="B24" s="574"/>
      <c r="C24" s="570" t="s">
        <v>243</v>
      </c>
      <c r="D24" s="90" t="s">
        <v>445</v>
      </c>
      <c r="E24" s="73" t="s">
        <v>237</v>
      </c>
      <c r="F24" s="97">
        <f>SUMIFS('EV Data'!$S$44:$S$151,'EV Data'!$C$44:$C$151,'EV Forecast'!F9)/3</f>
        <v>0</v>
      </c>
      <c r="G24" s="97">
        <f>SUMIFS('EV Data'!$S$44:$S$151,'EV Data'!$C$44:$C$151,'EV Forecast'!G9)/3</f>
        <v>0</v>
      </c>
      <c r="H24" s="97">
        <f>SUMIFS('EV Data'!$S$44:$S$151,'EV Data'!$C$44:$C$151,'EV Forecast'!H9)/3</f>
        <v>0</v>
      </c>
      <c r="I24" s="97">
        <f>SUMIFS('EV Data'!$S$44:$S$151,'EV Data'!$C$44:$C$151,'EV Forecast'!I9)/3</f>
        <v>0</v>
      </c>
      <c r="J24" s="97">
        <f>SUMIFS('EV Data'!$S$44:$S$151,'EV Data'!$C$44:$C$151,'EV Forecast'!J9)/3</f>
        <v>0</v>
      </c>
      <c r="K24" s="97">
        <f>SUMIFS('EV Data'!$S$44:$S$151,'EV Data'!$C$44:$C$151,'EV Forecast'!K9)/3</f>
        <v>23</v>
      </c>
      <c r="L24" s="97">
        <f>SUMIFS('EV Data'!$S$44:$S$151,'EV Data'!$C$44:$C$151,'EV Forecast'!L9)/3</f>
        <v>35</v>
      </c>
      <c r="M24" s="97">
        <f>SUMIFS('EV Data'!$S$44:$S$151,'EV Data'!$C$44:$C$151,'EV Forecast'!M9)/3</f>
        <v>85</v>
      </c>
      <c r="N24" s="97">
        <f>SUMIFS('EV Data'!$S$44:$S$151,'EV Data'!$C$44:$C$151,'EV Forecast'!N9)/3</f>
        <v>89</v>
      </c>
      <c r="O24" s="92">
        <f t="shared" ref="O24:X24" si="16">O35*O75*O39*O30</f>
        <v>48.886603690321628</v>
      </c>
      <c r="P24" s="92">
        <f t="shared" si="16"/>
        <v>61.174276606456466</v>
      </c>
      <c r="Q24" s="92">
        <f t="shared" si="16"/>
        <v>76.665967902942029</v>
      </c>
      <c r="R24" s="92">
        <f t="shared" si="16"/>
        <v>96.358733721726011</v>
      </c>
      <c r="S24" s="92">
        <f t="shared" si="16"/>
        <v>121.44220015906549</v>
      </c>
      <c r="T24" s="92">
        <f t="shared" si="16"/>
        <v>153.05707247558945</v>
      </c>
      <c r="U24" s="92">
        <f t="shared" si="16"/>
        <v>192.90358759966378</v>
      </c>
      <c r="V24" s="92">
        <f t="shared" si="16"/>
        <v>243.12531394953072</v>
      </c>
      <c r="W24" s="92">
        <f t="shared" si="16"/>
        <v>306.42417331242842</v>
      </c>
      <c r="X24" s="497">
        <f t="shared" si="16"/>
        <v>386.2069136827194</v>
      </c>
    </row>
    <row r="25" spans="2:24" x14ac:dyDescent="0.25">
      <c r="B25" s="574"/>
      <c r="C25" s="571"/>
      <c r="D25" s="495" t="s">
        <v>445</v>
      </c>
      <c r="E25" s="499" t="s">
        <v>192</v>
      </c>
      <c r="F25" s="498">
        <f>F24</f>
        <v>0</v>
      </c>
      <c r="G25" s="498">
        <f t="shared" ref="G25:L25" si="17">F25+G24</f>
        <v>0</v>
      </c>
      <c r="H25" s="498">
        <f t="shared" si="17"/>
        <v>0</v>
      </c>
      <c r="I25" s="498">
        <f t="shared" si="17"/>
        <v>0</v>
      </c>
      <c r="J25" s="498">
        <f t="shared" si="17"/>
        <v>0</v>
      </c>
      <c r="K25" s="498">
        <f t="shared" si="17"/>
        <v>23</v>
      </c>
      <c r="L25" s="498">
        <f t="shared" si="17"/>
        <v>58</v>
      </c>
      <c r="M25" s="498">
        <f t="shared" ref="M25:W25" si="18">L25+M24</f>
        <v>143</v>
      </c>
      <c r="N25" s="498">
        <f t="shared" si="18"/>
        <v>232</v>
      </c>
      <c r="O25" s="498">
        <f t="shared" si="18"/>
        <v>280.88660369032164</v>
      </c>
      <c r="P25" s="498">
        <f>O25+P24</f>
        <v>342.06088029677812</v>
      </c>
      <c r="Q25" s="498">
        <f t="shared" si="18"/>
        <v>418.72684819972017</v>
      </c>
      <c r="R25" s="498">
        <f t="shared" si="18"/>
        <v>515.08558192144619</v>
      </c>
      <c r="S25" s="498">
        <f t="shared" si="18"/>
        <v>636.52778208051166</v>
      </c>
      <c r="T25" s="498">
        <f t="shared" si="18"/>
        <v>789.58485455610116</v>
      </c>
      <c r="U25" s="498">
        <f t="shared" si="18"/>
        <v>982.48844215576491</v>
      </c>
      <c r="V25" s="498">
        <f t="shared" si="18"/>
        <v>1225.6137561052956</v>
      </c>
      <c r="W25" s="498">
        <f t="shared" si="18"/>
        <v>1532.0379294177239</v>
      </c>
      <c r="X25" s="96">
        <f>W25+X24</f>
        <v>1918.2448431004434</v>
      </c>
    </row>
    <row r="26" spans="2:24" x14ac:dyDescent="0.25">
      <c r="B26" s="574"/>
      <c r="C26" s="571"/>
      <c r="D26" s="495" t="s">
        <v>445</v>
      </c>
      <c r="E26" s="74" t="s">
        <v>239</v>
      </c>
      <c r="F26" s="78"/>
      <c r="G26" s="78"/>
      <c r="H26" s="78"/>
      <c r="I26" s="78"/>
      <c r="J26" s="78"/>
      <c r="K26" s="78">
        <f>E6</f>
        <v>6000</v>
      </c>
      <c r="L26" s="78">
        <f t="shared" ref="L26:W26" si="19">K26</f>
        <v>6000</v>
      </c>
      <c r="M26" s="78">
        <f t="shared" si="19"/>
        <v>6000</v>
      </c>
      <c r="N26" s="78">
        <f t="shared" si="19"/>
        <v>6000</v>
      </c>
      <c r="O26" s="78">
        <f t="shared" si="19"/>
        <v>6000</v>
      </c>
      <c r="P26" s="78">
        <f t="shared" si="19"/>
        <v>6000</v>
      </c>
      <c r="Q26" s="78">
        <f t="shared" si="19"/>
        <v>6000</v>
      </c>
      <c r="R26" s="78">
        <f t="shared" si="19"/>
        <v>6000</v>
      </c>
      <c r="S26" s="78">
        <f t="shared" si="19"/>
        <v>6000</v>
      </c>
      <c r="T26" s="78">
        <f t="shared" si="19"/>
        <v>6000</v>
      </c>
      <c r="U26" s="78">
        <f t="shared" si="19"/>
        <v>6000</v>
      </c>
      <c r="V26" s="78">
        <f t="shared" si="19"/>
        <v>6000</v>
      </c>
      <c r="W26" s="78">
        <f t="shared" si="19"/>
        <v>6000</v>
      </c>
      <c r="X26" s="79">
        <f>W26</f>
        <v>6000</v>
      </c>
    </row>
    <row r="27" spans="2:24" x14ac:dyDescent="0.25">
      <c r="B27" s="574"/>
      <c r="C27" s="571"/>
      <c r="D27" s="495" t="s">
        <v>445</v>
      </c>
      <c r="E27" s="74" t="s">
        <v>240</v>
      </c>
      <c r="F27" s="78">
        <f>F24*F26</f>
        <v>0</v>
      </c>
      <c r="G27" s="78">
        <f t="shared" ref="G27:W27" si="20">G24*G26</f>
        <v>0</v>
      </c>
      <c r="H27" s="78">
        <f t="shared" si="20"/>
        <v>0</v>
      </c>
      <c r="I27" s="78">
        <f t="shared" si="20"/>
        <v>0</v>
      </c>
      <c r="J27" s="78">
        <f t="shared" si="20"/>
        <v>0</v>
      </c>
      <c r="K27" s="78">
        <f t="shared" si="20"/>
        <v>138000</v>
      </c>
      <c r="L27" s="78">
        <f t="shared" si="20"/>
        <v>210000</v>
      </c>
      <c r="M27" s="78">
        <f t="shared" si="20"/>
        <v>510000</v>
      </c>
      <c r="N27" s="78">
        <f>N24*N26</f>
        <v>534000</v>
      </c>
      <c r="O27" s="78">
        <f t="shared" si="20"/>
        <v>293319.62214192975</v>
      </c>
      <c r="P27" s="78">
        <f t="shared" si="20"/>
        <v>367045.65963873878</v>
      </c>
      <c r="Q27" s="78">
        <f t="shared" si="20"/>
        <v>459995.80741765216</v>
      </c>
      <c r="R27" s="78">
        <f t="shared" si="20"/>
        <v>578152.40233035607</v>
      </c>
      <c r="S27" s="78">
        <f t="shared" si="20"/>
        <v>728653.2009543929</v>
      </c>
      <c r="T27" s="78">
        <f t="shared" si="20"/>
        <v>918342.43485353666</v>
      </c>
      <c r="U27" s="78">
        <f t="shared" si="20"/>
        <v>1157421.5255979826</v>
      </c>
      <c r="V27" s="78">
        <f t="shared" si="20"/>
        <v>1458751.8836971843</v>
      </c>
      <c r="W27" s="78">
        <f t="shared" si="20"/>
        <v>1838545.0398745704</v>
      </c>
      <c r="X27" s="79">
        <f>X24*X26</f>
        <v>2317241.4820963163</v>
      </c>
    </row>
    <row r="28" spans="2:24" x14ac:dyDescent="0.25">
      <c r="B28" s="574"/>
      <c r="C28" s="572"/>
      <c r="D28" s="95" t="s">
        <v>445</v>
      </c>
      <c r="E28" s="81" t="s">
        <v>241</v>
      </c>
      <c r="F28" s="83">
        <f>F25*F26-F24*F26/2</f>
        <v>0</v>
      </c>
      <c r="G28" s="83">
        <f>G25*G26-G24*G26/2</f>
        <v>0</v>
      </c>
      <c r="H28" s="83">
        <f>H25*H26-H24*H26/2</f>
        <v>0</v>
      </c>
      <c r="I28" s="83">
        <f>I25*I26-I24*I26/2</f>
        <v>0</v>
      </c>
      <c r="J28" s="83">
        <f>J25*J26-J24*J26/2</f>
        <v>0</v>
      </c>
      <c r="K28" s="83">
        <f t="shared" ref="K28:W28" si="21">K25*K26-K24*K26/2</f>
        <v>69000</v>
      </c>
      <c r="L28" s="83">
        <f t="shared" si="21"/>
        <v>243000</v>
      </c>
      <c r="M28" s="83">
        <f t="shared" si="21"/>
        <v>603000</v>
      </c>
      <c r="N28" s="83">
        <f>N25*N26-N24*N26/2</f>
        <v>1125000</v>
      </c>
      <c r="O28" s="83">
        <f t="shared" si="21"/>
        <v>1538659.8110709649</v>
      </c>
      <c r="P28" s="83">
        <f t="shared" si="21"/>
        <v>1868842.4519612994</v>
      </c>
      <c r="Q28" s="83">
        <f t="shared" si="21"/>
        <v>2282363.1854894948</v>
      </c>
      <c r="R28" s="83">
        <f t="shared" si="21"/>
        <v>2801437.2903634994</v>
      </c>
      <c r="S28" s="83">
        <f t="shared" si="21"/>
        <v>3454840.0920058736</v>
      </c>
      <c r="T28" s="83">
        <f t="shared" si="21"/>
        <v>4278337.9099098388</v>
      </c>
      <c r="U28" s="83">
        <f t="shared" si="21"/>
        <v>5316219.8901355984</v>
      </c>
      <c r="V28" s="83">
        <f t="shared" si="21"/>
        <v>6624306.5947831813</v>
      </c>
      <c r="W28" s="83">
        <f t="shared" si="21"/>
        <v>8272955.0565690575</v>
      </c>
      <c r="X28" s="202">
        <f>X25*X26-X24*X26/2</f>
        <v>10350848.317554504</v>
      </c>
    </row>
    <row r="29" spans="2:24" x14ac:dyDescent="0.25">
      <c r="B29" s="574"/>
      <c r="C29" s="191"/>
      <c r="D29" s="495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9"/>
    </row>
    <row r="30" spans="2:24" x14ac:dyDescent="0.25">
      <c r="B30" s="574"/>
      <c r="C30" s="76"/>
      <c r="D30" s="500" t="s">
        <v>478</v>
      </c>
      <c r="F30" s="203">
        <f t="shared" ref="F30:N30" si="22">F32/F33</f>
        <v>1.3471793432500701E-2</v>
      </c>
      <c r="G30" s="203">
        <f t="shared" si="22"/>
        <v>1.6309639727361245E-2</v>
      </c>
      <c r="H30" s="203">
        <f t="shared" si="22"/>
        <v>1.4020115818348064E-2</v>
      </c>
      <c r="I30" s="203">
        <f t="shared" si="22"/>
        <v>1.7032226442837889E-2</v>
      </c>
      <c r="J30" s="203">
        <f t="shared" si="22"/>
        <v>1.727278861075501E-2</v>
      </c>
      <c r="K30" s="203">
        <f t="shared" si="22"/>
        <v>1.6105908550163195E-2</v>
      </c>
      <c r="L30" s="203">
        <f t="shared" si="22"/>
        <v>1.6875889737284846E-2</v>
      </c>
      <c r="M30" s="203">
        <f t="shared" si="22"/>
        <v>1.9707626203221393E-2</v>
      </c>
      <c r="N30" s="203">
        <f t="shared" si="22"/>
        <v>1.7422666229976964E-2</v>
      </c>
      <c r="O30" s="203">
        <f>AVERAGE(L30:N30)</f>
        <v>1.80020607234944E-2</v>
      </c>
      <c r="P30" s="203">
        <f>O30</f>
        <v>1.80020607234944E-2</v>
      </c>
      <c r="Q30" s="203">
        <f t="shared" ref="Q30:W30" si="23">P30</f>
        <v>1.80020607234944E-2</v>
      </c>
      <c r="R30" s="203">
        <f t="shared" si="23"/>
        <v>1.80020607234944E-2</v>
      </c>
      <c r="S30" s="203">
        <f t="shared" si="23"/>
        <v>1.80020607234944E-2</v>
      </c>
      <c r="T30" s="203">
        <f t="shared" si="23"/>
        <v>1.80020607234944E-2</v>
      </c>
      <c r="U30" s="203">
        <f t="shared" si="23"/>
        <v>1.80020607234944E-2</v>
      </c>
      <c r="V30" s="203">
        <f t="shared" si="23"/>
        <v>1.80020607234944E-2</v>
      </c>
      <c r="W30" s="203">
        <f t="shared" si="23"/>
        <v>1.80020607234944E-2</v>
      </c>
      <c r="X30" s="204">
        <f>W30</f>
        <v>1.80020607234944E-2</v>
      </c>
    </row>
    <row r="31" spans="2:24" x14ac:dyDescent="0.25">
      <c r="B31" s="574"/>
      <c r="C31" s="76"/>
      <c r="X31" s="77"/>
    </row>
    <row r="32" spans="2:24" x14ac:dyDescent="0.25">
      <c r="B32" s="574"/>
      <c r="C32" s="76"/>
      <c r="D32" s="495" t="s">
        <v>445</v>
      </c>
      <c r="E32" s="74" t="s">
        <v>244</v>
      </c>
      <c r="F32" s="98">
        <f t="shared" ref="F32:X32" si="24">F11</f>
        <v>48</v>
      </c>
      <c r="G32" s="98">
        <f t="shared" si="24"/>
        <v>134</v>
      </c>
      <c r="H32" s="98">
        <f t="shared" si="24"/>
        <v>92</v>
      </c>
      <c r="I32" s="98">
        <f t="shared" si="24"/>
        <v>139</v>
      </c>
      <c r="J32" s="98">
        <f t="shared" si="24"/>
        <v>256</v>
      </c>
      <c r="K32" s="98">
        <f t="shared" si="24"/>
        <v>528</v>
      </c>
      <c r="L32" s="98">
        <f t="shared" si="24"/>
        <v>652</v>
      </c>
      <c r="M32" s="98">
        <f t="shared" si="24"/>
        <v>821</v>
      </c>
      <c r="N32" s="98">
        <f t="shared" si="24"/>
        <v>742</v>
      </c>
      <c r="O32" s="98">
        <f t="shared" si="24"/>
        <v>959.05185175725478</v>
      </c>
      <c r="P32" s="98">
        <f t="shared" si="24"/>
        <v>1200.1100266850344</v>
      </c>
      <c r="Q32" s="98">
        <f t="shared" si="24"/>
        <v>1504.024271144762</v>
      </c>
      <c r="R32" s="98">
        <f t="shared" si="24"/>
        <v>1890.3547195507285</v>
      </c>
      <c r="S32" s="98">
        <f t="shared" si="24"/>
        <v>2382.4393218603791</v>
      </c>
      <c r="T32" s="98">
        <f t="shared" si="24"/>
        <v>3002.6563046211213</v>
      </c>
      <c r="U32" s="98">
        <f t="shared" si="24"/>
        <v>3784.3607232363702</v>
      </c>
      <c r="V32" s="98">
        <f t="shared" si="24"/>
        <v>4769.6048600431495</v>
      </c>
      <c r="W32" s="98">
        <f t="shared" si="24"/>
        <v>6011.3947105032994</v>
      </c>
      <c r="X32" s="106">
        <f t="shared" si="24"/>
        <v>7576.5634707447489</v>
      </c>
    </row>
    <row r="33" spans="2:24" x14ac:dyDescent="0.25">
      <c r="B33" s="574"/>
      <c r="C33" s="76"/>
      <c r="D33" s="99" t="s">
        <v>193</v>
      </c>
      <c r="E33" s="74" t="s">
        <v>244</v>
      </c>
      <c r="F33" s="78">
        <f>SUMIFS('EV Data'!$F$44:$F$151,'EV Data'!$C$44:$C$151,'EV Forecast'!F9)/3</f>
        <v>3563</v>
      </c>
      <c r="G33" s="78">
        <f>SUMIFS('EV Data'!$F$44:$F$151,'EV Data'!$C$44:$C$151,'EV Forecast'!G9)/3</f>
        <v>8216</v>
      </c>
      <c r="H33" s="78">
        <f>SUMIFS('EV Data'!$F$44:$F$151,'EV Data'!$C$44:$C$151,'EV Forecast'!H9)/3</f>
        <v>6562</v>
      </c>
      <c r="I33" s="78">
        <f>SUMIFS('EV Data'!$F$44:$F$151,'EV Data'!$C$44:$C$151,'EV Forecast'!I9)/3</f>
        <v>8161</v>
      </c>
      <c r="J33" s="78">
        <f>SUMIFS('EV Data'!$F$44:$F$151,'EV Data'!$C$44:$C$151,'EV Forecast'!J9)/3</f>
        <v>14821</v>
      </c>
      <c r="K33" s="78">
        <f>SUMIFS('EV Data'!$F$44:$F$151,'EV Data'!$C$44:$C$151,'EV Forecast'!K9)/3</f>
        <v>32783</v>
      </c>
      <c r="L33" s="78">
        <f>SUMIFS('EV Data'!$F$44:$F$151,'EV Data'!$C$44:$C$151,'EV Forecast'!L9)/3</f>
        <v>38635</v>
      </c>
      <c r="M33" s="78">
        <f>SUMIFS('EV Data'!$F$44:$F$151,'EV Data'!$C$44:$C$151,'EV Forecast'!M9)/3</f>
        <v>41659</v>
      </c>
      <c r="N33" s="98">
        <f t="shared" ref="N33:X33" si="25">N35*N75</f>
        <v>42588.200348080769</v>
      </c>
      <c r="O33" s="98">
        <f t="shared" si="25"/>
        <v>53274.559312290337</v>
      </c>
      <c r="P33" s="98">
        <f t="shared" si="25"/>
        <v>66665.147125005344</v>
      </c>
      <c r="Q33" s="98">
        <f t="shared" si="25"/>
        <v>83547.339065569715</v>
      </c>
      <c r="R33" s="98">
        <f t="shared" si="25"/>
        <v>105007.68487485635</v>
      </c>
      <c r="S33" s="98">
        <f t="shared" si="25"/>
        <v>132342.58890989458</v>
      </c>
      <c r="T33" s="98">
        <f t="shared" si="25"/>
        <v>166795.14366387896</v>
      </c>
      <c r="U33" s="98">
        <f t="shared" si="25"/>
        <v>210218.19564786935</v>
      </c>
      <c r="V33" s="98">
        <f t="shared" si="25"/>
        <v>264947.71533674258</v>
      </c>
      <c r="W33" s="98">
        <f t="shared" si="25"/>
        <v>333928.14316295786</v>
      </c>
      <c r="X33" s="106">
        <f t="shared" si="25"/>
        <v>420872.00943926454</v>
      </c>
    </row>
    <row r="34" spans="2:24" x14ac:dyDescent="0.25">
      <c r="B34" s="574"/>
      <c r="C34" s="76"/>
      <c r="X34" s="77"/>
    </row>
    <row r="35" spans="2:24" x14ac:dyDescent="0.25">
      <c r="B35" s="574"/>
      <c r="C35" s="76"/>
      <c r="D35" s="99" t="s">
        <v>372</v>
      </c>
      <c r="F35" s="101"/>
      <c r="G35" s="101">
        <f t="shared" ref="G35:M35" si="26">G33/G75</f>
        <v>1.0288351847608171E-2</v>
      </c>
      <c r="H35" s="101">
        <f t="shared" si="26"/>
        <v>8.2429108705428366E-3</v>
      </c>
      <c r="I35" s="101">
        <f t="shared" si="26"/>
        <v>1.3589051497193439E-2</v>
      </c>
      <c r="J35" s="101">
        <f t="shared" si="26"/>
        <v>2.3627859224446331E-2</v>
      </c>
      <c r="K35" s="101">
        <f t="shared" si="26"/>
        <v>5.5143911091524125E-2</v>
      </c>
      <c r="L35" s="101">
        <f t="shared" si="26"/>
        <v>5.7067862529006606E-2</v>
      </c>
      <c r="M35" s="101">
        <f t="shared" si="26"/>
        <v>5.9575581719610506E-2</v>
      </c>
      <c r="N35" s="101">
        <f>M33/M75</f>
        <v>5.9575581719610506E-2</v>
      </c>
      <c r="O35" s="205">
        <f>O74*($N$35/($N$35+$N$67))</f>
        <v>7.4344250593224193E-2</v>
      </c>
      <c r="P35" s="205">
        <f t="shared" ref="P35:X35" si="27">P74*($N$35/($N$35+$N$67))</f>
        <v>9.2774043269623144E-2</v>
      </c>
      <c r="Q35" s="205">
        <f t="shared" si="27"/>
        <v>0.11577254509817282</v>
      </c>
      <c r="R35" s="205">
        <f t="shared" si="27"/>
        <v>0.1444723300412312</v>
      </c>
      <c r="S35" s="205">
        <f t="shared" si="27"/>
        <v>0.18028673490630423</v>
      </c>
      <c r="T35" s="205">
        <f t="shared" si="27"/>
        <v>0.22497945990003651</v>
      </c>
      <c r="U35" s="205">
        <f t="shared" si="27"/>
        <v>0.28075142302187323</v>
      </c>
      <c r="V35" s="205">
        <f t="shared" si="27"/>
        <v>0.35034914549012131</v>
      </c>
      <c r="W35" s="205">
        <f t="shared" si="27"/>
        <v>0.43720000570075551</v>
      </c>
      <c r="X35" s="206">
        <f t="shared" si="27"/>
        <v>0.54558102237509332</v>
      </c>
    </row>
    <row r="36" spans="2:24" x14ac:dyDescent="0.25">
      <c r="B36" s="574"/>
      <c r="C36" s="76"/>
      <c r="D36" s="99"/>
      <c r="F36" s="101"/>
      <c r="G36" s="101"/>
      <c r="H36" s="101"/>
      <c r="I36" s="101"/>
      <c r="J36" s="101"/>
      <c r="K36" s="101"/>
      <c r="L36" s="101"/>
      <c r="M36" s="101"/>
      <c r="N36" s="101"/>
      <c r="O36" s="205"/>
      <c r="P36" s="205"/>
      <c r="Q36" s="205"/>
      <c r="R36" s="205"/>
      <c r="S36" s="205"/>
      <c r="T36" s="205"/>
      <c r="U36" s="205"/>
      <c r="V36" s="205"/>
      <c r="W36" s="205"/>
      <c r="X36" s="206"/>
    </row>
    <row r="37" spans="2:24" x14ac:dyDescent="0.25">
      <c r="B37" s="574"/>
      <c r="C37" s="76"/>
      <c r="D37" s="495" t="s">
        <v>445</v>
      </c>
      <c r="E37" s="74" t="s">
        <v>246</v>
      </c>
      <c r="F37" s="101">
        <f t="shared" ref="F37:N37" si="28">F15/F$12</f>
        <v>1</v>
      </c>
      <c r="G37" s="101">
        <f t="shared" si="28"/>
        <v>1</v>
      </c>
      <c r="H37" s="101">
        <f t="shared" si="28"/>
        <v>1</v>
      </c>
      <c r="I37" s="101">
        <f t="shared" si="28"/>
        <v>1</v>
      </c>
      <c r="J37" s="101">
        <f t="shared" si="28"/>
        <v>1</v>
      </c>
      <c r="K37" s="101">
        <f t="shared" si="28"/>
        <v>0.9757727652464494</v>
      </c>
      <c r="L37" s="101">
        <f t="shared" si="28"/>
        <v>0.95835586803677664</v>
      </c>
      <c r="M37" s="101">
        <f t="shared" si="28"/>
        <v>0.93632958801498123</v>
      </c>
      <c r="N37" s="101">
        <f t="shared" si="28"/>
        <v>0.90738569753810083</v>
      </c>
      <c r="O37" s="102">
        <f>AVERAGE(L37:N37)</f>
        <v>0.93402371786328631</v>
      </c>
      <c r="P37" s="102">
        <f t="shared" ref="P37:W39" si="29">O37</f>
        <v>0.93402371786328631</v>
      </c>
      <c r="Q37" s="102">
        <f t="shared" si="29"/>
        <v>0.93402371786328631</v>
      </c>
      <c r="R37" s="102">
        <f t="shared" si="29"/>
        <v>0.93402371786328631</v>
      </c>
      <c r="S37" s="102">
        <f t="shared" si="29"/>
        <v>0.93402371786328631</v>
      </c>
      <c r="T37" s="102">
        <f t="shared" si="29"/>
        <v>0.93402371786328631</v>
      </c>
      <c r="U37" s="102">
        <f t="shared" si="29"/>
        <v>0.93402371786328631</v>
      </c>
      <c r="V37" s="102">
        <f t="shared" si="29"/>
        <v>0.93402371786328631</v>
      </c>
      <c r="W37" s="102">
        <f t="shared" si="29"/>
        <v>0.93402371786328631</v>
      </c>
      <c r="X37" s="207">
        <f>W37</f>
        <v>0.93402371786328631</v>
      </c>
    </row>
    <row r="38" spans="2:24" x14ac:dyDescent="0.25">
      <c r="B38" s="574"/>
      <c r="C38" s="76"/>
      <c r="D38" s="495" t="s">
        <v>445</v>
      </c>
      <c r="E38" s="74" t="s">
        <v>247</v>
      </c>
      <c r="F38" s="101">
        <f t="shared" ref="F38:N38" si="30">F20/F$12</f>
        <v>0</v>
      </c>
      <c r="G38" s="101">
        <f t="shared" si="30"/>
        <v>0</v>
      </c>
      <c r="H38" s="101">
        <f t="shared" si="30"/>
        <v>0</v>
      </c>
      <c r="I38" s="101">
        <f t="shared" si="30"/>
        <v>0</v>
      </c>
      <c r="J38" s="101">
        <f t="shared" si="30"/>
        <v>0</v>
      </c>
      <c r="K38" s="101">
        <f t="shared" si="30"/>
        <v>5.0125313283208017E-3</v>
      </c>
      <c r="L38" s="101">
        <f t="shared" si="30"/>
        <v>1.0275824770146024E-2</v>
      </c>
      <c r="M38" s="101">
        <f t="shared" si="30"/>
        <v>1.0112359550561797E-2</v>
      </c>
      <c r="N38" s="101">
        <f t="shared" si="30"/>
        <v>2.4618991793669401E-2</v>
      </c>
      <c r="O38" s="102">
        <f>AVERAGE(L38:N38)</f>
        <v>1.5002392038125742E-2</v>
      </c>
      <c r="P38" s="102">
        <f t="shared" si="29"/>
        <v>1.5002392038125742E-2</v>
      </c>
      <c r="Q38" s="102">
        <f t="shared" si="29"/>
        <v>1.5002392038125742E-2</v>
      </c>
      <c r="R38" s="102">
        <f t="shared" si="29"/>
        <v>1.5002392038125742E-2</v>
      </c>
      <c r="S38" s="102">
        <f t="shared" si="29"/>
        <v>1.5002392038125742E-2</v>
      </c>
      <c r="T38" s="102">
        <f t="shared" si="29"/>
        <v>1.5002392038125742E-2</v>
      </c>
      <c r="U38" s="102">
        <f t="shared" si="29"/>
        <v>1.5002392038125742E-2</v>
      </c>
      <c r="V38" s="102">
        <f t="shared" si="29"/>
        <v>1.5002392038125742E-2</v>
      </c>
      <c r="W38" s="102">
        <f t="shared" si="29"/>
        <v>1.5002392038125742E-2</v>
      </c>
      <c r="X38" s="207">
        <f>W38</f>
        <v>1.5002392038125742E-2</v>
      </c>
    </row>
    <row r="39" spans="2:24" x14ac:dyDescent="0.25">
      <c r="B39" s="574"/>
      <c r="C39" s="76"/>
      <c r="D39" s="495" t="s">
        <v>445</v>
      </c>
      <c r="E39" s="74" t="s">
        <v>248</v>
      </c>
      <c r="F39" s="101">
        <f t="shared" ref="F39:N39" si="31">F25/F$12</f>
        <v>0</v>
      </c>
      <c r="G39" s="101">
        <f t="shared" si="31"/>
        <v>0</v>
      </c>
      <c r="H39" s="101">
        <f t="shared" si="31"/>
        <v>0</v>
      </c>
      <c r="I39" s="101">
        <f t="shared" si="31"/>
        <v>0</v>
      </c>
      <c r="J39" s="101">
        <f t="shared" si="31"/>
        <v>0</v>
      </c>
      <c r="K39" s="101">
        <f t="shared" si="31"/>
        <v>1.921470342522974E-2</v>
      </c>
      <c r="L39" s="101">
        <f t="shared" si="31"/>
        <v>3.1368307193077337E-2</v>
      </c>
      <c r="M39" s="101">
        <f t="shared" si="31"/>
        <v>5.3558052434456931E-2</v>
      </c>
      <c r="N39" s="101">
        <f t="shared" si="31"/>
        <v>6.799531066822978E-2</v>
      </c>
      <c r="O39" s="102">
        <f>AVERAGE(L39:N39)</f>
        <v>5.0973890098588014E-2</v>
      </c>
      <c r="P39" s="102">
        <f t="shared" si="29"/>
        <v>5.0973890098588014E-2</v>
      </c>
      <c r="Q39" s="102">
        <f t="shared" si="29"/>
        <v>5.0973890098588014E-2</v>
      </c>
      <c r="R39" s="102">
        <f t="shared" si="29"/>
        <v>5.0973890098588014E-2</v>
      </c>
      <c r="S39" s="102">
        <f t="shared" si="29"/>
        <v>5.0973890098588014E-2</v>
      </c>
      <c r="T39" s="102">
        <f t="shared" si="29"/>
        <v>5.0973890098588014E-2</v>
      </c>
      <c r="U39" s="102">
        <f t="shared" si="29"/>
        <v>5.0973890098588014E-2</v>
      </c>
      <c r="V39" s="102">
        <f t="shared" si="29"/>
        <v>5.0973890098588014E-2</v>
      </c>
      <c r="W39" s="102">
        <f t="shared" si="29"/>
        <v>5.0973890098588014E-2</v>
      </c>
      <c r="X39" s="207">
        <f>W39</f>
        <v>5.0973890098588014E-2</v>
      </c>
    </row>
    <row r="40" spans="2:24" x14ac:dyDescent="0.25">
      <c r="B40" s="575"/>
      <c r="C40" s="80"/>
      <c r="D40" s="81"/>
      <c r="E40" s="81"/>
      <c r="F40" s="107"/>
      <c r="G40" s="107"/>
      <c r="H40" s="107"/>
      <c r="I40" s="107"/>
      <c r="J40" s="107"/>
      <c r="K40" s="107"/>
      <c r="L40" s="107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2"/>
    </row>
    <row r="41" spans="2:24" x14ac:dyDescent="0.25">
      <c r="B41" s="573" t="s">
        <v>382</v>
      </c>
      <c r="C41" s="72"/>
      <c r="D41" s="73"/>
      <c r="E41" s="199"/>
      <c r="F41" s="88">
        <v>2017</v>
      </c>
      <c r="G41" s="88">
        <v>2018</v>
      </c>
      <c r="H41" s="88">
        <v>2019</v>
      </c>
      <c r="I41" s="88">
        <v>2020</v>
      </c>
      <c r="J41" s="88">
        <v>2021</v>
      </c>
      <c r="K41" s="88">
        <v>2022</v>
      </c>
      <c r="L41" s="88">
        <v>2023</v>
      </c>
      <c r="M41" s="88">
        <v>2024</v>
      </c>
      <c r="N41" s="88">
        <v>2025</v>
      </c>
      <c r="O41" s="88">
        <v>2026</v>
      </c>
      <c r="P41" s="88">
        <v>2027</v>
      </c>
      <c r="Q41" s="88">
        <v>2028</v>
      </c>
      <c r="R41" s="88">
        <v>2029</v>
      </c>
      <c r="S41" s="88">
        <v>2030</v>
      </c>
      <c r="T41" s="88">
        <v>2031</v>
      </c>
      <c r="U41" s="88">
        <v>2032</v>
      </c>
      <c r="V41" s="88">
        <v>2033</v>
      </c>
      <c r="W41" s="88">
        <v>2034</v>
      </c>
      <c r="X41" s="88">
        <v>2035</v>
      </c>
    </row>
    <row r="42" spans="2:24" x14ac:dyDescent="0.25">
      <c r="B42" s="574"/>
      <c r="C42" s="76"/>
      <c r="X42" s="77"/>
    </row>
    <row r="43" spans="2:24" x14ac:dyDescent="0.25">
      <c r="B43" s="574"/>
      <c r="C43" s="576" t="s">
        <v>236</v>
      </c>
      <c r="D43" s="495" t="s">
        <v>445</v>
      </c>
      <c r="E43" s="74" t="s">
        <v>237</v>
      </c>
      <c r="F43" s="78">
        <f>SUMIFS('EV Data'!$V$44:$V$151,'EV Data'!$C$44:$C$151,'EV Forecast'!F9)/3</f>
        <v>158</v>
      </c>
      <c r="G43" s="78">
        <f>SUMIFS('EV Data'!$V$44:$V$151,'EV Data'!$C$44:$C$151,'EV Forecast'!G9)/3</f>
        <v>230</v>
      </c>
      <c r="H43" s="78">
        <f>SUMIFS('EV Data'!$V$44:$V$151,'EV Data'!$C$44:$C$151,'EV Forecast'!H9)/3</f>
        <v>77</v>
      </c>
      <c r="I43" s="78">
        <f>SUMIFS('EV Data'!$V$44:$V$151,'EV Data'!$C$44:$C$151,'EV Forecast'!I9)/3</f>
        <v>69</v>
      </c>
      <c r="J43" s="78">
        <f>SUMIFS('EV Data'!$V$44:$V$151,'EV Data'!$C$44:$C$151,'EV Forecast'!J9)/3</f>
        <v>137</v>
      </c>
      <c r="K43" s="78">
        <f>SUMIFS('EV Data'!$V$44:$V$151,'EV Data'!$C$44:$C$151,'EV Forecast'!K9)/3</f>
        <v>145</v>
      </c>
      <c r="L43" s="78">
        <f>SUMIFS('EV Data'!$V$44:$V$151,'EV Data'!$C$44:$C$151,'EV Forecast'!L9)/3</f>
        <v>297</v>
      </c>
      <c r="M43" s="78">
        <f>SUMIFS('EV Data'!$V$44:$V$151,'EV Data'!$C$44:$C$151,'EV Forecast'!M9)/3</f>
        <v>435</v>
      </c>
      <c r="N43" s="78">
        <f>SUMIFS('EV Data'!$V$44:$V$151,'EV Data'!$C$44:$C$151,'EV Forecast'!N9)/3</f>
        <v>485</v>
      </c>
      <c r="O43" s="200">
        <f t="shared" ref="O43:W43" si="32">O46+O51+O56</f>
        <v>567.92426028270756</v>
      </c>
      <c r="P43" s="200">
        <f t="shared" si="32"/>
        <v>710.6723144469471</v>
      </c>
      <c r="Q43" s="200">
        <f t="shared" si="32"/>
        <v>890.64201280884049</v>
      </c>
      <c r="R43" s="200">
        <f t="shared" si="32"/>
        <v>1119.4163316672325</v>
      </c>
      <c r="S43" s="200">
        <f t="shared" si="32"/>
        <v>1410.8153662983175</v>
      </c>
      <c r="T43" s="200">
        <f t="shared" si="32"/>
        <v>1778.0908900395732</v>
      </c>
      <c r="U43" s="200">
        <f t="shared" si="32"/>
        <v>2240.9948538746348</v>
      </c>
      <c r="V43" s="200">
        <f t="shared" si="32"/>
        <v>2824.4294685606092</v>
      </c>
      <c r="W43" s="200">
        <f t="shared" si="32"/>
        <v>3559.7834339973588</v>
      </c>
      <c r="X43" s="201">
        <f>X46+X51+X56</f>
        <v>4486.6335399108357</v>
      </c>
    </row>
    <row r="44" spans="2:24" x14ac:dyDescent="0.25">
      <c r="B44" s="574"/>
      <c r="C44" s="576"/>
      <c r="D44" s="495" t="s">
        <v>445</v>
      </c>
      <c r="E44" s="74" t="s">
        <v>192</v>
      </c>
      <c r="F44" s="78">
        <f>F43</f>
        <v>158</v>
      </c>
      <c r="G44" s="78">
        <f t="shared" ref="G44:T44" si="33">F44+G43</f>
        <v>388</v>
      </c>
      <c r="H44" s="78">
        <f t="shared" si="33"/>
        <v>465</v>
      </c>
      <c r="I44" s="78">
        <f t="shared" si="33"/>
        <v>534</v>
      </c>
      <c r="J44" s="78">
        <f t="shared" si="33"/>
        <v>671</v>
      </c>
      <c r="K44" s="78">
        <f t="shared" si="33"/>
        <v>816</v>
      </c>
      <c r="L44" s="78">
        <f t="shared" si="33"/>
        <v>1113</v>
      </c>
      <c r="M44" s="78">
        <f t="shared" si="33"/>
        <v>1548</v>
      </c>
      <c r="N44" s="78">
        <f t="shared" si="33"/>
        <v>2033</v>
      </c>
      <c r="O44" s="200">
        <f t="shared" si="33"/>
        <v>2600.9242602827076</v>
      </c>
      <c r="P44" s="200">
        <f t="shared" si="33"/>
        <v>3311.5965747296545</v>
      </c>
      <c r="Q44" s="200">
        <f t="shared" si="33"/>
        <v>4202.2385875384953</v>
      </c>
      <c r="R44" s="200">
        <f t="shared" si="33"/>
        <v>5321.6549192057282</v>
      </c>
      <c r="S44" s="200">
        <f t="shared" si="33"/>
        <v>6732.4702855040459</v>
      </c>
      <c r="T44" s="200">
        <f t="shared" si="33"/>
        <v>8510.5611755436184</v>
      </c>
      <c r="U44" s="200">
        <f t="shared" ref="U44:X44" si="34">T44+U43-F43</f>
        <v>10593.556029418254</v>
      </c>
      <c r="V44" s="200">
        <f t="shared" si="34"/>
        <v>13187.985497978863</v>
      </c>
      <c r="W44" s="200">
        <f t="shared" si="34"/>
        <v>16670.768931976221</v>
      </c>
      <c r="X44" s="201">
        <f t="shared" si="34"/>
        <v>21088.402471887057</v>
      </c>
    </row>
    <row r="45" spans="2:24" x14ac:dyDescent="0.25">
      <c r="B45" s="574"/>
      <c r="C45" s="76"/>
      <c r="D45" s="495"/>
      <c r="G45" s="496"/>
      <c r="X45" s="77"/>
    </row>
    <row r="46" spans="2:24" x14ac:dyDescent="0.25">
      <c r="B46" s="574"/>
      <c r="C46" s="570" t="s">
        <v>238</v>
      </c>
      <c r="D46" s="90" t="s">
        <v>445</v>
      </c>
      <c r="E46" s="73" t="s">
        <v>237</v>
      </c>
      <c r="F46" s="91">
        <f>SUMIFS('EV Data'!$W$44:$W$151,'EV Data'!$C$44:$C$151,'EV Forecast'!F9)/3+SUMIFS('EV Data'!$Y$44:$Y$151,'EV Data'!$C$44:$C$151,'EV Forecast'!F9)/3</f>
        <v>144</v>
      </c>
      <c r="G46" s="91">
        <f>SUMIFS('EV Data'!$W$44:$W$151,'EV Data'!$C$44:$C$151,'EV Forecast'!G9)/3+SUMIFS('EV Data'!$Y$44:$Y$151,'EV Data'!$C$44:$C$151,'EV Forecast'!G9)/3</f>
        <v>200</v>
      </c>
      <c r="H46" s="91">
        <f>SUMIFS('EV Data'!$W$44:$W$151,'EV Data'!$C$44:$C$151,'EV Forecast'!H9)/3+SUMIFS('EV Data'!$Y$44:$Y$151,'EV Data'!$C$44:$C$151,'EV Forecast'!H9)/3</f>
        <v>75</v>
      </c>
      <c r="I46" s="91">
        <f>SUMIFS('EV Data'!$W$44:$W$151,'EV Data'!$C$44:$C$151,'EV Forecast'!I9)/3+SUMIFS('EV Data'!$Y$44:$Y$151,'EV Data'!$C$44:$C$151,'EV Forecast'!I9)/3</f>
        <v>66</v>
      </c>
      <c r="J46" s="91">
        <f>SUMIFS('EV Data'!$W$44:$W$151,'EV Data'!$C$44:$C$151,'EV Forecast'!J9)/3+SUMIFS('EV Data'!$Y$44:$Y$151,'EV Data'!$C$44:$C$151,'EV Forecast'!J9)/3</f>
        <v>128</v>
      </c>
      <c r="K46" s="91">
        <f>SUMIFS('EV Data'!$W$44:$W$151,'EV Data'!$C$44:$C$151,'EV Forecast'!K9)/3+SUMIFS('EV Data'!$Y$44:$Y$151,'EV Data'!$C$44:$C$151,'EV Forecast'!K9)/3</f>
        <v>132</v>
      </c>
      <c r="L46" s="91">
        <f>SUMIFS('EV Data'!$W$44:$W$151,'EV Data'!$C$44:$C$151,'EV Forecast'!L9)/3+SUMIFS('EV Data'!$Y$44:$Y$151,'EV Data'!$C$44:$C$151,'EV Forecast'!L9)/3</f>
        <v>277</v>
      </c>
      <c r="M46" s="91">
        <f>SUMIFS('EV Data'!$W$44:$W$151,'EV Data'!$C$44:$C$151,'EV Forecast'!M9)/3+SUMIFS('EV Data'!$Y$44:$Y$151,'EV Data'!$C$44:$C$151,'EV Forecast'!M9)/3</f>
        <v>424</v>
      </c>
      <c r="N46" s="91">
        <f>SUMIFS('EV Data'!$W$44:$W$151,'EV Data'!$C$44:$C$151,'EV Forecast'!N9)/3+SUMIFS('EV Data'!$Y$44:$Y$151,'EV Data'!$C$44:$C$151,'EV Forecast'!N9)/3</f>
        <v>481</v>
      </c>
      <c r="O46" s="92">
        <f t="shared" ref="O46:X46" si="35">O67*O75*O69*O62</f>
        <v>530.10198603709284</v>
      </c>
      <c r="P46" s="92">
        <f t="shared" si="35"/>
        <v>663.3433921670678</v>
      </c>
      <c r="Q46" s="92">
        <f t="shared" si="35"/>
        <v>831.32757808764427</v>
      </c>
      <c r="R46" s="92">
        <f t="shared" si="35"/>
        <v>1044.8661240915565</v>
      </c>
      <c r="S46" s="92">
        <f t="shared" si="35"/>
        <v>1316.858743160753</v>
      </c>
      <c r="T46" s="92">
        <f t="shared" si="35"/>
        <v>1659.6746750970581</v>
      </c>
      <c r="U46" s="92">
        <f t="shared" si="35"/>
        <v>2091.7504424736053</v>
      </c>
      <c r="V46" s="92">
        <f t="shared" si="35"/>
        <v>2636.3298337710721</v>
      </c>
      <c r="W46" s="92">
        <f t="shared" si="35"/>
        <v>3322.7111433566624</v>
      </c>
      <c r="X46" s="497">
        <f t="shared" si="35"/>
        <v>4187.8354500007326</v>
      </c>
    </row>
    <row r="47" spans="2:24" x14ac:dyDescent="0.25">
      <c r="B47" s="574"/>
      <c r="C47" s="571"/>
      <c r="D47" s="495" t="s">
        <v>445</v>
      </c>
      <c r="E47" s="74" t="s">
        <v>192</v>
      </c>
      <c r="F47" s="78">
        <f>F46</f>
        <v>144</v>
      </c>
      <c r="G47" s="78">
        <f t="shared" ref="G47:X47" si="36">F47+G46</f>
        <v>344</v>
      </c>
      <c r="H47" s="78">
        <f t="shared" si="36"/>
        <v>419</v>
      </c>
      <c r="I47" s="78">
        <f t="shared" si="36"/>
        <v>485</v>
      </c>
      <c r="J47" s="78">
        <f t="shared" si="36"/>
        <v>613</v>
      </c>
      <c r="K47" s="78">
        <f t="shared" si="36"/>
        <v>745</v>
      </c>
      <c r="L47" s="78">
        <f t="shared" si="36"/>
        <v>1022</v>
      </c>
      <c r="M47" s="93">
        <f t="shared" si="36"/>
        <v>1446</v>
      </c>
      <c r="N47" s="93">
        <f t="shared" si="36"/>
        <v>1927</v>
      </c>
      <c r="O47" s="93">
        <f t="shared" si="36"/>
        <v>2457.101986037093</v>
      </c>
      <c r="P47" s="93">
        <f t="shared" si="36"/>
        <v>3120.445378204161</v>
      </c>
      <c r="Q47" s="93">
        <f t="shared" si="36"/>
        <v>3951.7729562918053</v>
      </c>
      <c r="R47" s="93">
        <f t="shared" si="36"/>
        <v>4996.6390803833619</v>
      </c>
      <c r="S47" s="93">
        <f t="shared" si="36"/>
        <v>6313.4978235441149</v>
      </c>
      <c r="T47" s="93">
        <f t="shared" si="36"/>
        <v>7973.1724986411728</v>
      </c>
      <c r="U47" s="93">
        <f t="shared" si="36"/>
        <v>10064.922941114779</v>
      </c>
      <c r="V47" s="93">
        <f t="shared" si="36"/>
        <v>12701.252774885852</v>
      </c>
      <c r="W47" s="93">
        <f t="shared" si="36"/>
        <v>16023.963918242514</v>
      </c>
      <c r="X47" s="94">
        <f t="shared" si="36"/>
        <v>20211.799368243246</v>
      </c>
    </row>
    <row r="48" spans="2:24" x14ac:dyDescent="0.25">
      <c r="B48" s="574"/>
      <c r="C48" s="571"/>
      <c r="D48" s="495" t="s">
        <v>445</v>
      </c>
      <c r="E48" s="74" t="s">
        <v>239</v>
      </c>
      <c r="F48" s="78">
        <f>E3*0.6</f>
        <v>1708.2</v>
      </c>
      <c r="G48" s="78">
        <f t="shared" ref="G48:X48" si="37">F48</f>
        <v>1708.2</v>
      </c>
      <c r="H48" s="78">
        <f t="shared" si="37"/>
        <v>1708.2</v>
      </c>
      <c r="I48" s="78">
        <f t="shared" si="37"/>
        <v>1708.2</v>
      </c>
      <c r="J48" s="78">
        <f t="shared" si="37"/>
        <v>1708.2</v>
      </c>
      <c r="K48" s="78">
        <f t="shared" si="37"/>
        <v>1708.2</v>
      </c>
      <c r="L48" s="78">
        <f t="shared" si="37"/>
        <v>1708.2</v>
      </c>
      <c r="M48" s="78">
        <f t="shared" si="37"/>
        <v>1708.2</v>
      </c>
      <c r="N48" s="78">
        <f t="shared" si="37"/>
        <v>1708.2</v>
      </c>
      <c r="O48" s="78">
        <f t="shared" si="37"/>
        <v>1708.2</v>
      </c>
      <c r="P48" s="78">
        <f t="shared" si="37"/>
        <v>1708.2</v>
      </c>
      <c r="Q48" s="78">
        <f t="shared" si="37"/>
        <v>1708.2</v>
      </c>
      <c r="R48" s="78">
        <f t="shared" si="37"/>
        <v>1708.2</v>
      </c>
      <c r="S48" s="78">
        <f t="shared" si="37"/>
        <v>1708.2</v>
      </c>
      <c r="T48" s="78">
        <f t="shared" si="37"/>
        <v>1708.2</v>
      </c>
      <c r="U48" s="78">
        <f t="shared" si="37"/>
        <v>1708.2</v>
      </c>
      <c r="V48" s="78">
        <f t="shared" si="37"/>
        <v>1708.2</v>
      </c>
      <c r="W48" s="78">
        <f t="shared" si="37"/>
        <v>1708.2</v>
      </c>
      <c r="X48" s="79">
        <f t="shared" si="37"/>
        <v>1708.2</v>
      </c>
    </row>
    <row r="49" spans="2:24" x14ac:dyDescent="0.25">
      <c r="B49" s="574"/>
      <c r="C49" s="571"/>
      <c r="D49" s="495" t="s">
        <v>445</v>
      </c>
      <c r="E49" s="74" t="s">
        <v>240</v>
      </c>
      <c r="F49" s="78">
        <f>F46*F48</f>
        <v>245980.80000000002</v>
      </c>
      <c r="G49" s="78">
        <f t="shared" ref="G49:W49" si="38">G46*G48</f>
        <v>341640</v>
      </c>
      <c r="H49" s="78">
        <f t="shared" si="38"/>
        <v>128115</v>
      </c>
      <c r="I49" s="78">
        <f t="shared" si="38"/>
        <v>112741.2</v>
      </c>
      <c r="J49" s="78">
        <f t="shared" si="38"/>
        <v>218649.60000000001</v>
      </c>
      <c r="K49" s="78">
        <f t="shared" si="38"/>
        <v>225482.4</v>
      </c>
      <c r="L49" s="78">
        <f t="shared" si="38"/>
        <v>473171.4</v>
      </c>
      <c r="M49" s="78">
        <f t="shared" si="38"/>
        <v>724276.8</v>
      </c>
      <c r="N49" s="78">
        <f>N46*N48</f>
        <v>821644.20000000007</v>
      </c>
      <c r="O49" s="78">
        <f t="shared" si="38"/>
        <v>905520.21254856198</v>
      </c>
      <c r="P49" s="78">
        <f t="shared" si="38"/>
        <v>1133123.1824997852</v>
      </c>
      <c r="Q49" s="78">
        <f t="shared" si="38"/>
        <v>1420073.768889314</v>
      </c>
      <c r="R49" s="78">
        <f t="shared" si="38"/>
        <v>1784840.3131731967</v>
      </c>
      <c r="S49" s="78">
        <f t="shared" si="38"/>
        <v>2249458.1050671982</v>
      </c>
      <c r="T49" s="78">
        <f t="shared" si="38"/>
        <v>2835056.2800007947</v>
      </c>
      <c r="U49" s="78">
        <f t="shared" si="38"/>
        <v>3573128.1058334126</v>
      </c>
      <c r="V49" s="78">
        <f t="shared" si="38"/>
        <v>4503378.6220477456</v>
      </c>
      <c r="W49" s="78">
        <f t="shared" si="38"/>
        <v>5675855.175081851</v>
      </c>
      <c r="X49" s="79">
        <f>X46*X48</f>
        <v>7153660.5156912515</v>
      </c>
    </row>
    <row r="50" spans="2:24" x14ac:dyDescent="0.25">
      <c r="B50" s="574"/>
      <c r="C50" s="572"/>
      <c r="D50" s="95" t="s">
        <v>445</v>
      </c>
      <c r="E50" s="81" t="s">
        <v>241</v>
      </c>
      <c r="F50" s="83">
        <f>F47*F48-F46*F48/2</f>
        <v>122990.40000000001</v>
      </c>
      <c r="G50" s="83">
        <f>G47*G48-G46*G48/2</f>
        <v>416800.80000000005</v>
      </c>
      <c r="H50" s="83">
        <f>H47*H48-H46*H48/2</f>
        <v>651678.30000000005</v>
      </c>
      <c r="I50" s="83">
        <f>I47*I48-I46*I48/2</f>
        <v>772106.4</v>
      </c>
      <c r="J50" s="83">
        <f>J47*J48-J46*J48/2</f>
        <v>937801.79999999993</v>
      </c>
      <c r="K50" s="83">
        <f t="shared" ref="K50:W50" si="39">K47*K48-K46*K48/2</f>
        <v>1159867.8</v>
      </c>
      <c r="L50" s="83">
        <f t="shared" si="39"/>
        <v>1509194.7000000002</v>
      </c>
      <c r="M50" s="83">
        <f t="shared" si="39"/>
        <v>2107918.8000000003</v>
      </c>
      <c r="N50" s="83">
        <f>N47*N48-N46*N48/2</f>
        <v>2880879.3</v>
      </c>
      <c r="O50" s="83">
        <f t="shared" si="39"/>
        <v>3744461.5062742815</v>
      </c>
      <c r="P50" s="83">
        <f t="shared" si="39"/>
        <v>4763783.2037984552</v>
      </c>
      <c r="Q50" s="83">
        <f t="shared" si="39"/>
        <v>6040381.6794930054</v>
      </c>
      <c r="R50" s="83">
        <f t="shared" si="39"/>
        <v>7642838.7205242608</v>
      </c>
      <c r="S50" s="83">
        <f t="shared" si="39"/>
        <v>9659987.929644458</v>
      </c>
      <c r="T50" s="83">
        <f t="shared" si="39"/>
        <v>12202245.122178454</v>
      </c>
      <c r="U50" s="83">
        <f t="shared" si="39"/>
        <v>15406337.315095559</v>
      </c>
      <c r="V50" s="83">
        <f t="shared" si="39"/>
        <v>19444590.67903614</v>
      </c>
      <c r="W50" s="83">
        <f t="shared" si="39"/>
        <v>24534207.577600941</v>
      </c>
      <c r="X50" s="202">
        <f>X47*X48-X46*X48/2</f>
        <v>30948965.422987491</v>
      </c>
    </row>
    <row r="51" spans="2:24" x14ac:dyDescent="0.25">
      <c r="B51" s="574"/>
      <c r="C51" s="571" t="s">
        <v>242</v>
      </c>
      <c r="D51" s="90" t="s">
        <v>445</v>
      </c>
      <c r="E51" s="74" t="s">
        <v>237</v>
      </c>
      <c r="F51" s="498">
        <f>SUMIFS('EV Data'!$Z$44:$Z$151,'EV Data'!$C$44:$C$151,'EV Forecast'!F9)/3</f>
        <v>14</v>
      </c>
      <c r="G51" s="498">
        <f>SUMIFS('EV Data'!$Z$44:$Z$151,'EV Data'!$C$44:$C$151,'EV Forecast'!G9)/3</f>
        <v>30</v>
      </c>
      <c r="H51" s="498">
        <f>SUMIFS('EV Data'!$Z$44:$Z$151,'EV Data'!$C$44:$C$151,'EV Forecast'!H9)/3</f>
        <v>2</v>
      </c>
      <c r="I51" s="498">
        <f>SUMIFS('EV Data'!$Z$44:$Z$151,'EV Data'!$C$44:$C$151,'EV Forecast'!I9)/3</f>
        <v>3</v>
      </c>
      <c r="J51" s="498">
        <f>SUMIFS('EV Data'!$Z$44:$Z$151,'EV Data'!$C$44:$C$151,'EV Forecast'!J9)/3</f>
        <v>9</v>
      </c>
      <c r="K51" s="498">
        <f>SUMIFS('EV Data'!$Z$44:$Z$151,'EV Data'!$C$44:$C$151,'EV Forecast'!K9)/3</f>
        <v>13</v>
      </c>
      <c r="L51" s="498">
        <f>SUMIFS('EV Data'!$Z$44:$Z$151,'EV Data'!$C$44:$C$151,'EV Forecast'!L9)/3</f>
        <v>20</v>
      </c>
      <c r="M51" s="498">
        <f>SUMIFS('EV Data'!$Z$44:$Z$151,'EV Data'!$C$44:$C$151,'EV Forecast'!M9)/3</f>
        <v>11</v>
      </c>
      <c r="N51" s="498">
        <f>SUMIFS('EV Data'!$Z$44:$Z$151,'EV Data'!$C$44:$C$151,'EV Forecast'!N9)/3</f>
        <v>4</v>
      </c>
      <c r="O51" s="92">
        <f>O67*O75*O70*O62</f>
        <v>37.822274245614778</v>
      </c>
      <c r="P51" s="92">
        <f t="shared" ref="P51:X51" si="40">P67*P75*P70*P62</f>
        <v>47.328922279879301</v>
      </c>
      <c r="Q51" s="92">
        <f t="shared" si="40"/>
        <v>59.314434721196221</v>
      </c>
      <c r="R51" s="92">
        <f t="shared" si="40"/>
        <v>74.550207575676055</v>
      </c>
      <c r="S51" s="92">
        <f t="shared" si="40"/>
        <v>93.956623137564463</v>
      </c>
      <c r="T51" s="92">
        <f t="shared" si="40"/>
        <v>118.41621494251511</v>
      </c>
      <c r="U51" s="92">
        <f t="shared" si="40"/>
        <v>149.24441140102965</v>
      </c>
      <c r="V51" s="92">
        <f t="shared" si="40"/>
        <v>188.09963478953722</v>
      </c>
      <c r="W51" s="92">
        <f t="shared" si="40"/>
        <v>237.07229064069617</v>
      </c>
      <c r="X51" s="497">
        <f t="shared" si="40"/>
        <v>298.7980899101027</v>
      </c>
    </row>
    <row r="52" spans="2:24" x14ac:dyDescent="0.25">
      <c r="B52" s="574"/>
      <c r="C52" s="571"/>
      <c r="D52" s="495" t="s">
        <v>445</v>
      </c>
      <c r="E52" s="74" t="s">
        <v>192</v>
      </c>
      <c r="F52" s="498">
        <f>F51</f>
        <v>14</v>
      </c>
      <c r="G52" s="498">
        <f t="shared" ref="G52:X52" si="41">F52+G51</f>
        <v>44</v>
      </c>
      <c r="H52" s="498">
        <f t="shared" si="41"/>
        <v>46</v>
      </c>
      <c r="I52" s="498">
        <f t="shared" si="41"/>
        <v>49</v>
      </c>
      <c r="J52" s="498">
        <f t="shared" si="41"/>
        <v>58</v>
      </c>
      <c r="K52" s="498">
        <f t="shared" si="41"/>
        <v>71</v>
      </c>
      <c r="L52" s="498">
        <f t="shared" si="41"/>
        <v>91</v>
      </c>
      <c r="M52" s="498">
        <f t="shared" si="41"/>
        <v>102</v>
      </c>
      <c r="N52" s="498">
        <f t="shared" si="41"/>
        <v>106</v>
      </c>
      <c r="O52" s="498">
        <f t="shared" si="41"/>
        <v>143.82227424561478</v>
      </c>
      <c r="P52" s="498">
        <f t="shared" si="41"/>
        <v>191.15119652549407</v>
      </c>
      <c r="Q52" s="498">
        <f t="shared" si="41"/>
        <v>250.46563124669029</v>
      </c>
      <c r="R52" s="498">
        <f t="shared" si="41"/>
        <v>325.01583882236633</v>
      </c>
      <c r="S52" s="498">
        <f t="shared" si="41"/>
        <v>418.9724619599308</v>
      </c>
      <c r="T52" s="498">
        <f t="shared" si="41"/>
        <v>537.38867690244592</v>
      </c>
      <c r="U52" s="498">
        <f t="shared" si="41"/>
        <v>686.63308830347557</v>
      </c>
      <c r="V52" s="498">
        <f t="shared" si="41"/>
        <v>874.73272309301274</v>
      </c>
      <c r="W52" s="498">
        <f t="shared" si="41"/>
        <v>1111.8050137337088</v>
      </c>
      <c r="X52" s="96">
        <f t="shared" si="41"/>
        <v>1410.6031036438117</v>
      </c>
    </row>
    <row r="53" spans="2:24" x14ac:dyDescent="0.25">
      <c r="B53" s="574"/>
      <c r="C53" s="571"/>
      <c r="D53" s="495" t="s">
        <v>445</v>
      </c>
      <c r="E53" s="74" t="s">
        <v>239</v>
      </c>
      <c r="F53" s="78">
        <f>E5*0.6</f>
        <v>3000</v>
      </c>
      <c r="G53" s="78">
        <f t="shared" ref="G53:X53" si="42">F53</f>
        <v>3000</v>
      </c>
      <c r="H53" s="78">
        <f t="shared" si="42"/>
        <v>3000</v>
      </c>
      <c r="I53" s="78">
        <f t="shared" si="42"/>
        <v>3000</v>
      </c>
      <c r="J53" s="78">
        <f t="shared" si="42"/>
        <v>3000</v>
      </c>
      <c r="K53" s="78">
        <f t="shared" si="42"/>
        <v>3000</v>
      </c>
      <c r="L53" s="78">
        <f t="shared" si="42"/>
        <v>3000</v>
      </c>
      <c r="M53" s="78">
        <f t="shared" si="42"/>
        <v>3000</v>
      </c>
      <c r="N53" s="78">
        <f t="shared" si="42"/>
        <v>3000</v>
      </c>
      <c r="O53" s="78">
        <f t="shared" si="42"/>
        <v>3000</v>
      </c>
      <c r="P53" s="78">
        <f t="shared" si="42"/>
        <v>3000</v>
      </c>
      <c r="Q53" s="78">
        <f t="shared" si="42"/>
        <v>3000</v>
      </c>
      <c r="R53" s="78">
        <f t="shared" si="42"/>
        <v>3000</v>
      </c>
      <c r="S53" s="78">
        <f t="shared" si="42"/>
        <v>3000</v>
      </c>
      <c r="T53" s="78">
        <f t="shared" si="42"/>
        <v>3000</v>
      </c>
      <c r="U53" s="78">
        <f t="shared" si="42"/>
        <v>3000</v>
      </c>
      <c r="V53" s="78">
        <f t="shared" si="42"/>
        <v>3000</v>
      </c>
      <c r="W53" s="78">
        <f t="shared" si="42"/>
        <v>3000</v>
      </c>
      <c r="X53" s="79">
        <f t="shared" si="42"/>
        <v>3000</v>
      </c>
    </row>
    <row r="54" spans="2:24" x14ac:dyDescent="0.25">
      <c r="B54" s="574"/>
      <c r="C54" s="571"/>
      <c r="D54" s="495" t="s">
        <v>445</v>
      </c>
      <c r="E54" s="74" t="s">
        <v>240</v>
      </c>
      <c r="F54" s="78">
        <f>F51*F53</f>
        <v>42000</v>
      </c>
      <c r="G54" s="78">
        <f t="shared" ref="G54:W54" si="43">G51*G53</f>
        <v>90000</v>
      </c>
      <c r="H54" s="78">
        <f t="shared" si="43"/>
        <v>6000</v>
      </c>
      <c r="I54" s="78">
        <f t="shared" si="43"/>
        <v>9000</v>
      </c>
      <c r="J54" s="78">
        <f t="shared" si="43"/>
        <v>27000</v>
      </c>
      <c r="K54" s="78">
        <f t="shared" si="43"/>
        <v>39000</v>
      </c>
      <c r="L54" s="78">
        <f t="shared" si="43"/>
        <v>60000</v>
      </c>
      <c r="M54" s="78">
        <f t="shared" si="43"/>
        <v>33000</v>
      </c>
      <c r="N54" s="78">
        <f>N51*N53</f>
        <v>12000</v>
      </c>
      <c r="O54" s="78">
        <f t="shared" si="43"/>
        <v>113466.82273684433</v>
      </c>
      <c r="P54" s="78">
        <f t="shared" si="43"/>
        <v>141986.76683963792</v>
      </c>
      <c r="Q54" s="78">
        <f t="shared" si="43"/>
        <v>177943.30416358868</v>
      </c>
      <c r="R54" s="78">
        <f t="shared" si="43"/>
        <v>223650.62272702815</v>
      </c>
      <c r="S54" s="78">
        <f t="shared" si="43"/>
        <v>281869.86941269337</v>
      </c>
      <c r="T54" s="78">
        <f t="shared" si="43"/>
        <v>355248.64482754533</v>
      </c>
      <c r="U54" s="78">
        <f t="shared" si="43"/>
        <v>447733.23420308897</v>
      </c>
      <c r="V54" s="78">
        <f t="shared" si="43"/>
        <v>564298.90436861163</v>
      </c>
      <c r="W54" s="78">
        <f t="shared" si="43"/>
        <v>711216.87192208855</v>
      </c>
      <c r="X54" s="79">
        <f>X51*X53</f>
        <v>896394.26973030809</v>
      </c>
    </row>
    <row r="55" spans="2:24" x14ac:dyDescent="0.25">
      <c r="B55" s="574"/>
      <c r="C55" s="571"/>
      <c r="D55" s="95" t="s">
        <v>445</v>
      </c>
      <c r="E55" s="74" t="s">
        <v>241</v>
      </c>
      <c r="F55" s="83">
        <f>F52*F53-F51*F53/2</f>
        <v>21000</v>
      </c>
      <c r="G55" s="83">
        <f>G52*G53-G51*G53/2</f>
        <v>87000</v>
      </c>
      <c r="H55" s="83">
        <f>H52*H53-H51*H53/2</f>
        <v>135000</v>
      </c>
      <c r="I55" s="83">
        <f>I52*I53-I51*I53/2</f>
        <v>142500</v>
      </c>
      <c r="J55" s="83">
        <f>J52*J53-J51*J53/2</f>
        <v>160500</v>
      </c>
      <c r="K55" s="83">
        <f t="shared" ref="K55:W55" si="44">K52*K53-K51*K53/2</f>
        <v>193500</v>
      </c>
      <c r="L55" s="83">
        <f t="shared" si="44"/>
        <v>243000</v>
      </c>
      <c r="M55" s="83">
        <f t="shared" si="44"/>
        <v>289500</v>
      </c>
      <c r="N55" s="83">
        <f>N52*N53-N51*N53/2</f>
        <v>312000</v>
      </c>
      <c r="O55" s="83">
        <f t="shared" si="44"/>
        <v>374733.41136842221</v>
      </c>
      <c r="P55" s="83">
        <f t="shared" si="44"/>
        <v>502460.20615666325</v>
      </c>
      <c r="Q55" s="83">
        <f t="shared" si="44"/>
        <v>662425.24165827653</v>
      </c>
      <c r="R55" s="83">
        <f t="shared" si="44"/>
        <v>863222.20510358491</v>
      </c>
      <c r="S55" s="83">
        <f t="shared" si="44"/>
        <v>1115982.4511734459</v>
      </c>
      <c r="T55" s="83">
        <f t="shared" si="44"/>
        <v>1434541.7082935651</v>
      </c>
      <c r="U55" s="83">
        <f t="shared" si="44"/>
        <v>1836032.6478088822</v>
      </c>
      <c r="V55" s="83">
        <f t="shared" si="44"/>
        <v>2342048.7170947324</v>
      </c>
      <c r="W55" s="83">
        <f t="shared" si="44"/>
        <v>2979806.6052400824</v>
      </c>
      <c r="X55" s="202">
        <f>X52*X53-X51*X53/2</f>
        <v>3783612.1760662808</v>
      </c>
    </row>
    <row r="56" spans="2:24" x14ac:dyDescent="0.25">
      <c r="B56" s="574"/>
      <c r="C56" s="570" t="s">
        <v>243</v>
      </c>
      <c r="D56" s="90" t="s">
        <v>445</v>
      </c>
      <c r="E56" s="73" t="s">
        <v>237</v>
      </c>
      <c r="F56" s="97">
        <f>SUMIFS('EV Data'!$X$44:$X$151,'EV Data'!$C$44:$C$151,'EV Forecast'!F9)/3</f>
        <v>0</v>
      </c>
      <c r="G56" s="97">
        <f>SUMIFS('EV Data'!$X$44:$X$151,'EV Data'!$C$44:$C$151,'EV Forecast'!G9)/3</f>
        <v>0</v>
      </c>
      <c r="H56" s="97">
        <f>SUMIFS('EV Data'!$X$44:$X$151,'EV Data'!$C$44:$C$151,'EV Forecast'!H9)/3</f>
        <v>0</v>
      </c>
      <c r="I56" s="97">
        <f>SUMIFS('EV Data'!$X$44:$X$151,'EV Data'!$C$44:$C$151,'EV Forecast'!I9)/3</f>
        <v>0</v>
      </c>
      <c r="J56" s="97">
        <f>SUMIFS('EV Data'!$X$44:$X$151,'EV Data'!$C$44:$C$151,'EV Forecast'!J9)/3</f>
        <v>0</v>
      </c>
      <c r="K56" s="97">
        <f>SUMIFS('EV Data'!$X$44:$X$151,'EV Data'!$C$44:$C$151,'EV Forecast'!K9)/3</f>
        <v>0</v>
      </c>
      <c r="L56" s="97">
        <f>SUMIFS('EV Data'!$X$44:$X$151,'EV Data'!$C$44:$C$151,'EV Forecast'!L9)/3</f>
        <v>0</v>
      </c>
      <c r="M56" s="97">
        <f>SUMIFS('EV Data'!$X$44:$X$151,'EV Data'!$C$44:$C$151,'EV Forecast'!M9)/3</f>
        <v>0</v>
      </c>
      <c r="N56" s="97">
        <f>SUMIFS('EV Data'!$X$44:$X$151,'EV Data'!$C$44:$C$151,'EV Forecast'!N9)/3</f>
        <v>0</v>
      </c>
      <c r="O56" s="92">
        <f t="shared" ref="O56:X56" si="45">O67*O75*O71*O62</f>
        <v>0</v>
      </c>
      <c r="P56" s="92">
        <f t="shared" si="45"/>
        <v>0</v>
      </c>
      <c r="Q56" s="92">
        <f t="shared" si="45"/>
        <v>0</v>
      </c>
      <c r="R56" s="92">
        <f t="shared" si="45"/>
        <v>0</v>
      </c>
      <c r="S56" s="92">
        <f t="shared" si="45"/>
        <v>0</v>
      </c>
      <c r="T56" s="92">
        <f t="shared" si="45"/>
        <v>0</v>
      </c>
      <c r="U56" s="92">
        <f t="shared" si="45"/>
        <v>0</v>
      </c>
      <c r="V56" s="92">
        <f t="shared" si="45"/>
        <v>0</v>
      </c>
      <c r="W56" s="92">
        <f t="shared" si="45"/>
        <v>0</v>
      </c>
      <c r="X56" s="497">
        <f t="shared" si="45"/>
        <v>0</v>
      </c>
    </row>
    <row r="57" spans="2:24" x14ac:dyDescent="0.25">
      <c r="B57" s="574"/>
      <c r="C57" s="571"/>
      <c r="D57" s="495" t="s">
        <v>445</v>
      </c>
      <c r="E57" s="74" t="s">
        <v>192</v>
      </c>
      <c r="F57" s="498">
        <f>F56</f>
        <v>0</v>
      </c>
      <c r="G57" s="498">
        <f t="shared" ref="G57:X57" si="46">F57+G56</f>
        <v>0</v>
      </c>
      <c r="H57" s="498">
        <f t="shared" si="46"/>
        <v>0</v>
      </c>
      <c r="I57" s="498">
        <f t="shared" si="46"/>
        <v>0</v>
      </c>
      <c r="J57" s="498">
        <f t="shared" si="46"/>
        <v>0</v>
      </c>
      <c r="K57" s="498">
        <f t="shared" si="46"/>
        <v>0</v>
      </c>
      <c r="L57" s="498">
        <f t="shared" si="46"/>
        <v>0</v>
      </c>
      <c r="M57" s="498">
        <f t="shared" si="46"/>
        <v>0</v>
      </c>
      <c r="N57" s="498">
        <f t="shared" si="46"/>
        <v>0</v>
      </c>
      <c r="O57" s="498">
        <f t="shared" si="46"/>
        <v>0</v>
      </c>
      <c r="P57" s="498">
        <f t="shared" si="46"/>
        <v>0</v>
      </c>
      <c r="Q57" s="498">
        <f t="shared" si="46"/>
        <v>0</v>
      </c>
      <c r="R57" s="498">
        <f t="shared" si="46"/>
        <v>0</v>
      </c>
      <c r="S57" s="498">
        <f t="shared" si="46"/>
        <v>0</v>
      </c>
      <c r="T57" s="498">
        <f t="shared" si="46"/>
        <v>0</v>
      </c>
      <c r="U57" s="498">
        <f t="shared" si="46"/>
        <v>0</v>
      </c>
      <c r="V57" s="498">
        <f t="shared" si="46"/>
        <v>0</v>
      </c>
      <c r="W57" s="498">
        <f t="shared" si="46"/>
        <v>0</v>
      </c>
      <c r="X57" s="96">
        <f t="shared" si="46"/>
        <v>0</v>
      </c>
    </row>
    <row r="58" spans="2:24" x14ac:dyDescent="0.25">
      <c r="B58" s="574"/>
      <c r="C58" s="571"/>
      <c r="D58" s="495" t="s">
        <v>445</v>
      </c>
      <c r="E58" s="74" t="s">
        <v>239</v>
      </c>
      <c r="F58" s="78"/>
      <c r="G58" s="78"/>
      <c r="H58" s="78"/>
      <c r="I58" s="78"/>
      <c r="J58" s="78"/>
      <c r="K58" s="78">
        <f>E6*0.6</f>
        <v>3600</v>
      </c>
      <c r="L58" s="78">
        <f t="shared" ref="L58:X58" si="47">K58</f>
        <v>3600</v>
      </c>
      <c r="M58" s="78">
        <f t="shared" si="47"/>
        <v>3600</v>
      </c>
      <c r="N58" s="78">
        <f t="shared" si="47"/>
        <v>3600</v>
      </c>
      <c r="O58" s="78">
        <f t="shared" si="47"/>
        <v>3600</v>
      </c>
      <c r="P58" s="78">
        <f t="shared" si="47"/>
        <v>3600</v>
      </c>
      <c r="Q58" s="78">
        <f t="shared" si="47"/>
        <v>3600</v>
      </c>
      <c r="R58" s="78">
        <f t="shared" si="47"/>
        <v>3600</v>
      </c>
      <c r="S58" s="78">
        <f t="shared" si="47"/>
        <v>3600</v>
      </c>
      <c r="T58" s="78">
        <f t="shared" si="47"/>
        <v>3600</v>
      </c>
      <c r="U58" s="78">
        <f t="shared" si="47"/>
        <v>3600</v>
      </c>
      <c r="V58" s="78">
        <f t="shared" si="47"/>
        <v>3600</v>
      </c>
      <c r="W58" s="78">
        <f t="shared" si="47"/>
        <v>3600</v>
      </c>
      <c r="X58" s="79">
        <f t="shared" si="47"/>
        <v>3600</v>
      </c>
    </row>
    <row r="59" spans="2:24" x14ac:dyDescent="0.25">
      <c r="B59" s="574"/>
      <c r="C59" s="571"/>
      <c r="D59" s="495" t="s">
        <v>445</v>
      </c>
      <c r="E59" s="74" t="s">
        <v>240</v>
      </c>
      <c r="F59" s="78">
        <f>F56*F58</f>
        <v>0</v>
      </c>
      <c r="G59" s="78">
        <f t="shared" ref="G59:W59" si="48">G56*G58</f>
        <v>0</v>
      </c>
      <c r="H59" s="78">
        <f t="shared" si="48"/>
        <v>0</v>
      </c>
      <c r="I59" s="78">
        <f t="shared" si="48"/>
        <v>0</v>
      </c>
      <c r="J59" s="78">
        <f t="shared" si="48"/>
        <v>0</v>
      </c>
      <c r="K59" s="78">
        <f t="shared" si="48"/>
        <v>0</v>
      </c>
      <c r="L59" s="78">
        <f t="shared" si="48"/>
        <v>0</v>
      </c>
      <c r="M59" s="78">
        <f t="shared" si="48"/>
        <v>0</v>
      </c>
      <c r="N59" s="78">
        <f>N56*N58</f>
        <v>0</v>
      </c>
      <c r="O59" s="78">
        <f t="shared" si="48"/>
        <v>0</v>
      </c>
      <c r="P59" s="78">
        <f t="shared" si="48"/>
        <v>0</v>
      </c>
      <c r="Q59" s="78">
        <f t="shared" si="48"/>
        <v>0</v>
      </c>
      <c r="R59" s="78">
        <f t="shared" si="48"/>
        <v>0</v>
      </c>
      <c r="S59" s="78">
        <f t="shared" si="48"/>
        <v>0</v>
      </c>
      <c r="T59" s="78">
        <f t="shared" si="48"/>
        <v>0</v>
      </c>
      <c r="U59" s="78">
        <f t="shared" si="48"/>
        <v>0</v>
      </c>
      <c r="V59" s="78">
        <f t="shared" si="48"/>
        <v>0</v>
      </c>
      <c r="W59" s="78">
        <f t="shared" si="48"/>
        <v>0</v>
      </c>
      <c r="X59" s="79">
        <f>X56*X58</f>
        <v>0</v>
      </c>
    </row>
    <row r="60" spans="2:24" x14ac:dyDescent="0.25">
      <c r="B60" s="574"/>
      <c r="C60" s="572"/>
      <c r="D60" s="95" t="s">
        <v>445</v>
      </c>
      <c r="E60" s="81" t="s">
        <v>241</v>
      </c>
      <c r="F60" s="83">
        <f>F57*F58-F56*F58/2</f>
        <v>0</v>
      </c>
      <c r="G60" s="83">
        <f>G57*G58-G56*G58/2</f>
        <v>0</v>
      </c>
      <c r="H60" s="83">
        <f>H57*H58-H56*H58/2</f>
        <v>0</v>
      </c>
      <c r="I60" s="83">
        <f>I57*I58-I56*I58/2</f>
        <v>0</v>
      </c>
      <c r="J60" s="83">
        <f>J57*J58-J56*J58/2</f>
        <v>0</v>
      </c>
      <c r="K60" s="83">
        <f t="shared" ref="K60:W60" si="49">K57*K58-K56*K58/2</f>
        <v>0</v>
      </c>
      <c r="L60" s="83">
        <f t="shared" si="49"/>
        <v>0</v>
      </c>
      <c r="M60" s="83">
        <f t="shared" si="49"/>
        <v>0</v>
      </c>
      <c r="N60" s="83">
        <f>N57*N58-N56*N58/2</f>
        <v>0</v>
      </c>
      <c r="O60" s="83">
        <f t="shared" si="49"/>
        <v>0</v>
      </c>
      <c r="P60" s="83">
        <f t="shared" si="49"/>
        <v>0</v>
      </c>
      <c r="Q60" s="83">
        <f t="shared" si="49"/>
        <v>0</v>
      </c>
      <c r="R60" s="83">
        <f t="shared" si="49"/>
        <v>0</v>
      </c>
      <c r="S60" s="83">
        <f t="shared" si="49"/>
        <v>0</v>
      </c>
      <c r="T60" s="83">
        <f t="shared" si="49"/>
        <v>0</v>
      </c>
      <c r="U60" s="83">
        <f t="shared" si="49"/>
        <v>0</v>
      </c>
      <c r="V60" s="83">
        <f t="shared" si="49"/>
        <v>0</v>
      </c>
      <c r="W60" s="83">
        <f t="shared" si="49"/>
        <v>0</v>
      </c>
      <c r="X60" s="202">
        <f>X57*X58-X56*X58/2</f>
        <v>0</v>
      </c>
    </row>
    <row r="61" spans="2:24" x14ac:dyDescent="0.25">
      <c r="B61" s="574"/>
      <c r="C61" s="191"/>
      <c r="D61" s="495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9"/>
    </row>
    <row r="62" spans="2:24" x14ac:dyDescent="0.25">
      <c r="B62" s="574"/>
      <c r="C62" s="76"/>
      <c r="D62" s="500" t="s">
        <v>478</v>
      </c>
      <c r="F62" s="203">
        <f t="shared" ref="F62:N62" si="50">F64/F65</f>
        <v>3.4236186348862406E-2</v>
      </c>
      <c r="G62" s="203">
        <f t="shared" si="50"/>
        <v>2.6919475655430711E-2</v>
      </c>
      <c r="H62" s="203">
        <f t="shared" si="50"/>
        <v>2.4975673045734673E-2</v>
      </c>
      <c r="I62" s="203">
        <f t="shared" si="50"/>
        <v>2.928692699490662E-2</v>
      </c>
      <c r="J62" s="203">
        <f t="shared" si="50"/>
        <v>2.7460412908398478E-2</v>
      </c>
      <c r="K62" s="203">
        <f t="shared" si="50"/>
        <v>2.466405851335261E-2</v>
      </c>
      <c r="L62" s="203">
        <f t="shared" si="50"/>
        <v>2.583282595459685E-2</v>
      </c>
      <c r="M62" s="203">
        <f t="shared" si="50"/>
        <v>2.9128163921253516E-2</v>
      </c>
      <c r="N62" s="203">
        <f t="shared" si="50"/>
        <v>3.0394184370495708E-2</v>
      </c>
      <c r="O62" s="203">
        <f>AVERAGE(L62:N62)</f>
        <v>2.8451724748782024E-2</v>
      </c>
      <c r="P62" s="203">
        <f t="shared" ref="P62:W62" si="51">O62</f>
        <v>2.8451724748782024E-2</v>
      </c>
      <c r="Q62" s="203">
        <f t="shared" si="51"/>
        <v>2.8451724748782024E-2</v>
      </c>
      <c r="R62" s="203">
        <f t="shared" si="51"/>
        <v>2.8451724748782024E-2</v>
      </c>
      <c r="S62" s="203">
        <f t="shared" si="51"/>
        <v>2.8451724748782024E-2</v>
      </c>
      <c r="T62" s="203">
        <f t="shared" si="51"/>
        <v>2.8451724748782024E-2</v>
      </c>
      <c r="U62" s="203">
        <f t="shared" si="51"/>
        <v>2.8451724748782024E-2</v>
      </c>
      <c r="V62" s="203">
        <f t="shared" si="51"/>
        <v>2.8451724748782024E-2</v>
      </c>
      <c r="W62" s="203">
        <f t="shared" si="51"/>
        <v>2.8451724748782024E-2</v>
      </c>
      <c r="X62" s="204">
        <f>W62</f>
        <v>2.8451724748782024E-2</v>
      </c>
    </row>
    <row r="63" spans="2:24" x14ac:dyDescent="0.25">
      <c r="B63" s="574"/>
      <c r="C63" s="76"/>
      <c r="F63" s="101"/>
      <c r="G63" s="101"/>
      <c r="H63" s="101"/>
      <c r="I63" s="101"/>
      <c r="J63" s="101"/>
      <c r="K63" s="101"/>
      <c r="L63" s="101"/>
      <c r="M63" s="102"/>
      <c r="N63" s="102"/>
      <c r="O63" s="102"/>
      <c r="X63" s="77"/>
    </row>
    <row r="64" spans="2:24" x14ac:dyDescent="0.25">
      <c r="B64" s="574"/>
      <c r="C64" s="76"/>
      <c r="D64" s="495" t="s">
        <v>445</v>
      </c>
      <c r="E64" s="74" t="s">
        <v>244</v>
      </c>
      <c r="F64" s="98">
        <f t="shared" ref="F64:X64" si="52">F43</f>
        <v>158</v>
      </c>
      <c r="G64" s="98">
        <f t="shared" si="52"/>
        <v>230</v>
      </c>
      <c r="H64" s="98">
        <f t="shared" si="52"/>
        <v>77</v>
      </c>
      <c r="I64" s="98">
        <f t="shared" si="52"/>
        <v>69</v>
      </c>
      <c r="J64" s="98">
        <f t="shared" si="52"/>
        <v>137</v>
      </c>
      <c r="K64" s="98">
        <f t="shared" si="52"/>
        <v>145</v>
      </c>
      <c r="L64" s="98">
        <f t="shared" si="52"/>
        <v>297</v>
      </c>
      <c r="M64" s="98">
        <f t="shared" si="52"/>
        <v>435</v>
      </c>
      <c r="N64" s="98">
        <f t="shared" si="52"/>
        <v>485</v>
      </c>
      <c r="O64" s="98">
        <f t="shared" si="52"/>
        <v>567.92426028270756</v>
      </c>
      <c r="P64" s="98">
        <f t="shared" si="52"/>
        <v>710.6723144469471</v>
      </c>
      <c r="Q64" s="98">
        <f t="shared" si="52"/>
        <v>890.64201280884049</v>
      </c>
      <c r="R64" s="98">
        <f t="shared" si="52"/>
        <v>1119.4163316672325</v>
      </c>
      <c r="S64" s="98">
        <f t="shared" si="52"/>
        <v>1410.8153662983175</v>
      </c>
      <c r="T64" s="98">
        <f t="shared" si="52"/>
        <v>1778.0908900395732</v>
      </c>
      <c r="U64" s="98">
        <f t="shared" si="52"/>
        <v>2240.9948538746348</v>
      </c>
      <c r="V64" s="98">
        <f t="shared" si="52"/>
        <v>2824.4294685606092</v>
      </c>
      <c r="W64" s="98">
        <f t="shared" si="52"/>
        <v>3559.7834339973588</v>
      </c>
      <c r="X64" s="106">
        <f t="shared" si="52"/>
        <v>4486.6335399108357</v>
      </c>
    </row>
    <row r="65" spans="2:30" x14ac:dyDescent="0.25">
      <c r="B65" s="574"/>
      <c r="C65" s="76"/>
      <c r="D65" s="99" t="s">
        <v>193</v>
      </c>
      <c r="E65" s="74" t="s">
        <v>244</v>
      </c>
      <c r="F65" s="78">
        <f>SUMIFS('EV Data'!$K$44:$K$151,'EV Data'!$C$44:$C$151,'EV Forecast'!F9)/3</f>
        <v>4615</v>
      </c>
      <c r="G65" s="78">
        <f>SUMIFS('EV Data'!$K$44:$K$151,'EV Data'!$C$44:$C$151,'EV Forecast'!G9)/3</f>
        <v>8544</v>
      </c>
      <c r="H65" s="78">
        <f>SUMIFS('EV Data'!$K$44:$K$151,'EV Data'!$C$44:$C$151,'EV Forecast'!H9)/3</f>
        <v>3083</v>
      </c>
      <c r="I65" s="78">
        <f>SUMIFS('EV Data'!$K$44:$K$151,'EV Data'!$C$44:$C$151,'EV Forecast'!I9)/3</f>
        <v>2356</v>
      </c>
      <c r="J65" s="78">
        <f>SUMIFS('EV Data'!$K$44:$K$151,'EV Data'!$C$44:$C$151,'EV Forecast'!J9)/3</f>
        <v>4989</v>
      </c>
      <c r="K65" s="78">
        <f>SUMIFS('EV Data'!$K$44:$K$151,'EV Data'!$C$44:$C$151,'EV Forecast'!K9)/3</f>
        <v>5879</v>
      </c>
      <c r="L65" s="78">
        <f>SUMIFS('EV Data'!$K$44:$K$151,'EV Data'!$C$44:$C$151,'EV Forecast'!L9)/3</f>
        <v>11497</v>
      </c>
      <c r="M65" s="78">
        <f>SUMIFS('EV Data'!$K$44:$K$151,'EV Data'!$C$44:$C$151,'EV Forecast'!M9)/3</f>
        <v>14934</v>
      </c>
      <c r="N65" s="78">
        <f>SUMIFS('EV Data'!$K$44:$K$151,'EV Data'!$C$44:$C$151,'EV Forecast'!N9)/3</f>
        <v>15957</v>
      </c>
      <c r="O65" s="98">
        <f t="shared" ref="O65:X65" si="53">O67*O75</f>
        <v>19960.978299110655</v>
      </c>
      <c r="P65" s="98">
        <f t="shared" si="53"/>
        <v>24978.180434469788</v>
      </c>
      <c r="Q65" s="98">
        <f t="shared" si="53"/>
        <v>31303.621157341877</v>
      </c>
      <c r="R65" s="98">
        <f t="shared" si="53"/>
        <v>39344.410279209973</v>
      </c>
      <c r="S65" s="98">
        <f t="shared" si="53"/>
        <v>49586.286200758783</v>
      </c>
      <c r="T65" s="98">
        <f t="shared" si="53"/>
        <v>62495.012367068906</v>
      </c>
      <c r="U65" s="98">
        <f t="shared" si="53"/>
        <v>78764.815618798952</v>
      </c>
      <c r="V65" s="98">
        <f t="shared" si="53"/>
        <v>99270.940285668228</v>
      </c>
      <c r="W65" s="98">
        <f t="shared" si="53"/>
        <v>125116.61297966646</v>
      </c>
      <c r="X65" s="106">
        <f t="shared" si="53"/>
        <v>157692.84918668776</v>
      </c>
    </row>
    <row r="66" spans="2:30" x14ac:dyDescent="0.25">
      <c r="B66" s="574"/>
      <c r="C66" s="76"/>
      <c r="D66" s="99"/>
      <c r="F66" s="78"/>
      <c r="G66" s="78"/>
      <c r="H66" s="78"/>
      <c r="I66" s="78"/>
      <c r="J66" s="78"/>
      <c r="K66" s="78"/>
      <c r="L66" s="78"/>
      <c r="M66" s="7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106"/>
    </row>
    <row r="67" spans="2:30" x14ac:dyDescent="0.25">
      <c r="B67" s="574"/>
      <c r="C67" s="76"/>
      <c r="D67" s="99" t="s">
        <v>372</v>
      </c>
      <c r="F67" s="101">
        <f t="shared" ref="F67:N67" si="54">F65/F75</f>
        <v>5.7587082524847297E-3</v>
      </c>
      <c r="G67" s="101">
        <f t="shared" si="54"/>
        <v>1.0699084491962538E-2</v>
      </c>
      <c r="H67" s="101">
        <f t="shared" si="54"/>
        <v>3.872736088674728E-3</v>
      </c>
      <c r="I67" s="101">
        <f t="shared" si="54"/>
        <v>3.9230247919847744E-3</v>
      </c>
      <c r="J67" s="101">
        <f t="shared" si="54"/>
        <v>7.9535382005777432E-3</v>
      </c>
      <c r="K67" s="101">
        <f t="shared" si="54"/>
        <v>9.8889989722438561E-3</v>
      </c>
      <c r="L67" s="101">
        <f t="shared" si="54"/>
        <v>1.6982249656942901E-2</v>
      </c>
      <c r="M67" s="101">
        <f t="shared" si="54"/>
        <v>2.1356771343543132E-2</v>
      </c>
      <c r="N67" s="101">
        <f t="shared" si="54"/>
        <v>2.2321853230003078E-2</v>
      </c>
      <c r="O67" s="205">
        <f>O74*($N$67/($N$35+$N$67))</f>
        <v>2.7855396495276876E-2</v>
      </c>
      <c r="P67" s="205">
        <f t="shared" ref="P67:X67" si="55">P74*($N$67/($N$35+$N$67))</f>
        <v>3.4760694191204311E-2</v>
      </c>
      <c r="Q67" s="205">
        <f t="shared" si="55"/>
        <v>4.3377801527948241E-2</v>
      </c>
      <c r="R67" s="205">
        <f t="shared" si="55"/>
        <v>5.4131072729674899E-2</v>
      </c>
      <c r="S67" s="205">
        <f t="shared" si="55"/>
        <v>6.7550058593390194E-2</v>
      </c>
      <c r="T67" s="205">
        <f t="shared" si="55"/>
        <v>8.4295584511278013E-2</v>
      </c>
      <c r="U67" s="205">
        <f t="shared" si="55"/>
        <v>0.10519229318319667</v>
      </c>
      <c r="V67" s="205">
        <f t="shared" si="55"/>
        <v>0.13126925460323663</v>
      </c>
      <c r="W67" s="205">
        <f t="shared" si="55"/>
        <v>0.16381064318162356</v>
      </c>
      <c r="X67" s="206">
        <f t="shared" si="55"/>
        <v>0.20441897762490663</v>
      </c>
    </row>
    <row r="68" spans="2:30" x14ac:dyDescent="0.25">
      <c r="B68" s="574"/>
      <c r="C68" s="76"/>
      <c r="D68" s="99"/>
      <c r="F68" s="101"/>
      <c r="G68" s="101"/>
      <c r="H68" s="101"/>
      <c r="I68" s="101"/>
      <c r="J68" s="101"/>
      <c r="K68" s="101"/>
      <c r="L68" s="101"/>
      <c r="M68" s="101"/>
      <c r="N68" s="101"/>
      <c r="O68" s="205"/>
      <c r="P68" s="205"/>
      <c r="Q68" s="205"/>
      <c r="R68" s="205"/>
      <c r="S68" s="205"/>
      <c r="T68" s="205"/>
      <c r="U68" s="205"/>
      <c r="V68" s="205"/>
      <c r="W68" s="205"/>
      <c r="X68" s="206"/>
    </row>
    <row r="69" spans="2:30" x14ac:dyDescent="0.25">
      <c r="B69" s="574"/>
      <c r="C69" s="76"/>
      <c r="D69" s="495" t="s">
        <v>445</v>
      </c>
      <c r="E69" s="74" t="s">
        <v>246</v>
      </c>
      <c r="F69" s="101">
        <f t="shared" ref="F69:N69" si="56">F47/F44</f>
        <v>0.91139240506329111</v>
      </c>
      <c r="G69" s="101">
        <f t="shared" si="56"/>
        <v>0.88659793814432986</v>
      </c>
      <c r="H69" s="101">
        <f t="shared" si="56"/>
        <v>0.90107526881720434</v>
      </c>
      <c r="I69" s="101">
        <f t="shared" si="56"/>
        <v>0.90823970037453183</v>
      </c>
      <c r="J69" s="101">
        <f t="shared" si="56"/>
        <v>0.91356184798807749</v>
      </c>
      <c r="K69" s="101">
        <f t="shared" si="56"/>
        <v>0.91299019607843135</v>
      </c>
      <c r="L69" s="101">
        <f t="shared" si="56"/>
        <v>0.91823899371069184</v>
      </c>
      <c r="M69" s="101">
        <f t="shared" si="56"/>
        <v>0.93410852713178294</v>
      </c>
      <c r="N69" s="101">
        <f t="shared" si="56"/>
        <v>0.94786030496802753</v>
      </c>
      <c r="O69" s="102">
        <f>AVERAGE(L69:N69)</f>
        <v>0.93340260860350088</v>
      </c>
      <c r="P69" s="102">
        <f t="shared" ref="P69:X69" si="57">O69</f>
        <v>0.93340260860350088</v>
      </c>
      <c r="Q69" s="102">
        <f t="shared" si="57"/>
        <v>0.93340260860350088</v>
      </c>
      <c r="R69" s="102">
        <f t="shared" si="57"/>
        <v>0.93340260860350088</v>
      </c>
      <c r="S69" s="102">
        <f t="shared" si="57"/>
        <v>0.93340260860350088</v>
      </c>
      <c r="T69" s="102">
        <f t="shared" si="57"/>
        <v>0.93340260860350088</v>
      </c>
      <c r="U69" s="102">
        <f t="shared" si="57"/>
        <v>0.93340260860350088</v>
      </c>
      <c r="V69" s="102">
        <f t="shared" si="57"/>
        <v>0.93340260860350088</v>
      </c>
      <c r="W69" s="102">
        <f t="shared" si="57"/>
        <v>0.93340260860350088</v>
      </c>
      <c r="X69" s="207">
        <f t="shared" si="57"/>
        <v>0.93340260860350088</v>
      </c>
    </row>
    <row r="70" spans="2:30" x14ac:dyDescent="0.25">
      <c r="B70" s="574"/>
      <c r="C70" s="76"/>
      <c r="D70" s="495" t="s">
        <v>445</v>
      </c>
      <c r="E70" s="74" t="s">
        <v>247</v>
      </c>
      <c r="F70" s="101">
        <f t="shared" ref="F70:N70" si="58">F52/F44</f>
        <v>8.8607594936708861E-2</v>
      </c>
      <c r="G70" s="101">
        <f t="shared" si="58"/>
        <v>0.1134020618556701</v>
      </c>
      <c r="H70" s="101">
        <f t="shared" si="58"/>
        <v>9.8924731182795697E-2</v>
      </c>
      <c r="I70" s="101">
        <f t="shared" si="58"/>
        <v>9.1760299625468167E-2</v>
      </c>
      <c r="J70" s="101">
        <f t="shared" si="58"/>
        <v>8.6438152011922509E-2</v>
      </c>
      <c r="K70" s="101">
        <f t="shared" si="58"/>
        <v>8.7009803921568624E-2</v>
      </c>
      <c r="L70" s="101">
        <f t="shared" si="58"/>
        <v>8.1761006289308172E-2</v>
      </c>
      <c r="M70" s="101">
        <f t="shared" si="58"/>
        <v>6.589147286821706E-2</v>
      </c>
      <c r="N70" s="101">
        <f t="shared" si="58"/>
        <v>5.2139695031972452E-2</v>
      </c>
      <c r="O70" s="102">
        <f>AVERAGE(L70:N70)</f>
        <v>6.6597391396499228E-2</v>
      </c>
      <c r="P70" s="102">
        <f t="shared" ref="P70:X70" si="59">O70</f>
        <v>6.6597391396499228E-2</v>
      </c>
      <c r="Q70" s="102">
        <f t="shared" si="59"/>
        <v>6.6597391396499228E-2</v>
      </c>
      <c r="R70" s="102">
        <f t="shared" si="59"/>
        <v>6.6597391396499228E-2</v>
      </c>
      <c r="S70" s="102">
        <f t="shared" si="59"/>
        <v>6.6597391396499228E-2</v>
      </c>
      <c r="T70" s="102">
        <f t="shared" si="59"/>
        <v>6.6597391396499228E-2</v>
      </c>
      <c r="U70" s="102">
        <f t="shared" si="59"/>
        <v>6.6597391396499228E-2</v>
      </c>
      <c r="V70" s="102">
        <f t="shared" si="59"/>
        <v>6.6597391396499228E-2</v>
      </c>
      <c r="W70" s="102">
        <f t="shared" si="59"/>
        <v>6.6597391396499228E-2</v>
      </c>
      <c r="X70" s="207">
        <f t="shared" si="59"/>
        <v>6.6597391396499228E-2</v>
      </c>
    </row>
    <row r="71" spans="2:30" x14ac:dyDescent="0.25">
      <c r="B71" s="574"/>
      <c r="C71" s="76"/>
      <c r="D71" s="495" t="s">
        <v>445</v>
      </c>
      <c r="E71" s="74" t="s">
        <v>248</v>
      </c>
      <c r="F71" s="101">
        <f t="shared" ref="F71:N71" si="60">F57/F44</f>
        <v>0</v>
      </c>
      <c r="G71" s="101">
        <f t="shared" si="60"/>
        <v>0</v>
      </c>
      <c r="H71" s="101">
        <f t="shared" si="60"/>
        <v>0</v>
      </c>
      <c r="I71" s="101">
        <f t="shared" si="60"/>
        <v>0</v>
      </c>
      <c r="J71" s="101">
        <f t="shared" si="60"/>
        <v>0</v>
      </c>
      <c r="K71" s="101">
        <f t="shared" si="60"/>
        <v>0</v>
      </c>
      <c r="L71" s="101">
        <f t="shared" si="60"/>
        <v>0</v>
      </c>
      <c r="M71" s="101">
        <f t="shared" si="60"/>
        <v>0</v>
      </c>
      <c r="N71" s="101">
        <f t="shared" si="60"/>
        <v>0</v>
      </c>
      <c r="O71" s="102">
        <f>AVERAGE(L71:N71)</f>
        <v>0</v>
      </c>
      <c r="P71" s="102">
        <f t="shared" ref="P71:X71" si="61">O71</f>
        <v>0</v>
      </c>
      <c r="Q71" s="102">
        <f t="shared" si="61"/>
        <v>0</v>
      </c>
      <c r="R71" s="102">
        <f t="shared" si="61"/>
        <v>0</v>
      </c>
      <c r="S71" s="102">
        <f t="shared" si="61"/>
        <v>0</v>
      </c>
      <c r="T71" s="102">
        <f t="shared" si="61"/>
        <v>0</v>
      </c>
      <c r="U71" s="102">
        <f t="shared" si="61"/>
        <v>0</v>
      </c>
      <c r="V71" s="102">
        <f t="shared" si="61"/>
        <v>0</v>
      </c>
      <c r="W71" s="102">
        <f t="shared" si="61"/>
        <v>0</v>
      </c>
      <c r="X71" s="207">
        <f t="shared" si="61"/>
        <v>0</v>
      </c>
    </row>
    <row r="72" spans="2:30" x14ac:dyDescent="0.25">
      <c r="B72" s="575"/>
      <c r="C72" s="80"/>
      <c r="D72" s="81"/>
      <c r="E72" s="81"/>
      <c r="F72" s="107"/>
      <c r="G72" s="107"/>
      <c r="H72" s="107"/>
      <c r="I72" s="107"/>
      <c r="J72" s="107"/>
      <c r="K72" s="107"/>
      <c r="L72" s="107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2"/>
    </row>
    <row r="73" spans="2:30" x14ac:dyDescent="0.25">
      <c r="B73" s="192"/>
      <c r="C73" s="72"/>
      <c r="D73" s="73"/>
      <c r="E73" s="198" t="s">
        <v>380</v>
      </c>
      <c r="F73" s="195"/>
      <c r="G73" s="195"/>
      <c r="H73" s="195"/>
      <c r="I73" s="195"/>
      <c r="J73" s="195"/>
      <c r="K73" s="195"/>
      <c r="L73" s="195"/>
      <c r="M73" s="197"/>
      <c r="N73" s="197"/>
      <c r="O73" s="197">
        <v>0.2</v>
      </c>
      <c r="P73" s="197">
        <v>0.23</v>
      </c>
      <c r="Q73" s="197">
        <v>0.34</v>
      </c>
      <c r="R73" s="197">
        <v>0.43</v>
      </c>
      <c r="S73" s="197">
        <v>0.6</v>
      </c>
      <c r="T73" s="197">
        <v>0.67999999999999994</v>
      </c>
      <c r="U73" s="197">
        <v>0.7599999999999999</v>
      </c>
      <c r="V73" s="197">
        <v>0.83999999999999986</v>
      </c>
      <c r="W73" s="197">
        <v>0.91999999999999982</v>
      </c>
      <c r="X73" s="196">
        <v>1</v>
      </c>
    </row>
    <row r="74" spans="2:30" x14ac:dyDescent="0.25">
      <c r="B74" s="193"/>
      <c r="C74" s="76"/>
      <c r="E74" s="208" t="s">
        <v>379</v>
      </c>
      <c r="F74" s="194">
        <f t="shared" ref="F74:M74" si="62">(F65+F33)/F75</f>
        <v>1.0204705544706419E-2</v>
      </c>
      <c r="G74" s="194">
        <f t="shared" si="62"/>
        <v>2.098743633957071E-2</v>
      </c>
      <c r="H74" s="194">
        <f t="shared" si="62"/>
        <v>1.2115646959217564E-2</v>
      </c>
      <c r="I74" s="194">
        <f t="shared" si="62"/>
        <v>1.7512076289178214E-2</v>
      </c>
      <c r="J74" s="194">
        <f t="shared" si="62"/>
        <v>3.1581397425024076E-2</v>
      </c>
      <c r="K74" s="194">
        <f t="shared" si="62"/>
        <v>6.5032910063767976E-2</v>
      </c>
      <c r="L74" s="194">
        <f t="shared" si="62"/>
        <v>7.4050112185949507E-2</v>
      </c>
      <c r="M74" s="194">
        <f t="shared" si="62"/>
        <v>8.0932353063153634E-2</v>
      </c>
      <c r="N74" s="194">
        <f>(N65+N33)/N75</f>
        <v>8.1897434949613587E-2</v>
      </c>
      <c r="O74" s="194">
        <f>N74*(($X$74/$N$74)^(1/10))</f>
        <v>0.10219964708850107</v>
      </c>
      <c r="P74" s="194">
        <f>O74*(($X$74/$N$74)^(1/10))</f>
        <v>0.12753473746082747</v>
      </c>
      <c r="Q74" s="194">
        <f>P74*(($X$74/$N$74)^(1/10))</f>
        <v>0.15915034662612107</v>
      </c>
      <c r="R74" s="194">
        <f>Q74*(($X$74/$N$74)^(1/10))</f>
        <v>0.1986034027709061</v>
      </c>
      <c r="S74" s="194">
        <f>R74*(($X$74/$N$74)^(1/10))</f>
        <v>0.24783679349969442</v>
      </c>
      <c r="T74" s="194">
        <f t="shared" ref="T74:W74" si="63">S74*(($X$74/$N$74)^(1/10))</f>
        <v>0.30927504441131454</v>
      </c>
      <c r="U74" s="194">
        <f t="shared" si="63"/>
        <v>0.3859437162050699</v>
      </c>
      <c r="V74" s="194">
        <f t="shared" si="63"/>
        <v>0.48161840009335799</v>
      </c>
      <c r="W74" s="194">
        <f t="shared" si="63"/>
        <v>0.60101064888237909</v>
      </c>
      <c r="X74" s="501">
        <v>0.75</v>
      </c>
    </row>
    <row r="75" spans="2:30" x14ac:dyDescent="0.25">
      <c r="B75" s="76"/>
      <c r="C75" s="76"/>
      <c r="D75" s="99" t="s">
        <v>193</v>
      </c>
      <c r="E75" s="74" t="s">
        <v>245</v>
      </c>
      <c r="F75" s="78">
        <f>SUMIFS('EV Data'!$D$5:$D$40,'EV Data'!$C$5:$C$40,'EV Forecast'!F41)</f>
        <v>801395</v>
      </c>
      <c r="G75" s="78">
        <f>SUMIFS('EV Data'!$D$5:$D$40,'EV Data'!$C$5:$C$40,'EV Forecast'!G41)</f>
        <v>798573</v>
      </c>
      <c r="H75" s="78">
        <f>SUMIFS('EV Data'!$D$5:$D$40,'EV Data'!$C$5:$C$40,'EV Forecast'!H41)</f>
        <v>796078</v>
      </c>
      <c r="I75" s="78">
        <f>SUMIFS('EV Data'!$D$5:$D$40,'EV Data'!$C$5:$C$40,'EV Forecast'!I41)</f>
        <v>600557</v>
      </c>
      <c r="J75" s="78">
        <f>SUMIFS('EV Data'!$D$5:$D$40,'EV Data'!$C$5:$C$40,'EV Forecast'!J41)</f>
        <v>627268</v>
      </c>
      <c r="K75" s="78">
        <f>SUMIFS('EV Data'!$D$5:$D$40,'EV Data'!$C$5:$C$40,'EV Forecast'!K41)</f>
        <v>594499</v>
      </c>
      <c r="L75" s="78">
        <f>SUMIFS('EV Data'!$D$5:$D$40,'EV Data'!$C$5:$C$40,'EV Forecast'!L41)</f>
        <v>677001</v>
      </c>
      <c r="M75" s="78">
        <f>SUMIFS('EV Data'!$D$5:$D$40,'EV Data'!$C$5:$C$40,'EV Forecast'!M41)</f>
        <v>699263</v>
      </c>
      <c r="N75" s="78">
        <f>SUMIFS('EV Data'!$D$5:$D$40,'EV Data'!$C$5:$C$40,'EV Forecast'!N41)</f>
        <v>714860</v>
      </c>
      <c r="O75" s="98">
        <f>N75*(1+O76)</f>
        <v>716592.86208671308</v>
      </c>
      <c r="P75" s="98">
        <f t="shared" ref="P75:X75" si="64">O75*(1+P76)</f>
        <v>718575.4201879591</v>
      </c>
      <c r="Q75" s="98">
        <f t="shared" si="64"/>
        <v>721650.70738250786</v>
      </c>
      <c r="R75" s="98">
        <f t="shared" si="64"/>
        <v>726835.96121754276</v>
      </c>
      <c r="S75" s="98">
        <f t="shared" si="64"/>
        <v>734067.25668792869</v>
      </c>
      <c r="T75" s="98">
        <f t="shared" si="64"/>
        <v>741379.42965099937</v>
      </c>
      <c r="U75" s="98">
        <f t="shared" si="64"/>
        <v>748769.83128057502</v>
      </c>
      <c r="V75" s="98">
        <f t="shared" si="64"/>
        <v>756239.07963609754</v>
      </c>
      <c r="W75" s="98">
        <f t="shared" si="64"/>
        <v>763788.05765962694</v>
      </c>
      <c r="X75" s="106">
        <f t="shared" si="64"/>
        <v>771419.81150126981</v>
      </c>
    </row>
    <row r="76" spans="2:30" x14ac:dyDescent="0.25">
      <c r="B76" s="80"/>
      <c r="C76" s="80"/>
      <c r="D76" s="209"/>
      <c r="E76" s="81"/>
      <c r="F76" s="83"/>
      <c r="G76" s="83"/>
      <c r="H76" s="83"/>
      <c r="I76" s="83"/>
      <c r="J76" s="83"/>
      <c r="K76" s="83"/>
      <c r="L76" s="83"/>
      <c r="M76" s="83"/>
      <c r="N76" s="502"/>
      <c r="O76" s="502">
        <v>2.4240579787833116E-3</v>
      </c>
      <c r="P76" s="502">
        <v>2.7666450590546621E-3</v>
      </c>
      <c r="Q76" s="502">
        <v>4.2796999565395399E-3</v>
      </c>
      <c r="R76" s="502">
        <v>7.1852681387125639E-3</v>
      </c>
      <c r="S76" s="502">
        <v>9.9490061805316277E-3</v>
      </c>
      <c r="T76" s="502">
        <v>9.9611757593749406E-3</v>
      </c>
      <c r="U76" s="502">
        <v>9.9684471054917179E-3</v>
      </c>
      <c r="V76" s="502">
        <v>9.9753596412242018E-3</v>
      </c>
      <c r="W76" s="502">
        <v>9.9822638459281521E-3</v>
      </c>
      <c r="X76" s="503">
        <v>9.9919784881525864E-3</v>
      </c>
    </row>
    <row r="78" spans="2:30" x14ac:dyDescent="0.25">
      <c r="X78" s="103"/>
      <c r="Y78" s="75"/>
      <c r="Z78" s="75"/>
    </row>
    <row r="79" spans="2:30" ht="14.45" customHeight="1" x14ac:dyDescent="0.25">
      <c r="B79" s="567" t="str">
        <f>B9</f>
        <v>Battery EVs</v>
      </c>
      <c r="C79" s="208" t="s">
        <v>249</v>
      </c>
      <c r="D79" s="208"/>
      <c r="E79" s="208"/>
      <c r="F79" s="208">
        <f t="shared" ref="F79:P79" si="65">F9</f>
        <v>2017</v>
      </c>
      <c r="G79" s="208">
        <f t="shared" si="65"/>
        <v>2018</v>
      </c>
      <c r="H79" s="208">
        <f t="shared" si="65"/>
        <v>2019</v>
      </c>
      <c r="I79" s="208">
        <f t="shared" si="65"/>
        <v>2020</v>
      </c>
      <c r="J79" s="208">
        <f t="shared" si="65"/>
        <v>2021</v>
      </c>
      <c r="K79" s="208">
        <f t="shared" si="65"/>
        <v>2022</v>
      </c>
      <c r="L79" s="208">
        <f t="shared" si="65"/>
        <v>2023</v>
      </c>
      <c r="M79" s="208">
        <f t="shared" si="65"/>
        <v>2024</v>
      </c>
      <c r="N79" s="208">
        <f t="shared" si="65"/>
        <v>2025</v>
      </c>
      <c r="O79" s="208">
        <f t="shared" si="65"/>
        <v>2026</v>
      </c>
      <c r="P79" s="208">
        <f t="shared" si="65"/>
        <v>2027</v>
      </c>
      <c r="Q79" s="208"/>
      <c r="R79" s="208"/>
      <c r="S79" s="208"/>
      <c r="T79" s="208"/>
      <c r="U79" s="208"/>
      <c r="V79" s="208"/>
      <c r="W79" s="208"/>
      <c r="X79" s="103" t="s">
        <v>250</v>
      </c>
      <c r="Y79" s="331" t="s">
        <v>234</v>
      </c>
      <c r="Z79" s="331" t="s">
        <v>251</v>
      </c>
      <c r="AA79" s="208"/>
      <c r="AB79" s="492" t="s">
        <v>533</v>
      </c>
      <c r="AC79" s="208"/>
      <c r="AD79" s="208"/>
    </row>
    <row r="80" spans="2:30" x14ac:dyDescent="0.25">
      <c r="B80" s="567"/>
      <c r="C80" s="568" t="s">
        <v>252</v>
      </c>
      <c r="D80" s="208" t="s">
        <v>24</v>
      </c>
      <c r="E80" s="208"/>
      <c r="F80" s="333">
        <f>F$18*$X80+F$23*$Y80+F$28*$Z80</f>
        <v>54662.400000000001</v>
      </c>
      <c r="G80" s="333">
        <f>(G$18-F$18)*$X80+(G$23-F$23)*$Y80+(G$28-F$28)*$Z80</f>
        <v>207261.6</v>
      </c>
      <c r="H80" s="333">
        <f t="shared" ref="H80:P80" si="66">(H$18-G$18)*$X80+(H$23-G$23)*$Y80+(H$28-G$28)*$Z80</f>
        <v>257368.80000000002</v>
      </c>
      <c r="I80" s="333">
        <f t="shared" si="66"/>
        <v>263062.8</v>
      </c>
      <c r="J80" s="333">
        <f t="shared" si="66"/>
        <v>449826</v>
      </c>
      <c r="K80" s="333">
        <f t="shared" si="66"/>
        <v>910944</v>
      </c>
      <c r="L80" s="333">
        <f t="shared" si="66"/>
        <v>1391371.4000000001</v>
      </c>
      <c r="M80" s="333">
        <f t="shared" si="66"/>
        <v>1767006.6</v>
      </c>
      <c r="N80" s="333">
        <f t="shared" si="66"/>
        <v>1926596.2000000002</v>
      </c>
      <c r="O80" s="333">
        <f t="shared" si="66"/>
        <v>2063037.3516819417</v>
      </c>
      <c r="P80" s="333">
        <f t="shared" si="66"/>
        <v>2547375.0799263488</v>
      </c>
      <c r="Q80" s="333"/>
      <c r="R80" s="333"/>
      <c r="S80" s="333"/>
      <c r="T80" s="333"/>
      <c r="U80" s="208"/>
      <c r="V80" s="333"/>
      <c r="W80" s="331" t="str">
        <f>D80</f>
        <v>Residential</v>
      </c>
      <c r="X80" s="100">
        <v>0.8</v>
      </c>
      <c r="Y80" s="100">
        <v>0.65</v>
      </c>
      <c r="Z80" s="100">
        <v>0.6</v>
      </c>
      <c r="AA80" s="208"/>
      <c r="AB80" s="334">
        <f>'Customer Count'!C13</f>
        <v>153673.75</v>
      </c>
      <c r="AC80" s="335">
        <f>AB80/$AB$85</f>
        <v>0.91090666600805148</v>
      </c>
      <c r="AD80" s="208"/>
    </row>
    <row r="81" spans="2:30" x14ac:dyDescent="0.25">
      <c r="B81" s="567"/>
      <c r="C81" s="568"/>
      <c r="D81" s="208" t="s">
        <v>34</v>
      </c>
      <c r="E81" s="208"/>
      <c r="F81" s="333">
        <f>F$18*$X81+F$23*$Y81+F$28*$Z81</f>
        <v>8541</v>
      </c>
      <c r="G81" s="333">
        <f t="shared" ref="G81:P84" si="67">(G$18-F$18)*$X81+(G$23-F$23)*$Y81+(G$28-F$28)*$Z81</f>
        <v>32384.625</v>
      </c>
      <c r="H81" s="333">
        <f t="shared" si="67"/>
        <v>40213.875</v>
      </c>
      <c r="I81" s="333">
        <f t="shared" si="67"/>
        <v>41103.5625</v>
      </c>
      <c r="J81" s="333">
        <f t="shared" si="67"/>
        <v>70285.3125</v>
      </c>
      <c r="K81" s="333">
        <f t="shared" si="67"/>
        <v>154592.8125</v>
      </c>
      <c r="L81" s="333">
        <f t="shared" si="67"/>
        <v>249265.0625</v>
      </c>
      <c r="M81" s="333">
        <f t="shared" si="67"/>
        <v>337512.75</v>
      </c>
      <c r="N81" s="333">
        <f t="shared" si="67"/>
        <v>398589.25</v>
      </c>
      <c r="O81" s="333">
        <f t="shared" si="67"/>
        <v>404552.08999065735</v>
      </c>
      <c r="P81" s="333">
        <f t="shared" si="67"/>
        <v>457590.00855484314</v>
      </c>
      <c r="Q81" s="333"/>
      <c r="R81" s="333"/>
      <c r="S81" s="333"/>
      <c r="T81" s="333"/>
      <c r="U81" s="208"/>
      <c r="V81" s="333"/>
      <c r="W81" s="331" t="str">
        <f>D81</f>
        <v>GS&lt;50</v>
      </c>
      <c r="X81" s="100">
        <v>0.125</v>
      </c>
      <c r="Y81" s="100">
        <v>0.2</v>
      </c>
      <c r="Z81" s="100">
        <v>0.25</v>
      </c>
      <c r="AA81" s="208"/>
      <c r="AB81" s="334">
        <f>'Customer Count'!G13</f>
        <v>13501.583333333334</v>
      </c>
      <c r="AC81" s="335">
        <f>AB81/$AB$85</f>
        <v>8.0031119563338179E-2</v>
      </c>
      <c r="AD81" s="208"/>
    </row>
    <row r="82" spans="2:30" x14ac:dyDescent="0.25">
      <c r="B82" s="567"/>
      <c r="C82" s="568"/>
      <c r="D82" s="339" t="s">
        <v>112</v>
      </c>
      <c r="E82" s="208"/>
      <c r="F82" s="333">
        <f>F$18*$X82+F$23*$Y82+F$28*$Z82</f>
        <v>4782.96</v>
      </c>
      <c r="G82" s="333">
        <f t="shared" si="67"/>
        <v>18135.390000000003</v>
      </c>
      <c r="H82" s="333">
        <f t="shared" si="67"/>
        <v>22519.77</v>
      </c>
      <c r="I82" s="333">
        <f t="shared" si="67"/>
        <v>23017.995000000003</v>
      </c>
      <c r="J82" s="333">
        <f t="shared" si="67"/>
        <v>39359.775000000001</v>
      </c>
      <c r="K82" s="333">
        <f t="shared" si="67"/>
        <v>87411.975000000006</v>
      </c>
      <c r="L82" s="333">
        <f t="shared" si="67"/>
        <v>142025.935</v>
      </c>
      <c r="M82" s="333">
        <f t="shared" si="67"/>
        <v>192539.64</v>
      </c>
      <c r="N82" s="333">
        <f t="shared" si="67"/>
        <v>231182.48</v>
      </c>
      <c r="O82" s="333">
        <f t="shared" si="67"/>
        <v>234506.98537898154</v>
      </c>
      <c r="P82" s="333">
        <f t="shared" si="67"/>
        <v>260573.70691553265</v>
      </c>
      <c r="Q82" s="333"/>
      <c r="R82" s="333"/>
      <c r="S82" s="333"/>
      <c r="T82" s="333"/>
      <c r="U82" s="208"/>
      <c r="V82" s="333"/>
      <c r="W82" s="331" t="str">
        <f>D82</f>
        <v>GS &gt; 50</v>
      </c>
      <c r="X82" s="100">
        <v>7.0000000000000007E-2</v>
      </c>
      <c r="Y82" s="100">
        <v>0.14499999999999999</v>
      </c>
      <c r="Z82" s="100">
        <v>0.14499999999999999</v>
      </c>
      <c r="AA82" s="208"/>
      <c r="AB82" s="334">
        <f>'Customer Count'!K13</f>
        <v>1519.8333333333333</v>
      </c>
      <c r="AC82" s="335">
        <f>AB82/$AB$85</f>
        <v>9.0088666057447694E-3</v>
      </c>
      <c r="AD82" s="208"/>
    </row>
    <row r="83" spans="2:30" x14ac:dyDescent="0.25">
      <c r="B83" s="567"/>
      <c r="C83" s="568"/>
      <c r="D83" s="339" t="s">
        <v>481</v>
      </c>
      <c r="E83" s="208"/>
      <c r="F83" s="333">
        <f>F$18*$X83+F$23*$Y83+F$28*$Z83</f>
        <v>0</v>
      </c>
      <c r="G83" s="333">
        <f t="shared" si="67"/>
        <v>0</v>
      </c>
      <c r="H83" s="333">
        <f t="shared" si="67"/>
        <v>0</v>
      </c>
      <c r="I83" s="333">
        <f t="shared" si="67"/>
        <v>0</v>
      </c>
      <c r="J83" s="333">
        <f t="shared" si="67"/>
        <v>0</v>
      </c>
      <c r="K83" s="333">
        <f t="shared" si="67"/>
        <v>0</v>
      </c>
      <c r="L83" s="333">
        <f t="shared" si="67"/>
        <v>0</v>
      </c>
      <c r="M83" s="333">
        <f t="shared" si="67"/>
        <v>0</v>
      </c>
      <c r="N83" s="333">
        <f t="shared" si="67"/>
        <v>0</v>
      </c>
      <c r="O83" s="333">
        <f t="shared" si="67"/>
        <v>0</v>
      </c>
      <c r="P83" s="333">
        <f t="shared" si="67"/>
        <v>0</v>
      </c>
      <c r="Q83" s="333"/>
      <c r="R83" s="333"/>
      <c r="S83" s="333"/>
      <c r="T83" s="333"/>
      <c r="U83" s="208"/>
      <c r="V83" s="333"/>
      <c r="W83" s="331" t="str">
        <f>D83</f>
        <v>GS Co Gen</v>
      </c>
      <c r="X83" s="100">
        <v>0</v>
      </c>
      <c r="Y83" s="100">
        <v>0</v>
      </c>
      <c r="Z83" s="100">
        <v>0</v>
      </c>
      <c r="AA83" s="208"/>
      <c r="AB83" s="334">
        <f>'Customer Count'!O13</f>
        <v>7</v>
      </c>
      <c r="AC83" s="335">
        <f>AB83/$AB$85</f>
        <v>4.1492751117587488E-5</v>
      </c>
      <c r="AD83" s="208"/>
    </row>
    <row r="84" spans="2:30" x14ac:dyDescent="0.25">
      <c r="B84" s="567"/>
      <c r="C84" s="568"/>
      <c r="D84" s="208" t="s">
        <v>444</v>
      </c>
      <c r="E84" s="208"/>
      <c r="F84" s="333">
        <f>F$18*$X84+F$23*$Y84+F$28*$Z84</f>
        <v>341.64</v>
      </c>
      <c r="G84" s="333">
        <f t="shared" si="67"/>
        <v>1295.385</v>
      </c>
      <c r="H84" s="333">
        <f t="shared" ref="H84:P84" si="68">(H$18-G$18)*$X84+(H$23-G$23)*$Y84+(H$28-G$28)*$Z84</f>
        <v>1608.5550000000001</v>
      </c>
      <c r="I84" s="333">
        <f t="shared" si="68"/>
        <v>1644.1424999999999</v>
      </c>
      <c r="J84" s="333">
        <f t="shared" si="68"/>
        <v>2811.4124999999999</v>
      </c>
      <c r="K84" s="333">
        <f t="shared" si="68"/>
        <v>5793.7125000000005</v>
      </c>
      <c r="L84" s="333">
        <f t="shared" si="68"/>
        <v>8958.1025000000009</v>
      </c>
      <c r="M84" s="333">
        <f t="shared" si="68"/>
        <v>11543.01</v>
      </c>
      <c r="N84" s="333">
        <f t="shared" si="68"/>
        <v>12846.07</v>
      </c>
      <c r="O84" s="333">
        <f t="shared" si="68"/>
        <v>13578.374005284324</v>
      </c>
      <c r="P84" s="333">
        <f t="shared" si="68"/>
        <v>16409.7426904358</v>
      </c>
      <c r="Q84" s="333"/>
      <c r="R84" s="333"/>
      <c r="S84" s="333"/>
      <c r="T84" s="333"/>
      <c r="U84" s="208"/>
      <c r="V84" s="333"/>
      <c r="W84" s="331" t="str">
        <f>D84</f>
        <v>Large Use</v>
      </c>
      <c r="X84" s="100">
        <v>5.0000000000000001E-3</v>
      </c>
      <c r="Y84" s="100">
        <v>5.0000000000000001E-3</v>
      </c>
      <c r="Z84" s="100">
        <v>5.0000000000000001E-3</v>
      </c>
      <c r="AA84" s="208"/>
      <c r="AB84" s="334">
        <f>'Customer Count'!S13</f>
        <v>2</v>
      </c>
      <c r="AC84" s="335">
        <f>AB84/$AB$85</f>
        <v>1.185507174788214E-5</v>
      </c>
      <c r="AD84" s="208"/>
    </row>
    <row r="85" spans="2:30" x14ac:dyDescent="0.25">
      <c r="B85" s="567"/>
      <c r="C85" s="208"/>
      <c r="D85" s="208"/>
      <c r="E85" s="208"/>
      <c r="F85" s="336">
        <f t="shared" ref="F85:P85" si="69">SUM(F80:F84)</f>
        <v>68328</v>
      </c>
      <c r="G85" s="336">
        <f t="shared" si="69"/>
        <v>259077.00000000003</v>
      </c>
      <c r="H85" s="336">
        <f t="shared" si="69"/>
        <v>321711.00000000006</v>
      </c>
      <c r="I85" s="336">
        <f t="shared" si="69"/>
        <v>328828.5</v>
      </c>
      <c r="J85" s="336">
        <f t="shared" si="69"/>
        <v>562282.5</v>
      </c>
      <c r="K85" s="336">
        <f t="shared" si="69"/>
        <v>1158742.5</v>
      </c>
      <c r="L85" s="336">
        <f t="shared" si="69"/>
        <v>1791620.5000000002</v>
      </c>
      <c r="M85" s="336">
        <f t="shared" si="69"/>
        <v>2308602</v>
      </c>
      <c r="N85" s="336">
        <f t="shared" si="69"/>
        <v>2569214</v>
      </c>
      <c r="O85" s="336">
        <f t="shared" si="69"/>
        <v>2715674.8010568647</v>
      </c>
      <c r="P85" s="336">
        <f t="shared" si="69"/>
        <v>3281948.5380871603</v>
      </c>
      <c r="Q85" s="336"/>
      <c r="R85" s="336"/>
      <c r="S85" s="336"/>
      <c r="T85" s="336"/>
      <c r="U85" s="208"/>
      <c r="V85" s="208"/>
      <c r="W85" s="331"/>
      <c r="X85" s="100">
        <f>SUM(X80:X84)</f>
        <v>1</v>
      </c>
      <c r="Y85" s="100">
        <f>SUM(Y80:Y84)</f>
        <v>1</v>
      </c>
      <c r="Z85" s="100">
        <f>SUM(Z80:Z84)</f>
        <v>1</v>
      </c>
      <c r="AA85" s="208"/>
      <c r="AB85" s="334">
        <f>SUM(AB80:AB84)</f>
        <v>168704.16666666669</v>
      </c>
      <c r="AC85" s="208"/>
      <c r="AD85" s="208"/>
    </row>
    <row r="86" spans="2:30" x14ac:dyDescent="0.25">
      <c r="B86" s="567"/>
      <c r="C86" s="208"/>
      <c r="D86" s="208"/>
      <c r="E86" s="208"/>
      <c r="F86" s="208"/>
      <c r="G86" s="208"/>
      <c r="H86" s="208"/>
      <c r="I86" s="208"/>
      <c r="J86" s="208"/>
      <c r="K86" s="208"/>
      <c r="L86" s="208"/>
      <c r="M86" s="208"/>
      <c r="N86" s="208"/>
      <c r="O86" s="208"/>
      <c r="P86" s="208"/>
      <c r="Q86" s="208"/>
      <c r="R86" s="208"/>
      <c r="S86" s="208"/>
      <c r="T86" s="208"/>
      <c r="U86" s="208"/>
      <c r="V86" s="208"/>
      <c r="W86" s="208"/>
      <c r="X86" s="208"/>
      <c r="Y86" s="208"/>
      <c r="Z86" s="208"/>
      <c r="AA86" s="208"/>
      <c r="AB86" s="208"/>
      <c r="AC86" s="208"/>
      <c r="AD86" s="208"/>
    </row>
    <row r="87" spans="2:30" x14ac:dyDescent="0.25">
      <c r="B87" s="567"/>
      <c r="C87" s="208" t="s">
        <v>253</v>
      </c>
      <c r="D87" s="208"/>
      <c r="E87" s="208"/>
      <c r="F87" s="208"/>
      <c r="G87" s="208"/>
      <c r="H87" s="208"/>
      <c r="I87" s="208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8"/>
      <c r="W87" s="208"/>
      <c r="X87" s="208"/>
      <c r="Y87" s="208"/>
      <c r="Z87" s="208"/>
      <c r="AA87" s="208"/>
      <c r="AB87" s="208"/>
      <c r="AC87" s="208"/>
      <c r="AD87" s="208"/>
    </row>
    <row r="88" spans="2:30" x14ac:dyDescent="0.25">
      <c r="B88" s="567"/>
      <c r="C88" s="208"/>
      <c r="D88" s="208" t="s">
        <v>254</v>
      </c>
      <c r="E88" s="208"/>
      <c r="F88" s="105">
        <v>0.15</v>
      </c>
      <c r="G88" s="105">
        <f>F88</f>
        <v>0.15</v>
      </c>
      <c r="H88" s="105">
        <f t="shared" ref="H88:P88" si="70">G88</f>
        <v>0.15</v>
      </c>
      <c r="I88" s="105">
        <f t="shared" si="70"/>
        <v>0.15</v>
      </c>
      <c r="J88" s="105">
        <f t="shared" si="70"/>
        <v>0.15</v>
      </c>
      <c r="K88" s="105">
        <f t="shared" si="70"/>
        <v>0.15</v>
      </c>
      <c r="L88" s="105">
        <f t="shared" si="70"/>
        <v>0.15</v>
      </c>
      <c r="M88" s="105">
        <f t="shared" si="70"/>
        <v>0.15</v>
      </c>
      <c r="N88" s="105">
        <f t="shared" si="70"/>
        <v>0.15</v>
      </c>
      <c r="O88" s="105">
        <f t="shared" si="70"/>
        <v>0.15</v>
      </c>
      <c r="P88" s="105">
        <f t="shared" si="70"/>
        <v>0.15</v>
      </c>
      <c r="Q88" s="105"/>
      <c r="R88" s="105"/>
      <c r="S88" s="105"/>
      <c r="T88" s="105"/>
      <c r="U88" s="208"/>
      <c r="V88" s="208"/>
      <c r="W88" s="208"/>
      <c r="X88" s="208"/>
      <c r="Y88" s="208"/>
      <c r="Z88" s="208"/>
      <c r="AA88" s="208"/>
      <c r="AB88" s="208"/>
      <c r="AC88" s="208"/>
      <c r="AD88" s="208"/>
    </row>
    <row r="89" spans="2:30" x14ac:dyDescent="0.25">
      <c r="B89" s="567"/>
      <c r="C89" s="208"/>
      <c r="D89" s="208" t="str">
        <f>D82</f>
        <v>GS &gt; 50</v>
      </c>
      <c r="E89" s="208"/>
      <c r="F89" s="337">
        <f>((F82/$F$88)/8760)*12</f>
        <v>43.68</v>
      </c>
      <c r="G89" s="337">
        <f t="shared" ref="G89:P91" si="71">((G82/$F$88)/8760)*12</f>
        <v>165.62000000000003</v>
      </c>
      <c r="H89" s="337">
        <f t="shared" si="71"/>
        <v>205.66000000000003</v>
      </c>
      <c r="I89" s="337">
        <f t="shared" si="71"/>
        <v>210.21000000000004</v>
      </c>
      <c r="J89" s="337">
        <f t="shared" si="71"/>
        <v>359.45</v>
      </c>
      <c r="K89" s="337">
        <f t="shared" si="71"/>
        <v>798.28287671232897</v>
      </c>
      <c r="L89" s="337">
        <f t="shared" si="71"/>
        <v>1297.0405022831051</v>
      </c>
      <c r="M89" s="337">
        <f t="shared" si="71"/>
        <v>1758.3528767123289</v>
      </c>
      <c r="N89" s="337">
        <f t="shared" si="71"/>
        <v>2111.2555251141553</v>
      </c>
      <c r="O89" s="337">
        <f t="shared" si="71"/>
        <v>2141.6163048308817</v>
      </c>
      <c r="P89" s="337">
        <f t="shared" si="71"/>
        <v>2379.6685563062347</v>
      </c>
      <c r="Q89" s="337"/>
      <c r="R89" s="337"/>
      <c r="S89" s="337"/>
      <c r="T89" s="337"/>
      <c r="U89" s="208"/>
      <c r="V89" s="208"/>
      <c r="W89" s="208"/>
      <c r="X89" s="208"/>
      <c r="Y89" s="208"/>
      <c r="Z89" s="208"/>
      <c r="AA89" s="208"/>
      <c r="AB89" s="208"/>
      <c r="AC89" s="208"/>
      <c r="AD89" s="208"/>
    </row>
    <row r="90" spans="2:30" x14ac:dyDescent="0.25">
      <c r="B90" s="567"/>
      <c r="C90" s="208"/>
      <c r="D90" s="208" t="str">
        <f>D83</f>
        <v>GS Co Gen</v>
      </c>
      <c r="E90" s="208"/>
      <c r="F90" s="337">
        <f>((F83/$F$88)/8760)*12</f>
        <v>0</v>
      </c>
      <c r="G90" s="337">
        <f t="shared" si="71"/>
        <v>0</v>
      </c>
      <c r="H90" s="337">
        <f t="shared" si="71"/>
        <v>0</v>
      </c>
      <c r="I90" s="337">
        <f t="shared" si="71"/>
        <v>0</v>
      </c>
      <c r="J90" s="337">
        <f t="shared" si="71"/>
        <v>0</v>
      </c>
      <c r="K90" s="337">
        <f t="shared" si="71"/>
        <v>0</v>
      </c>
      <c r="L90" s="337">
        <f t="shared" si="71"/>
        <v>0</v>
      </c>
      <c r="M90" s="337">
        <f t="shared" si="71"/>
        <v>0</v>
      </c>
      <c r="N90" s="337">
        <f t="shared" si="71"/>
        <v>0</v>
      </c>
      <c r="O90" s="337">
        <f t="shared" si="71"/>
        <v>0</v>
      </c>
      <c r="P90" s="337">
        <f t="shared" si="71"/>
        <v>0</v>
      </c>
      <c r="Q90" s="337"/>
      <c r="R90" s="337"/>
      <c r="S90" s="337"/>
      <c r="T90" s="337"/>
      <c r="U90" s="208"/>
      <c r="V90" s="208"/>
      <c r="W90" s="208"/>
      <c r="X90" s="208"/>
      <c r="Y90" s="208"/>
      <c r="Z90" s="208"/>
      <c r="AA90" s="208"/>
      <c r="AB90" s="208"/>
      <c r="AC90" s="208"/>
      <c r="AD90" s="208"/>
    </row>
    <row r="91" spans="2:30" x14ac:dyDescent="0.25">
      <c r="B91" s="567"/>
      <c r="C91" s="208"/>
      <c r="D91" s="208" t="str">
        <f>D84</f>
        <v>Large Use</v>
      </c>
      <c r="E91" s="208"/>
      <c r="F91" s="337">
        <f>((F84/$F$88)/8760)*12</f>
        <v>3.12</v>
      </c>
      <c r="G91" s="337">
        <f t="shared" si="71"/>
        <v>11.83</v>
      </c>
      <c r="H91" s="337">
        <f t="shared" si="71"/>
        <v>14.690000000000001</v>
      </c>
      <c r="I91" s="337">
        <f t="shared" si="71"/>
        <v>15.015000000000001</v>
      </c>
      <c r="J91" s="337">
        <f t="shared" si="71"/>
        <v>25.675000000000001</v>
      </c>
      <c r="K91" s="337">
        <f t="shared" si="71"/>
        <v>52.910616438356179</v>
      </c>
      <c r="L91" s="337">
        <f t="shared" si="71"/>
        <v>81.809155251141561</v>
      </c>
      <c r="M91" s="337">
        <f t="shared" si="71"/>
        <v>105.41561643835618</v>
      </c>
      <c r="N91" s="337">
        <f t="shared" si="71"/>
        <v>117.3157077625571</v>
      </c>
      <c r="O91" s="337">
        <f t="shared" si="71"/>
        <v>124.00341557337283</v>
      </c>
      <c r="P91" s="337">
        <f t="shared" si="71"/>
        <v>149.86066383959636</v>
      </c>
      <c r="Q91" s="337"/>
      <c r="R91" s="337"/>
      <c r="S91" s="337"/>
      <c r="T91" s="337"/>
      <c r="U91" s="208"/>
      <c r="V91" s="208"/>
      <c r="W91" s="208"/>
      <c r="X91" s="208"/>
      <c r="Y91" s="208"/>
      <c r="Z91" s="208"/>
      <c r="AA91" s="208"/>
      <c r="AB91" s="208"/>
      <c r="AC91" s="208"/>
      <c r="AD91" s="208"/>
    </row>
    <row r="92" spans="2:30" x14ac:dyDescent="0.25">
      <c r="B92" s="208"/>
      <c r="C92" s="208"/>
      <c r="D92" s="208"/>
      <c r="E92" s="208"/>
      <c r="F92" s="337"/>
      <c r="G92" s="337"/>
      <c r="H92" s="337"/>
      <c r="I92" s="337"/>
      <c r="J92" s="337"/>
      <c r="K92" s="337"/>
      <c r="L92" s="337"/>
      <c r="M92" s="337"/>
      <c r="N92" s="337"/>
      <c r="O92" s="337"/>
      <c r="P92" s="337"/>
      <c r="Q92" s="337"/>
      <c r="R92" s="337"/>
      <c r="S92" s="337"/>
      <c r="T92" s="337"/>
      <c r="U92" s="208"/>
      <c r="V92" s="208"/>
      <c r="W92" s="208"/>
      <c r="X92" s="208"/>
      <c r="Y92" s="208"/>
      <c r="Z92" s="208"/>
      <c r="AA92" s="208"/>
      <c r="AB92" s="208"/>
      <c r="AC92" s="208"/>
      <c r="AD92" s="208"/>
    </row>
    <row r="93" spans="2:30" ht="14.45" customHeight="1" x14ac:dyDescent="0.25">
      <c r="B93" s="567" t="str">
        <f>B41</f>
        <v>Plug-in hybrid EVs</v>
      </c>
      <c r="C93" s="208" t="s">
        <v>249</v>
      </c>
      <c r="D93" s="208"/>
      <c r="E93" s="208"/>
      <c r="F93" s="208"/>
      <c r="G93" s="208"/>
      <c r="H93" s="208"/>
      <c r="I93" s="208"/>
      <c r="J93" s="208"/>
      <c r="K93" s="337"/>
      <c r="L93" s="337"/>
      <c r="M93" s="337"/>
      <c r="N93" s="337"/>
      <c r="O93" s="337"/>
      <c r="P93" s="337"/>
      <c r="Q93" s="337"/>
      <c r="R93" s="337"/>
      <c r="S93" s="337"/>
      <c r="T93" s="337"/>
      <c r="U93" s="208"/>
      <c r="V93" s="208"/>
      <c r="W93" s="208"/>
      <c r="X93" s="103" t="s">
        <v>250</v>
      </c>
      <c r="Y93" s="331" t="s">
        <v>234</v>
      </c>
      <c r="Z93" s="331" t="s">
        <v>251</v>
      </c>
      <c r="AA93" s="208"/>
      <c r="AB93" s="208"/>
      <c r="AC93" s="208"/>
      <c r="AD93" s="208"/>
    </row>
    <row r="94" spans="2:30" x14ac:dyDescent="0.25">
      <c r="B94" s="567"/>
      <c r="C94" s="568" t="s">
        <v>252</v>
      </c>
      <c r="D94" s="208" t="s">
        <v>24</v>
      </c>
      <c r="E94" s="208"/>
      <c r="F94" s="333">
        <f>F$50*$X80+F$55*$Y80+F$60*$Z80</f>
        <v>112042.32</v>
      </c>
      <c r="G94" s="333">
        <f>(G$50-F$50)*$X80+(G$55-F$55)*$Y80+(G$60-F$60)*$Z80</f>
        <v>277948.32000000007</v>
      </c>
      <c r="H94" s="333">
        <f t="shared" ref="H94:P94" si="72">(H$50-G$50)*$X80+(H$55-G$55)*$Y80+(H$60-G$60)*$Z80</f>
        <v>219102</v>
      </c>
      <c r="I94" s="333">
        <f t="shared" si="72"/>
        <v>101217.47999999998</v>
      </c>
      <c r="J94" s="333">
        <f t="shared" si="72"/>
        <v>144256.31999999992</v>
      </c>
      <c r="K94" s="333">
        <f t="shared" si="72"/>
        <v>199102.8000000001</v>
      </c>
      <c r="L94" s="333">
        <f t="shared" si="72"/>
        <v>311636.52000000014</v>
      </c>
      <c r="M94" s="333">
        <f t="shared" si="72"/>
        <v>509204.28000000009</v>
      </c>
      <c r="N94" s="333">
        <f t="shared" si="72"/>
        <v>632993.39999999967</v>
      </c>
      <c r="O94" s="333">
        <f t="shared" si="72"/>
        <v>731642.48240889981</v>
      </c>
      <c r="P94" s="333">
        <f t="shared" si="72"/>
        <v>898479.77463169559</v>
      </c>
      <c r="Q94" s="333"/>
      <c r="R94" s="333"/>
      <c r="S94" s="333"/>
      <c r="T94" s="333"/>
      <c r="U94" s="208"/>
      <c r="V94" s="208"/>
      <c r="W94" s="331" t="str">
        <f>D94</f>
        <v>Residential</v>
      </c>
      <c r="X94" s="100">
        <f>X80</f>
        <v>0.8</v>
      </c>
      <c r="Y94" s="100">
        <f>Y80</f>
        <v>0.65</v>
      </c>
      <c r="Z94" s="100">
        <f>Z80</f>
        <v>0.6</v>
      </c>
      <c r="AA94" s="208"/>
      <c r="AB94" s="208"/>
      <c r="AC94" s="208"/>
      <c r="AD94" s="208"/>
    </row>
    <row r="95" spans="2:30" x14ac:dyDescent="0.25">
      <c r="B95" s="567"/>
      <c r="C95" s="568"/>
      <c r="D95" s="208" t="s">
        <v>34</v>
      </c>
      <c r="E95" s="208"/>
      <c r="F95" s="333">
        <f>F$50*$X81+F$55*$Y81+F$60*$Z81</f>
        <v>19573.800000000003</v>
      </c>
      <c r="G95" s="333">
        <f t="shared" ref="G95:P98" si="73">(G$50-F$50)*$X81+(G$55-F$55)*$Y81+(G$60-F$60)*$Z81</f>
        <v>49926.3</v>
      </c>
      <c r="H95" s="333">
        <f t="shared" si="73"/>
        <v>38959.6875</v>
      </c>
      <c r="I95" s="333">
        <f t="shared" si="73"/>
        <v>16553.512499999997</v>
      </c>
      <c r="J95" s="333">
        <f t="shared" si="73"/>
        <v>24311.924999999988</v>
      </c>
      <c r="K95" s="333">
        <f t="shared" si="73"/>
        <v>34358.250000000015</v>
      </c>
      <c r="L95" s="333">
        <f t="shared" si="73"/>
        <v>53565.862500000017</v>
      </c>
      <c r="M95" s="333">
        <f t="shared" si="73"/>
        <v>84140.512500000012</v>
      </c>
      <c r="N95" s="333">
        <f t="shared" si="73"/>
        <v>101120.06249999994</v>
      </c>
      <c r="O95" s="333">
        <f t="shared" si="73"/>
        <v>120494.45805796966</v>
      </c>
      <c r="P95" s="333">
        <f t="shared" si="73"/>
        <v>152960.57114816993</v>
      </c>
      <c r="Q95" s="333"/>
      <c r="R95" s="333"/>
      <c r="S95" s="333"/>
      <c r="T95" s="333"/>
      <c r="U95" s="208"/>
      <c r="V95" s="208"/>
      <c r="W95" s="331" t="str">
        <f>D95</f>
        <v>GS&lt;50</v>
      </c>
      <c r="X95" s="100">
        <f t="shared" ref="X95:Z98" si="74">X81</f>
        <v>0.125</v>
      </c>
      <c r="Y95" s="100">
        <f t="shared" si="74"/>
        <v>0.2</v>
      </c>
      <c r="Z95" s="100">
        <f t="shared" si="74"/>
        <v>0.25</v>
      </c>
      <c r="AA95" s="208"/>
      <c r="AB95" s="208"/>
      <c r="AC95" s="208"/>
      <c r="AD95" s="208"/>
    </row>
    <row r="96" spans="2:30" x14ac:dyDescent="0.25">
      <c r="B96" s="567"/>
      <c r="C96" s="568"/>
      <c r="D96" s="208" t="str">
        <f>D89</f>
        <v>GS &gt; 50</v>
      </c>
      <c r="E96" s="208"/>
      <c r="F96" s="333">
        <f>F$50*$X82+F$55*$Y82+F$60*$Z82</f>
        <v>11654.328000000001</v>
      </c>
      <c r="G96" s="333">
        <f t="shared" si="73"/>
        <v>30136.728000000003</v>
      </c>
      <c r="H96" s="333">
        <f t="shared" si="73"/>
        <v>23401.425000000003</v>
      </c>
      <c r="I96" s="333">
        <f t="shared" si="73"/>
        <v>9517.4669999999987</v>
      </c>
      <c r="J96" s="333">
        <f t="shared" si="73"/>
        <v>14208.677999999994</v>
      </c>
      <c r="K96" s="333">
        <f t="shared" si="73"/>
        <v>20329.62000000001</v>
      </c>
      <c r="L96" s="333">
        <f t="shared" si="73"/>
        <v>31630.383000000013</v>
      </c>
      <c r="M96" s="333">
        <f t="shared" si="73"/>
        <v>48653.187000000013</v>
      </c>
      <c r="N96" s="333">
        <f t="shared" si="73"/>
        <v>57369.734999999971</v>
      </c>
      <c r="O96" s="333">
        <f t="shared" si="73"/>
        <v>69547.099087620954</v>
      </c>
      <c r="P96" s="333">
        <f t="shared" si="73"/>
        <v>89872.904070987104</v>
      </c>
      <c r="Q96" s="333"/>
      <c r="R96" s="333"/>
      <c r="S96" s="333"/>
      <c r="T96" s="333"/>
      <c r="U96" s="208"/>
      <c r="V96" s="208"/>
      <c r="W96" s="331" t="str">
        <f>D96</f>
        <v>GS &gt; 50</v>
      </c>
      <c r="X96" s="100">
        <f t="shared" si="74"/>
        <v>7.0000000000000007E-2</v>
      </c>
      <c r="Y96" s="100">
        <f t="shared" si="74"/>
        <v>0.14499999999999999</v>
      </c>
      <c r="Z96" s="100">
        <f t="shared" si="74"/>
        <v>0.14499999999999999</v>
      </c>
      <c r="AA96" s="208"/>
      <c r="AB96" s="208"/>
      <c r="AC96" s="208"/>
      <c r="AD96" s="208"/>
    </row>
    <row r="97" spans="2:30" x14ac:dyDescent="0.25">
      <c r="B97" s="567"/>
      <c r="C97" s="568"/>
      <c r="D97" s="208" t="str">
        <f>D90</f>
        <v>GS Co Gen</v>
      </c>
      <c r="E97" s="208"/>
      <c r="F97" s="333">
        <f>F$50*$X83+F$55*$Y83+F$60*$Z83</f>
        <v>0</v>
      </c>
      <c r="G97" s="333">
        <f t="shared" si="73"/>
        <v>0</v>
      </c>
      <c r="H97" s="333">
        <f t="shared" si="73"/>
        <v>0</v>
      </c>
      <c r="I97" s="333">
        <f t="shared" si="73"/>
        <v>0</v>
      </c>
      <c r="J97" s="333">
        <f t="shared" si="73"/>
        <v>0</v>
      </c>
      <c r="K97" s="333">
        <f t="shared" si="73"/>
        <v>0</v>
      </c>
      <c r="L97" s="333">
        <f t="shared" si="73"/>
        <v>0</v>
      </c>
      <c r="M97" s="333">
        <f t="shared" si="73"/>
        <v>0</v>
      </c>
      <c r="N97" s="333">
        <f t="shared" si="73"/>
        <v>0</v>
      </c>
      <c r="O97" s="333">
        <f t="shared" si="73"/>
        <v>0</v>
      </c>
      <c r="P97" s="333">
        <f t="shared" si="73"/>
        <v>0</v>
      </c>
      <c r="Q97" s="333"/>
      <c r="R97" s="333"/>
      <c r="S97" s="333"/>
      <c r="T97" s="333"/>
      <c r="U97" s="208"/>
      <c r="V97" s="208"/>
      <c r="W97" s="331" t="str">
        <f>D97</f>
        <v>GS Co Gen</v>
      </c>
      <c r="X97" s="100">
        <f t="shared" si="74"/>
        <v>0</v>
      </c>
      <c r="Y97" s="100">
        <f t="shared" si="74"/>
        <v>0</v>
      </c>
      <c r="Z97" s="100">
        <f t="shared" si="74"/>
        <v>0</v>
      </c>
      <c r="AA97" s="208"/>
      <c r="AB97" s="208"/>
      <c r="AC97" s="208"/>
      <c r="AD97" s="208"/>
    </row>
    <row r="98" spans="2:30" x14ac:dyDescent="0.25">
      <c r="B98" s="567"/>
      <c r="C98" s="568"/>
      <c r="D98" s="208" t="str">
        <f>D91</f>
        <v>Large Use</v>
      </c>
      <c r="E98" s="208"/>
      <c r="F98" s="333">
        <f>F$50*$X84+F$55*$Y84+F$60*$Z84</f>
        <v>719.95200000000011</v>
      </c>
      <c r="G98" s="333">
        <f t="shared" si="73"/>
        <v>1799.0520000000001</v>
      </c>
      <c r="H98" s="333">
        <f t="shared" si="73"/>
        <v>1414.3875</v>
      </c>
      <c r="I98" s="333">
        <f t="shared" si="73"/>
        <v>639.64049999999986</v>
      </c>
      <c r="J98" s="333">
        <f t="shared" si="73"/>
        <v>918.47699999999952</v>
      </c>
      <c r="K98" s="333">
        <f t="shared" si="73"/>
        <v>1275.3300000000006</v>
      </c>
      <c r="L98" s="333">
        <f t="shared" si="73"/>
        <v>1994.1345000000008</v>
      </c>
      <c r="M98" s="333">
        <f t="shared" si="73"/>
        <v>3226.1205000000004</v>
      </c>
      <c r="N98" s="333">
        <f t="shared" si="73"/>
        <v>3977.302499999998</v>
      </c>
      <c r="O98" s="333">
        <f t="shared" si="73"/>
        <v>4631.5780882135205</v>
      </c>
      <c r="P98" s="333">
        <f t="shared" si="73"/>
        <v>5735.2424615620739</v>
      </c>
      <c r="Q98" s="333"/>
      <c r="R98" s="333"/>
      <c r="S98" s="333"/>
      <c r="T98" s="333"/>
      <c r="U98" s="208"/>
      <c r="V98" s="208"/>
      <c r="W98" s="331" t="str">
        <f>D98</f>
        <v>Large Use</v>
      </c>
      <c r="X98" s="100">
        <f t="shared" si="74"/>
        <v>5.0000000000000001E-3</v>
      </c>
      <c r="Y98" s="100">
        <f t="shared" si="74"/>
        <v>5.0000000000000001E-3</v>
      </c>
      <c r="Z98" s="100">
        <f t="shared" si="74"/>
        <v>5.0000000000000001E-3</v>
      </c>
      <c r="AA98" s="208"/>
      <c r="AB98" s="208"/>
      <c r="AC98" s="208"/>
      <c r="AD98" s="208"/>
    </row>
    <row r="99" spans="2:30" x14ac:dyDescent="0.25">
      <c r="B99" s="567"/>
      <c r="C99" s="208"/>
      <c r="D99" s="208"/>
      <c r="E99" s="208"/>
      <c r="F99" s="336">
        <f>SUM(F94:F98)</f>
        <v>143990.39999999999</v>
      </c>
      <c r="G99" s="336">
        <f t="shared" ref="G99:P99" si="75">SUM(G94:G98)</f>
        <v>359810.40000000008</v>
      </c>
      <c r="H99" s="336">
        <f t="shared" si="75"/>
        <v>282877.5</v>
      </c>
      <c r="I99" s="336">
        <f t="shared" si="75"/>
        <v>127928.09999999998</v>
      </c>
      <c r="J99" s="336">
        <f t="shared" si="75"/>
        <v>183695.39999999991</v>
      </c>
      <c r="K99" s="336">
        <f t="shared" si="75"/>
        <v>255066.00000000009</v>
      </c>
      <c r="L99" s="336">
        <f t="shared" si="75"/>
        <v>398826.9000000002</v>
      </c>
      <c r="M99" s="336">
        <f t="shared" si="75"/>
        <v>645224.10000000009</v>
      </c>
      <c r="N99" s="336">
        <f t="shared" si="75"/>
        <v>795460.49999999965</v>
      </c>
      <c r="O99" s="336">
        <f t="shared" si="75"/>
        <v>926315.61764270405</v>
      </c>
      <c r="P99" s="336">
        <f t="shared" si="75"/>
        <v>1147048.4923124148</v>
      </c>
      <c r="Q99" s="336"/>
      <c r="R99" s="336"/>
      <c r="S99" s="336"/>
      <c r="T99" s="336"/>
      <c r="U99" s="208"/>
      <c r="V99" s="208"/>
      <c r="W99" s="331"/>
      <c r="X99" s="100">
        <f>SUM(X94:X98)</f>
        <v>1</v>
      </c>
      <c r="Y99" s="100">
        <f>SUM(Y94:Y98)</f>
        <v>1</v>
      </c>
      <c r="Z99" s="100">
        <f>SUM(Z94:Z98)</f>
        <v>1</v>
      </c>
      <c r="AA99" s="208"/>
      <c r="AB99" s="208"/>
      <c r="AC99" s="208"/>
      <c r="AD99" s="208"/>
    </row>
    <row r="100" spans="2:30" x14ac:dyDescent="0.25">
      <c r="B100" s="567"/>
      <c r="C100" s="208"/>
      <c r="D100" s="208"/>
      <c r="E100" s="208"/>
      <c r="F100" s="208"/>
      <c r="G100" s="208"/>
      <c r="H100" s="208"/>
      <c r="I100" s="208"/>
      <c r="J100" s="208"/>
      <c r="K100" s="337"/>
      <c r="L100" s="337"/>
      <c r="M100" s="337"/>
      <c r="N100" s="337"/>
      <c r="O100" s="337"/>
      <c r="P100" s="337"/>
      <c r="Q100" s="337"/>
      <c r="R100" s="337"/>
      <c r="S100" s="337"/>
      <c r="T100" s="337"/>
      <c r="U100" s="208"/>
      <c r="V100" s="208"/>
      <c r="W100" s="208"/>
      <c r="X100" s="208"/>
      <c r="Y100" s="208"/>
      <c r="Z100" s="208"/>
      <c r="AA100" s="208"/>
      <c r="AB100" s="208"/>
      <c r="AC100" s="208"/>
      <c r="AD100" s="208"/>
    </row>
    <row r="101" spans="2:30" x14ac:dyDescent="0.25">
      <c r="B101" s="567"/>
      <c r="C101" s="208" t="s">
        <v>253</v>
      </c>
      <c r="D101" s="208"/>
      <c r="E101" s="208"/>
      <c r="F101" s="208"/>
      <c r="G101" s="208"/>
      <c r="H101" s="208"/>
      <c r="I101" s="208"/>
      <c r="J101" s="208"/>
      <c r="K101" s="337"/>
      <c r="L101" s="337"/>
      <c r="M101" s="337"/>
      <c r="N101" s="337"/>
      <c r="O101" s="337"/>
      <c r="P101" s="337"/>
      <c r="Q101" s="337"/>
      <c r="R101" s="337"/>
      <c r="S101" s="337"/>
      <c r="T101" s="337"/>
      <c r="U101" s="208"/>
      <c r="V101" s="208"/>
      <c r="W101" s="208"/>
      <c r="X101" s="208"/>
      <c r="Y101" s="208"/>
      <c r="Z101" s="208"/>
      <c r="AA101" s="208"/>
      <c r="AB101" s="208"/>
      <c r="AC101" s="208"/>
      <c r="AD101" s="208"/>
    </row>
    <row r="102" spans="2:30" x14ac:dyDescent="0.25">
      <c r="B102" s="567"/>
      <c r="C102" s="208"/>
      <c r="D102" s="208" t="s">
        <v>254</v>
      </c>
      <c r="E102" s="208"/>
      <c r="F102" s="105">
        <v>0.15</v>
      </c>
      <c r="G102" s="105">
        <f>F102</f>
        <v>0.15</v>
      </c>
      <c r="H102" s="105">
        <f t="shared" ref="H102:P102" si="76">G102</f>
        <v>0.15</v>
      </c>
      <c r="I102" s="105">
        <f t="shared" si="76"/>
        <v>0.15</v>
      </c>
      <c r="J102" s="105">
        <f t="shared" si="76"/>
        <v>0.15</v>
      </c>
      <c r="K102" s="105">
        <f t="shared" si="76"/>
        <v>0.15</v>
      </c>
      <c r="L102" s="105">
        <f t="shared" si="76"/>
        <v>0.15</v>
      </c>
      <c r="M102" s="105">
        <f t="shared" si="76"/>
        <v>0.15</v>
      </c>
      <c r="N102" s="105">
        <f t="shared" si="76"/>
        <v>0.15</v>
      </c>
      <c r="O102" s="105">
        <f t="shared" si="76"/>
        <v>0.15</v>
      </c>
      <c r="P102" s="105">
        <f t="shared" si="76"/>
        <v>0.15</v>
      </c>
      <c r="Q102" s="105"/>
      <c r="R102" s="105"/>
      <c r="S102" s="105"/>
      <c r="T102" s="105"/>
      <c r="U102" s="208"/>
      <c r="V102" s="208"/>
      <c r="W102" s="208"/>
      <c r="X102" s="208"/>
      <c r="Y102" s="208"/>
      <c r="Z102" s="208"/>
      <c r="AA102" s="208"/>
      <c r="AB102" s="208"/>
      <c r="AC102" s="208"/>
      <c r="AD102" s="208"/>
    </row>
    <row r="103" spans="2:30" x14ac:dyDescent="0.25">
      <c r="B103" s="567"/>
      <c r="C103" s="208"/>
      <c r="D103" s="208" t="str">
        <f>D96</f>
        <v>GS &gt; 50</v>
      </c>
      <c r="E103" s="208"/>
      <c r="F103" s="337">
        <f>((F96/F$102)/8760)*12</f>
        <v>106.43221917808222</v>
      </c>
      <c r="G103" s="337">
        <f t="shared" ref="G103:P105" si="77">((G96/G$102)/8760)*12</f>
        <v>275.22126027397263</v>
      </c>
      <c r="H103" s="337">
        <f t="shared" si="77"/>
        <v>213.71164383561648</v>
      </c>
      <c r="I103" s="337">
        <f t="shared" si="77"/>
        <v>86.91750684931506</v>
      </c>
      <c r="J103" s="337">
        <f t="shared" si="77"/>
        <v>129.75961643835609</v>
      </c>
      <c r="K103" s="337">
        <f t="shared" si="77"/>
        <v>185.6586301369864</v>
      </c>
      <c r="L103" s="337">
        <f t="shared" si="77"/>
        <v>288.86194520547957</v>
      </c>
      <c r="M103" s="337">
        <f t="shared" si="77"/>
        <v>444.3213424657535</v>
      </c>
      <c r="N103" s="337">
        <f t="shared" si="77"/>
        <v>523.92452054794501</v>
      </c>
      <c r="O103" s="337">
        <f t="shared" si="77"/>
        <v>635.13332500110459</v>
      </c>
      <c r="P103" s="337">
        <f t="shared" si="77"/>
        <v>820.75711480353516</v>
      </c>
      <c r="Q103" s="337"/>
      <c r="R103" s="337"/>
      <c r="S103" s="337"/>
      <c r="T103" s="337"/>
      <c r="U103" s="208"/>
      <c r="V103" s="208"/>
      <c r="W103" s="208"/>
      <c r="X103" s="208"/>
      <c r="Y103" s="208"/>
      <c r="Z103" s="208"/>
      <c r="AA103" s="208"/>
      <c r="AB103" s="208"/>
      <c r="AC103" s="208"/>
      <c r="AD103" s="208"/>
    </row>
    <row r="104" spans="2:30" x14ac:dyDescent="0.25">
      <c r="B104" s="567"/>
      <c r="C104" s="208"/>
      <c r="D104" s="208" t="str">
        <f>D97</f>
        <v>GS Co Gen</v>
      </c>
      <c r="E104" s="208"/>
      <c r="F104" s="337">
        <f>((F97/F$102)/8760)*12</f>
        <v>0</v>
      </c>
      <c r="G104" s="337">
        <f t="shared" si="77"/>
        <v>0</v>
      </c>
      <c r="H104" s="337">
        <f t="shared" si="77"/>
        <v>0</v>
      </c>
      <c r="I104" s="337">
        <f t="shared" si="77"/>
        <v>0</v>
      </c>
      <c r="J104" s="337">
        <f t="shared" si="77"/>
        <v>0</v>
      </c>
      <c r="K104" s="337">
        <f t="shared" si="77"/>
        <v>0</v>
      </c>
      <c r="L104" s="337">
        <f t="shared" si="77"/>
        <v>0</v>
      </c>
      <c r="M104" s="337">
        <f t="shared" si="77"/>
        <v>0</v>
      </c>
      <c r="N104" s="337">
        <f t="shared" si="77"/>
        <v>0</v>
      </c>
      <c r="O104" s="337">
        <f t="shared" si="77"/>
        <v>0</v>
      </c>
      <c r="P104" s="337">
        <f t="shared" si="77"/>
        <v>0</v>
      </c>
      <c r="Q104" s="337"/>
      <c r="R104" s="337"/>
      <c r="S104" s="337"/>
      <c r="T104" s="337"/>
      <c r="U104" s="208"/>
      <c r="V104" s="208"/>
      <c r="W104" s="208"/>
      <c r="X104" s="208"/>
      <c r="Y104" s="208"/>
      <c r="Z104" s="208"/>
      <c r="AA104" s="208"/>
      <c r="AB104" s="208"/>
      <c r="AC104" s="208"/>
      <c r="AD104" s="208"/>
    </row>
    <row r="105" spans="2:30" x14ac:dyDescent="0.25">
      <c r="B105" s="567"/>
      <c r="C105" s="208"/>
      <c r="D105" s="208" t="str">
        <f>D98</f>
        <v>Large Use</v>
      </c>
      <c r="E105" s="208"/>
      <c r="F105" s="337">
        <f>((F98/F$102)/8760)*12</f>
        <v>6.5749041095890419</v>
      </c>
      <c r="G105" s="337">
        <f t="shared" si="77"/>
        <v>16.42969863013699</v>
      </c>
      <c r="H105" s="337">
        <f t="shared" si="77"/>
        <v>12.916780821917808</v>
      </c>
      <c r="I105" s="337">
        <f t="shared" si="77"/>
        <v>5.8414657534246563</v>
      </c>
      <c r="J105" s="337">
        <f t="shared" si="77"/>
        <v>8.387917808219175</v>
      </c>
      <c r="K105" s="337">
        <f t="shared" si="77"/>
        <v>11.646849315068501</v>
      </c>
      <c r="L105" s="337">
        <f t="shared" si="77"/>
        <v>18.211273972602747</v>
      </c>
      <c r="M105" s="337">
        <f t="shared" si="77"/>
        <v>29.462287671232879</v>
      </c>
      <c r="N105" s="337">
        <f t="shared" si="77"/>
        <v>36.322397260273959</v>
      </c>
      <c r="O105" s="337">
        <f t="shared" si="77"/>
        <v>42.29751678733809</v>
      </c>
      <c r="P105" s="337">
        <f t="shared" si="77"/>
        <v>52.376643484585145</v>
      </c>
      <c r="Q105" s="337"/>
      <c r="R105" s="337"/>
      <c r="S105" s="337"/>
      <c r="T105" s="337"/>
      <c r="U105" s="208"/>
      <c r="V105" s="208"/>
      <c r="W105" s="208"/>
      <c r="X105" s="208"/>
      <c r="Y105" s="208"/>
      <c r="Z105" s="208"/>
      <c r="AA105" s="208"/>
      <c r="AB105" s="208"/>
      <c r="AC105" s="208"/>
      <c r="AD105" s="208"/>
    </row>
    <row r="106" spans="2:30" x14ac:dyDescent="0.25">
      <c r="B106" s="208"/>
      <c r="C106" s="208"/>
      <c r="D106" s="208"/>
      <c r="E106" s="208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8"/>
      <c r="R106" s="208"/>
      <c r="S106" s="208"/>
      <c r="T106" s="208"/>
      <c r="U106" s="208"/>
      <c r="V106" s="208"/>
      <c r="W106" s="208"/>
      <c r="X106" s="208"/>
      <c r="Y106" s="208"/>
      <c r="Z106" s="208"/>
      <c r="AA106" s="208"/>
      <c r="AB106" s="208"/>
      <c r="AC106" s="208"/>
      <c r="AD106" s="208"/>
    </row>
    <row r="107" spans="2:30" x14ac:dyDescent="0.25">
      <c r="B107" s="208"/>
      <c r="C107" s="208"/>
      <c r="D107" s="208"/>
      <c r="E107" s="208"/>
      <c r="F107" s="208"/>
      <c r="G107" s="208"/>
      <c r="H107" s="208"/>
      <c r="I107" s="208"/>
      <c r="J107" s="208"/>
      <c r="K107" s="208"/>
      <c r="L107" s="208"/>
      <c r="M107" s="208"/>
      <c r="N107" s="208"/>
      <c r="O107" s="208"/>
      <c r="P107" s="208"/>
      <c r="Q107" s="208"/>
      <c r="R107" s="208"/>
      <c r="S107" s="208"/>
      <c r="T107" s="208"/>
      <c r="U107" s="208"/>
      <c r="V107" s="208"/>
      <c r="W107" s="208"/>
      <c r="X107" s="208"/>
      <c r="Y107" s="208"/>
      <c r="Z107" s="208"/>
      <c r="AA107" s="208"/>
      <c r="AB107" s="208"/>
      <c r="AC107" s="208"/>
      <c r="AD107" s="208"/>
    </row>
    <row r="108" spans="2:30" ht="14.45" customHeight="1" x14ac:dyDescent="0.25">
      <c r="B108" s="569" t="s">
        <v>128</v>
      </c>
      <c r="C108" s="208" t="s">
        <v>249</v>
      </c>
      <c r="D108" s="208"/>
      <c r="E108" s="208"/>
      <c r="F108" s="338">
        <f t="shared" ref="F108:P108" si="78">F79</f>
        <v>2017</v>
      </c>
      <c r="G108" s="338">
        <f t="shared" si="78"/>
        <v>2018</v>
      </c>
      <c r="H108" s="338">
        <f t="shared" si="78"/>
        <v>2019</v>
      </c>
      <c r="I108" s="338">
        <f t="shared" si="78"/>
        <v>2020</v>
      </c>
      <c r="J108" s="338">
        <f t="shared" si="78"/>
        <v>2021</v>
      </c>
      <c r="K108" s="338">
        <f t="shared" si="78"/>
        <v>2022</v>
      </c>
      <c r="L108" s="338">
        <f t="shared" si="78"/>
        <v>2023</v>
      </c>
      <c r="M108" s="338">
        <f t="shared" si="78"/>
        <v>2024</v>
      </c>
      <c r="N108" s="338">
        <f t="shared" si="78"/>
        <v>2025</v>
      </c>
      <c r="O108" s="338">
        <f t="shared" si="78"/>
        <v>2026</v>
      </c>
      <c r="P108" s="338">
        <f t="shared" si="78"/>
        <v>2027</v>
      </c>
      <c r="Q108" s="338"/>
      <c r="R108" s="338"/>
      <c r="S108" s="338"/>
      <c r="T108" s="338"/>
      <c r="U108" s="208"/>
      <c r="V108" s="208"/>
      <c r="W108" s="208"/>
      <c r="X108" s="208"/>
      <c r="Y108" s="208"/>
      <c r="Z108" s="208"/>
      <c r="AA108" s="208"/>
      <c r="AB108" s="208"/>
      <c r="AC108" s="208"/>
      <c r="AD108" s="208"/>
    </row>
    <row r="109" spans="2:30" x14ac:dyDescent="0.25">
      <c r="B109" s="569"/>
      <c r="C109" s="568" t="s">
        <v>252</v>
      </c>
      <c r="D109" s="208" t="s">
        <v>24</v>
      </c>
      <c r="E109" s="208"/>
      <c r="F109" s="333">
        <f>F80+F94</f>
        <v>166704.72</v>
      </c>
      <c r="G109" s="333">
        <f>G80+G94</f>
        <v>485209.92000000004</v>
      </c>
      <c r="H109" s="333">
        <f t="shared" ref="H109:P109" si="79">H80+H94</f>
        <v>476470.80000000005</v>
      </c>
      <c r="I109" s="333">
        <f t="shared" si="79"/>
        <v>364280.27999999997</v>
      </c>
      <c r="J109" s="333">
        <f t="shared" si="79"/>
        <v>594082.31999999995</v>
      </c>
      <c r="K109" s="333">
        <f t="shared" si="79"/>
        <v>1110046.8</v>
      </c>
      <c r="L109" s="333">
        <f t="shared" si="79"/>
        <v>1703007.9200000004</v>
      </c>
      <c r="M109" s="333">
        <f t="shared" si="79"/>
        <v>2276210.8800000004</v>
      </c>
      <c r="N109" s="333">
        <f>N80+N94</f>
        <v>2559589.5999999996</v>
      </c>
      <c r="O109" s="333">
        <f t="shared" si="79"/>
        <v>2794679.8340908415</v>
      </c>
      <c r="P109" s="333">
        <f t="shared" si="79"/>
        <v>3445854.8545580441</v>
      </c>
      <c r="Q109" s="333"/>
      <c r="R109" s="333"/>
      <c r="S109" s="333"/>
      <c r="T109" s="333"/>
      <c r="U109" s="208"/>
      <c r="V109" s="208"/>
      <c r="W109" s="208"/>
      <c r="X109" s="208"/>
      <c r="Y109" s="208"/>
      <c r="Z109" s="208"/>
      <c r="AA109" s="208"/>
      <c r="AB109" s="208"/>
      <c r="AC109" s="208"/>
      <c r="AD109" s="208"/>
    </row>
    <row r="110" spans="2:30" x14ac:dyDescent="0.25">
      <c r="B110" s="569"/>
      <c r="C110" s="568"/>
      <c r="D110" s="208" t="s">
        <v>34</v>
      </c>
      <c r="E110" s="208"/>
      <c r="F110" s="333">
        <f t="shared" ref="F110:P113" si="80">F81+F95</f>
        <v>28114.800000000003</v>
      </c>
      <c r="G110" s="333">
        <f t="shared" si="80"/>
        <v>82310.925000000003</v>
      </c>
      <c r="H110" s="333">
        <f t="shared" si="80"/>
        <v>79173.5625</v>
      </c>
      <c r="I110" s="333">
        <f t="shared" si="80"/>
        <v>57657.074999999997</v>
      </c>
      <c r="J110" s="333">
        <f t="shared" si="80"/>
        <v>94597.237499999988</v>
      </c>
      <c r="K110" s="333">
        <f t="shared" si="80"/>
        <v>188951.0625</v>
      </c>
      <c r="L110" s="333">
        <f t="shared" si="80"/>
        <v>302830.92500000005</v>
      </c>
      <c r="M110" s="333">
        <f t="shared" si="80"/>
        <v>421653.26250000001</v>
      </c>
      <c r="N110" s="333">
        <f t="shared" si="80"/>
        <v>499709.31249999994</v>
      </c>
      <c r="O110" s="333">
        <f t="shared" si="80"/>
        <v>525046.54804862698</v>
      </c>
      <c r="P110" s="333">
        <f t="shared" si="80"/>
        <v>610550.57970301306</v>
      </c>
      <c r="Q110" s="333"/>
      <c r="R110" s="333"/>
      <c r="S110" s="333"/>
      <c r="T110" s="333"/>
      <c r="U110" s="208"/>
      <c r="V110" s="208"/>
      <c r="W110" s="208"/>
      <c r="X110" s="208"/>
      <c r="Y110" s="208"/>
      <c r="Z110" s="208"/>
      <c r="AA110" s="208"/>
      <c r="AB110" s="208"/>
      <c r="AC110" s="208"/>
      <c r="AD110" s="208"/>
    </row>
    <row r="111" spans="2:30" x14ac:dyDescent="0.25">
      <c r="B111" s="569"/>
      <c r="C111" s="568"/>
      <c r="D111" s="208" t="str">
        <f>D89</f>
        <v>GS &gt; 50</v>
      </c>
      <c r="E111" s="208"/>
      <c r="F111" s="333">
        <f t="shared" si="80"/>
        <v>16437.288</v>
      </c>
      <c r="G111" s="333">
        <f t="shared" si="80"/>
        <v>48272.118000000002</v>
      </c>
      <c r="H111" s="333">
        <f t="shared" si="80"/>
        <v>45921.195000000007</v>
      </c>
      <c r="I111" s="333">
        <f t="shared" si="80"/>
        <v>32535.462</v>
      </c>
      <c r="J111" s="333">
        <f t="shared" si="80"/>
        <v>53568.452999999994</v>
      </c>
      <c r="K111" s="333">
        <f t="shared" si="80"/>
        <v>107741.59500000002</v>
      </c>
      <c r="L111" s="333">
        <f t="shared" si="80"/>
        <v>173656.318</v>
      </c>
      <c r="M111" s="333">
        <f t="shared" si="80"/>
        <v>241192.82700000002</v>
      </c>
      <c r="N111" s="333">
        <f t="shared" si="80"/>
        <v>288552.21499999997</v>
      </c>
      <c r="O111" s="333">
        <f t="shared" si="80"/>
        <v>304054.08446660248</v>
      </c>
      <c r="P111" s="333">
        <f t="shared" si="80"/>
        <v>350446.61098651972</v>
      </c>
      <c r="Q111" s="333"/>
      <c r="R111" s="333"/>
      <c r="S111" s="333"/>
      <c r="T111" s="333"/>
      <c r="U111" s="208"/>
      <c r="V111" s="208"/>
      <c r="W111" s="208"/>
      <c r="X111" s="208"/>
      <c r="Y111" s="208"/>
      <c r="Z111" s="208"/>
      <c r="AA111" s="208"/>
      <c r="AB111" s="208"/>
      <c r="AC111" s="208"/>
      <c r="AD111" s="208"/>
    </row>
    <row r="112" spans="2:30" x14ac:dyDescent="0.25">
      <c r="B112" s="569"/>
      <c r="C112" s="568"/>
      <c r="D112" s="208" t="str">
        <f>D90</f>
        <v>GS Co Gen</v>
      </c>
      <c r="E112" s="208"/>
      <c r="F112" s="333">
        <f t="shared" si="80"/>
        <v>0</v>
      </c>
      <c r="G112" s="333">
        <f t="shared" si="80"/>
        <v>0</v>
      </c>
      <c r="H112" s="333">
        <f t="shared" si="80"/>
        <v>0</v>
      </c>
      <c r="I112" s="333">
        <f t="shared" si="80"/>
        <v>0</v>
      </c>
      <c r="J112" s="333">
        <f t="shared" si="80"/>
        <v>0</v>
      </c>
      <c r="K112" s="333">
        <f t="shared" si="80"/>
        <v>0</v>
      </c>
      <c r="L112" s="333">
        <f t="shared" si="80"/>
        <v>0</v>
      </c>
      <c r="M112" s="333">
        <f t="shared" si="80"/>
        <v>0</v>
      </c>
      <c r="N112" s="333">
        <f t="shared" si="80"/>
        <v>0</v>
      </c>
      <c r="O112" s="333">
        <f t="shared" si="80"/>
        <v>0</v>
      </c>
      <c r="P112" s="333">
        <f t="shared" si="80"/>
        <v>0</v>
      </c>
      <c r="Q112" s="333"/>
      <c r="R112" s="333"/>
      <c r="S112" s="333"/>
      <c r="T112" s="333"/>
      <c r="U112" s="208"/>
      <c r="V112" s="208"/>
      <c r="W112" s="208"/>
      <c r="X112" s="208"/>
      <c r="Y112" s="208"/>
      <c r="Z112" s="208"/>
      <c r="AA112" s="208"/>
      <c r="AB112" s="208"/>
      <c r="AC112" s="208"/>
      <c r="AD112" s="208"/>
    </row>
    <row r="113" spans="2:30" x14ac:dyDescent="0.25">
      <c r="B113" s="569"/>
      <c r="C113" s="568"/>
      <c r="D113" s="208" t="str">
        <f>D91</f>
        <v>Large Use</v>
      </c>
      <c r="E113" s="208"/>
      <c r="F113" s="333">
        <f>F84+F98</f>
        <v>1061.5920000000001</v>
      </c>
      <c r="G113" s="333">
        <f t="shared" si="80"/>
        <v>3094.4369999999999</v>
      </c>
      <c r="H113" s="333">
        <f>H84+H98</f>
        <v>3022.9425000000001</v>
      </c>
      <c r="I113" s="333">
        <f t="shared" si="80"/>
        <v>2283.7829999999999</v>
      </c>
      <c r="J113" s="333">
        <f t="shared" si="80"/>
        <v>3729.8894999999993</v>
      </c>
      <c r="K113" s="333">
        <f t="shared" si="80"/>
        <v>7069.0425000000014</v>
      </c>
      <c r="L113" s="333">
        <f t="shared" si="80"/>
        <v>10952.237000000001</v>
      </c>
      <c r="M113" s="333">
        <f t="shared" si="80"/>
        <v>14769.130500000001</v>
      </c>
      <c r="N113" s="333">
        <f t="shared" si="80"/>
        <v>16823.372499999998</v>
      </c>
      <c r="O113" s="333">
        <f t="shared" si="80"/>
        <v>18209.952093497843</v>
      </c>
      <c r="P113" s="333">
        <f t="shared" si="80"/>
        <v>22144.985151997873</v>
      </c>
      <c r="Q113" s="333"/>
      <c r="R113" s="333"/>
      <c r="S113" s="333"/>
      <c r="T113" s="333"/>
      <c r="U113" s="208"/>
      <c r="V113" s="208"/>
      <c r="W113" s="208"/>
      <c r="X113" s="208"/>
      <c r="Y113" s="208"/>
      <c r="Z113" s="208"/>
      <c r="AA113" s="208"/>
      <c r="AB113" s="208"/>
      <c r="AC113" s="208"/>
      <c r="AD113" s="208"/>
    </row>
    <row r="114" spans="2:30" x14ac:dyDescent="0.25">
      <c r="B114" s="569"/>
      <c r="C114" s="208"/>
      <c r="D114" s="208"/>
      <c r="E114" s="208"/>
      <c r="F114" s="208"/>
      <c r="G114" s="208"/>
      <c r="H114" s="208"/>
      <c r="I114" s="208"/>
      <c r="J114" s="208"/>
      <c r="K114" s="208"/>
      <c r="L114" s="208"/>
      <c r="M114" s="208"/>
      <c r="N114" s="208"/>
      <c r="O114" s="208"/>
      <c r="P114" s="208"/>
      <c r="Q114" s="208"/>
      <c r="R114" s="208"/>
      <c r="S114" s="208"/>
      <c r="T114" s="208"/>
      <c r="U114" s="208"/>
      <c r="V114" s="208"/>
      <c r="W114" s="208"/>
      <c r="X114" s="208"/>
      <c r="Y114" s="208"/>
      <c r="Z114" s="208"/>
      <c r="AA114" s="208"/>
      <c r="AB114" s="208"/>
      <c r="AC114" s="208"/>
      <c r="AD114" s="208"/>
    </row>
    <row r="115" spans="2:30" x14ac:dyDescent="0.25">
      <c r="B115" s="569"/>
      <c r="C115" s="208" t="s">
        <v>192</v>
      </c>
      <c r="D115" s="208"/>
      <c r="E115" s="208"/>
      <c r="F115" s="338">
        <f t="shared" ref="F115:P115" si="81">F108</f>
        <v>2017</v>
      </c>
      <c r="G115" s="338">
        <f t="shared" si="81"/>
        <v>2018</v>
      </c>
      <c r="H115" s="338">
        <f t="shared" si="81"/>
        <v>2019</v>
      </c>
      <c r="I115" s="338">
        <f t="shared" si="81"/>
        <v>2020</v>
      </c>
      <c r="J115" s="338">
        <f t="shared" si="81"/>
        <v>2021</v>
      </c>
      <c r="K115" s="338">
        <f t="shared" si="81"/>
        <v>2022</v>
      </c>
      <c r="L115" s="338">
        <f t="shared" si="81"/>
        <v>2023</v>
      </c>
      <c r="M115" s="338">
        <f t="shared" si="81"/>
        <v>2024</v>
      </c>
      <c r="N115" s="338">
        <f t="shared" si="81"/>
        <v>2025</v>
      </c>
      <c r="O115" s="338">
        <f t="shared" si="81"/>
        <v>2026</v>
      </c>
      <c r="P115" s="338">
        <f t="shared" si="81"/>
        <v>2027</v>
      </c>
      <c r="Q115" s="338"/>
      <c r="R115" s="338"/>
      <c r="S115" s="338"/>
      <c r="T115" s="338"/>
      <c r="U115" s="208"/>
      <c r="V115" s="208"/>
      <c r="W115" s="208"/>
      <c r="X115" s="208"/>
      <c r="Y115" s="208"/>
      <c r="Z115" s="208"/>
      <c r="AA115" s="208"/>
      <c r="AB115" s="208"/>
      <c r="AC115" s="208"/>
      <c r="AD115" s="208"/>
    </row>
    <row r="116" spans="2:30" x14ac:dyDescent="0.25">
      <c r="B116" s="569"/>
      <c r="C116" s="568" t="s">
        <v>479</v>
      </c>
      <c r="D116" s="208" t="str">
        <f>D109</f>
        <v>Residential</v>
      </c>
      <c r="E116" s="208"/>
      <c r="F116" s="333">
        <f>SUM($F109:F109)</f>
        <v>166704.72</v>
      </c>
      <c r="G116" s="333">
        <f>SUM($F109:G109)</f>
        <v>651914.64</v>
      </c>
      <c r="H116" s="333">
        <f>SUM($F109:H109)</f>
        <v>1128385.44</v>
      </c>
      <c r="I116" s="333">
        <f>SUM($F109:I109)</f>
        <v>1492665.72</v>
      </c>
      <c r="J116" s="333">
        <f>SUM($F109:J109)</f>
        <v>2086748.04</v>
      </c>
      <c r="K116" s="333">
        <f>SUM($F109:K109)</f>
        <v>3196794.84</v>
      </c>
      <c r="L116" s="333">
        <f>SUM($F109:L109)</f>
        <v>4899802.76</v>
      </c>
      <c r="M116" s="333">
        <f>SUM($F109:M109)</f>
        <v>7176013.6400000006</v>
      </c>
      <c r="N116" s="333">
        <f>SUM($F109:N109)</f>
        <v>9735603.2400000002</v>
      </c>
      <c r="O116" s="333">
        <f>SUM($F109:O109)</f>
        <v>12530283.074090842</v>
      </c>
      <c r="P116" s="333">
        <f>SUM($F109:P109)</f>
        <v>15976137.928648885</v>
      </c>
      <c r="Q116" s="333"/>
      <c r="R116" s="333"/>
      <c r="S116" s="333"/>
      <c r="T116" s="333"/>
      <c r="U116" s="333"/>
      <c r="V116" s="208"/>
      <c r="W116" s="208"/>
      <c r="X116" s="208"/>
      <c r="Y116" s="208"/>
      <c r="Z116" s="208"/>
      <c r="AA116" s="208"/>
      <c r="AB116" s="208"/>
      <c r="AC116" s="208"/>
      <c r="AD116" s="208"/>
    </row>
    <row r="117" spans="2:30" x14ac:dyDescent="0.25">
      <c r="B117" s="569"/>
      <c r="C117" s="568"/>
      <c r="D117" s="208" t="str">
        <f>D110</f>
        <v>GS&lt;50</v>
      </c>
      <c r="E117" s="208"/>
      <c r="F117" s="333">
        <f>SUM($F110:F110)</f>
        <v>28114.800000000003</v>
      </c>
      <c r="G117" s="333">
        <f>SUM($F110:G110)</f>
        <v>110425.72500000001</v>
      </c>
      <c r="H117" s="333">
        <f>SUM($F110:H110)</f>
        <v>189599.28750000001</v>
      </c>
      <c r="I117" s="333">
        <f>SUM($F110:I110)</f>
        <v>247256.36249999999</v>
      </c>
      <c r="J117" s="333">
        <f>SUM($F110:J110)</f>
        <v>341853.6</v>
      </c>
      <c r="K117" s="333">
        <f>SUM($F110:K110)</f>
        <v>530804.66249999998</v>
      </c>
      <c r="L117" s="333">
        <f>SUM($F110:L110)</f>
        <v>833635.58750000002</v>
      </c>
      <c r="M117" s="333">
        <f>SUM($F110:M110)</f>
        <v>1255288.8500000001</v>
      </c>
      <c r="N117" s="333">
        <f>SUM($F110:N110)</f>
        <v>1754998.1625000001</v>
      </c>
      <c r="O117" s="333">
        <f>SUM($F110:O110)</f>
        <v>2280044.7105486272</v>
      </c>
      <c r="P117" s="333">
        <f>SUM($F110:P110)</f>
        <v>2890595.2902516401</v>
      </c>
      <c r="Q117" s="333"/>
      <c r="R117" s="333"/>
      <c r="S117" s="333"/>
      <c r="T117" s="333"/>
      <c r="U117" s="208"/>
      <c r="V117" s="208"/>
      <c r="W117" s="208"/>
      <c r="X117" s="208"/>
      <c r="Y117" s="208"/>
      <c r="Z117" s="208"/>
      <c r="AA117" s="208"/>
      <c r="AB117" s="208"/>
      <c r="AC117" s="208"/>
      <c r="AD117" s="208"/>
    </row>
    <row r="118" spans="2:30" x14ac:dyDescent="0.25">
      <c r="B118" s="569"/>
      <c r="C118" s="568"/>
      <c r="D118" s="208" t="str">
        <f>D111</f>
        <v>GS &gt; 50</v>
      </c>
      <c r="E118" s="208"/>
      <c r="F118" s="333">
        <f>SUM($F111:F111)</f>
        <v>16437.288</v>
      </c>
      <c r="G118" s="333">
        <f>SUM($F111:G111)</f>
        <v>64709.406000000003</v>
      </c>
      <c r="H118" s="333">
        <f>SUM($F111:H111)</f>
        <v>110630.60100000001</v>
      </c>
      <c r="I118" s="333">
        <f>SUM($F111:I111)</f>
        <v>143166.06300000002</v>
      </c>
      <c r="J118" s="333">
        <f>SUM($F111:J111)</f>
        <v>196734.516</v>
      </c>
      <c r="K118" s="333">
        <f>SUM($F111:K111)</f>
        <v>304476.11100000003</v>
      </c>
      <c r="L118" s="333">
        <f>SUM($F111:L111)</f>
        <v>478132.429</v>
      </c>
      <c r="M118" s="333">
        <f>SUM($F111:M111)</f>
        <v>719325.25600000005</v>
      </c>
      <c r="N118" s="333">
        <f>SUM($F111:N111)</f>
        <v>1007877.471</v>
      </c>
      <c r="O118" s="333">
        <f>SUM($F111:O111)</f>
        <v>1311931.5554666026</v>
      </c>
      <c r="P118" s="333">
        <f>SUM($F111:P111)</f>
        <v>1662378.1664531222</v>
      </c>
      <c r="Q118" s="333"/>
      <c r="R118" s="333"/>
      <c r="S118" s="333"/>
      <c r="T118" s="333"/>
      <c r="U118" s="208"/>
      <c r="V118" s="208"/>
      <c r="W118" s="208"/>
      <c r="X118" s="208"/>
      <c r="Y118" s="208"/>
      <c r="Z118" s="208"/>
      <c r="AA118" s="208"/>
      <c r="AB118" s="208"/>
      <c r="AC118" s="208"/>
      <c r="AD118" s="208"/>
    </row>
    <row r="119" spans="2:30" x14ac:dyDescent="0.25">
      <c r="B119" s="569"/>
      <c r="C119" s="568"/>
      <c r="D119" s="208" t="str">
        <f>D112</f>
        <v>GS Co Gen</v>
      </c>
      <c r="E119" s="208"/>
      <c r="F119" s="333">
        <f>SUM($F112:F112)</f>
        <v>0</v>
      </c>
      <c r="G119" s="333">
        <f>SUM($F112:G112)</f>
        <v>0</v>
      </c>
      <c r="H119" s="333">
        <f>SUM($F112:H112)</f>
        <v>0</v>
      </c>
      <c r="I119" s="333">
        <f>SUM($F112:I112)</f>
        <v>0</v>
      </c>
      <c r="J119" s="333">
        <f>SUM($F112:J112)</f>
        <v>0</v>
      </c>
      <c r="K119" s="333">
        <f>SUM($F112:K112)</f>
        <v>0</v>
      </c>
      <c r="L119" s="333">
        <f>SUM($F112:L112)</f>
        <v>0</v>
      </c>
      <c r="M119" s="333">
        <f>SUM($F112:M112)</f>
        <v>0</v>
      </c>
      <c r="N119" s="333">
        <f>SUM($F112:N112)</f>
        <v>0</v>
      </c>
      <c r="O119" s="333">
        <f>SUM($F112:O112)</f>
        <v>0</v>
      </c>
      <c r="P119" s="333">
        <f>SUM($F112:P112)</f>
        <v>0</v>
      </c>
      <c r="Q119" s="333"/>
      <c r="R119" s="333"/>
      <c r="S119" s="333"/>
      <c r="T119" s="333"/>
      <c r="U119" s="208"/>
      <c r="V119" s="208"/>
      <c r="W119" s="208"/>
      <c r="X119" s="208"/>
      <c r="Y119" s="208"/>
      <c r="Z119" s="208"/>
      <c r="AA119" s="208"/>
      <c r="AB119" s="208"/>
      <c r="AC119" s="208"/>
      <c r="AD119" s="208"/>
    </row>
    <row r="120" spans="2:30" x14ac:dyDescent="0.25">
      <c r="B120" s="569"/>
      <c r="C120" s="568"/>
      <c r="D120" s="208" t="str">
        <f>D113</f>
        <v>Large Use</v>
      </c>
      <c r="E120" s="208"/>
      <c r="F120" s="333">
        <f>SUM($F113:F113)</f>
        <v>1061.5920000000001</v>
      </c>
      <c r="G120" s="333">
        <f>SUM($F113:G113)</f>
        <v>4156.0290000000005</v>
      </c>
      <c r="H120" s="333">
        <f>SUM($F113:H113)</f>
        <v>7178.9715000000006</v>
      </c>
      <c r="I120" s="333">
        <f>SUM($F113:I113)</f>
        <v>9462.7545000000009</v>
      </c>
      <c r="J120" s="333">
        <f>SUM($F113:J113)</f>
        <v>13192.644</v>
      </c>
      <c r="K120" s="333">
        <f>SUM($F113:K113)</f>
        <v>20261.686500000003</v>
      </c>
      <c r="L120" s="333">
        <f>SUM($F113:L113)</f>
        <v>31213.923500000004</v>
      </c>
      <c r="M120" s="333">
        <f>SUM($F113:M113)</f>
        <v>45983.054000000004</v>
      </c>
      <c r="N120" s="333">
        <f>SUM($F113:N113)</f>
        <v>62806.426500000001</v>
      </c>
      <c r="O120" s="333">
        <f>SUM($F113:O113)</f>
        <v>81016.378593497851</v>
      </c>
      <c r="P120" s="333">
        <f>SUM($F113:P113)</f>
        <v>103161.36374549572</v>
      </c>
      <c r="Q120" s="333"/>
      <c r="R120" s="333"/>
      <c r="S120" s="333"/>
      <c r="T120" s="333"/>
      <c r="U120" s="208"/>
      <c r="V120" s="208"/>
      <c r="W120" s="208"/>
      <c r="X120" s="208"/>
      <c r="Y120" s="208"/>
      <c r="Z120" s="208"/>
      <c r="AA120" s="208"/>
      <c r="AB120" s="208"/>
      <c r="AC120" s="208"/>
      <c r="AD120" s="208"/>
    </row>
    <row r="121" spans="2:30" x14ac:dyDescent="0.25">
      <c r="B121" s="569"/>
      <c r="C121" s="332"/>
      <c r="D121" s="208"/>
      <c r="E121" s="208"/>
      <c r="F121" s="208"/>
      <c r="G121" s="208"/>
      <c r="H121" s="208"/>
      <c r="I121" s="208"/>
      <c r="J121" s="208"/>
      <c r="K121" s="208"/>
      <c r="L121" s="208"/>
      <c r="M121" s="208"/>
      <c r="N121" s="208"/>
      <c r="O121" s="208"/>
      <c r="P121" s="208"/>
      <c r="Q121" s="208"/>
      <c r="R121" s="208"/>
      <c r="S121" s="208"/>
      <c r="T121" s="208"/>
      <c r="U121" s="208"/>
      <c r="V121" s="208"/>
      <c r="W121" s="208"/>
      <c r="X121" s="208"/>
      <c r="Y121" s="208"/>
      <c r="Z121" s="208"/>
      <c r="AA121" s="208"/>
      <c r="AB121" s="208"/>
      <c r="AC121" s="208"/>
      <c r="AD121" s="208"/>
    </row>
    <row r="122" spans="2:30" x14ac:dyDescent="0.25">
      <c r="B122" s="569"/>
      <c r="C122" s="208" t="s">
        <v>192</v>
      </c>
      <c r="D122" s="208"/>
      <c r="E122" s="208"/>
      <c r="F122" s="338">
        <f t="shared" ref="F122:P122" si="82">F108</f>
        <v>2017</v>
      </c>
      <c r="G122" s="338">
        <f t="shared" si="82"/>
        <v>2018</v>
      </c>
      <c r="H122" s="338">
        <f t="shared" si="82"/>
        <v>2019</v>
      </c>
      <c r="I122" s="338">
        <f t="shared" si="82"/>
        <v>2020</v>
      </c>
      <c r="J122" s="338">
        <f t="shared" si="82"/>
        <v>2021</v>
      </c>
      <c r="K122" s="338">
        <f t="shared" si="82"/>
        <v>2022</v>
      </c>
      <c r="L122" s="338">
        <f t="shared" si="82"/>
        <v>2023</v>
      </c>
      <c r="M122" s="338">
        <f t="shared" si="82"/>
        <v>2024</v>
      </c>
      <c r="N122" s="338">
        <f t="shared" si="82"/>
        <v>2025</v>
      </c>
      <c r="O122" s="338">
        <f t="shared" si="82"/>
        <v>2026</v>
      </c>
      <c r="P122" s="338">
        <f t="shared" si="82"/>
        <v>2027</v>
      </c>
      <c r="Q122" s="338"/>
      <c r="R122" s="338"/>
      <c r="S122" s="338"/>
      <c r="T122" s="338"/>
      <c r="U122" s="208"/>
      <c r="V122" s="208"/>
      <c r="W122" s="208"/>
      <c r="X122" s="208"/>
      <c r="Y122" s="208"/>
      <c r="Z122" s="208"/>
      <c r="AA122" s="208"/>
      <c r="AB122" s="208"/>
      <c r="AC122" s="208"/>
      <c r="AD122" s="208"/>
    </row>
    <row r="123" spans="2:30" x14ac:dyDescent="0.25">
      <c r="B123" s="569"/>
      <c r="C123" s="568" t="s">
        <v>402</v>
      </c>
      <c r="D123" s="208" t="str">
        <f>D116</f>
        <v>Residential</v>
      </c>
      <c r="E123" s="208"/>
      <c r="F123" s="333">
        <f t="shared" ref="F123:P127" si="83">(F$15*F$16)*$X80+(F$20*F$21)*$Y80+(F$25*F$26)*$Z80+(F$47*F$48)*$X80+(F$52*F$53)*$Y80+(F$57*F$58)*$Z80</f>
        <v>333409.44</v>
      </c>
      <c r="G123" s="333">
        <f t="shared" si="83"/>
        <v>970419.84000000008</v>
      </c>
      <c r="H123" s="333">
        <f t="shared" si="83"/>
        <v>1286351.04</v>
      </c>
      <c r="I123" s="333">
        <f t="shared" si="83"/>
        <v>1698980.4000000001</v>
      </c>
      <c r="J123" s="333">
        <f t="shared" si="83"/>
        <v>2474515.6800000002</v>
      </c>
      <c r="K123" s="333">
        <f t="shared" si="83"/>
        <v>3919074.0000000005</v>
      </c>
      <c r="L123" s="333">
        <f t="shared" si="83"/>
        <v>5880531.5200000005</v>
      </c>
      <c r="M123" s="333">
        <f t="shared" si="83"/>
        <v>8471495.7599999998</v>
      </c>
      <c r="N123" s="333">
        <f t="shared" si="83"/>
        <v>10999710.720000001</v>
      </c>
      <c r="O123" s="333">
        <f t="shared" si="83"/>
        <v>14060855.428181684</v>
      </c>
      <c r="P123" s="333">
        <f t="shared" si="83"/>
        <v>17891420.429116089</v>
      </c>
      <c r="Q123" s="333"/>
      <c r="R123" s="333"/>
      <c r="S123" s="333"/>
      <c r="T123" s="333"/>
      <c r="U123" s="333"/>
      <c r="V123" s="208"/>
      <c r="W123" s="208"/>
      <c r="X123" s="208"/>
      <c r="Y123" s="208"/>
      <c r="Z123" s="208"/>
      <c r="AA123" s="208"/>
      <c r="AB123" s="208"/>
      <c r="AC123" s="208"/>
      <c r="AD123" s="208"/>
    </row>
    <row r="124" spans="2:30" x14ac:dyDescent="0.25">
      <c r="B124" s="569"/>
      <c r="C124" s="568"/>
      <c r="D124" s="208" t="str">
        <f>D117</f>
        <v>GS&lt;50</v>
      </c>
      <c r="E124" s="208"/>
      <c r="F124" s="333">
        <f t="shared" si="83"/>
        <v>56229.600000000006</v>
      </c>
      <c r="G124" s="333">
        <f t="shared" si="83"/>
        <v>164621.85</v>
      </c>
      <c r="H124" s="333">
        <f t="shared" si="83"/>
        <v>214576.72500000001</v>
      </c>
      <c r="I124" s="333">
        <f t="shared" si="83"/>
        <v>279936</v>
      </c>
      <c r="J124" s="333">
        <f t="shared" si="83"/>
        <v>403771.2</v>
      </c>
      <c r="K124" s="333">
        <f t="shared" si="83"/>
        <v>657838.125</v>
      </c>
      <c r="L124" s="333">
        <f t="shared" si="83"/>
        <v>1009433.05</v>
      </c>
      <c r="M124" s="333">
        <f t="shared" si="83"/>
        <v>1501144.65</v>
      </c>
      <c r="N124" s="333">
        <f t="shared" si="83"/>
        <v>2008851.675</v>
      </c>
      <c r="O124" s="333">
        <f t="shared" si="83"/>
        <v>2551237.7460972546</v>
      </c>
      <c r="P124" s="333">
        <f t="shared" si="83"/>
        <v>3229952.8344060266</v>
      </c>
      <c r="Q124" s="333"/>
      <c r="R124" s="333"/>
      <c r="S124" s="333"/>
      <c r="T124" s="333"/>
      <c r="U124" s="208"/>
      <c r="V124" s="208"/>
      <c r="W124" s="208"/>
      <c r="X124" s="208"/>
      <c r="Y124" s="208"/>
      <c r="Z124" s="208"/>
      <c r="AA124" s="208"/>
      <c r="AB124" s="208"/>
      <c r="AC124" s="208"/>
      <c r="AD124" s="208"/>
    </row>
    <row r="125" spans="2:30" x14ac:dyDescent="0.25">
      <c r="B125" s="569"/>
      <c r="C125" s="568"/>
      <c r="D125" s="208" t="str">
        <f>D118</f>
        <v>GS &gt; 50</v>
      </c>
      <c r="E125" s="208"/>
      <c r="F125" s="333">
        <f t="shared" si="83"/>
        <v>32874.576000000001</v>
      </c>
      <c r="G125" s="333">
        <f t="shared" si="83"/>
        <v>96544.236000000004</v>
      </c>
      <c r="H125" s="333">
        <f t="shared" si="83"/>
        <v>124716.96600000001</v>
      </c>
      <c r="I125" s="333">
        <f t="shared" si="83"/>
        <v>161615.16</v>
      </c>
      <c r="J125" s="333">
        <f t="shared" si="83"/>
        <v>231853.87200000003</v>
      </c>
      <c r="K125" s="333">
        <f t="shared" si="83"/>
        <v>377098.35000000003</v>
      </c>
      <c r="L125" s="333">
        <f t="shared" si="83"/>
        <v>579166.50800000003</v>
      </c>
      <c r="M125" s="333">
        <f t="shared" si="83"/>
        <v>859484.00399999996</v>
      </c>
      <c r="N125" s="333">
        <f t="shared" si="83"/>
        <v>1156270.9380000001</v>
      </c>
      <c r="O125" s="333">
        <f t="shared" si="83"/>
        <v>1467592.1729332048</v>
      </c>
      <c r="P125" s="333">
        <f t="shared" si="83"/>
        <v>1857164.1599730398</v>
      </c>
      <c r="Q125" s="333"/>
      <c r="R125" s="333"/>
      <c r="S125" s="333"/>
      <c r="T125" s="333"/>
      <c r="U125" s="208"/>
      <c r="V125" s="208"/>
      <c r="W125" s="208"/>
      <c r="X125" s="208"/>
      <c r="Y125" s="208"/>
      <c r="Z125" s="208"/>
      <c r="AA125" s="208"/>
      <c r="AB125" s="208"/>
      <c r="AC125" s="208"/>
      <c r="AD125" s="208"/>
    </row>
    <row r="126" spans="2:30" x14ac:dyDescent="0.25">
      <c r="B126" s="569"/>
      <c r="C126" s="568"/>
      <c r="D126" s="208" t="str">
        <f>D119</f>
        <v>GS Co Gen</v>
      </c>
      <c r="E126" s="208"/>
      <c r="F126" s="333">
        <f t="shared" si="83"/>
        <v>0</v>
      </c>
      <c r="G126" s="333">
        <f t="shared" si="83"/>
        <v>0</v>
      </c>
      <c r="H126" s="333">
        <f t="shared" si="83"/>
        <v>0</v>
      </c>
      <c r="I126" s="333">
        <f t="shared" si="83"/>
        <v>0</v>
      </c>
      <c r="J126" s="333">
        <f t="shared" si="83"/>
        <v>0</v>
      </c>
      <c r="K126" s="333">
        <f t="shared" si="83"/>
        <v>0</v>
      </c>
      <c r="L126" s="333">
        <f t="shared" si="83"/>
        <v>0</v>
      </c>
      <c r="M126" s="333">
        <f t="shared" si="83"/>
        <v>0</v>
      </c>
      <c r="N126" s="333">
        <f t="shared" si="83"/>
        <v>0</v>
      </c>
      <c r="O126" s="333">
        <f t="shared" si="83"/>
        <v>0</v>
      </c>
      <c r="P126" s="333">
        <f t="shared" si="83"/>
        <v>0</v>
      </c>
      <c r="Q126" s="333"/>
      <c r="R126" s="333"/>
      <c r="S126" s="333"/>
      <c r="T126" s="333"/>
      <c r="U126" s="208"/>
      <c r="V126" s="208"/>
      <c r="W126" s="208"/>
      <c r="X126" s="208"/>
      <c r="Y126" s="208"/>
      <c r="Z126" s="208"/>
      <c r="AA126" s="208"/>
      <c r="AB126" s="208"/>
      <c r="AC126" s="208"/>
      <c r="AD126" s="208"/>
    </row>
    <row r="127" spans="2:30" x14ac:dyDescent="0.25">
      <c r="B127" s="569"/>
      <c r="C127" s="568"/>
      <c r="D127" s="208" t="str">
        <f>D120</f>
        <v>Large Use</v>
      </c>
      <c r="E127" s="208"/>
      <c r="F127" s="333">
        <f t="shared" si="83"/>
        <v>2123.1840000000002</v>
      </c>
      <c r="G127" s="333">
        <f t="shared" si="83"/>
        <v>6188.8739999999998</v>
      </c>
      <c r="H127" s="333">
        <f t="shared" si="83"/>
        <v>8169.0689999999995</v>
      </c>
      <c r="I127" s="333">
        <f t="shared" si="83"/>
        <v>10756.44</v>
      </c>
      <c r="J127" s="333">
        <f t="shared" si="83"/>
        <v>15628.848</v>
      </c>
      <c r="K127" s="333">
        <f t="shared" si="83"/>
        <v>24894.525000000001</v>
      </c>
      <c r="L127" s="333">
        <f t="shared" si="83"/>
        <v>37533.322</v>
      </c>
      <c r="M127" s="333">
        <f t="shared" si="83"/>
        <v>54432.786</v>
      </c>
      <c r="N127" s="333">
        <f t="shared" si="83"/>
        <v>71180.066999999995</v>
      </c>
      <c r="O127" s="333">
        <f t="shared" si="83"/>
        <v>90852.690186995693</v>
      </c>
      <c r="P127" s="333">
        <f t="shared" si="83"/>
        <v>115470.03730399575</v>
      </c>
      <c r="Q127" s="333"/>
      <c r="R127" s="333"/>
      <c r="S127" s="333"/>
      <c r="T127" s="333"/>
      <c r="U127" s="208"/>
      <c r="V127" s="208"/>
      <c r="W127" s="208"/>
      <c r="X127" s="208"/>
      <c r="Y127" s="208"/>
      <c r="Z127" s="208"/>
      <c r="AA127" s="208"/>
      <c r="AB127" s="208"/>
      <c r="AC127" s="208"/>
      <c r="AD127" s="208"/>
    </row>
    <row r="128" spans="2:30" x14ac:dyDescent="0.25">
      <c r="B128" s="569"/>
      <c r="C128" s="332"/>
      <c r="D128" s="208"/>
      <c r="E128" s="208"/>
      <c r="F128" s="333"/>
      <c r="G128" s="333"/>
      <c r="H128" s="333"/>
      <c r="I128" s="333"/>
      <c r="J128" s="333"/>
      <c r="K128" s="333"/>
      <c r="L128" s="333"/>
      <c r="M128" s="333"/>
      <c r="N128" s="333"/>
      <c r="O128" s="333"/>
      <c r="P128" s="333"/>
      <c r="Q128" s="333"/>
      <c r="R128" s="333"/>
      <c r="S128" s="333"/>
      <c r="T128" s="333"/>
      <c r="U128" s="208"/>
      <c r="V128" s="208"/>
      <c r="W128" s="208"/>
      <c r="X128" s="208"/>
      <c r="Y128" s="208"/>
      <c r="Z128" s="208"/>
      <c r="AA128" s="208"/>
      <c r="AB128" s="208"/>
      <c r="AC128" s="208"/>
      <c r="AD128" s="208"/>
    </row>
    <row r="129" spans="2:30" x14ac:dyDescent="0.25">
      <c r="B129" s="569"/>
      <c r="C129" s="208" t="s">
        <v>253</v>
      </c>
      <c r="D129" s="208"/>
      <c r="E129" s="208"/>
      <c r="F129" s="338">
        <f t="shared" ref="F129:P129" si="84">F122</f>
        <v>2017</v>
      </c>
      <c r="G129" s="338">
        <f t="shared" si="84"/>
        <v>2018</v>
      </c>
      <c r="H129" s="338">
        <f t="shared" si="84"/>
        <v>2019</v>
      </c>
      <c r="I129" s="338">
        <f t="shared" si="84"/>
        <v>2020</v>
      </c>
      <c r="J129" s="338">
        <f t="shared" si="84"/>
        <v>2021</v>
      </c>
      <c r="K129" s="338">
        <f t="shared" si="84"/>
        <v>2022</v>
      </c>
      <c r="L129" s="338">
        <f t="shared" si="84"/>
        <v>2023</v>
      </c>
      <c r="M129" s="338">
        <f t="shared" si="84"/>
        <v>2024</v>
      </c>
      <c r="N129" s="338">
        <f t="shared" si="84"/>
        <v>2025</v>
      </c>
      <c r="O129" s="338">
        <f t="shared" si="84"/>
        <v>2026</v>
      </c>
      <c r="P129" s="338">
        <f t="shared" si="84"/>
        <v>2027</v>
      </c>
      <c r="Q129" s="338"/>
      <c r="R129" s="338"/>
      <c r="S129" s="338"/>
      <c r="T129" s="338"/>
      <c r="U129" s="208"/>
      <c r="V129" s="208"/>
      <c r="W129" s="208"/>
      <c r="X129" s="208"/>
      <c r="Y129" s="208"/>
      <c r="Z129" s="208"/>
      <c r="AA129" s="208"/>
      <c r="AB129" s="208"/>
      <c r="AC129" s="208"/>
      <c r="AD129" s="208"/>
    </row>
    <row r="130" spans="2:30" x14ac:dyDescent="0.25">
      <c r="B130" s="569"/>
      <c r="C130" s="208"/>
      <c r="D130" s="208" t="str">
        <f>D125</f>
        <v>GS &gt; 50</v>
      </c>
      <c r="E130" s="208"/>
      <c r="F130" s="333">
        <f t="shared" ref="F130:P130" si="85">F89+F103</f>
        <v>150.11221917808223</v>
      </c>
      <c r="G130" s="333">
        <f t="shared" si="85"/>
        <v>440.84126027397269</v>
      </c>
      <c r="H130" s="333">
        <f t="shared" si="85"/>
        <v>419.37164383561651</v>
      </c>
      <c r="I130" s="333">
        <f t="shared" si="85"/>
        <v>297.12750684931507</v>
      </c>
      <c r="J130" s="333">
        <f t="shared" si="85"/>
        <v>489.20961643835608</v>
      </c>
      <c r="K130" s="333">
        <f t="shared" si="85"/>
        <v>983.94150684931537</v>
      </c>
      <c r="L130" s="333">
        <f t="shared" si="85"/>
        <v>1585.9024474885846</v>
      </c>
      <c r="M130" s="333">
        <f t="shared" si="85"/>
        <v>2202.6742191780822</v>
      </c>
      <c r="N130" s="333">
        <f t="shared" si="85"/>
        <v>2635.1800456621004</v>
      </c>
      <c r="O130" s="333">
        <f t="shared" si="85"/>
        <v>2776.7496298319866</v>
      </c>
      <c r="P130" s="333">
        <f t="shared" si="85"/>
        <v>3200.4256711097696</v>
      </c>
      <c r="Q130" s="333"/>
      <c r="R130" s="333"/>
      <c r="S130" s="333"/>
      <c r="T130" s="333"/>
      <c r="U130" s="208"/>
      <c r="V130" s="208"/>
      <c r="W130" s="208"/>
      <c r="X130" s="208"/>
      <c r="Y130" s="208"/>
      <c r="Z130" s="208"/>
      <c r="AA130" s="208"/>
      <c r="AB130" s="208"/>
      <c r="AC130" s="208"/>
      <c r="AD130" s="208"/>
    </row>
    <row r="131" spans="2:30" x14ac:dyDescent="0.25">
      <c r="B131" s="569"/>
      <c r="C131" s="208"/>
      <c r="D131" s="208" t="str">
        <f>D126</f>
        <v>GS Co Gen</v>
      </c>
      <c r="E131" s="208"/>
      <c r="F131" s="333">
        <f t="shared" ref="F131:P131" si="86">F90+F104</f>
        <v>0</v>
      </c>
      <c r="G131" s="333">
        <f t="shared" si="86"/>
        <v>0</v>
      </c>
      <c r="H131" s="333">
        <f t="shared" si="86"/>
        <v>0</v>
      </c>
      <c r="I131" s="333">
        <f t="shared" si="86"/>
        <v>0</v>
      </c>
      <c r="J131" s="333">
        <f t="shared" si="86"/>
        <v>0</v>
      </c>
      <c r="K131" s="333">
        <f t="shared" si="86"/>
        <v>0</v>
      </c>
      <c r="L131" s="333">
        <f t="shared" si="86"/>
        <v>0</v>
      </c>
      <c r="M131" s="333">
        <f t="shared" si="86"/>
        <v>0</v>
      </c>
      <c r="N131" s="333">
        <f t="shared" si="86"/>
        <v>0</v>
      </c>
      <c r="O131" s="333">
        <f t="shared" si="86"/>
        <v>0</v>
      </c>
      <c r="P131" s="333">
        <f t="shared" si="86"/>
        <v>0</v>
      </c>
      <c r="Q131" s="333"/>
      <c r="R131" s="333"/>
      <c r="S131" s="333"/>
      <c r="T131" s="333"/>
      <c r="U131" s="208"/>
      <c r="V131" s="208"/>
      <c r="W131" s="208"/>
      <c r="X131" s="208"/>
      <c r="Y131" s="208"/>
      <c r="Z131" s="208"/>
      <c r="AA131" s="208"/>
      <c r="AB131" s="208"/>
      <c r="AC131" s="208"/>
      <c r="AD131" s="208"/>
    </row>
    <row r="132" spans="2:30" x14ac:dyDescent="0.25">
      <c r="B132" s="569"/>
      <c r="C132" s="208"/>
      <c r="D132" s="208" t="str">
        <f>D127</f>
        <v>Large Use</v>
      </c>
      <c r="E132" s="208"/>
      <c r="F132" s="333">
        <f t="shared" ref="F132:P132" si="87">F91+F105</f>
        <v>9.6949041095890429</v>
      </c>
      <c r="G132" s="333">
        <f t="shared" si="87"/>
        <v>28.259698630136988</v>
      </c>
      <c r="H132" s="333">
        <f t="shared" si="87"/>
        <v>27.606780821917809</v>
      </c>
      <c r="I132" s="333">
        <f t="shared" si="87"/>
        <v>20.856465753424658</v>
      </c>
      <c r="J132" s="333">
        <f t="shared" si="87"/>
        <v>34.062917808219176</v>
      </c>
      <c r="K132" s="333">
        <f t="shared" si="87"/>
        <v>64.55746575342468</v>
      </c>
      <c r="L132" s="333">
        <f t="shared" si="87"/>
        <v>100.02042922374432</v>
      </c>
      <c r="M132" s="333">
        <f t="shared" si="87"/>
        <v>134.87790410958905</v>
      </c>
      <c r="N132" s="333">
        <f t="shared" si="87"/>
        <v>153.63810502283104</v>
      </c>
      <c r="O132" s="333">
        <f t="shared" si="87"/>
        <v>166.30093236071093</v>
      </c>
      <c r="P132" s="333">
        <f t="shared" si="87"/>
        <v>202.2373073241815</v>
      </c>
      <c r="Q132" s="333"/>
      <c r="R132" s="333"/>
      <c r="S132" s="333"/>
      <c r="T132" s="333"/>
      <c r="U132" s="208"/>
      <c r="V132" s="208"/>
      <c r="W132" s="208"/>
      <c r="X132" s="208"/>
      <c r="Y132" s="208"/>
      <c r="Z132" s="208"/>
      <c r="AA132" s="208"/>
      <c r="AB132" s="208"/>
      <c r="AC132" s="208"/>
      <c r="AD132" s="208"/>
    </row>
    <row r="133" spans="2:30" x14ac:dyDescent="0.25">
      <c r="B133" s="569"/>
      <c r="C133" s="208"/>
      <c r="D133" s="208"/>
      <c r="E133" s="208"/>
      <c r="F133" s="333"/>
      <c r="G133" s="333"/>
      <c r="H133" s="333"/>
      <c r="I133" s="333"/>
      <c r="J133" s="333"/>
      <c r="K133" s="333"/>
      <c r="L133" s="333"/>
      <c r="M133" s="333"/>
      <c r="N133" s="333"/>
      <c r="O133" s="333"/>
      <c r="P133" s="333"/>
      <c r="Q133" s="333"/>
      <c r="R133" s="333"/>
      <c r="S133" s="333"/>
      <c r="T133" s="333"/>
      <c r="U133" s="208"/>
      <c r="V133" s="208"/>
      <c r="W133" s="208"/>
      <c r="X133" s="208"/>
      <c r="Y133" s="208"/>
      <c r="Z133" s="208"/>
      <c r="AA133" s="208"/>
      <c r="AB133" s="208"/>
      <c r="AC133" s="208"/>
      <c r="AD133" s="208"/>
    </row>
    <row r="134" spans="2:30" x14ac:dyDescent="0.25">
      <c r="B134" s="569"/>
      <c r="C134" s="208" t="s">
        <v>480</v>
      </c>
      <c r="D134" s="208"/>
      <c r="E134" s="208"/>
      <c r="F134" s="338">
        <f>F129</f>
        <v>2017</v>
      </c>
      <c r="G134" s="338">
        <f t="shared" ref="G134:P134" si="88">G129</f>
        <v>2018</v>
      </c>
      <c r="H134" s="338">
        <f t="shared" si="88"/>
        <v>2019</v>
      </c>
      <c r="I134" s="338">
        <f t="shared" si="88"/>
        <v>2020</v>
      </c>
      <c r="J134" s="338">
        <f t="shared" si="88"/>
        <v>2021</v>
      </c>
      <c r="K134" s="338">
        <f t="shared" si="88"/>
        <v>2022</v>
      </c>
      <c r="L134" s="338">
        <f t="shared" si="88"/>
        <v>2023</v>
      </c>
      <c r="M134" s="338">
        <f t="shared" si="88"/>
        <v>2024</v>
      </c>
      <c r="N134" s="338">
        <f t="shared" si="88"/>
        <v>2025</v>
      </c>
      <c r="O134" s="338">
        <f t="shared" si="88"/>
        <v>2026</v>
      </c>
      <c r="P134" s="338">
        <f t="shared" si="88"/>
        <v>2027</v>
      </c>
      <c r="Q134" s="338"/>
      <c r="R134" s="338"/>
      <c r="S134" s="338"/>
      <c r="T134" s="338"/>
      <c r="U134" s="208"/>
      <c r="V134" s="208"/>
      <c r="W134" s="208"/>
      <c r="X134" s="208"/>
      <c r="Y134" s="208"/>
      <c r="Z134" s="208"/>
      <c r="AA134" s="208"/>
      <c r="AB134" s="208"/>
      <c r="AC134" s="208"/>
      <c r="AD134" s="208"/>
    </row>
    <row r="135" spans="2:30" x14ac:dyDescent="0.25">
      <c r="B135" s="569"/>
      <c r="C135" s="208"/>
      <c r="D135" s="208" t="str">
        <f>D130</f>
        <v>GS &gt; 50</v>
      </c>
      <c r="E135" s="208"/>
      <c r="F135" s="333">
        <f>SUM($F130:F130)</f>
        <v>150.11221917808223</v>
      </c>
      <c r="G135" s="333">
        <f>SUM($F130:G130)</f>
        <v>590.95347945205492</v>
      </c>
      <c r="H135" s="333">
        <f>SUM($F130:H130)</f>
        <v>1010.3251232876714</v>
      </c>
      <c r="I135" s="333">
        <f>SUM($F130:I130)</f>
        <v>1307.4526301369865</v>
      </c>
      <c r="J135" s="333">
        <f>SUM($F130:J130)</f>
        <v>1796.6622465753426</v>
      </c>
      <c r="K135" s="333">
        <f>SUM($F130:K130)</f>
        <v>2780.603753424658</v>
      </c>
      <c r="L135" s="333">
        <f>SUM($F130:L130)</f>
        <v>4366.5062009132425</v>
      </c>
      <c r="M135" s="333">
        <f>SUM($F130:M130)</f>
        <v>6569.1804200913248</v>
      </c>
      <c r="N135" s="333">
        <f>SUM($F130:N130)</f>
        <v>9204.3604657534252</v>
      </c>
      <c r="O135" s="333">
        <f>SUM($F130:O130)</f>
        <v>11981.110095585413</v>
      </c>
      <c r="P135" s="333">
        <f>SUM($F130:P130)</f>
        <v>15181.535766695182</v>
      </c>
      <c r="Q135" s="333"/>
      <c r="R135" s="333"/>
      <c r="S135" s="333"/>
      <c r="T135" s="333"/>
      <c r="U135" s="208"/>
      <c r="V135" s="208"/>
      <c r="W135" s="208"/>
      <c r="X135" s="208"/>
      <c r="Y135" s="208"/>
      <c r="Z135" s="208"/>
      <c r="AA135" s="208"/>
      <c r="AB135" s="208"/>
      <c r="AC135" s="208"/>
      <c r="AD135" s="208"/>
    </row>
    <row r="136" spans="2:30" x14ac:dyDescent="0.25">
      <c r="B136" s="569"/>
      <c r="C136" s="208"/>
      <c r="D136" s="208" t="str">
        <f>D131</f>
        <v>GS Co Gen</v>
      </c>
      <c r="E136" s="208"/>
      <c r="F136" s="333">
        <f>SUM($F131:F131)</f>
        <v>0</v>
      </c>
      <c r="G136" s="333">
        <f>SUM($F131:G131)</f>
        <v>0</v>
      </c>
      <c r="H136" s="333">
        <f>SUM($F131:H131)</f>
        <v>0</v>
      </c>
      <c r="I136" s="333">
        <f>SUM($F131:I131)</f>
        <v>0</v>
      </c>
      <c r="J136" s="333">
        <f>SUM($F131:J131)</f>
        <v>0</v>
      </c>
      <c r="K136" s="333">
        <f>SUM($F131:K131)</f>
        <v>0</v>
      </c>
      <c r="L136" s="333">
        <f>SUM($F131:L131)</f>
        <v>0</v>
      </c>
      <c r="M136" s="333">
        <f>SUM($F131:M131)</f>
        <v>0</v>
      </c>
      <c r="N136" s="333">
        <f>SUM($F131:N131)</f>
        <v>0</v>
      </c>
      <c r="O136" s="333">
        <f>SUM($F131:O131)</f>
        <v>0</v>
      </c>
      <c r="P136" s="333">
        <f>SUM($F131:P131)</f>
        <v>0</v>
      </c>
      <c r="Q136" s="333"/>
      <c r="R136" s="333"/>
      <c r="S136" s="333"/>
      <c r="T136" s="333"/>
      <c r="U136" s="208"/>
      <c r="V136" s="208"/>
      <c r="W136" s="208"/>
      <c r="X136" s="208"/>
      <c r="Y136" s="208"/>
      <c r="Z136" s="208"/>
      <c r="AA136" s="208"/>
      <c r="AB136" s="208"/>
      <c r="AC136" s="208"/>
      <c r="AD136" s="208"/>
    </row>
    <row r="137" spans="2:30" x14ac:dyDescent="0.25">
      <c r="B137" s="569"/>
      <c r="C137" s="208"/>
      <c r="D137" s="208" t="str">
        <f>D132</f>
        <v>Large Use</v>
      </c>
      <c r="E137" s="208"/>
      <c r="F137" s="333">
        <f>SUM($F132:F132)</f>
        <v>9.6949041095890429</v>
      </c>
      <c r="G137" s="333">
        <f>SUM($F132:G132)</f>
        <v>37.954602739726027</v>
      </c>
      <c r="H137" s="333">
        <f>SUM($F132:H132)</f>
        <v>65.561383561643837</v>
      </c>
      <c r="I137" s="333">
        <f>SUM($F132:I132)</f>
        <v>86.417849315068494</v>
      </c>
      <c r="J137" s="333">
        <f>SUM($F132:J132)</f>
        <v>120.48076712328768</v>
      </c>
      <c r="K137" s="333">
        <f>SUM($F132:K132)</f>
        <v>185.03823287671236</v>
      </c>
      <c r="L137" s="333">
        <f>SUM($F132:L132)</f>
        <v>285.05866210045667</v>
      </c>
      <c r="M137" s="333">
        <f>SUM($F132:M132)</f>
        <v>419.93656621004573</v>
      </c>
      <c r="N137" s="333">
        <f>SUM($F132:N132)</f>
        <v>573.57467123287677</v>
      </c>
      <c r="O137" s="333">
        <f>SUM($F132:O132)</f>
        <v>739.8756035935877</v>
      </c>
      <c r="P137" s="333">
        <f>SUM($F132:P132)</f>
        <v>942.11291091776923</v>
      </c>
      <c r="Q137" s="333"/>
      <c r="R137" s="333"/>
      <c r="S137" s="333"/>
      <c r="T137" s="333"/>
      <c r="U137" s="208"/>
      <c r="V137" s="208"/>
      <c r="W137" s="208"/>
      <c r="X137" s="208"/>
      <c r="Y137" s="208"/>
      <c r="Z137" s="208"/>
      <c r="AA137" s="208"/>
      <c r="AB137" s="208"/>
      <c r="AC137" s="208"/>
      <c r="AD137" s="208"/>
    </row>
  </sheetData>
  <mergeCells count="18">
    <mergeCell ref="C56:C60"/>
    <mergeCell ref="B9:B40"/>
    <mergeCell ref="B41:B72"/>
    <mergeCell ref="C24:C28"/>
    <mergeCell ref="C11:C12"/>
    <mergeCell ref="C14:C18"/>
    <mergeCell ref="C19:C23"/>
    <mergeCell ref="C43:C44"/>
    <mergeCell ref="C46:C50"/>
    <mergeCell ref="C51:C55"/>
    <mergeCell ref="B79:B91"/>
    <mergeCell ref="C80:C84"/>
    <mergeCell ref="B93:B105"/>
    <mergeCell ref="C94:C98"/>
    <mergeCell ref="B108:B137"/>
    <mergeCell ref="C109:C113"/>
    <mergeCell ref="C116:C120"/>
    <mergeCell ref="C123:C127"/>
  </mergeCells>
  <phoneticPr fontId="43" type="noConversion"/>
  <hyperlinks>
    <hyperlink ref="F3" r:id="rId1" display="https://council.cleanairpartnership.org/wp-content/uploads/2021/11/2-21-050-EV-Charging-Performance-Requirements-in-GTHA.pdf" xr:uid="{09DFD716-9293-4CFB-ABC3-B2EE71D5208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B1843-7E1B-46B0-955E-9992B1CD9DB9}">
  <sheetPr codeName="Sheet22">
    <tabColor theme="3" tint="0.499984740745262"/>
  </sheetPr>
  <dimension ref="B1:V62"/>
  <sheetViews>
    <sheetView workbookViewId="0">
      <selection activeCell="F21" sqref="F21"/>
    </sheetView>
  </sheetViews>
  <sheetFormatPr defaultColWidth="8.83203125" defaultRowHeight="15" x14ac:dyDescent="0.25"/>
  <cols>
    <col min="1" max="1" width="8.83203125" style="531"/>
    <col min="2" max="2" width="27" style="531" customWidth="1"/>
    <col min="3" max="3" width="13.83203125" style="531" bestFit="1" customWidth="1"/>
    <col min="4" max="4" width="19.1640625" style="531" customWidth="1"/>
    <col min="5" max="5" width="13.33203125" style="531" customWidth="1"/>
    <col min="6" max="6" width="14.83203125" style="531" bestFit="1" customWidth="1"/>
    <col min="7" max="7" width="13.6640625" style="531" customWidth="1"/>
    <col min="8" max="8" width="14.83203125" style="531" customWidth="1"/>
    <col min="9" max="9" width="14.6640625" style="531" bestFit="1" customWidth="1"/>
    <col min="10" max="10" width="13.1640625" style="531" customWidth="1"/>
    <col min="11" max="13" width="8.83203125" style="531"/>
    <col min="14" max="14" width="15.1640625" style="531" customWidth="1"/>
    <col min="15" max="16" width="11.6640625" style="531" customWidth="1"/>
    <col min="17" max="17" width="13.6640625" style="531" customWidth="1"/>
    <col min="18" max="19" width="8.83203125" style="531"/>
    <col min="20" max="20" width="13.6640625" style="531" customWidth="1"/>
    <col min="21" max="21" width="10.5" style="531" bestFit="1" customWidth="1"/>
    <col min="22" max="16384" width="8.83203125" style="531"/>
  </cols>
  <sheetData>
    <row r="1" spans="2:22" x14ac:dyDescent="0.25">
      <c r="E1" s="532" t="s">
        <v>24</v>
      </c>
      <c r="F1" s="532" t="s">
        <v>34</v>
      </c>
      <c r="S1" s="531" t="s">
        <v>24</v>
      </c>
      <c r="U1" s="531" t="s">
        <v>259</v>
      </c>
    </row>
    <row r="2" spans="2:22" x14ac:dyDescent="0.25">
      <c r="D2" s="531" t="s">
        <v>260</v>
      </c>
      <c r="E2" s="544">
        <f>T15</f>
        <v>1788</v>
      </c>
      <c r="F2" s="533">
        <f>V15</f>
        <v>6955</v>
      </c>
      <c r="G2" s="531" t="s">
        <v>261</v>
      </c>
      <c r="H2" s="531" t="s">
        <v>262</v>
      </c>
      <c r="N2" s="577" t="s">
        <v>263</v>
      </c>
      <c r="O2" s="577"/>
      <c r="P2" s="577"/>
      <c r="S2" s="534" t="s">
        <v>264</v>
      </c>
      <c r="T2" s="531" t="s">
        <v>265</v>
      </c>
      <c r="U2" s="534" t="s">
        <v>264</v>
      </c>
      <c r="V2" s="531" t="s">
        <v>265</v>
      </c>
    </row>
    <row r="3" spans="2:22" x14ac:dyDescent="0.25">
      <c r="D3" s="531" t="s">
        <v>266</v>
      </c>
      <c r="E3" s="531">
        <v>3.4299999999999997E-2</v>
      </c>
      <c r="F3" s="531">
        <f>E3</f>
        <v>3.4299999999999997E-2</v>
      </c>
      <c r="G3" s="531" t="s">
        <v>267</v>
      </c>
      <c r="H3" s="531" t="s">
        <v>268</v>
      </c>
      <c r="N3" s="531" t="s">
        <v>89</v>
      </c>
      <c r="O3" s="535">
        <f ca="1">Weather!AO34</f>
        <v>683.09489583333334</v>
      </c>
      <c r="P3" s="545">
        <f t="shared" ref="P3:P14" ca="1" si="0">O3/$O$15</f>
        <v>0.18859397016361373</v>
      </c>
      <c r="Q3" s="578">
        <f ca="1">SUM(P3:P9)</f>
        <v>0.63928004705543517</v>
      </c>
      <c r="S3" s="536">
        <v>419</v>
      </c>
      <c r="T3" s="533">
        <f t="shared" ref="T3:T14" si="1">MAX(S3-$S$9,0)</f>
        <v>368</v>
      </c>
      <c r="U3" s="544">
        <v>1640</v>
      </c>
      <c r="V3" s="533">
        <f t="shared" ref="V3:V14" si="2">MAX(U3-$U$9,0)</f>
        <v>1491</v>
      </c>
    </row>
    <row r="4" spans="2:22" x14ac:dyDescent="0.25">
      <c r="D4" s="531" t="s">
        <v>269</v>
      </c>
      <c r="E4" s="531">
        <v>277</v>
      </c>
      <c r="F4" s="531">
        <f>E4</f>
        <v>277</v>
      </c>
      <c r="G4" s="531" t="s">
        <v>270</v>
      </c>
      <c r="H4" s="531" t="s">
        <v>268</v>
      </c>
      <c r="N4" s="531" t="s">
        <v>90</v>
      </c>
      <c r="O4" s="535">
        <f ca="1">Weather!AO35</f>
        <v>589.85491666666678</v>
      </c>
      <c r="P4" s="545">
        <f t="shared" ca="1" si="0"/>
        <v>0.16285157630841987</v>
      </c>
      <c r="Q4" s="578"/>
      <c r="S4" s="536">
        <v>404</v>
      </c>
      <c r="T4" s="533">
        <f t="shared" si="1"/>
        <v>353</v>
      </c>
      <c r="U4" s="544">
        <v>1463</v>
      </c>
      <c r="V4" s="533">
        <f t="shared" si="2"/>
        <v>1314</v>
      </c>
    </row>
    <row r="5" spans="2:22" x14ac:dyDescent="0.25">
      <c r="D5" s="531" t="s">
        <v>271</v>
      </c>
      <c r="E5" s="531">
        <f>E3*E4</f>
        <v>9.5010999999999992</v>
      </c>
      <c r="F5" s="531">
        <f>F3*F4</f>
        <v>9.5010999999999992</v>
      </c>
      <c r="G5" s="531" t="s">
        <v>272</v>
      </c>
      <c r="N5" s="531" t="s">
        <v>91</v>
      </c>
      <c r="O5" s="535">
        <f ca="1">Weather!AO36</f>
        <v>522.20004166666672</v>
      </c>
      <c r="P5" s="545">
        <f t="shared" ca="1" si="0"/>
        <v>0.14417291020360662</v>
      </c>
      <c r="Q5" s="578"/>
      <c r="S5" s="536">
        <v>354</v>
      </c>
      <c r="T5" s="533">
        <f t="shared" si="1"/>
        <v>303</v>
      </c>
      <c r="U5" s="544">
        <v>1262</v>
      </c>
      <c r="V5" s="533">
        <f t="shared" si="2"/>
        <v>1113</v>
      </c>
    </row>
    <row r="6" spans="2:22" x14ac:dyDescent="0.25">
      <c r="D6" s="531" t="s">
        <v>273</v>
      </c>
      <c r="E6" s="537">
        <f>E2*E5</f>
        <v>16987.966799999998</v>
      </c>
      <c r="F6" s="537">
        <f>F2*F5</f>
        <v>66080.150499999989</v>
      </c>
      <c r="G6" s="531" t="s">
        <v>274</v>
      </c>
      <c r="I6" s="533"/>
      <c r="N6" s="531" t="s">
        <v>92</v>
      </c>
      <c r="O6" s="535">
        <f ca="1">Weather!AO37</f>
        <v>343.18302083333327</v>
      </c>
      <c r="P6" s="545">
        <f t="shared" ca="1" si="0"/>
        <v>9.4748546338855835E-2</v>
      </c>
      <c r="Q6" s="578"/>
      <c r="S6" s="536">
        <v>252</v>
      </c>
      <c r="T6" s="533">
        <f t="shared" si="1"/>
        <v>201</v>
      </c>
      <c r="U6" s="544">
        <v>679</v>
      </c>
      <c r="V6" s="533">
        <f t="shared" si="2"/>
        <v>530</v>
      </c>
    </row>
    <row r="7" spans="2:22" x14ac:dyDescent="0.25">
      <c r="D7" s="531" t="s">
        <v>275</v>
      </c>
      <c r="E7" s="531">
        <v>2.5499999999999998</v>
      </c>
      <c r="F7" s="531">
        <v>2.5499999999999998</v>
      </c>
      <c r="G7" s="531" t="s">
        <v>276</v>
      </c>
      <c r="H7" s="67" t="s">
        <v>277</v>
      </c>
      <c r="N7" s="531" t="s">
        <v>47</v>
      </c>
      <c r="O7" s="535">
        <f ca="1">Weather!AO38</f>
        <v>146.15645833333332</v>
      </c>
      <c r="P7" s="545">
        <f t="shared" ca="1" si="0"/>
        <v>4.0351972925386115E-2</v>
      </c>
      <c r="Q7" s="578"/>
      <c r="S7" s="536">
        <v>158</v>
      </c>
      <c r="T7" s="533">
        <f t="shared" si="1"/>
        <v>107</v>
      </c>
      <c r="U7" s="544">
        <v>331</v>
      </c>
      <c r="V7" s="533">
        <f t="shared" si="2"/>
        <v>182</v>
      </c>
    </row>
    <row r="8" spans="2:22" x14ac:dyDescent="0.25">
      <c r="D8" s="531" t="s">
        <v>278</v>
      </c>
      <c r="E8" s="538">
        <f>E6/E7</f>
        <v>6661.947764705882</v>
      </c>
      <c r="F8" s="538">
        <f>F6/F7</f>
        <v>25913.784509803918</v>
      </c>
      <c r="G8" s="531" t="s">
        <v>274</v>
      </c>
      <c r="N8" s="531" t="s">
        <v>85</v>
      </c>
      <c r="O8" s="535">
        <f ca="1">Weather!AO39</f>
        <v>29.335416666666674</v>
      </c>
      <c r="P8" s="545">
        <f t="shared" ca="1" si="0"/>
        <v>8.0991421972509779E-3</v>
      </c>
      <c r="Q8" s="578"/>
      <c r="S8" s="536">
        <v>69</v>
      </c>
      <c r="T8" s="533">
        <f t="shared" si="1"/>
        <v>18</v>
      </c>
      <c r="U8" s="544">
        <v>82</v>
      </c>
      <c r="V8" s="533">
        <f t="shared" si="2"/>
        <v>0</v>
      </c>
    </row>
    <row r="9" spans="2:22" x14ac:dyDescent="0.25">
      <c r="N9" s="531" t="s">
        <v>86</v>
      </c>
      <c r="O9" s="535">
        <f ca="1">Weather!AO40</f>
        <v>1.6731249999999993</v>
      </c>
      <c r="P9" s="545">
        <f t="shared" ca="1" si="0"/>
        <v>4.6192891830212744E-4</v>
      </c>
      <c r="Q9" s="578"/>
      <c r="S9" s="536">
        <v>51</v>
      </c>
      <c r="T9" s="533">
        <f t="shared" si="1"/>
        <v>0</v>
      </c>
      <c r="U9" s="544">
        <v>149</v>
      </c>
      <c r="V9" s="533">
        <f t="shared" si="2"/>
        <v>0</v>
      </c>
    </row>
    <row r="10" spans="2:22" x14ac:dyDescent="0.25">
      <c r="B10" s="99" t="s">
        <v>24</v>
      </c>
      <c r="C10" s="347">
        <v>2025</v>
      </c>
      <c r="D10" s="347">
        <f>C10+1</f>
        <v>2026</v>
      </c>
      <c r="E10" s="347">
        <f>D10+1</f>
        <v>2027</v>
      </c>
      <c r="N10" s="531" t="s">
        <v>87</v>
      </c>
      <c r="O10" s="535">
        <f ca="1">Weather!AO41</f>
        <v>7.1606250000000005</v>
      </c>
      <c r="P10" s="545">
        <f t="shared" ca="1" si="0"/>
        <v>1.976959139703951E-3</v>
      </c>
      <c r="Q10" s="578">
        <f ca="1">SUM(P10:P14)</f>
        <v>0.36071995294456477</v>
      </c>
      <c r="S10" s="536">
        <v>54</v>
      </c>
      <c r="T10" s="533">
        <f t="shared" si="1"/>
        <v>3</v>
      </c>
      <c r="U10" s="544">
        <v>166</v>
      </c>
      <c r="V10" s="533">
        <f t="shared" si="2"/>
        <v>17</v>
      </c>
    </row>
    <row r="11" spans="2:22" x14ac:dyDescent="0.25">
      <c r="B11" s="531" t="s">
        <v>279</v>
      </c>
      <c r="C11" s="544">
        <f>'Customer Count'!C13</f>
        <v>153673.75</v>
      </c>
      <c r="D11" s="544">
        <f>'Customer Count'!C14</f>
        <v>154970.11436582473</v>
      </c>
      <c r="E11" s="544">
        <f>'Customer Count'!C15</f>
        <v>156277.41463038934</v>
      </c>
      <c r="N11" s="531" t="s">
        <v>93</v>
      </c>
      <c r="O11" s="535">
        <f ca="1">Weather!AO42</f>
        <v>56.160416666666663</v>
      </c>
      <c r="P11" s="545">
        <f t="shared" ca="1" si="0"/>
        <v>1.5505189703238019E-2</v>
      </c>
      <c r="Q11" s="578"/>
      <c r="S11" s="536">
        <v>58</v>
      </c>
      <c r="T11" s="533">
        <f t="shared" si="1"/>
        <v>7</v>
      </c>
      <c r="U11" s="544">
        <v>193</v>
      </c>
      <c r="V11" s="533">
        <f t="shared" si="2"/>
        <v>44</v>
      </c>
    </row>
    <row r="12" spans="2:22" x14ac:dyDescent="0.25">
      <c r="B12" s="531" t="s">
        <v>280</v>
      </c>
      <c r="C12" s="544"/>
      <c r="D12" s="544">
        <f>D11-C11</f>
        <v>1296.3643658247311</v>
      </c>
      <c r="E12" s="544">
        <f>E11-D11</f>
        <v>1307.3002645646047</v>
      </c>
      <c r="N12" s="531" t="s">
        <v>94</v>
      </c>
      <c r="O12" s="535">
        <f ca="1">Weather!AO43</f>
        <v>229.16187499999995</v>
      </c>
      <c r="P12" s="545">
        <f t="shared" ca="1" si="0"/>
        <v>6.326873188484862E-2</v>
      </c>
      <c r="Q12" s="578"/>
      <c r="S12" s="536">
        <v>91</v>
      </c>
      <c r="T12" s="533">
        <f t="shared" si="1"/>
        <v>40</v>
      </c>
      <c r="U12" s="544">
        <v>407</v>
      </c>
      <c r="V12" s="533">
        <f t="shared" si="2"/>
        <v>258</v>
      </c>
    </row>
    <row r="13" spans="2:22" x14ac:dyDescent="0.25">
      <c r="B13" s="531" t="s">
        <v>281</v>
      </c>
      <c r="C13" s="539">
        <f>C14/20</f>
        <v>7.4999999999999997E-3</v>
      </c>
      <c r="D13" s="540">
        <f>D14/20</f>
        <v>7.4999999999999997E-3</v>
      </c>
      <c r="E13" s="540">
        <f>E14/20</f>
        <v>7.4999999999999997E-3</v>
      </c>
      <c r="N13" s="531" t="s">
        <v>95</v>
      </c>
      <c r="O13" s="535">
        <f ca="1">Weather!AO44</f>
        <v>422.06333333333333</v>
      </c>
      <c r="P13" s="545">
        <f t="shared" ca="1" si="0"/>
        <v>0.11652641555272737</v>
      </c>
      <c r="Q13" s="578"/>
      <c r="S13" s="536">
        <v>174</v>
      </c>
      <c r="T13" s="533">
        <f t="shared" si="1"/>
        <v>123</v>
      </c>
      <c r="U13" s="544">
        <v>919</v>
      </c>
      <c r="V13" s="533">
        <f t="shared" si="2"/>
        <v>770</v>
      </c>
    </row>
    <row r="14" spans="2:22" x14ac:dyDescent="0.25">
      <c r="B14" s="531" t="s">
        <v>282</v>
      </c>
      <c r="C14" s="547">
        <v>0.15</v>
      </c>
      <c r="D14" s="545">
        <f>C14</f>
        <v>0.15</v>
      </c>
      <c r="E14" s="545">
        <f>D14</f>
        <v>0.15</v>
      </c>
      <c r="N14" s="531" t="s">
        <v>96</v>
      </c>
      <c r="O14" s="535">
        <f ca="1">Weather!AO45</f>
        <v>591.99583333333339</v>
      </c>
      <c r="P14" s="545">
        <f t="shared" ca="1" si="0"/>
        <v>0.16344265666404681</v>
      </c>
      <c r="Q14" s="578"/>
      <c r="S14" s="536">
        <v>316</v>
      </c>
      <c r="T14" s="533">
        <f t="shared" si="1"/>
        <v>265</v>
      </c>
      <c r="U14" s="544">
        <v>1385</v>
      </c>
      <c r="V14" s="533">
        <f t="shared" si="2"/>
        <v>1236</v>
      </c>
    </row>
    <row r="15" spans="2:22" x14ac:dyDescent="0.25">
      <c r="B15" s="531" t="s">
        <v>283</v>
      </c>
      <c r="C15" s="544">
        <f>C13*(C11-C12)</f>
        <v>1152.5531249999999</v>
      </c>
      <c r="D15" s="544">
        <f>D13*(D11-D12)</f>
        <v>1152.5531249999999</v>
      </c>
      <c r="E15" s="544">
        <f>E13*(E11-E12)</f>
        <v>1162.2758577436855</v>
      </c>
      <c r="N15" s="531" t="s">
        <v>128</v>
      </c>
      <c r="O15" s="109">
        <f ca="1">SUM(O3:O14)</f>
        <v>3622.0399583333333</v>
      </c>
      <c r="P15" s="110">
        <f ca="1">SUM(P3:P14)</f>
        <v>0.99999999999999989</v>
      </c>
      <c r="Q15" s="546"/>
      <c r="S15" s="544">
        <f>SUM(S3:S14)</f>
        <v>2400</v>
      </c>
      <c r="T15" s="544">
        <f>SUM(T3:T14)</f>
        <v>1788</v>
      </c>
      <c r="U15" s="544">
        <f>SUM(U3:U14)</f>
        <v>8676</v>
      </c>
      <c r="V15" s="544">
        <f>SUM(V3:V14)</f>
        <v>6955</v>
      </c>
    </row>
    <row r="16" spans="2:22" x14ac:dyDescent="0.25">
      <c r="B16" s="531" t="s">
        <v>284</v>
      </c>
      <c r="C16" s="544">
        <f>C14*C12</f>
        <v>0</v>
      </c>
      <c r="D16" s="544">
        <f>D14*D12</f>
        <v>194.45465487370964</v>
      </c>
      <c r="E16" s="544">
        <f>E14*E12</f>
        <v>196.0950396846907</v>
      </c>
      <c r="H16" s="99"/>
      <c r="I16" s="99"/>
      <c r="Q16" s="546"/>
    </row>
    <row r="17" spans="2:17" x14ac:dyDescent="0.25">
      <c r="B17" s="531" t="s">
        <v>285</v>
      </c>
      <c r="C17" s="544">
        <f>C15+C16</f>
        <v>1152.5531249999999</v>
      </c>
      <c r="D17" s="544">
        <f>D15+D16</f>
        <v>1347.0077798737095</v>
      </c>
      <c r="E17" s="544">
        <f>E15+E16</f>
        <v>1358.3708974283761</v>
      </c>
      <c r="Q17" s="546"/>
    </row>
    <row r="18" spans="2:17" x14ac:dyDescent="0.25">
      <c r="B18" s="531" t="s">
        <v>274</v>
      </c>
      <c r="C18" s="544">
        <f>$E$8</f>
        <v>6661.947764705882</v>
      </c>
      <c r="D18" s="544">
        <f>$E$8</f>
        <v>6661.947764705882</v>
      </c>
      <c r="E18" s="544">
        <f>$E$8</f>
        <v>6661.947764705882</v>
      </c>
      <c r="H18" s="544"/>
      <c r="I18" s="544"/>
    </row>
    <row r="19" spans="2:17" x14ac:dyDescent="0.25">
      <c r="B19" s="99" t="s">
        <v>286</v>
      </c>
      <c r="C19" s="111">
        <f>C17*C18</f>
        <v>7678248.7147985287</v>
      </c>
      <c r="D19" s="111">
        <f>D17*D18</f>
        <v>8973695.4681710918</v>
      </c>
      <c r="E19" s="111">
        <f>E17*E18</f>
        <v>9049395.9637644924</v>
      </c>
      <c r="H19" s="544"/>
      <c r="I19" s="544"/>
    </row>
    <row r="20" spans="2:17" x14ac:dyDescent="0.25">
      <c r="C20" s="544"/>
      <c r="D20" s="544"/>
      <c r="E20" s="544"/>
      <c r="H20" s="540"/>
      <c r="I20" s="540"/>
    </row>
    <row r="21" spans="2:17" x14ac:dyDescent="0.25">
      <c r="B21" s="99" t="s">
        <v>34</v>
      </c>
      <c r="C21" s="544"/>
      <c r="D21" s="544"/>
      <c r="E21" s="544"/>
      <c r="H21" s="548"/>
      <c r="I21" s="548"/>
    </row>
    <row r="22" spans="2:17" x14ac:dyDescent="0.25">
      <c r="B22" s="531" t="s">
        <v>279</v>
      </c>
      <c r="C22" s="544">
        <f>'Customer Count'!G13</f>
        <v>13501.583333333334</v>
      </c>
      <c r="D22" s="544">
        <f>'Customer Count'!G14</f>
        <v>13632.13765532813</v>
      </c>
      <c r="E22" s="544">
        <f>'Customer Count'!G15</f>
        <v>13763.954379707202</v>
      </c>
      <c r="H22" s="544"/>
      <c r="I22" s="544"/>
    </row>
    <row r="23" spans="2:17" x14ac:dyDescent="0.25">
      <c r="B23" s="531" t="s">
        <v>280</v>
      </c>
      <c r="C23" s="544"/>
      <c r="D23" s="544">
        <f>D22-C22</f>
        <v>130.55432199479583</v>
      </c>
      <c r="E23" s="544">
        <f>E22-D22</f>
        <v>131.81672437907218</v>
      </c>
      <c r="H23" s="544"/>
      <c r="I23" s="544"/>
    </row>
    <row r="24" spans="2:17" x14ac:dyDescent="0.25">
      <c r="B24" s="531" t="s">
        <v>281</v>
      </c>
      <c r="C24" s="539">
        <v>7.4999999999999997E-3</v>
      </c>
      <c r="D24" s="540">
        <f>D25/20</f>
        <v>7.4999999999999997E-3</v>
      </c>
      <c r="E24" s="540">
        <f>E25/20</f>
        <v>7.4999999999999997E-3</v>
      </c>
      <c r="H24" s="544"/>
      <c r="I24" s="544"/>
    </row>
    <row r="25" spans="2:17" x14ac:dyDescent="0.25">
      <c r="B25" s="531" t="s">
        <v>282</v>
      </c>
      <c r="C25" s="547">
        <v>0.15</v>
      </c>
      <c r="D25" s="545">
        <f>C25</f>
        <v>0.15</v>
      </c>
      <c r="E25" s="545">
        <f>D25</f>
        <v>0.15</v>
      </c>
      <c r="H25" s="544"/>
      <c r="I25" s="544"/>
    </row>
    <row r="26" spans="2:17" x14ac:dyDescent="0.25">
      <c r="B26" s="531" t="s">
        <v>283</v>
      </c>
      <c r="C26" s="544">
        <f>C24*(C22-C23)</f>
        <v>101.261875</v>
      </c>
      <c r="D26" s="544">
        <f>D24*(D22-D23)</f>
        <v>101.261875</v>
      </c>
      <c r="E26" s="544">
        <f>E24*(E22-E23)</f>
        <v>102.24103241496097</v>
      </c>
      <c r="H26" s="111"/>
      <c r="I26" s="111"/>
      <c r="K26" s="544"/>
      <c r="L26" s="544"/>
    </row>
    <row r="27" spans="2:17" x14ac:dyDescent="0.25">
      <c r="B27" s="531" t="s">
        <v>284</v>
      </c>
      <c r="C27" s="544">
        <f>MAX(C25*C23,0)</f>
        <v>0</v>
      </c>
      <c r="D27" s="544">
        <f>MAX(D25*D23,0)</f>
        <v>19.583148299219374</v>
      </c>
      <c r="E27" s="544">
        <f>MAX(E25*E23,0)</f>
        <v>19.772508656860825</v>
      </c>
      <c r="H27" s="544"/>
      <c r="I27" s="544"/>
    </row>
    <row r="28" spans="2:17" x14ac:dyDescent="0.25">
      <c r="B28" s="531" t="s">
        <v>285</v>
      </c>
      <c r="C28" s="544">
        <f>C26+C27</f>
        <v>101.261875</v>
      </c>
      <c r="D28" s="544">
        <f>D26+D27</f>
        <v>120.84502329921938</v>
      </c>
      <c r="E28" s="544">
        <f>E26+E27</f>
        <v>122.01354107182179</v>
      </c>
      <c r="H28" s="544"/>
      <c r="I28" s="544"/>
    </row>
    <row r="29" spans="2:17" x14ac:dyDescent="0.25">
      <c r="B29" s="531" t="s">
        <v>274</v>
      </c>
      <c r="C29" s="544">
        <f t="shared" ref="C29:E29" si="3">$F$8</f>
        <v>25913.784509803918</v>
      </c>
      <c r="D29" s="544">
        <f t="shared" si="3"/>
        <v>25913.784509803918</v>
      </c>
      <c r="E29" s="544">
        <f t="shared" si="3"/>
        <v>25913.784509803918</v>
      </c>
      <c r="H29" s="544"/>
      <c r="I29" s="544"/>
    </row>
    <row r="30" spans="2:17" x14ac:dyDescent="0.25">
      <c r="B30" s="99" t="s">
        <v>286</v>
      </c>
      <c r="C30" s="111">
        <f>C28*C29</f>
        <v>2624078.4078087006</v>
      </c>
      <c r="D30" s="111">
        <f>D28*D29</f>
        <v>3131551.8928582044</v>
      </c>
      <c r="E30" s="111">
        <f>E28*E29</f>
        <v>3161832.6106132995</v>
      </c>
      <c r="H30" s="544"/>
      <c r="I30" s="544"/>
    </row>
    <row r="31" spans="2:17" x14ac:dyDescent="0.25">
      <c r="C31" s="544"/>
      <c r="D31" s="548"/>
      <c r="E31" s="548"/>
      <c r="F31" s="548"/>
      <c r="H31" s="540"/>
      <c r="I31" s="540"/>
    </row>
    <row r="32" spans="2:17" x14ac:dyDescent="0.25">
      <c r="H32" s="548"/>
      <c r="I32" s="548"/>
    </row>
    <row r="33" spans="2:13" x14ac:dyDescent="0.25">
      <c r="H33" s="544"/>
      <c r="I33" s="544"/>
    </row>
    <row r="34" spans="2:13" x14ac:dyDescent="0.25">
      <c r="C34" s="531">
        <f>C10</f>
        <v>2025</v>
      </c>
      <c r="D34" s="531">
        <f>D10</f>
        <v>2026</v>
      </c>
      <c r="E34" s="531">
        <f>E10</f>
        <v>2027</v>
      </c>
      <c r="H34" s="544"/>
      <c r="I34" s="544"/>
    </row>
    <row r="35" spans="2:13" x14ac:dyDescent="0.25">
      <c r="B35" s="531" t="s">
        <v>97</v>
      </c>
      <c r="C35" s="533">
        <f>C19</f>
        <v>7678248.7147985287</v>
      </c>
      <c r="D35" s="533">
        <f>D19</f>
        <v>8973695.4681710918</v>
      </c>
      <c r="E35" s="533">
        <f>E19</f>
        <v>9049395.9637644924</v>
      </c>
      <c r="H35" s="544"/>
      <c r="I35" s="544"/>
    </row>
    <row r="36" spans="2:13" x14ac:dyDescent="0.25">
      <c r="B36" s="531" t="s">
        <v>287</v>
      </c>
      <c r="C36" s="544"/>
      <c r="D36" s="544">
        <f ca="1">C35*$Q$3</f>
        <v>4908551.1996997381</v>
      </c>
      <c r="E36" s="544">
        <f ca="1">D35*$Q$3</f>
        <v>5736704.4611535612</v>
      </c>
      <c r="H36" s="544"/>
      <c r="I36" s="544"/>
    </row>
    <row r="37" spans="2:13" x14ac:dyDescent="0.25">
      <c r="B37" s="531" t="s">
        <v>288</v>
      </c>
      <c r="C37" s="544">
        <f ca="1">C35*$Q$10</f>
        <v>2769697.5150987902</v>
      </c>
      <c r="D37" s="544">
        <f ca="1">D35*$Q$10</f>
        <v>3236991.0070175305</v>
      </c>
      <c r="E37" s="544">
        <f ca="1">E35*$Q$10</f>
        <v>3264297.6862258622</v>
      </c>
      <c r="H37" s="111"/>
      <c r="I37" s="111"/>
      <c r="K37" s="544"/>
      <c r="L37" s="544"/>
    </row>
    <row r="38" spans="2:13" x14ac:dyDescent="0.25">
      <c r="B38" s="99" t="s">
        <v>289</v>
      </c>
      <c r="C38" s="104">
        <f ca="1">C36+C37</f>
        <v>2769697.5150987902</v>
      </c>
      <c r="D38" s="104">
        <f ca="1">D36+D37</f>
        <v>8145542.2067172686</v>
      </c>
      <c r="E38" s="104">
        <f ca="1">E36+E37</f>
        <v>9001002.1473794244</v>
      </c>
    </row>
    <row r="39" spans="2:13" x14ac:dyDescent="0.25">
      <c r="B39" s="531" t="s">
        <v>79</v>
      </c>
      <c r="C39" s="533">
        <f>C30</f>
        <v>2624078.4078087006</v>
      </c>
      <c r="D39" s="533">
        <f>D30</f>
        <v>3131551.8928582044</v>
      </c>
      <c r="E39" s="533">
        <f>E30</f>
        <v>3161832.6106132995</v>
      </c>
    </row>
    <row r="40" spans="2:13" x14ac:dyDescent="0.25">
      <c r="B40" s="531" t="s">
        <v>287</v>
      </c>
      <c r="C40" s="544"/>
      <c r="D40" s="544">
        <f ca="1">C39*$Q$3</f>
        <v>1677520.9680210976</v>
      </c>
      <c r="E40" s="544">
        <f ca="1">D39*$Q$3</f>
        <v>2001938.6414229299</v>
      </c>
      <c r="K40" s="541"/>
      <c r="L40" s="112"/>
    </row>
    <row r="41" spans="2:13" x14ac:dyDescent="0.25">
      <c r="B41" s="531" t="s">
        <v>288</v>
      </c>
      <c r="C41" s="544">
        <f ca="1">C39*$Q$10</f>
        <v>946557.43978760287</v>
      </c>
      <c r="D41" s="544">
        <f ca="1">D39*$Q$10</f>
        <v>1129613.2514352743</v>
      </c>
      <c r="E41" s="544">
        <f ca="1">E39*$Q$10</f>
        <v>1140536.1105190199</v>
      </c>
      <c r="K41" s="541"/>
      <c r="L41" s="113"/>
      <c r="M41" s="542"/>
    </row>
    <row r="42" spans="2:13" x14ac:dyDescent="0.25">
      <c r="B42" s="99" t="s">
        <v>289</v>
      </c>
      <c r="C42" s="104">
        <f ca="1">C40+C41</f>
        <v>946557.43978760287</v>
      </c>
      <c r="D42" s="104">
        <f ca="1">D40+D41</f>
        <v>2807134.2194563719</v>
      </c>
      <c r="E42" s="104">
        <f ca="1">E40+E41</f>
        <v>3142474.7519419501</v>
      </c>
      <c r="H42" s="533"/>
      <c r="I42" s="533"/>
      <c r="J42" s="533"/>
      <c r="K42" s="541"/>
      <c r="L42" s="113"/>
      <c r="M42" s="542"/>
    </row>
    <row r="43" spans="2:13" x14ac:dyDescent="0.25">
      <c r="H43" s="544"/>
      <c r="I43" s="544"/>
      <c r="J43" s="544"/>
      <c r="K43" s="541"/>
      <c r="L43" s="113"/>
      <c r="M43" s="542"/>
    </row>
    <row r="44" spans="2:13" x14ac:dyDescent="0.25">
      <c r="H44" s="544"/>
      <c r="I44" s="544"/>
      <c r="J44" s="544"/>
      <c r="K44" s="541"/>
      <c r="L44" s="113"/>
      <c r="M44" s="542"/>
    </row>
    <row r="45" spans="2:13" x14ac:dyDescent="0.25">
      <c r="H45" s="104"/>
      <c r="I45" s="104"/>
      <c r="J45" s="104"/>
      <c r="L45" s="113"/>
    </row>
    <row r="46" spans="2:13" ht="30" x14ac:dyDescent="0.25">
      <c r="C46" s="543" t="s">
        <v>257</v>
      </c>
      <c r="D46" s="543" t="s">
        <v>258</v>
      </c>
      <c r="H46" s="533"/>
      <c r="I46" s="533"/>
      <c r="J46" s="533"/>
    </row>
    <row r="47" spans="2:13" x14ac:dyDescent="0.25">
      <c r="B47" s="531" t="s">
        <v>24</v>
      </c>
      <c r="C47" s="538">
        <f ca="1">D38</f>
        <v>8145542.2067172686</v>
      </c>
      <c r="D47" s="538">
        <f ca="1">E38</f>
        <v>9001002.1473794244</v>
      </c>
      <c r="H47" s="544"/>
      <c r="I47" s="544"/>
      <c r="J47" s="544"/>
    </row>
    <row r="48" spans="2:13" x14ac:dyDescent="0.25">
      <c r="B48" s="531" t="s">
        <v>111</v>
      </c>
      <c r="C48" s="538">
        <f ca="1">D42</f>
        <v>2807134.2194563719</v>
      </c>
      <c r="D48" s="538">
        <f ca="1">E42</f>
        <v>3142474.7519419501</v>
      </c>
      <c r="H48" s="544"/>
      <c r="I48" s="544"/>
      <c r="J48" s="544"/>
    </row>
    <row r="49" spans="2:10" x14ac:dyDescent="0.25">
      <c r="B49" s="531" t="s">
        <v>128</v>
      </c>
      <c r="C49" s="108">
        <f ca="1">SUM(C47:C48)</f>
        <v>10952676.42617364</v>
      </c>
      <c r="D49" s="108">
        <f ca="1">SUM(D47:D48)</f>
        <v>12143476.899321374</v>
      </c>
      <c r="H49" s="104"/>
      <c r="I49" s="104"/>
      <c r="J49" s="104"/>
    </row>
    <row r="52" spans="2:10" x14ac:dyDescent="0.25">
      <c r="C52" s="531">
        <v>2026</v>
      </c>
      <c r="D52" s="531">
        <v>2027</v>
      </c>
    </row>
    <row r="53" spans="2:10" x14ac:dyDescent="0.25">
      <c r="B53" s="531" t="str">
        <f>B47</f>
        <v>Residential</v>
      </c>
      <c r="C53" s="538">
        <f ca="1">C47</f>
        <v>8145542.2067172686</v>
      </c>
      <c r="D53" s="538">
        <f ca="1">SUM($C47:D47)</f>
        <v>17146544.354096692</v>
      </c>
    </row>
    <row r="54" spans="2:10" x14ac:dyDescent="0.25">
      <c r="B54" s="531" t="str">
        <f>B48</f>
        <v>GS &lt; 50</v>
      </c>
      <c r="C54" s="538">
        <f ca="1">C48</f>
        <v>2807134.2194563719</v>
      </c>
      <c r="D54" s="538">
        <f ca="1">SUM($C48:D48)</f>
        <v>5949608.9713983219</v>
      </c>
    </row>
    <row r="55" spans="2:10" x14ac:dyDescent="0.25">
      <c r="B55" s="99" t="s">
        <v>128</v>
      </c>
      <c r="C55" s="108">
        <f ca="1">C53+C54</f>
        <v>10952676.42617364</v>
      </c>
      <c r="D55" s="108">
        <f ca="1">D53+D54</f>
        <v>23096153.325495012</v>
      </c>
    </row>
    <row r="60" spans="2:10" x14ac:dyDescent="0.25">
      <c r="G60" s="538"/>
    </row>
    <row r="61" spans="2:10" x14ac:dyDescent="0.25">
      <c r="G61" s="538"/>
    </row>
    <row r="62" spans="2:10" x14ac:dyDescent="0.25">
      <c r="G62" s="108"/>
    </row>
  </sheetData>
  <mergeCells count="3">
    <mergeCell ref="N2:P2"/>
    <mergeCell ref="Q3:Q9"/>
    <mergeCell ref="Q10:Q14"/>
  </mergeCells>
  <hyperlinks>
    <hyperlink ref="H7" r:id="rId1" xr:uid="{25F5FA15-88AA-4E3A-ACAC-BA92961BEF1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D47B5-B413-415D-8701-E27FE0BD4C30}">
  <sheetPr codeName="Sheet23">
    <tabColor theme="3" tint="0.499984740745262"/>
  </sheetPr>
  <dimension ref="A2:K47"/>
  <sheetViews>
    <sheetView workbookViewId="0">
      <selection activeCell="F32" sqref="F32"/>
    </sheetView>
  </sheetViews>
  <sheetFormatPr defaultColWidth="10.1640625" defaultRowHeight="14.25" x14ac:dyDescent="0.2"/>
  <cols>
    <col min="1" max="1" width="10.1640625" style="114"/>
    <col min="2" max="2" width="11.6640625" style="114" customWidth="1"/>
    <col min="3" max="4" width="13.33203125" style="114" customWidth="1"/>
    <col min="5" max="5" width="15.6640625" style="114" bestFit="1" customWidth="1"/>
    <col min="6" max="6" width="15.6640625" style="114" customWidth="1"/>
    <col min="7" max="7" width="13.33203125" style="114" customWidth="1"/>
    <col min="8" max="8" width="14.6640625" style="114" bestFit="1" customWidth="1"/>
    <col min="9" max="9" width="14" style="114" customWidth="1"/>
    <col min="10" max="11" width="10.1640625" style="114"/>
    <col min="12" max="13" width="10.83203125" style="114" bestFit="1" customWidth="1"/>
    <col min="14" max="16384" width="10.1640625" style="114"/>
  </cols>
  <sheetData>
    <row r="2" spans="1:11" x14ac:dyDescent="0.2">
      <c r="E2" s="579"/>
      <c r="F2" s="580"/>
      <c r="H2" s="579"/>
      <c r="I2" s="580"/>
    </row>
    <row r="3" spans="1:11" x14ac:dyDescent="0.2">
      <c r="E3" s="130">
        <v>2026</v>
      </c>
      <c r="F3" s="131">
        <v>2027</v>
      </c>
      <c r="H3" s="130">
        <v>2026</v>
      </c>
      <c r="I3" s="131">
        <v>2027</v>
      </c>
    </row>
    <row r="4" spans="1:11" x14ac:dyDescent="0.2">
      <c r="B4" s="115"/>
      <c r="C4" s="116" t="s">
        <v>24</v>
      </c>
      <c r="D4" s="116"/>
      <c r="E4" s="121">
        <f>'EV Forecast'!O109</f>
        <v>2794679.8340908415</v>
      </c>
      <c r="F4" s="122">
        <f>'EV Forecast'!P109+E4</f>
        <v>6240534.6886488851</v>
      </c>
      <c r="G4" s="119"/>
      <c r="H4" s="117"/>
      <c r="I4" s="118"/>
    </row>
    <row r="5" spans="1:11" x14ac:dyDescent="0.2">
      <c r="B5" s="120" t="s">
        <v>244</v>
      </c>
      <c r="C5" s="114" t="s">
        <v>34</v>
      </c>
      <c r="E5" s="121">
        <f>'EV Forecast'!O110</f>
        <v>525046.54804862698</v>
      </c>
      <c r="F5" s="122">
        <f>'EV Forecast'!P110+E5</f>
        <v>1135597.12775164</v>
      </c>
      <c r="G5" s="119"/>
      <c r="H5" s="121"/>
      <c r="I5" s="122"/>
    </row>
    <row r="6" spans="1:11" x14ac:dyDescent="0.2">
      <c r="B6" s="120"/>
      <c r="C6" s="114" t="s">
        <v>112</v>
      </c>
      <c r="E6" s="121">
        <f>'EV Forecast'!O111</f>
        <v>304054.08446660248</v>
      </c>
      <c r="F6" s="122">
        <f>'EV Forecast'!P111+E6</f>
        <v>654500.69545312226</v>
      </c>
      <c r="G6" s="119"/>
      <c r="H6" s="121">
        <f>'EV Forecast'!O130</f>
        <v>2776.7496298319866</v>
      </c>
      <c r="I6" s="122">
        <f>'EV Forecast'!P130</f>
        <v>3200.4256711097696</v>
      </c>
    </row>
    <row r="7" spans="1:11" x14ac:dyDescent="0.2">
      <c r="B7" s="120"/>
      <c r="C7" s="114" t="s">
        <v>481</v>
      </c>
      <c r="E7" s="121">
        <f>'EV Forecast'!O112</f>
        <v>0</v>
      </c>
      <c r="F7" s="122">
        <f>'EV Forecast'!P112+E7</f>
        <v>0</v>
      </c>
      <c r="G7" s="119"/>
      <c r="H7" s="121">
        <f>'EV Forecast'!O131</f>
        <v>0</v>
      </c>
      <c r="I7" s="122">
        <f>'EV Forecast'!P131</f>
        <v>0</v>
      </c>
    </row>
    <row r="8" spans="1:11" x14ac:dyDescent="0.2">
      <c r="B8" s="120"/>
      <c r="C8" s="114" t="s">
        <v>444</v>
      </c>
      <c r="E8" s="121">
        <f>'EV Forecast'!O113</f>
        <v>18209.952093497843</v>
      </c>
      <c r="F8" s="122">
        <f>'EV Forecast'!P113+E8</f>
        <v>40354.937245495719</v>
      </c>
      <c r="G8" s="119"/>
      <c r="H8" s="121">
        <f>'EV Forecast'!O132</f>
        <v>166.30093236071093</v>
      </c>
      <c r="I8" s="122">
        <f>'EV Forecast'!P132</f>
        <v>202.2373073241815</v>
      </c>
    </row>
    <row r="9" spans="1:11" ht="15" x14ac:dyDescent="0.25">
      <c r="B9" s="123"/>
      <c r="C9" s="124" t="s">
        <v>128</v>
      </c>
      <c r="D9" s="124"/>
      <c r="E9" s="348">
        <f>SUM(E4:E8)</f>
        <v>3641990.4186995691</v>
      </c>
      <c r="F9" s="349">
        <f>SUM(F4:F8)</f>
        <v>8070987.449099143</v>
      </c>
      <c r="G9" s="127"/>
      <c r="H9" s="125">
        <f>SUM(H4:H6)</f>
        <v>2776.7496298319866</v>
      </c>
      <c r="I9" s="126">
        <f>SUM(I4:I6)</f>
        <v>3200.4256711097696</v>
      </c>
    </row>
    <row r="10" spans="1:11" x14ac:dyDescent="0.2">
      <c r="B10" s="115"/>
      <c r="C10" s="116" t="s">
        <v>24</v>
      </c>
      <c r="D10" s="116"/>
      <c r="E10" s="121">
        <f ca="1">Heating!C53</f>
        <v>8145542.2067172686</v>
      </c>
      <c r="F10" s="122">
        <f ca="1">Heating!D53</f>
        <v>17146544.354096692</v>
      </c>
      <c r="G10" s="119"/>
      <c r="H10" s="121"/>
      <c r="I10" s="118"/>
    </row>
    <row r="11" spans="1:11" x14ac:dyDescent="0.2">
      <c r="A11" s="114" t="s">
        <v>374</v>
      </c>
      <c r="B11" s="120" t="s">
        <v>290</v>
      </c>
      <c r="C11" s="114" t="s">
        <v>34</v>
      </c>
      <c r="E11" s="121">
        <f ca="1">Heating!C54</f>
        <v>2807134.2194563719</v>
      </c>
      <c r="F11" s="122">
        <f ca="1">Heating!D54</f>
        <v>5949608.9713983219</v>
      </c>
      <c r="G11" s="119"/>
      <c r="H11" s="121"/>
      <c r="I11" s="122"/>
    </row>
    <row r="12" spans="1:11" x14ac:dyDescent="0.2">
      <c r="B12" s="120"/>
      <c r="C12" s="114" t="s">
        <v>112</v>
      </c>
      <c r="E12" s="121"/>
      <c r="F12" s="122"/>
      <c r="G12" s="119"/>
      <c r="H12" s="121">
        <f>Heating!L45</f>
        <v>0</v>
      </c>
      <c r="I12" s="122"/>
      <c r="K12" s="114" t="s">
        <v>532</v>
      </c>
    </row>
    <row r="13" spans="1:11" x14ac:dyDescent="0.2">
      <c r="B13" s="120"/>
      <c r="C13" s="114" t="s">
        <v>481</v>
      </c>
      <c r="E13" s="121"/>
      <c r="F13" s="122"/>
      <c r="G13" s="119"/>
      <c r="H13" s="121"/>
      <c r="I13" s="122"/>
    </row>
    <row r="14" spans="1:11" x14ac:dyDescent="0.2">
      <c r="B14" s="120"/>
      <c r="C14" s="114" t="s">
        <v>444</v>
      </c>
      <c r="E14" s="121"/>
      <c r="F14" s="122"/>
      <c r="G14" s="119"/>
      <c r="H14" s="121"/>
      <c r="I14" s="122"/>
    </row>
    <row r="15" spans="1:11" ht="15" x14ac:dyDescent="0.25">
      <c r="B15" s="123"/>
      <c r="C15" s="124" t="s">
        <v>128</v>
      </c>
      <c r="D15" s="124"/>
      <c r="E15" s="125">
        <f ca="1">SUM(E10:E14)</f>
        <v>10952676.42617364</v>
      </c>
      <c r="F15" s="126">
        <f ca="1">SUM(F10:F14)</f>
        <v>23096153.325495012</v>
      </c>
      <c r="G15" s="127"/>
      <c r="H15" s="125">
        <f>SUM(H10:H14)</f>
        <v>0</v>
      </c>
      <c r="I15" s="126">
        <f>SUM(I10:I14)</f>
        <v>0</v>
      </c>
      <c r="K15" s="114" t="s">
        <v>291</v>
      </c>
    </row>
    <row r="16" spans="1:11" x14ac:dyDescent="0.2">
      <c r="B16" s="115"/>
      <c r="C16" s="116" t="s">
        <v>24</v>
      </c>
      <c r="D16" s="116"/>
      <c r="E16" s="117"/>
      <c r="F16" s="118"/>
      <c r="G16" s="119"/>
      <c r="H16" s="117"/>
      <c r="I16" s="118"/>
    </row>
    <row r="17" spans="2:10" x14ac:dyDescent="0.2">
      <c r="B17" s="120" t="s">
        <v>292</v>
      </c>
      <c r="C17" s="114" t="s">
        <v>34</v>
      </c>
      <c r="E17" s="121"/>
      <c r="F17" s="122"/>
      <c r="G17" s="119"/>
      <c r="H17" s="121"/>
      <c r="I17" s="122"/>
    </row>
    <row r="18" spans="2:10" x14ac:dyDescent="0.2">
      <c r="B18" s="120" t="s">
        <v>293</v>
      </c>
      <c r="C18" s="114" t="s">
        <v>112</v>
      </c>
      <c r="E18" s="121"/>
      <c r="F18" s="122"/>
      <c r="G18" s="119"/>
      <c r="H18" s="121"/>
      <c r="I18" s="122"/>
      <c r="J18" s="128"/>
    </row>
    <row r="19" spans="2:10" x14ac:dyDescent="0.2">
      <c r="B19" s="120"/>
      <c r="C19" s="114" t="s">
        <v>481</v>
      </c>
      <c r="E19" s="121"/>
      <c r="F19" s="122"/>
      <c r="G19" s="119"/>
      <c r="H19" s="121"/>
      <c r="I19" s="122"/>
      <c r="J19" s="128"/>
    </row>
    <row r="20" spans="2:10" x14ac:dyDescent="0.2">
      <c r="B20" s="120"/>
      <c r="C20" s="114" t="s">
        <v>444</v>
      </c>
      <c r="E20" s="121"/>
      <c r="F20" s="122"/>
      <c r="G20" s="119"/>
      <c r="H20" s="121"/>
      <c r="I20" s="122"/>
      <c r="J20" s="128"/>
    </row>
    <row r="21" spans="2:10" ht="15" x14ac:dyDescent="0.25">
      <c r="B21" s="123"/>
      <c r="C21" s="124" t="s">
        <v>128</v>
      </c>
      <c r="D21" s="124"/>
      <c r="E21" s="125">
        <f>SUM(E16:E20)</f>
        <v>0</v>
      </c>
      <c r="F21" s="126">
        <f>SUM(F16:F20)</f>
        <v>0</v>
      </c>
      <c r="G21" s="127"/>
      <c r="H21" s="125">
        <f>SUM(H16:H20)</f>
        <v>0</v>
      </c>
      <c r="I21" s="126">
        <f>SUM(I16:I20)</f>
        <v>0</v>
      </c>
    </row>
    <row r="22" spans="2:10" x14ac:dyDescent="0.2">
      <c r="B22" s="115"/>
      <c r="C22" s="116" t="s">
        <v>24</v>
      </c>
      <c r="D22" s="116"/>
      <c r="E22" s="117">
        <f t="shared" ref="E22:F24" ca="1" si="0">E4+E10+E16</f>
        <v>10940222.04080811</v>
      </c>
      <c r="F22" s="118">
        <f t="shared" ca="1" si="0"/>
        <v>23387079.042745575</v>
      </c>
      <c r="G22" s="119"/>
      <c r="H22" s="117"/>
      <c r="I22" s="118"/>
    </row>
    <row r="23" spans="2:10" ht="15" x14ac:dyDescent="0.25">
      <c r="B23" s="129" t="s">
        <v>128</v>
      </c>
      <c r="C23" s="114" t="s">
        <v>34</v>
      </c>
      <c r="E23" s="121">
        <f t="shared" ca="1" si="0"/>
        <v>3332180.7675049989</v>
      </c>
      <c r="F23" s="122">
        <f t="shared" ca="1" si="0"/>
        <v>7085206.099149962</v>
      </c>
      <c r="G23" s="119"/>
      <c r="H23" s="121"/>
      <c r="I23" s="122"/>
    </row>
    <row r="24" spans="2:10" x14ac:dyDescent="0.2">
      <c r="B24" s="120"/>
      <c r="C24" s="114" t="s">
        <v>112</v>
      </c>
      <c r="E24" s="121">
        <f t="shared" si="0"/>
        <v>304054.08446660248</v>
      </c>
      <c r="F24" s="122">
        <f t="shared" si="0"/>
        <v>654500.69545312226</v>
      </c>
      <c r="G24" s="119"/>
      <c r="H24" s="121">
        <f t="shared" ref="H24:I26" si="1">H6+H12+H18</f>
        <v>2776.7496298319866</v>
      </c>
      <c r="I24" s="122">
        <f t="shared" si="1"/>
        <v>3200.4256711097696</v>
      </c>
    </row>
    <row r="25" spans="2:10" x14ac:dyDescent="0.2">
      <c r="B25" s="120"/>
      <c r="C25" s="114" t="s">
        <v>481</v>
      </c>
      <c r="E25" s="121">
        <f>E7+E13+E19</f>
        <v>0</v>
      </c>
      <c r="F25" s="122">
        <f>F7+F13+F19</f>
        <v>0</v>
      </c>
      <c r="G25" s="119"/>
      <c r="H25" s="121">
        <f t="shared" si="1"/>
        <v>0</v>
      </c>
      <c r="I25" s="122">
        <f t="shared" si="1"/>
        <v>0</v>
      </c>
    </row>
    <row r="26" spans="2:10" x14ac:dyDescent="0.2">
      <c r="B26" s="120"/>
      <c r="C26" s="114" t="s">
        <v>444</v>
      </c>
      <c r="E26" s="121">
        <f>E8+E14+E20</f>
        <v>18209.952093497843</v>
      </c>
      <c r="F26" s="122">
        <f>F8+F14+F20</f>
        <v>40354.937245495719</v>
      </c>
      <c r="G26" s="119"/>
      <c r="H26" s="121">
        <f t="shared" si="1"/>
        <v>166.30093236071093</v>
      </c>
      <c r="I26" s="122">
        <f t="shared" si="1"/>
        <v>202.2373073241815</v>
      </c>
    </row>
    <row r="27" spans="2:10" ht="15" x14ac:dyDescent="0.25">
      <c r="B27" s="123"/>
      <c r="C27" s="124" t="s">
        <v>128</v>
      </c>
      <c r="D27" s="124"/>
      <c r="E27" s="125">
        <f ca="1">SUM(E22:E26)</f>
        <v>14594666.844873209</v>
      </c>
      <c r="F27" s="126">
        <f ca="1">SUM(F22:F26)</f>
        <v>31167140.774594154</v>
      </c>
      <c r="G27" s="127"/>
      <c r="H27" s="125">
        <f>SUM(H22:H26)</f>
        <v>2943.0505621926977</v>
      </c>
      <c r="I27" s="126">
        <f>SUM(I22:I26)</f>
        <v>3402.6629784339511</v>
      </c>
    </row>
    <row r="45" spans="5:6" x14ac:dyDescent="0.2">
      <c r="E45" s="128"/>
      <c r="F45" s="190"/>
    </row>
    <row r="46" spans="5:6" x14ac:dyDescent="0.2">
      <c r="E46" s="128"/>
    </row>
    <row r="47" spans="5:6" x14ac:dyDescent="0.2">
      <c r="E47" s="128"/>
    </row>
  </sheetData>
  <mergeCells count="2">
    <mergeCell ref="E2:F2"/>
    <mergeCell ref="H2:I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8">
    <tabColor rgb="FFFF0000"/>
  </sheetPr>
  <dimension ref="B1:AC17"/>
  <sheetViews>
    <sheetView topLeftCell="G1" workbookViewId="0">
      <selection activeCell="O13" sqref="O13"/>
    </sheetView>
  </sheetViews>
  <sheetFormatPr defaultColWidth="8.83203125" defaultRowHeight="12.75" x14ac:dyDescent="0.2"/>
  <cols>
    <col min="1" max="1" width="14.83203125" style="1" customWidth="1"/>
    <col min="2" max="2" width="8.83203125" style="1"/>
    <col min="3" max="3" width="21.1640625" style="1" customWidth="1"/>
    <col min="4" max="4" width="15.83203125" style="1" customWidth="1"/>
    <col min="5" max="5" width="8.83203125" style="1"/>
    <col min="6" max="7" width="22.5" style="1" customWidth="1"/>
    <col min="8" max="8" width="8.83203125" style="1"/>
    <col min="9" max="9" width="20" style="1" customWidth="1"/>
    <col min="10" max="10" width="16.83203125" style="1" customWidth="1"/>
    <col min="11" max="11" width="8.83203125" style="1"/>
    <col min="12" max="13" width="22.33203125" style="1" customWidth="1"/>
    <col min="14" max="14" width="8.83203125" style="1"/>
    <col min="15" max="15" width="19.33203125" style="1" customWidth="1"/>
    <col min="16" max="16" width="17.6640625" style="1" customWidth="1"/>
    <col min="17" max="17" width="8.83203125" style="1"/>
    <col min="18" max="18" width="13.33203125" style="1" customWidth="1"/>
    <col min="19" max="19" width="8.83203125" style="1"/>
    <col min="20" max="20" width="7.6640625" style="1" customWidth="1"/>
    <col min="21" max="21" width="17.5" style="1" customWidth="1"/>
    <col min="22" max="22" width="12.5" style="1" customWidth="1"/>
    <col min="23" max="23" width="10.1640625" style="1" bestFit="1" customWidth="1"/>
    <col min="24" max="25" width="8.83203125" style="1"/>
    <col min="26" max="26" width="5.5" style="1" bestFit="1" customWidth="1"/>
    <col min="27" max="27" width="18" style="1" bestFit="1" customWidth="1"/>
    <col min="28" max="28" width="14.83203125" style="1" customWidth="1"/>
    <col min="29" max="29" width="9.33203125" style="1" bestFit="1" customWidth="1"/>
    <col min="30" max="16384" width="8.83203125" style="1"/>
  </cols>
  <sheetData>
    <row r="1" spans="2:29" x14ac:dyDescent="0.2">
      <c r="D1" s="5"/>
    </row>
    <row r="2" spans="2:29" ht="15" x14ac:dyDescent="0.25">
      <c r="B2" s="350"/>
      <c r="C2" s="581" t="s">
        <v>77</v>
      </c>
      <c r="D2" s="581"/>
      <c r="E2" s="350" t="s">
        <v>78</v>
      </c>
      <c r="F2" s="183"/>
      <c r="G2" s="183"/>
      <c r="H2" s="350"/>
      <c r="I2" s="581" t="s">
        <v>79</v>
      </c>
      <c r="J2" s="581"/>
      <c r="K2" s="350" t="s">
        <v>78</v>
      </c>
      <c r="N2" s="350"/>
      <c r="O2" s="581" t="s">
        <v>80</v>
      </c>
      <c r="P2" s="581"/>
      <c r="Q2" s="350" t="s">
        <v>78</v>
      </c>
      <c r="T2" s="350"/>
      <c r="U2" s="581" t="s">
        <v>472</v>
      </c>
      <c r="V2" s="581"/>
      <c r="W2" s="350" t="s">
        <v>78</v>
      </c>
      <c r="Z2" s="350"/>
      <c r="AA2" s="581" t="s">
        <v>444</v>
      </c>
      <c r="AB2" s="581"/>
      <c r="AC2" s="350" t="s">
        <v>78</v>
      </c>
    </row>
    <row r="3" spans="2:29" ht="15" x14ac:dyDescent="0.25">
      <c r="B3" s="350" t="s">
        <v>0</v>
      </c>
      <c r="C3" s="350" t="s">
        <v>81</v>
      </c>
      <c r="D3" s="350" t="s">
        <v>75</v>
      </c>
      <c r="E3" s="350" t="s">
        <v>82</v>
      </c>
      <c r="F3" s="183"/>
      <c r="G3" s="183"/>
      <c r="H3" s="350" t="s">
        <v>0</v>
      </c>
      <c r="I3" s="350" t="s">
        <v>81</v>
      </c>
      <c r="J3" s="350" t="s">
        <v>75</v>
      </c>
      <c r="K3" s="350" t="s">
        <v>82</v>
      </c>
      <c r="N3" s="350" t="s">
        <v>0</v>
      </c>
      <c r="O3" s="350" t="s">
        <v>81</v>
      </c>
      <c r="P3" s="350" t="s">
        <v>75</v>
      </c>
      <c r="Q3" s="350" t="s">
        <v>82</v>
      </c>
      <c r="T3" s="350" t="s">
        <v>0</v>
      </c>
      <c r="U3" s="350" t="s">
        <v>81</v>
      </c>
      <c r="V3" s="350" t="s">
        <v>75</v>
      </c>
      <c r="W3" s="350" t="s">
        <v>82</v>
      </c>
      <c r="Z3" s="350" t="s">
        <v>0</v>
      </c>
      <c r="AA3" s="350" t="s">
        <v>81</v>
      </c>
      <c r="AB3" s="350" t="s">
        <v>75</v>
      </c>
      <c r="AC3" s="350" t="s">
        <v>82</v>
      </c>
    </row>
    <row r="4" spans="2:29" ht="15" x14ac:dyDescent="0.25">
      <c r="B4" s="350"/>
      <c r="C4" s="350"/>
      <c r="D4" s="350"/>
      <c r="E4" s="350"/>
      <c r="F4" s="183"/>
      <c r="G4" s="183"/>
      <c r="H4" s="350"/>
      <c r="I4" s="350"/>
      <c r="J4" s="350"/>
      <c r="K4" s="350"/>
      <c r="N4" s="350"/>
      <c r="O4" s="350"/>
      <c r="P4" s="350"/>
      <c r="Q4" s="350"/>
      <c r="T4" s="350"/>
      <c r="U4" s="350"/>
      <c r="V4" s="350"/>
      <c r="W4" s="350"/>
      <c r="Z4" s="350"/>
      <c r="AA4" s="350"/>
      <c r="AB4" s="350"/>
      <c r="AC4" s="350"/>
    </row>
    <row r="5" spans="2:29" ht="14.25" x14ac:dyDescent="0.2">
      <c r="B5" s="183">
        <v>2017</v>
      </c>
      <c r="C5" s="184">
        <f>SUMIF('Res Predicted Monthly'!$B:$B,B5,'Res Predicted Monthly'!D:D)</f>
        <v>1061607911.5734068</v>
      </c>
      <c r="D5" s="184">
        <f>SUMIF('Res Predicted Monthly'!$B:$B,B5,'Res Predicted Monthly'!W:W)</f>
        <v>1069066504.7309597</v>
      </c>
      <c r="E5" s="185">
        <f t="shared" ref="E5:E12" si="0">ABS(C5-D5)/C5</f>
        <v>7.0257512931478378E-3</v>
      </c>
      <c r="F5" s="185"/>
      <c r="G5" s="185"/>
      <c r="H5" s="183">
        <f>B5</f>
        <v>2017</v>
      </c>
      <c r="I5" s="184">
        <f>SUMIF('GS&lt;50 Predicted Monthly'!$B:$B,H5,'GS&lt;50 Predicted Monthly'!D:D)</f>
        <v>387915717.43833762</v>
      </c>
      <c r="J5" s="184">
        <f>SUMIF('GS&lt;50 Predicted Monthly'!$B:$B,H5,'GS&lt;50 Predicted Monthly'!S:S)</f>
        <v>387538874.22601056</v>
      </c>
      <c r="K5" s="185">
        <f t="shared" ref="K5:K12" si="1">ABS(I5-J5)/I5</f>
        <v>9.714564153667359E-4</v>
      </c>
      <c r="N5" s="183">
        <f>B5</f>
        <v>2017</v>
      </c>
      <c r="O5" s="184">
        <f>SUMIF('GS &gt; 50 Predicted Monthly'!$B:$B,N5,'GS &gt; 50 Predicted Monthly'!D:D)</f>
        <v>1478802060.3714433</v>
      </c>
      <c r="P5" s="184">
        <f>SUMIF('GS &gt; 50 Predicted Monthly'!$B:$B,N5,'GS &gt; 50 Predicted Monthly'!U:U)</f>
        <v>1470493396.4167402</v>
      </c>
      <c r="Q5" s="185">
        <f t="shared" ref="Q5:Q12" si="2">ABS(O5-P5)/O5</f>
        <v>5.6185098583214953E-3</v>
      </c>
      <c r="T5" s="183">
        <f>H5</f>
        <v>2017</v>
      </c>
      <c r="U5" s="184">
        <f>SUMIF('GS Co Gen Predicted Monthly'!$B:$B,T5,'GS Co Gen Predicted Monthly'!D:D)</f>
        <v>47373109.97600574</v>
      </c>
      <c r="V5" s="184">
        <f>SUMIF('GS Co Gen Predicted Monthly'!$B:$B,T5,'GS Co Gen Predicted Monthly'!M:M)</f>
        <v>39169626.266912356</v>
      </c>
      <c r="W5" s="185">
        <f t="shared" ref="W5:W12" si="3">ABS(U5-V5)/U5</f>
        <v>0.1731675145087247</v>
      </c>
      <c r="Z5" s="183">
        <f>N5</f>
        <v>2017</v>
      </c>
      <c r="AA5" s="184">
        <f>SUMIF('Large Use Predicted Monthly'!$B:$B,Z5,'Large Use Predicted Monthly'!D:D)</f>
        <v>118024543.99133827</v>
      </c>
      <c r="AB5" s="184">
        <f>SUMIF('Large Use Predicted Monthly'!$B:$B,Z5,'Large Use Predicted Monthly'!W:W)</f>
        <v>112359983.19982857</v>
      </c>
      <c r="AC5" s="185">
        <f t="shared" ref="AC5:AC12" si="4">ABS(AA5-AB5)/AA5</f>
        <v>4.7994769561875372E-2</v>
      </c>
    </row>
    <row r="6" spans="2:29" ht="14.25" x14ac:dyDescent="0.2">
      <c r="B6" s="183">
        <f>B5+1</f>
        <v>2018</v>
      </c>
      <c r="C6" s="184">
        <f>SUMIF('Res Predicted Monthly'!$B:$B,B6,'Res Predicted Monthly'!D:D)</f>
        <v>1163819903.1542928</v>
      </c>
      <c r="D6" s="184">
        <f>SUMIF('Res Predicted Monthly'!$B:$B,B6,'Res Predicted Monthly'!W:W)</f>
        <v>1156169900.9343104</v>
      </c>
      <c r="E6" s="185">
        <f t="shared" si="0"/>
        <v>6.5731838742821283E-3</v>
      </c>
      <c r="F6" s="185"/>
      <c r="G6" s="185"/>
      <c r="H6" s="183">
        <f t="shared" ref="H6:H12" si="5">B6</f>
        <v>2018</v>
      </c>
      <c r="I6" s="184">
        <f>SUMIF('GS&lt;50 Predicted Monthly'!$B:$B,H6,'GS&lt;50 Predicted Monthly'!D:D)</f>
        <v>406063921.14351928</v>
      </c>
      <c r="J6" s="184">
        <f>SUMIF('GS&lt;50 Predicted Monthly'!$B:$B,H6,'GS&lt;50 Predicted Monthly'!S:S)</f>
        <v>407660712.10416728</v>
      </c>
      <c r="K6" s="185">
        <f t="shared" si="1"/>
        <v>3.9323635455010796E-3</v>
      </c>
      <c r="M6" s="550"/>
      <c r="N6" s="183">
        <f t="shared" ref="N6:N12" si="6">B6</f>
        <v>2018</v>
      </c>
      <c r="O6" s="184">
        <f>SUMIF('GS &gt; 50 Predicted Monthly'!$B:$B,N6,'GS &gt; 50 Predicted Monthly'!D:D)</f>
        <v>1531749984.2682638</v>
      </c>
      <c r="P6" s="184">
        <f>SUMIF('GS &gt; 50 Predicted Monthly'!$B:$B,N6,'GS &gt; 50 Predicted Monthly'!U:U)</f>
        <v>1511559260.7052591</v>
      </c>
      <c r="Q6" s="185">
        <f t="shared" si="2"/>
        <v>1.3181474633832031E-2</v>
      </c>
      <c r="T6" s="183">
        <f t="shared" ref="T6:T12" si="7">H6</f>
        <v>2018</v>
      </c>
      <c r="U6" s="184">
        <f>SUMIF('GS Co Gen Predicted Monthly'!$B:$B,T6,'GS Co Gen Predicted Monthly'!D:D)</f>
        <v>48307539.313487798</v>
      </c>
      <c r="V6" s="184">
        <f>SUMIF('GS Co Gen Predicted Monthly'!$B:$B,T6,'GS Co Gen Predicted Monthly'!M:M)</f>
        <v>42057442.913294002</v>
      </c>
      <c r="W6" s="185">
        <f t="shared" si="3"/>
        <v>0.12938138619800751</v>
      </c>
      <c r="Z6" s="183">
        <f t="shared" ref="Z6:Z12" si="8">N6</f>
        <v>2018</v>
      </c>
      <c r="AA6" s="184">
        <f>SUMIF('Large Use Predicted Monthly'!$B:$B,Z6,'Large Use Predicted Monthly'!D:D)</f>
        <v>119580613.2327572</v>
      </c>
      <c r="AB6" s="184">
        <f>SUMIF('Large Use Predicted Monthly'!$B:$B,Z6,'Large Use Predicted Monthly'!W:W)</f>
        <v>117413889.25337362</v>
      </c>
      <c r="AC6" s="185">
        <f t="shared" si="4"/>
        <v>1.8119358320785341E-2</v>
      </c>
    </row>
    <row r="7" spans="2:29" ht="14.25" x14ac:dyDescent="0.2">
      <c r="B7" s="183">
        <f t="shared" ref="B7:B13" si="9">B6+1</f>
        <v>2019</v>
      </c>
      <c r="C7" s="184">
        <f>SUMIF('Res Predicted Monthly'!$B:$B,B7,'Res Predicted Monthly'!D:D)</f>
        <v>1127333148.8304532</v>
      </c>
      <c r="D7" s="184">
        <f>SUMIF('Res Predicted Monthly'!$B:$B,B7,'Res Predicted Monthly'!W:W)</f>
        <v>1128726327.6686883</v>
      </c>
      <c r="E7" s="185">
        <f t="shared" si="0"/>
        <v>1.2358182137023888E-3</v>
      </c>
      <c r="F7" s="185"/>
      <c r="G7" s="185"/>
      <c r="H7" s="183">
        <f t="shared" si="5"/>
        <v>2019</v>
      </c>
      <c r="I7" s="184">
        <f>SUMIF('GS&lt;50 Predicted Monthly'!$B:$B,H7,'GS&lt;50 Predicted Monthly'!D:D)</f>
        <v>403942334.58712649</v>
      </c>
      <c r="J7" s="184">
        <f>SUMIF('GS&lt;50 Predicted Monthly'!$B:$B,H7,'GS&lt;50 Predicted Monthly'!S:S)</f>
        <v>405610412.77848178</v>
      </c>
      <c r="K7" s="185">
        <f t="shared" si="1"/>
        <v>4.1294958426683539E-3</v>
      </c>
      <c r="M7" s="550"/>
      <c r="N7" s="183">
        <f t="shared" si="6"/>
        <v>2019</v>
      </c>
      <c r="O7" s="184">
        <f>SUMIF('GS &gt; 50 Predicted Monthly'!$B:$B,N7,'GS &gt; 50 Predicted Monthly'!D:D)</f>
        <v>1465919870.9097455</v>
      </c>
      <c r="P7" s="184">
        <f>SUMIF('GS &gt; 50 Predicted Monthly'!$B:$B,N7,'GS &gt; 50 Predicted Monthly'!U:U)</f>
        <v>1500141622.7587774</v>
      </c>
      <c r="Q7" s="185">
        <f t="shared" si="2"/>
        <v>2.3344899355101863E-2</v>
      </c>
      <c r="T7" s="183">
        <f t="shared" si="7"/>
        <v>2019</v>
      </c>
      <c r="U7" s="184">
        <f>SUMIF('GS Co Gen Predicted Monthly'!$B:$B,T7,'GS Co Gen Predicted Monthly'!D:D)</f>
        <v>36105434.191459</v>
      </c>
      <c r="V7" s="184">
        <f>SUMIF('GS Co Gen Predicted Monthly'!$B:$B,T7,'GS Co Gen Predicted Monthly'!M:M)</f>
        <v>39258099.745497003</v>
      </c>
      <c r="W7" s="185">
        <f t="shared" si="3"/>
        <v>8.7318311623677661E-2</v>
      </c>
      <c r="Z7" s="183">
        <f t="shared" si="8"/>
        <v>2019</v>
      </c>
      <c r="AA7" s="184">
        <f>SUMIF('Large Use Predicted Monthly'!$B:$B,Z7,'Large Use Predicted Monthly'!D:D)</f>
        <v>114324759.87923737</v>
      </c>
      <c r="AB7" s="184">
        <f>SUMIF('Large Use Predicted Monthly'!$B:$B,Z7,'Large Use Predicted Monthly'!W:W)</f>
        <v>117203905.75590041</v>
      </c>
      <c r="AC7" s="185">
        <f t="shared" si="4"/>
        <v>2.5183922360338399E-2</v>
      </c>
    </row>
    <row r="8" spans="2:29" ht="14.25" x14ac:dyDescent="0.2">
      <c r="B8" s="183">
        <f t="shared" si="9"/>
        <v>2020</v>
      </c>
      <c r="C8" s="184">
        <f>SUMIF('Res Predicted Monthly'!$B:$B,B8,'Res Predicted Monthly'!D:D)</f>
        <v>1200275616.5926628</v>
      </c>
      <c r="D8" s="184">
        <f>SUMIF('Res Predicted Monthly'!$B:$B,B8,'Res Predicted Monthly'!W:W)</f>
        <v>1187569704.1857302</v>
      </c>
      <c r="E8" s="185">
        <f t="shared" si="0"/>
        <v>1.0585828980682022E-2</v>
      </c>
      <c r="F8" s="185"/>
      <c r="G8" s="185"/>
      <c r="H8" s="183">
        <f t="shared" si="5"/>
        <v>2020</v>
      </c>
      <c r="I8" s="184">
        <f>SUMIF('GS&lt;50 Predicted Monthly'!$B:$B,H8,'GS&lt;50 Predicted Monthly'!D:D)</f>
        <v>384605406.35550404</v>
      </c>
      <c r="J8" s="184">
        <f>SUMIF('GS&lt;50 Predicted Monthly'!$B:$B,H8,'GS&lt;50 Predicted Monthly'!S:S)</f>
        <v>380937054.53456807</v>
      </c>
      <c r="K8" s="185">
        <f t="shared" si="1"/>
        <v>9.5379621823235127E-3</v>
      </c>
      <c r="M8" s="550"/>
      <c r="N8" s="183">
        <f t="shared" si="6"/>
        <v>2020</v>
      </c>
      <c r="O8" s="184">
        <f>SUMIF('GS &gt; 50 Predicted Monthly'!$B:$B,N8,'GS &gt; 50 Predicted Monthly'!D:D)</f>
        <v>1430777478.4494934</v>
      </c>
      <c r="P8" s="184">
        <f>SUMIF('GS &gt; 50 Predicted Monthly'!$B:$B,N8,'GS &gt; 50 Predicted Monthly'!U:U)</f>
        <v>1426757978.6244574</v>
      </c>
      <c r="Q8" s="185">
        <f t="shared" si="2"/>
        <v>2.8093116404040025E-3</v>
      </c>
      <c r="T8" s="183">
        <f t="shared" si="7"/>
        <v>2020</v>
      </c>
      <c r="U8" s="184">
        <f>SUMIF('GS Co Gen Predicted Monthly'!$B:$B,T8,'GS Co Gen Predicted Monthly'!D:D)</f>
        <v>37681007.836216092</v>
      </c>
      <c r="V8" s="184">
        <f>SUMIF('GS Co Gen Predicted Monthly'!$B:$B,T8,'GS Co Gen Predicted Monthly'!M:M)</f>
        <v>40793547.584061734</v>
      </c>
      <c r="W8" s="185">
        <f t="shared" si="3"/>
        <v>8.2602348678532639E-2</v>
      </c>
      <c r="Z8" s="183">
        <f t="shared" si="8"/>
        <v>2020</v>
      </c>
      <c r="AA8" s="184">
        <f>SUMIF('Large Use Predicted Monthly'!$B:$B,Z8,'Large Use Predicted Monthly'!D:D)</f>
        <v>105806984.8716343</v>
      </c>
      <c r="AB8" s="184">
        <f>SUMIF('Large Use Predicted Monthly'!$B:$B,Z8,'Large Use Predicted Monthly'!W:W)</f>
        <v>114945233.62930442</v>
      </c>
      <c r="AC8" s="185">
        <f t="shared" si="4"/>
        <v>8.6367159680022065E-2</v>
      </c>
    </row>
    <row r="9" spans="2:29" ht="14.25" x14ac:dyDescent="0.2">
      <c r="B9" s="183">
        <f t="shared" si="9"/>
        <v>2021</v>
      </c>
      <c r="C9" s="184">
        <f>SUMIF('Res Predicted Monthly'!$B:$B,B9,'Res Predicted Monthly'!D:D)</f>
        <v>1209220866.118844</v>
      </c>
      <c r="D9" s="184">
        <f>SUMIF('Res Predicted Monthly'!$B:$B,B9,'Res Predicted Monthly'!W:W)</f>
        <v>1213187347.0834367</v>
      </c>
      <c r="E9" s="185">
        <f t="shared" si="0"/>
        <v>3.2801956001004564E-3</v>
      </c>
      <c r="F9" s="185"/>
      <c r="G9" s="185"/>
      <c r="H9" s="183">
        <f t="shared" si="5"/>
        <v>2021</v>
      </c>
      <c r="I9" s="184">
        <f>SUMIF('GS&lt;50 Predicted Monthly'!$B:$B,H9,'GS&lt;50 Predicted Monthly'!D:D)</f>
        <v>392400911.15456241</v>
      </c>
      <c r="J9" s="184">
        <f>SUMIF('GS&lt;50 Predicted Monthly'!$B:$B,H9,'GS&lt;50 Predicted Monthly'!S:S)</f>
        <v>396679770.1544196</v>
      </c>
      <c r="K9" s="185">
        <f t="shared" si="1"/>
        <v>1.0904304445337517E-2</v>
      </c>
      <c r="M9" s="550"/>
      <c r="N9" s="183">
        <f t="shared" si="6"/>
        <v>2021</v>
      </c>
      <c r="O9" s="184">
        <f>SUMIF('GS &gt; 50 Predicted Monthly'!$B:$B,N9,'GS &gt; 50 Predicted Monthly'!D:D)</f>
        <v>1457908039.6216164</v>
      </c>
      <c r="P9" s="184">
        <f>SUMIF('GS &gt; 50 Predicted Monthly'!$B:$B,N9,'GS &gt; 50 Predicted Monthly'!U:U)</f>
        <v>1454414923.9364104</v>
      </c>
      <c r="Q9" s="185">
        <f t="shared" si="2"/>
        <v>2.3959780660188523E-3</v>
      </c>
      <c r="T9" s="183">
        <f t="shared" si="7"/>
        <v>2021</v>
      </c>
      <c r="U9" s="184">
        <f>SUMIF('GS Co Gen Predicted Monthly'!$B:$B,T9,'GS Co Gen Predicted Monthly'!D:D)</f>
        <v>29211107.872529332</v>
      </c>
      <c r="V9" s="184">
        <f>SUMIF('GS Co Gen Predicted Monthly'!$B:$B,T9,'GS Co Gen Predicted Monthly'!M:M)</f>
        <v>41167876.416162841</v>
      </c>
      <c r="W9" s="185">
        <f t="shared" si="3"/>
        <v>0.4093226657410648</v>
      </c>
      <c r="Z9" s="183">
        <f t="shared" si="8"/>
        <v>2021</v>
      </c>
      <c r="AA9" s="184">
        <f>SUMIF('Large Use Predicted Monthly'!$B:$B,Z9,'Large Use Predicted Monthly'!D:D)</f>
        <v>116097389.88569362</v>
      </c>
      <c r="AB9" s="184">
        <f>SUMIF('Large Use Predicted Monthly'!$B:$B,Z9,'Large Use Predicted Monthly'!W:W)</f>
        <v>118439346.2114346</v>
      </c>
      <c r="AC9" s="185">
        <f t="shared" si="4"/>
        <v>2.0172342617235457E-2</v>
      </c>
    </row>
    <row r="10" spans="2:29" ht="14.25" x14ac:dyDescent="0.2">
      <c r="B10" s="183">
        <f t="shared" si="9"/>
        <v>2022</v>
      </c>
      <c r="C10" s="184">
        <f>SUMIF('Res Predicted Monthly'!$B:$B,B10,'Res Predicted Monthly'!D:D)</f>
        <v>1206543449.2304447</v>
      </c>
      <c r="D10" s="184">
        <f>SUMIF('Res Predicted Monthly'!$B:$B,B10,'Res Predicted Monthly'!W:W)</f>
        <v>1217784637.3539076</v>
      </c>
      <c r="E10" s="185">
        <f t="shared" si="0"/>
        <v>9.3168531399617227E-3</v>
      </c>
      <c r="F10" s="185"/>
      <c r="G10" s="185"/>
      <c r="H10" s="183">
        <f t="shared" si="5"/>
        <v>2022</v>
      </c>
      <c r="I10" s="184">
        <f>SUMIF('GS&lt;50 Predicted Monthly'!$B:$B,H10,'GS&lt;50 Predicted Monthly'!D:D)</f>
        <v>418725196.61535454</v>
      </c>
      <c r="J10" s="184">
        <f>SUMIF('GS&lt;50 Predicted Monthly'!$B:$B,H10,'GS&lt;50 Predicted Monthly'!S:S)</f>
        <v>415234434.45908695</v>
      </c>
      <c r="K10" s="185">
        <f t="shared" si="1"/>
        <v>8.33664222856461E-3</v>
      </c>
      <c r="M10" s="550"/>
      <c r="N10" s="183">
        <f t="shared" si="6"/>
        <v>2022</v>
      </c>
      <c r="O10" s="184">
        <f>SUMIF('GS &gt; 50 Predicted Monthly'!$B:$B,N10,'GS &gt; 50 Predicted Monthly'!D:D)</f>
        <v>1508808583.1234202</v>
      </c>
      <c r="P10" s="184">
        <f>SUMIF('GS &gt; 50 Predicted Monthly'!$B:$B,N10,'GS &gt; 50 Predicted Monthly'!U:U)</f>
        <v>1501020669.6638584</v>
      </c>
      <c r="Q10" s="185">
        <f t="shared" si="2"/>
        <v>5.1616312013813455E-3</v>
      </c>
      <c r="T10" s="183">
        <f t="shared" si="7"/>
        <v>2022</v>
      </c>
      <c r="U10" s="184">
        <f>SUMIF('GS Co Gen Predicted Monthly'!$B:$B,T10,'GS Co Gen Predicted Monthly'!D:D)</f>
        <v>44333921.77486074</v>
      </c>
      <c r="V10" s="184">
        <f>SUMIF('GS Co Gen Predicted Monthly'!$B:$B,T10,'GS Co Gen Predicted Monthly'!M:M)</f>
        <v>39999684.82987415</v>
      </c>
      <c r="W10" s="185">
        <f t="shared" si="3"/>
        <v>9.7763445494332288E-2</v>
      </c>
      <c r="Z10" s="183">
        <f t="shared" si="8"/>
        <v>2022</v>
      </c>
      <c r="AA10" s="184">
        <f>SUMIF('Large Use Predicted Monthly'!$B:$B,Z10,'Large Use Predicted Monthly'!D:D)</f>
        <v>129838256.69019155</v>
      </c>
      <c r="AB10" s="184">
        <f>SUMIF('Large Use Predicted Monthly'!$B:$B,Z10,'Large Use Predicted Monthly'!W:W)</f>
        <v>133302194.91119091</v>
      </c>
      <c r="AC10" s="185">
        <f t="shared" si="4"/>
        <v>2.6678871923432396E-2</v>
      </c>
    </row>
    <row r="11" spans="2:29" ht="14.25" x14ac:dyDescent="0.2">
      <c r="B11" s="183">
        <f t="shared" si="9"/>
        <v>2023</v>
      </c>
      <c r="C11" s="184">
        <f>SUMIF('Res Predicted Monthly'!$B:$B,B11,'Res Predicted Monthly'!D:D)</f>
        <v>1154587492.8056829</v>
      </c>
      <c r="D11" s="184">
        <f>SUMIF('Res Predicted Monthly'!$B:$B,B11,'Res Predicted Monthly'!W:W)</f>
        <v>1162017529.1679668</v>
      </c>
      <c r="E11" s="185">
        <f t="shared" si="0"/>
        <v>6.4352302519999844E-3</v>
      </c>
      <c r="F11" s="185"/>
      <c r="G11" s="185"/>
      <c r="H11" s="183">
        <f t="shared" si="5"/>
        <v>2023</v>
      </c>
      <c r="I11" s="184">
        <f>SUMIF('GS&lt;50 Predicted Monthly'!$B:$B,H11,'GS&lt;50 Predicted Monthly'!D:D)</f>
        <v>416649281.82513767</v>
      </c>
      <c r="J11" s="184">
        <f>SUMIF('GS&lt;50 Predicted Monthly'!$B:$B,H11,'GS&lt;50 Predicted Monthly'!S:S)</f>
        <v>417871149.01915395</v>
      </c>
      <c r="K11" s="185">
        <f t="shared" si="1"/>
        <v>2.9326036244773359E-3</v>
      </c>
      <c r="M11" s="550"/>
      <c r="N11" s="183">
        <f t="shared" si="6"/>
        <v>2023</v>
      </c>
      <c r="O11" s="184">
        <f>SUMIF('GS &gt; 50 Predicted Monthly'!$B:$B,N11,'GS &gt; 50 Predicted Monthly'!D:D)</f>
        <v>1491054781.6035359</v>
      </c>
      <c r="P11" s="184">
        <f>SUMIF('GS &gt; 50 Predicted Monthly'!$B:$B,N11,'GS &gt; 50 Predicted Monthly'!U:U)</f>
        <v>1521171397.8200452</v>
      </c>
      <c r="Q11" s="185">
        <f t="shared" si="2"/>
        <v>2.0198195658593314E-2</v>
      </c>
      <c r="T11" s="183">
        <f t="shared" si="7"/>
        <v>2023</v>
      </c>
      <c r="U11" s="184">
        <f>SUMIF('GS Co Gen Predicted Monthly'!$B:$B,T11,'GS Co Gen Predicted Monthly'!D:D)</f>
        <v>53313354.132286042</v>
      </c>
      <c r="V11" s="184">
        <f>SUMIF('GS Co Gen Predicted Monthly'!$B:$B,T11,'GS Co Gen Predicted Monthly'!M:M)</f>
        <v>38607159.477297187</v>
      </c>
      <c r="W11" s="185">
        <f t="shared" si="3"/>
        <v>0.27584448388856719</v>
      </c>
      <c r="Z11" s="183">
        <f t="shared" si="8"/>
        <v>2023</v>
      </c>
      <c r="AA11" s="184">
        <f>SUMIF('Large Use Predicted Monthly'!$B:$B,Z11,'Large Use Predicted Monthly'!D:D)</f>
        <v>170966069.02292144</v>
      </c>
      <c r="AB11" s="184">
        <f>SUMIF('Large Use Predicted Monthly'!$B:$B,Z11,'Large Use Predicted Monthly'!W:W)</f>
        <v>168968750.13194939</v>
      </c>
      <c r="AC11" s="185">
        <f t="shared" si="4"/>
        <v>1.168254556232598E-2</v>
      </c>
    </row>
    <row r="12" spans="2:29" ht="14.25" x14ac:dyDescent="0.2">
      <c r="B12" s="183">
        <f t="shared" si="9"/>
        <v>2024</v>
      </c>
      <c r="C12" s="184">
        <f>SUMIF('Res Predicted Monthly'!$B:$B,B12,'Res Predicted Monthly'!D:D)</f>
        <v>1209243409.8343263</v>
      </c>
      <c r="D12" s="184">
        <f>SUMIF('Res Predicted Monthly'!$B:$B,B12,'Res Predicted Monthly'!W:W)</f>
        <v>1201977743.1090419</v>
      </c>
      <c r="E12" s="185">
        <f t="shared" si="0"/>
        <v>6.0084402083115575E-3</v>
      </c>
      <c r="F12" s="185"/>
      <c r="G12" s="185"/>
      <c r="H12" s="183">
        <f t="shared" si="5"/>
        <v>2024</v>
      </c>
      <c r="I12" s="184">
        <f>SUMIF('GS&lt;50 Predicted Monthly'!$B:$B,H12,'GS&lt;50 Predicted Monthly'!D:D)</f>
        <v>424203695.49462956</v>
      </c>
      <c r="J12" s="184">
        <f>SUMIF('GS&lt;50 Predicted Monthly'!$B:$B,H12,'GS&lt;50 Predicted Monthly'!S:S)</f>
        <v>427076344.32306999</v>
      </c>
      <c r="K12" s="185">
        <f t="shared" si="1"/>
        <v>6.7718618648309149E-3</v>
      </c>
      <c r="M12" s="550"/>
      <c r="N12" s="183">
        <f t="shared" si="6"/>
        <v>2024</v>
      </c>
      <c r="O12" s="184">
        <f>SUMIF('GS &gt; 50 Predicted Monthly'!$B:$B,N12,'GS &gt; 50 Predicted Monthly'!D:D)</f>
        <v>1544629363.5480573</v>
      </c>
      <c r="P12" s="184">
        <f>SUMIF('GS &gt; 50 Predicted Monthly'!$B:$B,N12,'GS &gt; 50 Predicted Monthly'!U:U)</f>
        <v>1544061853.8162751</v>
      </c>
      <c r="Q12" s="185">
        <f t="shared" si="2"/>
        <v>3.6740835385817866E-4</v>
      </c>
      <c r="T12" s="183">
        <f t="shared" si="7"/>
        <v>2024</v>
      </c>
      <c r="U12" s="184">
        <f>SUMIF('GS Co Gen Predicted Monthly'!$B:$B,T12,'GS Co Gen Predicted Monthly'!D:D)</f>
        <v>36634929.320410475</v>
      </c>
      <c r="V12" s="184">
        <f>SUMIF('GS Co Gen Predicted Monthly'!$B:$B,T12,'GS Co Gen Predicted Monthly'!M:M)</f>
        <v>41216756.697618522</v>
      </c>
      <c r="W12" s="185">
        <f t="shared" si="3"/>
        <v>0.12506718211833334</v>
      </c>
      <c r="Z12" s="183">
        <f t="shared" si="8"/>
        <v>2024</v>
      </c>
      <c r="AA12" s="184">
        <f>SUMIF('Large Use Predicted Monthly'!$B:$B,Z12,'Large Use Predicted Monthly'!D:D)</f>
        <v>180773987.85934609</v>
      </c>
      <c r="AB12" s="184">
        <f>SUMIF('Large Use Predicted Monthly'!$B:$B,Z12,'Large Use Predicted Monthly'!W:W)</f>
        <v>173673833.26280004</v>
      </c>
      <c r="AC12" s="185">
        <f t="shared" si="4"/>
        <v>3.9276417368578689E-2</v>
      </c>
    </row>
    <row r="13" spans="2:29" ht="14.25" x14ac:dyDescent="0.2">
      <c r="B13" s="183">
        <f t="shared" si="9"/>
        <v>2025</v>
      </c>
      <c r="C13" s="184">
        <f>SUMIF('Res Predicted Monthly'!$B:$B,B13,'Res Predicted Monthly'!D:D)</f>
        <v>1246519883.8219993</v>
      </c>
      <c r="D13" s="184">
        <f>SUMIF('Res Predicted Monthly'!$B:$B,B13,'Res Predicted Monthly'!W:W)</f>
        <v>1242751060.8414857</v>
      </c>
      <c r="E13" s="185">
        <f>ABS(C13-D13)/C13</f>
        <v>3.0234760226670828E-3</v>
      </c>
      <c r="F13" s="185"/>
      <c r="G13" s="185"/>
      <c r="H13" s="183">
        <f>B13</f>
        <v>2025</v>
      </c>
      <c r="I13" s="184">
        <f>SUMIF('GS&lt;50 Predicted Monthly'!$B:$B,H13,'GS&lt;50 Predicted Monthly'!D:D)</f>
        <v>440351101.09152019</v>
      </c>
      <c r="J13" s="184">
        <f>SUMIF('GS&lt;50 Predicted Monthly'!$B:$B,H13,'GS&lt;50 Predicted Monthly'!S:S)</f>
        <v>436621608.59256756</v>
      </c>
      <c r="K13" s="185">
        <f>ABS(I13-J13)/I13</f>
        <v>8.4693611295808009E-3</v>
      </c>
      <c r="M13" s="550"/>
      <c r="N13" s="183">
        <f>B13</f>
        <v>2025</v>
      </c>
      <c r="O13" s="184">
        <f>SUMIF('GS &gt; 50 Predicted Monthly'!$B:$B,N13,'GS &gt; 50 Predicted Monthly'!D:D)</f>
        <v>1579092812.9397707</v>
      </c>
      <c r="P13" s="184">
        <f>SUMIF('GS &gt; 50 Predicted Monthly'!$B:$B,N13,'GS &gt; 50 Predicted Monthly'!U:U)</f>
        <v>1557283145.398442</v>
      </c>
      <c r="Q13" s="185">
        <f>ABS(O13-P13)/O13</f>
        <v>1.3811517196842898E-2</v>
      </c>
      <c r="T13" s="183">
        <f>H13</f>
        <v>2025</v>
      </c>
      <c r="U13" s="184">
        <f>SUMIF('GS Co Gen Predicted Monthly'!$B:$B,T13,'GS Co Gen Predicted Monthly'!D:D)</f>
        <v>33511507.784232348</v>
      </c>
      <c r="V13" s="184">
        <f>SUMIF('GS Co Gen Predicted Monthly'!$B:$B,T13,'GS Co Gen Predicted Monthly'!M:M)</f>
        <v>40912116.762837455</v>
      </c>
      <c r="W13" s="185">
        <f>ABS(U13-V13)/U13</f>
        <v>0.22083783953425098</v>
      </c>
      <c r="Z13" s="183">
        <f>N13</f>
        <v>2025</v>
      </c>
      <c r="AA13" s="184">
        <f>SUMIF('Large Use Predicted Monthly'!$B:$B,Z13,'Large Use Predicted Monthly'!D:D)</f>
        <v>178708884.95096678</v>
      </c>
      <c r="AB13" s="184">
        <f>SUMIF('Large Use Predicted Monthly'!$B:$B,Z13,'Large Use Predicted Monthly'!W:W)</f>
        <v>175630781.05702603</v>
      </c>
      <c r="AC13" s="185">
        <f>ABS(AA13-AB13)/AA13</f>
        <v>1.7224123438436208E-2</v>
      </c>
    </row>
    <row r="14" spans="2:29" ht="15" x14ac:dyDescent="0.25">
      <c r="B14" s="489" t="s">
        <v>128</v>
      </c>
      <c r="C14" s="490">
        <f>SUM(C5:C13)</f>
        <v>10579151681.962112</v>
      </c>
      <c r="D14" s="490">
        <f>SUM(D5:D13)</f>
        <v>10579250755.075527</v>
      </c>
      <c r="E14" s="491">
        <f>ABS(C14-D14)/C14</f>
        <v>9.3649393063990313E-6</v>
      </c>
      <c r="F14" s="185"/>
      <c r="G14" s="185"/>
      <c r="H14" s="489" t="s">
        <v>128</v>
      </c>
      <c r="I14" s="490">
        <f>SUM(I5:I13)</f>
        <v>3674857565.7056918</v>
      </c>
      <c r="J14" s="490">
        <f>SUM(J5:J13)</f>
        <v>3675230360.1915259</v>
      </c>
      <c r="K14" s="491">
        <f>ABS(I14-J14)/I14</f>
        <v>1.0144460817014906E-4</v>
      </c>
      <c r="N14" s="489" t="s">
        <v>128</v>
      </c>
      <c r="O14" s="490">
        <f>SUM(O5:O13)</f>
        <v>13488742974.835346</v>
      </c>
      <c r="P14" s="490">
        <f>SUM(P5:P13)</f>
        <v>13486904249.140265</v>
      </c>
      <c r="Q14" s="491">
        <f>ABS(O14-P14)/O14</f>
        <v>1.3631557058445289E-4</v>
      </c>
      <c r="T14" s="489" t="s">
        <v>128</v>
      </c>
      <c r="U14" s="490">
        <f>SUM(U5:U13)</f>
        <v>366471912.20148754</v>
      </c>
      <c r="V14" s="490">
        <f>SUM(V5:V13)</f>
        <v>363182310.6935553</v>
      </c>
      <c r="W14" s="491">
        <f>ABS(U14-V14)/U14</f>
        <v>8.9764082823450084E-3</v>
      </c>
      <c r="Z14" s="489" t="s">
        <v>128</v>
      </c>
      <c r="AA14" s="490">
        <f>SUM(AA5:AA13)</f>
        <v>1234121490.3840866</v>
      </c>
      <c r="AB14" s="490">
        <f>SUM(AB5:AB13)</f>
        <v>1231937917.4128079</v>
      </c>
      <c r="AC14" s="491">
        <f>ABS(AA14-AB14)/AA14</f>
        <v>1.7693338851097148E-3</v>
      </c>
    </row>
    <row r="15" spans="2:29" ht="14.25" x14ac:dyDescent="0.2">
      <c r="B15" s="183"/>
      <c r="C15" s="184"/>
      <c r="D15" s="184"/>
      <c r="E15" s="185"/>
      <c r="F15" s="185"/>
      <c r="G15" s="185"/>
      <c r="H15" s="183"/>
      <c r="I15" s="184"/>
      <c r="J15" s="184"/>
      <c r="K15" s="185"/>
      <c r="N15" s="183"/>
      <c r="O15" s="184"/>
      <c r="P15" s="184"/>
      <c r="Q15" s="185"/>
      <c r="T15" s="183"/>
      <c r="U15" s="184"/>
      <c r="V15" s="184"/>
      <c r="W15" s="185"/>
      <c r="Z15" s="183"/>
      <c r="AA15" s="184"/>
      <c r="AB15" s="184"/>
      <c r="AC15" s="185"/>
    </row>
    <row r="16" spans="2:29" ht="14.25" x14ac:dyDescent="0.2">
      <c r="B16" s="582" t="s">
        <v>83</v>
      </c>
      <c r="C16" s="582"/>
      <c r="D16" s="582"/>
      <c r="E16" s="186">
        <f>AVERAGE(E5:E12)</f>
        <v>6.3076626952735118E-3</v>
      </c>
      <c r="F16" s="186"/>
      <c r="G16" s="186"/>
      <c r="H16" s="582" t="s">
        <v>83</v>
      </c>
      <c r="I16" s="582"/>
      <c r="J16" s="582"/>
      <c r="K16" s="186">
        <f>AVERAGE(K5:K12)</f>
        <v>5.9395862686337569E-3</v>
      </c>
      <c r="N16" s="582" t="s">
        <v>83</v>
      </c>
      <c r="O16" s="582"/>
      <c r="P16" s="582"/>
      <c r="Q16" s="186">
        <f>AVERAGE(Q5:Q12)</f>
        <v>9.1346760959388831E-3</v>
      </c>
      <c r="T16" s="582" t="s">
        <v>83</v>
      </c>
      <c r="U16" s="582"/>
      <c r="V16" s="582"/>
      <c r="W16" s="186">
        <f>AVERAGE(W5:W12)</f>
        <v>0.17255841728140503</v>
      </c>
      <c r="Z16" s="582" t="s">
        <v>83</v>
      </c>
      <c r="AA16" s="582"/>
      <c r="AB16" s="582"/>
      <c r="AC16" s="186">
        <f>AVERAGE(AC5:AC12)</f>
        <v>3.4434423424324213E-2</v>
      </c>
    </row>
    <row r="17" spans="2:29" ht="14.25" x14ac:dyDescent="0.2">
      <c r="B17" s="582" t="s">
        <v>84</v>
      </c>
      <c r="C17" s="582"/>
      <c r="D17" s="582"/>
      <c r="E17" s="186">
        <f>'Res Predicted Monthly'!Y110</f>
        <v>1.5545229008298515E-2</v>
      </c>
      <c r="F17" s="186"/>
      <c r="G17" s="186"/>
      <c r="H17" s="582" t="s">
        <v>84</v>
      </c>
      <c r="I17" s="582"/>
      <c r="J17" s="582"/>
      <c r="K17" s="186">
        <f>'GS&lt;50 Predicted Monthly'!U110</f>
        <v>1.3085259999114803E-2</v>
      </c>
      <c r="N17" s="582" t="s">
        <v>84</v>
      </c>
      <c r="O17" s="582"/>
      <c r="P17" s="582"/>
      <c r="Q17" s="186">
        <f>'GS &gt; 50 Predicted Monthly'!W110</f>
        <v>1.6321937786054803E-2</v>
      </c>
      <c r="T17" s="582" t="s">
        <v>84</v>
      </c>
      <c r="U17" s="582"/>
      <c r="V17" s="582"/>
      <c r="W17" s="186">
        <f>'GS Co Gen Predicted Monthly'!O110</f>
        <v>0.43934002762874153</v>
      </c>
      <c r="Z17" s="582" t="s">
        <v>84</v>
      </c>
      <c r="AA17" s="582"/>
      <c r="AB17" s="582"/>
      <c r="AC17" s="186">
        <f>'Large Use Predicted Monthly'!Y110</f>
        <v>3.9060535372145704E-2</v>
      </c>
    </row>
  </sheetData>
  <mergeCells count="15">
    <mergeCell ref="O2:P2"/>
    <mergeCell ref="N16:P16"/>
    <mergeCell ref="N17:P17"/>
    <mergeCell ref="C2:D2"/>
    <mergeCell ref="B16:D16"/>
    <mergeCell ref="B17:D17"/>
    <mergeCell ref="I2:J2"/>
    <mergeCell ref="H16:J16"/>
    <mergeCell ref="H17:J17"/>
    <mergeCell ref="U2:V2"/>
    <mergeCell ref="T16:V16"/>
    <mergeCell ref="T17:V17"/>
    <mergeCell ref="AA2:AB2"/>
    <mergeCell ref="Z16:AB16"/>
    <mergeCell ref="Z17:AB1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"/>
  <dimension ref="A1:W205"/>
  <sheetViews>
    <sheetView workbookViewId="0">
      <pane xSplit="1" ySplit="1" topLeftCell="B104" activePane="bottomRight" state="frozen"/>
      <selection activeCell="M13" sqref="M13"/>
      <selection pane="topRight" activeCell="M13" sqref="M13"/>
      <selection pane="bottomLeft" activeCell="M13" sqref="M13"/>
      <selection pane="bottomRight" activeCell="J123" sqref="J123"/>
    </sheetView>
  </sheetViews>
  <sheetFormatPr defaultColWidth="9.33203125" defaultRowHeight="12.75" x14ac:dyDescent="0.2"/>
  <cols>
    <col min="1" max="1" width="10.5" bestFit="1" customWidth="1"/>
    <col min="2" max="3" width="9.5" bestFit="1" customWidth="1"/>
    <col min="4" max="4" width="14.6640625" bestFit="1" customWidth="1"/>
    <col min="5" max="6" width="9.5" bestFit="1" customWidth="1"/>
    <col min="7" max="7" width="11.5" bestFit="1" customWidth="1"/>
    <col min="8" max="8" width="9.5" bestFit="1" customWidth="1"/>
    <col min="9" max="9" width="12.5" bestFit="1" customWidth="1"/>
    <col min="10" max="12" width="12.5" customWidth="1"/>
    <col min="13" max="13" width="11.83203125" bestFit="1" customWidth="1"/>
    <col min="14" max="15" width="12.83203125" bestFit="1" customWidth="1"/>
    <col min="16" max="16" width="13.83203125" bestFit="1" customWidth="1"/>
    <col min="17" max="17" width="14.5" bestFit="1" customWidth="1"/>
    <col min="18" max="18" width="13.83203125" bestFit="1" customWidth="1"/>
    <col min="19" max="19" width="11.33203125" bestFit="1" customWidth="1"/>
    <col min="20" max="22" width="11.1640625" customWidth="1"/>
    <col min="23" max="23" width="16.1640625" customWidth="1"/>
    <col min="24" max="24" width="13.83203125" bestFit="1" customWidth="1"/>
    <col min="25" max="25" width="13" bestFit="1" customWidth="1"/>
    <col min="26" max="27" width="16" bestFit="1" customWidth="1"/>
  </cols>
  <sheetData>
    <row r="1" spans="1:23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Data'!F1</f>
        <v>Res_NoCDM</v>
      </c>
      <c r="E1" s="181" t="str">
        <f>'Monthly Data'!BF1</f>
        <v>HDD18</v>
      </c>
      <c r="F1" s="181" t="str">
        <f>'Monthly Data'!BK1</f>
        <v>CDD14</v>
      </c>
      <c r="G1" s="182" t="str">
        <f>'Monthly Data'!G1</f>
        <v>Residential_Customers</v>
      </c>
      <c r="H1" s="171" t="str">
        <f>'Monthly Data'!CC1</f>
        <v>Dec</v>
      </c>
      <c r="I1" s="181" t="str">
        <f>'Monthly Data'!CS1</f>
        <v>Month Days</v>
      </c>
      <c r="J1" s="181" t="str">
        <f>'Monthly Data'!CK1</f>
        <v>Summer</v>
      </c>
      <c r="K1" s="181" t="str">
        <f>'Monthly Data'!DB1</f>
        <v>CovHDD18</v>
      </c>
      <c r="L1" s="181" t="str">
        <f>'Monthly Data'!DG1</f>
        <v>CovCDD14</v>
      </c>
      <c r="N1" s="171" t="s">
        <v>65</v>
      </c>
      <c r="O1" s="181" t="str">
        <f t="shared" ref="O1:V1" si="0">E1</f>
        <v>HDD18</v>
      </c>
      <c r="P1" s="181" t="str">
        <f t="shared" si="0"/>
        <v>CDD14</v>
      </c>
      <c r="Q1" s="181" t="str">
        <f t="shared" si="0"/>
        <v>Residential_Customers</v>
      </c>
      <c r="R1" s="181" t="str">
        <f t="shared" si="0"/>
        <v>Dec</v>
      </c>
      <c r="S1" s="181" t="str">
        <f t="shared" si="0"/>
        <v>Month Days</v>
      </c>
      <c r="T1" s="181" t="str">
        <f t="shared" si="0"/>
        <v>Summer</v>
      </c>
      <c r="U1" s="181" t="str">
        <f t="shared" si="0"/>
        <v>CovHDD18</v>
      </c>
      <c r="V1" s="181" t="str">
        <f t="shared" si="0"/>
        <v>CovCDD14</v>
      </c>
      <c r="W1" s="171" t="s">
        <v>373</v>
      </c>
    </row>
    <row r="2" spans="1:23" x14ac:dyDescent="0.2">
      <c r="A2" s="8">
        <f>'Monthly Data'!A2</f>
        <v>42736</v>
      </c>
      <c r="B2">
        <f>YEAR(A2)</f>
        <v>2017</v>
      </c>
      <c r="C2">
        <f>MONTH(A2)</f>
        <v>1</v>
      </c>
      <c r="D2" s="18">
        <f>'Monthly Data'!F2</f>
        <v>96528111.989106089</v>
      </c>
      <c r="E2" s="290">
        <f ca="1">Weather!AO34</f>
        <v>683.09489583333334</v>
      </c>
      <c r="F2" s="290">
        <f ca="1">Weather!BR34</f>
        <v>0</v>
      </c>
      <c r="G2" s="11">
        <f>'Monthly Data'!G2</f>
        <v>141495</v>
      </c>
      <c r="H2">
        <f>'Monthly Data'!CC2</f>
        <v>0</v>
      </c>
      <c r="I2" s="21">
        <f>'Monthly Data'!CS2</f>
        <v>31</v>
      </c>
      <c r="J2" s="21">
        <f>'Monthly Data'!CK2</f>
        <v>0</v>
      </c>
      <c r="K2" s="21">
        <f ca="1">E2*M2</f>
        <v>0</v>
      </c>
      <c r="L2" s="21">
        <f ca="1">F2*M2</f>
        <v>0</v>
      </c>
      <c r="M2">
        <f>'Monthly Data'!CV2</f>
        <v>0</v>
      </c>
      <c r="N2" s="11">
        <f>'Res Predicted Monthly'!$AB$9</f>
        <v>-154534728.74811399</v>
      </c>
      <c r="O2" s="11">
        <f ca="1">E2*'Res Predicted Monthly'!$AB$10</f>
        <v>41935607.20616509</v>
      </c>
      <c r="P2" s="11">
        <f ca="1">F2*'Res Predicted Monthly'!$AB$11</f>
        <v>0</v>
      </c>
      <c r="Q2" s="11">
        <f>G2*'Res Predicted Monthly'!$AB$12</f>
        <v>139651052.63807085</v>
      </c>
      <c r="R2" s="11">
        <f>H2*'Res Predicted Monthly'!$AB$13</f>
        <v>0</v>
      </c>
      <c r="S2" s="11">
        <f>I2*'Res Predicted Monthly'!$AB$14</f>
        <v>70054115.695287749</v>
      </c>
      <c r="T2" s="11">
        <f>J2*'Res Predicted Monthly'!$AB$15</f>
        <v>0</v>
      </c>
      <c r="U2" s="11">
        <f ca="1">K2*'Res Predicted Monthly'!$AB$16</f>
        <v>0</v>
      </c>
      <c r="V2" s="11">
        <f ca="1">L2*'Res Predicted Monthly'!$AB$17</f>
        <v>0</v>
      </c>
      <c r="W2" s="18">
        <f ca="1">SUM(N2:V2)</f>
        <v>97106046.791409701</v>
      </c>
    </row>
    <row r="3" spans="1:23" x14ac:dyDescent="0.2">
      <c r="A3" s="8">
        <f>'Monthly Data'!A3</f>
        <v>42767</v>
      </c>
      <c r="B3">
        <f>YEAR(A3)</f>
        <v>2017</v>
      </c>
      <c r="C3">
        <f>MONTH(A3)</f>
        <v>2</v>
      </c>
      <c r="D3" s="18">
        <f>'Monthly Data'!F3</f>
        <v>81300090.78765358</v>
      </c>
      <c r="E3" s="290">
        <f ca="1">Weather!AO35</f>
        <v>589.85491666666678</v>
      </c>
      <c r="F3" s="290">
        <f ca="1">Weather!BR35</f>
        <v>0</v>
      </c>
      <c r="G3" s="11">
        <f>'Monthly Data'!G3</f>
        <v>141664</v>
      </c>
      <c r="H3">
        <f>'Monthly Data'!CC3</f>
        <v>0</v>
      </c>
      <c r="I3" s="21">
        <f>'Monthly Data'!CS3</f>
        <v>28</v>
      </c>
      <c r="J3" s="21">
        <f>'Monthly Data'!CK3</f>
        <v>0</v>
      </c>
      <c r="K3" s="21">
        <f t="shared" ref="K3:K66" ca="1" si="1">E3*M3</f>
        <v>0</v>
      </c>
      <c r="L3" s="21">
        <f t="shared" ref="L3:L66" ca="1" si="2">F3*M3</f>
        <v>0</v>
      </c>
      <c r="M3">
        <f>'Monthly Data'!CV3</f>
        <v>0</v>
      </c>
      <c r="N3" s="11">
        <f>'Res Predicted Monthly'!$AB$9</f>
        <v>-154534728.74811399</v>
      </c>
      <c r="O3" s="11">
        <f ca="1">E3*'Res Predicted Monthly'!$AB$10</f>
        <v>36211548.709908441</v>
      </c>
      <c r="P3" s="11">
        <f ca="1">F3*'Res Predicted Monthly'!$AB$11</f>
        <v>0</v>
      </c>
      <c r="Q3" s="11">
        <f>G3*'Res Predicted Monthly'!$AB$12</f>
        <v>139817850.24855766</v>
      </c>
      <c r="R3" s="11">
        <f>H3*'Res Predicted Monthly'!$AB$13</f>
        <v>0</v>
      </c>
      <c r="S3" s="11">
        <f>I3*'Res Predicted Monthly'!$AB$14</f>
        <v>63274685.144130871</v>
      </c>
      <c r="T3" s="11">
        <f>J3*'Res Predicted Monthly'!$AB$15</f>
        <v>0</v>
      </c>
      <c r="U3" s="11">
        <f ca="1">K3*'Res Predicted Monthly'!$AB$16</f>
        <v>0</v>
      </c>
      <c r="V3" s="11">
        <f ca="1">L3*'Res Predicted Monthly'!$AB$17</f>
        <v>0</v>
      </c>
      <c r="W3" s="18">
        <f t="shared" ref="W3:W66" ca="1" si="3">SUM(N3:V3)</f>
        <v>84769355.354482979</v>
      </c>
    </row>
    <row r="4" spans="1:23" x14ac:dyDescent="0.2">
      <c r="A4" s="8">
        <f>'Monthly Data'!A4</f>
        <v>42795</v>
      </c>
      <c r="B4">
        <f>YEAR(A4)</f>
        <v>2017</v>
      </c>
      <c r="C4">
        <f>MONTH(A4)</f>
        <v>3</v>
      </c>
      <c r="D4" s="18">
        <f>'Monthly Data'!F4</f>
        <v>87978694.586201057</v>
      </c>
      <c r="E4" s="290">
        <f ca="1">Weather!AO36</f>
        <v>522.20004166666672</v>
      </c>
      <c r="F4" s="290">
        <f ca="1">Weather!BR36</f>
        <v>0</v>
      </c>
      <c r="G4" s="11">
        <f>'Monthly Data'!G4</f>
        <v>141783</v>
      </c>
      <c r="H4">
        <f>'Monthly Data'!CC4</f>
        <v>0</v>
      </c>
      <c r="I4" s="21">
        <f>'Monthly Data'!CS4</f>
        <v>31</v>
      </c>
      <c r="J4" s="21">
        <f>'Monthly Data'!CK4</f>
        <v>0</v>
      </c>
      <c r="K4" s="21">
        <f t="shared" ca="1" si="1"/>
        <v>0</v>
      </c>
      <c r="L4" s="21">
        <f t="shared" ca="1" si="2"/>
        <v>0</v>
      </c>
      <c r="M4">
        <f>'Monthly Data'!CV4</f>
        <v>0</v>
      </c>
      <c r="N4" s="11">
        <f>'Res Predicted Monthly'!$AB$9</f>
        <v>-154534728.74811399</v>
      </c>
      <c r="O4" s="11">
        <f ca="1">E4*'Res Predicted Monthly'!$AB$10</f>
        <v>32058175.172954902</v>
      </c>
      <c r="P4" s="11">
        <f ca="1">F4*'Res Predicted Monthly'!$AB$11</f>
        <v>0</v>
      </c>
      <c r="Q4" s="11">
        <f>G4*'Res Predicted Monthly'!$AB$12</f>
        <v>139935299.45357502</v>
      </c>
      <c r="R4" s="11">
        <f>H4*'Res Predicted Monthly'!$AB$13</f>
        <v>0</v>
      </c>
      <c r="S4" s="11">
        <f>I4*'Res Predicted Monthly'!$AB$14</f>
        <v>70054115.695287749</v>
      </c>
      <c r="T4" s="11">
        <f>J4*'Res Predicted Monthly'!$AB$15</f>
        <v>0</v>
      </c>
      <c r="U4" s="11">
        <f ca="1">K4*'Res Predicted Monthly'!$AB$16</f>
        <v>0</v>
      </c>
      <c r="V4" s="11">
        <f ca="1">L4*'Res Predicted Monthly'!$AB$17</f>
        <v>0</v>
      </c>
      <c r="W4" s="18">
        <f t="shared" ca="1" si="3"/>
        <v>87512861.573703676</v>
      </c>
    </row>
    <row r="5" spans="1:23" x14ac:dyDescent="0.2">
      <c r="A5" s="8">
        <f>'Monthly Data'!A5</f>
        <v>42826</v>
      </c>
      <c r="B5">
        <f>YEAR(A5)</f>
        <v>2017</v>
      </c>
      <c r="C5">
        <f>MONTH(A5)</f>
        <v>4</v>
      </c>
      <c r="D5" s="18">
        <f>'Monthly Data'!F5</f>
        <v>73074109.384748533</v>
      </c>
      <c r="E5" s="290">
        <f ca="1">Weather!AO37</f>
        <v>343.18302083333327</v>
      </c>
      <c r="F5" s="290">
        <f ca="1">Weather!BR37</f>
        <v>6.5650000000000031</v>
      </c>
      <c r="G5" s="11">
        <f>'Monthly Data'!G5</f>
        <v>141833</v>
      </c>
      <c r="H5">
        <f>'Monthly Data'!CC5</f>
        <v>0</v>
      </c>
      <c r="I5" s="21">
        <f>'Monthly Data'!CS5</f>
        <v>30</v>
      </c>
      <c r="J5" s="21">
        <f>'Monthly Data'!CK5</f>
        <v>0</v>
      </c>
      <c r="K5" s="21">
        <f t="shared" ca="1" si="1"/>
        <v>0</v>
      </c>
      <c r="L5" s="21">
        <f t="shared" ca="1" si="2"/>
        <v>0</v>
      </c>
      <c r="M5">
        <f>'Monthly Data'!CV5</f>
        <v>0</v>
      </c>
      <c r="N5" s="11">
        <f>'Res Predicted Monthly'!$AB$9</f>
        <v>-154534728.74811399</v>
      </c>
      <c r="O5" s="11">
        <f ca="1">E5*'Res Predicted Monthly'!$AB$10</f>
        <v>21068212.409836546</v>
      </c>
      <c r="P5" s="11">
        <f ca="1">F5*'Res Predicted Monthly'!$AB$11</f>
        <v>1864807.876633371</v>
      </c>
      <c r="Q5" s="11">
        <f>G5*'Res Predicted Monthly'!$AB$12</f>
        <v>139984647.85904449</v>
      </c>
      <c r="R5" s="11">
        <f>H5*'Res Predicted Monthly'!$AB$13</f>
        <v>0</v>
      </c>
      <c r="S5" s="11">
        <f>I5*'Res Predicted Monthly'!$AB$14</f>
        <v>67794305.5115688</v>
      </c>
      <c r="T5" s="11">
        <f>J5*'Res Predicted Monthly'!$AB$15</f>
        <v>0</v>
      </c>
      <c r="U5" s="11">
        <f ca="1">K5*'Res Predicted Monthly'!$AB$16</f>
        <v>0</v>
      </c>
      <c r="V5" s="11">
        <f ca="1">L5*'Res Predicted Monthly'!$AB$17</f>
        <v>0</v>
      </c>
      <c r="W5" s="18">
        <f t="shared" ca="1" si="3"/>
        <v>76177244.908969223</v>
      </c>
    </row>
    <row r="6" spans="1:23" x14ac:dyDescent="0.2">
      <c r="A6" s="8">
        <f>'Monthly Data'!A6</f>
        <v>42856</v>
      </c>
      <c r="B6">
        <f t="shared" ref="B6:B61" si="4">YEAR(A6)</f>
        <v>2017</v>
      </c>
      <c r="C6">
        <f t="shared" ref="C6:C61" si="5">MONTH(A6)</f>
        <v>5</v>
      </c>
      <c r="D6" s="18">
        <f>'Monthly Data'!F6</f>
        <v>74177213.18329601</v>
      </c>
      <c r="E6" s="290">
        <f ca="1">Weather!AO38</f>
        <v>146.15645833333332</v>
      </c>
      <c r="F6" s="290">
        <f ca="1">Weather!BR38</f>
        <v>59.300416666666649</v>
      </c>
      <c r="G6" s="11">
        <f>'Monthly Data'!G6</f>
        <v>141997</v>
      </c>
      <c r="H6">
        <f>'Monthly Data'!CC6</f>
        <v>0</v>
      </c>
      <c r="I6" s="21">
        <f>'Monthly Data'!CS6</f>
        <v>31</v>
      </c>
      <c r="J6" s="21">
        <f>'Monthly Data'!CK6</f>
        <v>1</v>
      </c>
      <c r="K6" s="21">
        <f t="shared" ca="1" si="1"/>
        <v>0</v>
      </c>
      <c r="L6" s="21">
        <f t="shared" ca="1" si="2"/>
        <v>0</v>
      </c>
      <c r="M6">
        <f>'Monthly Data'!CV6</f>
        <v>0</v>
      </c>
      <c r="N6" s="11">
        <f>'Res Predicted Monthly'!$AB$9</f>
        <v>-154534728.74811399</v>
      </c>
      <c r="O6" s="11">
        <f ca="1">E6*'Res Predicted Monthly'!$AB$10</f>
        <v>8972633.033414349</v>
      </c>
      <c r="P6" s="11">
        <f ca="1">F6*'Res Predicted Monthly'!$AB$11</f>
        <v>16844460.637873683</v>
      </c>
      <c r="Q6" s="11">
        <f>G6*'Res Predicted Monthly'!$AB$12</f>
        <v>140146510.62898439</v>
      </c>
      <c r="R6" s="11">
        <f>H6*'Res Predicted Monthly'!$AB$13</f>
        <v>0</v>
      </c>
      <c r="S6" s="11">
        <f>I6*'Res Predicted Monthly'!$AB$14</f>
        <v>70054115.695287749</v>
      </c>
      <c r="T6" s="11">
        <f>J6*'Res Predicted Monthly'!$AB$15</f>
        <v>-2784507.8509929599</v>
      </c>
      <c r="U6" s="11">
        <f ca="1">K6*'Res Predicted Monthly'!$AB$16</f>
        <v>0</v>
      </c>
      <c r="V6" s="11">
        <f ca="1">L6*'Res Predicted Monthly'!$AB$17</f>
        <v>0</v>
      </c>
      <c r="W6" s="18">
        <f t="shared" ca="1" si="3"/>
        <v>78698483.396453232</v>
      </c>
    </row>
    <row r="7" spans="1:23" x14ac:dyDescent="0.2">
      <c r="A7" s="8">
        <f>'Monthly Data'!A7</f>
        <v>42887</v>
      </c>
      <c r="B7">
        <f t="shared" si="4"/>
        <v>2017</v>
      </c>
      <c r="C7">
        <f t="shared" si="5"/>
        <v>6</v>
      </c>
      <c r="D7" s="18">
        <f>'Monthly Data'!F7</f>
        <v>91127350.981843486</v>
      </c>
      <c r="E7" s="290">
        <f ca="1">Weather!AO39</f>
        <v>29.335416666666674</v>
      </c>
      <c r="F7" s="290">
        <f ca="1">Weather!BR39</f>
        <v>157.17000000000002</v>
      </c>
      <c r="G7" s="11">
        <f>'Monthly Data'!G7</f>
        <v>142062</v>
      </c>
      <c r="H7">
        <f>'Monthly Data'!CC7</f>
        <v>0</v>
      </c>
      <c r="I7" s="21">
        <f>'Monthly Data'!CS7</f>
        <v>30</v>
      </c>
      <c r="J7" s="21">
        <f>'Monthly Data'!CK7</f>
        <v>1</v>
      </c>
      <c r="K7" s="21">
        <f t="shared" ca="1" si="1"/>
        <v>0</v>
      </c>
      <c r="L7" s="21">
        <f t="shared" ca="1" si="2"/>
        <v>0</v>
      </c>
      <c r="M7">
        <f>'Monthly Data'!CV7</f>
        <v>0</v>
      </c>
      <c r="N7" s="11">
        <f>'Res Predicted Monthly'!$AB$9</f>
        <v>-154534728.74811399</v>
      </c>
      <c r="O7" s="11">
        <f ca="1">E7*'Res Predicted Monthly'!$AB$10</f>
        <v>1800918.903166092</v>
      </c>
      <c r="P7" s="11">
        <f ca="1">F7*'Res Predicted Monthly'!$AB$11</f>
        <v>44644608.373262271</v>
      </c>
      <c r="Q7" s="11">
        <f>G7*'Res Predicted Monthly'!$AB$12</f>
        <v>140210663.55609471</v>
      </c>
      <c r="R7" s="11">
        <f>H7*'Res Predicted Monthly'!$AB$13</f>
        <v>0</v>
      </c>
      <c r="S7" s="11">
        <f>I7*'Res Predicted Monthly'!$AB$14</f>
        <v>67794305.5115688</v>
      </c>
      <c r="T7" s="11">
        <f>J7*'Res Predicted Monthly'!$AB$15</f>
        <v>-2784507.8509929599</v>
      </c>
      <c r="U7" s="11">
        <f ca="1">K7*'Res Predicted Monthly'!$AB$16</f>
        <v>0</v>
      </c>
      <c r="V7" s="11">
        <f ca="1">L7*'Res Predicted Monthly'!$AB$17</f>
        <v>0</v>
      </c>
      <c r="W7" s="18">
        <f t="shared" ca="1" si="3"/>
        <v>97131259.74498491</v>
      </c>
    </row>
    <row r="8" spans="1:23" x14ac:dyDescent="0.2">
      <c r="A8" s="8">
        <f>'Monthly Data'!A8</f>
        <v>42917</v>
      </c>
      <c r="B8">
        <f t="shared" si="4"/>
        <v>2017</v>
      </c>
      <c r="C8">
        <f t="shared" si="5"/>
        <v>7</v>
      </c>
      <c r="D8" s="18">
        <f>'Monthly Data'!F8</f>
        <v>108227347.78039098</v>
      </c>
      <c r="E8" s="290">
        <f ca="1">Weather!AO40</f>
        <v>1.6731249999999993</v>
      </c>
      <c r="F8" s="290">
        <f ca="1">Weather!BR40</f>
        <v>231.27145833333333</v>
      </c>
      <c r="G8" s="11">
        <f>'Monthly Data'!G8</f>
        <v>142175</v>
      </c>
      <c r="H8">
        <f>'Monthly Data'!CC8</f>
        <v>0</v>
      </c>
      <c r="I8" s="21">
        <f>'Monthly Data'!CS8</f>
        <v>31</v>
      </c>
      <c r="J8" s="21">
        <f>'Monthly Data'!CK8</f>
        <v>1</v>
      </c>
      <c r="K8" s="21">
        <f t="shared" ca="1" si="1"/>
        <v>0</v>
      </c>
      <c r="L8" s="21">
        <f t="shared" ca="1" si="2"/>
        <v>0</v>
      </c>
      <c r="M8">
        <f>'Monthly Data'!CV8</f>
        <v>0</v>
      </c>
      <c r="N8" s="11">
        <f>'Res Predicted Monthly'!$AB$9</f>
        <v>-154534728.74811399</v>
      </c>
      <c r="O8" s="11">
        <f ca="1">E8*'Res Predicted Monthly'!$AB$10</f>
        <v>102714.15177421259</v>
      </c>
      <c r="P8" s="11">
        <f ca="1">F8*'Res Predicted Monthly'!$AB$11</f>
        <v>65693349.145542458</v>
      </c>
      <c r="Q8" s="11">
        <f>G8*'Res Predicted Monthly'!$AB$12</f>
        <v>140322190.95245573</v>
      </c>
      <c r="R8" s="11">
        <f>H8*'Res Predicted Monthly'!$AB$13</f>
        <v>0</v>
      </c>
      <c r="S8" s="11">
        <f>I8*'Res Predicted Monthly'!$AB$14</f>
        <v>70054115.695287749</v>
      </c>
      <c r="T8" s="11">
        <f>J8*'Res Predicted Monthly'!$AB$15</f>
        <v>-2784507.8509929599</v>
      </c>
      <c r="U8" s="11">
        <f ca="1">K8*'Res Predicted Monthly'!$AB$16</f>
        <v>0</v>
      </c>
      <c r="V8" s="11">
        <f ca="1">L8*'Res Predicted Monthly'!$AB$17</f>
        <v>0</v>
      </c>
      <c r="W8" s="18">
        <f t="shared" ca="1" si="3"/>
        <v>118853133.34595318</v>
      </c>
    </row>
    <row r="9" spans="1:23" x14ac:dyDescent="0.2">
      <c r="A9" s="8">
        <f>'Monthly Data'!A9</f>
        <v>42948</v>
      </c>
      <c r="B9">
        <f t="shared" si="4"/>
        <v>2017</v>
      </c>
      <c r="C9">
        <f t="shared" si="5"/>
        <v>8</v>
      </c>
      <c r="D9" s="18">
        <f>'Monthly Data'!F9</f>
        <v>95371179.578938454</v>
      </c>
      <c r="E9" s="290">
        <f ca="1">Weather!AO41</f>
        <v>7.1606250000000005</v>
      </c>
      <c r="F9" s="290">
        <f ca="1">Weather!BR41</f>
        <v>196.13625000000002</v>
      </c>
      <c r="G9" s="11">
        <f>'Monthly Data'!G9</f>
        <v>142403</v>
      </c>
      <c r="H9">
        <f>'Monthly Data'!CC9</f>
        <v>0</v>
      </c>
      <c r="I9" s="21">
        <f>'Monthly Data'!CS9</f>
        <v>31</v>
      </c>
      <c r="J9" s="21">
        <f>'Monthly Data'!CK9</f>
        <v>1</v>
      </c>
      <c r="K9" s="21">
        <f t="shared" ca="1" si="1"/>
        <v>0</v>
      </c>
      <c r="L9" s="21">
        <f t="shared" ca="1" si="2"/>
        <v>0</v>
      </c>
      <c r="M9">
        <f>'Monthly Data'!CV9</f>
        <v>0</v>
      </c>
      <c r="N9" s="11">
        <f>'Res Predicted Monthly'!$AB$9</f>
        <v>-154534728.74811399</v>
      </c>
      <c r="O9" s="11">
        <f ca="1">E9*'Res Predicted Monthly'!$AB$10</f>
        <v>439595.08288276213</v>
      </c>
      <c r="P9" s="11">
        <f ca="1">F9*'Res Predicted Monthly'!$AB$11</f>
        <v>55713088.178725339</v>
      </c>
      <c r="Q9" s="11">
        <f>G9*'Res Predicted Monthly'!$AB$12</f>
        <v>140547219.68139654</v>
      </c>
      <c r="R9" s="11">
        <f>H9*'Res Predicted Monthly'!$AB$13</f>
        <v>0</v>
      </c>
      <c r="S9" s="11">
        <f>I9*'Res Predicted Monthly'!$AB$14</f>
        <v>70054115.695287749</v>
      </c>
      <c r="T9" s="11">
        <f>J9*'Res Predicted Monthly'!$AB$15</f>
        <v>-2784507.8509929599</v>
      </c>
      <c r="U9" s="11">
        <f ca="1">K9*'Res Predicted Monthly'!$AB$16</f>
        <v>0</v>
      </c>
      <c r="V9" s="11">
        <f ca="1">L9*'Res Predicted Monthly'!$AB$17</f>
        <v>0</v>
      </c>
      <c r="W9" s="18">
        <f t="shared" ca="1" si="3"/>
        <v>109434782.03918543</v>
      </c>
    </row>
    <row r="10" spans="1:23" x14ac:dyDescent="0.2">
      <c r="A10" s="8">
        <f>'Monthly Data'!A10</f>
        <v>42979</v>
      </c>
      <c r="B10">
        <f t="shared" si="4"/>
        <v>2017</v>
      </c>
      <c r="C10">
        <f t="shared" si="5"/>
        <v>9</v>
      </c>
      <c r="D10" s="18">
        <f>'Monthly Data'!F10</f>
        <v>89157887.377485931</v>
      </c>
      <c r="E10" s="290">
        <f ca="1">Weather!AO42</f>
        <v>56.160416666666663</v>
      </c>
      <c r="F10" s="290">
        <f ca="1">Weather!BR42</f>
        <v>104.19854166666664</v>
      </c>
      <c r="G10" s="11">
        <f>'Monthly Data'!G10</f>
        <v>142513</v>
      </c>
      <c r="H10">
        <f>'Monthly Data'!CC10</f>
        <v>0</v>
      </c>
      <c r="I10" s="21">
        <f>'Monthly Data'!CS10</f>
        <v>30</v>
      </c>
      <c r="J10" s="21">
        <f>'Monthly Data'!CK10</f>
        <v>0</v>
      </c>
      <c r="K10" s="21">
        <f t="shared" ca="1" si="1"/>
        <v>0</v>
      </c>
      <c r="L10" s="21">
        <f t="shared" ca="1" si="2"/>
        <v>0</v>
      </c>
      <c r="M10">
        <f>'Monthly Data'!CV10</f>
        <v>0</v>
      </c>
      <c r="N10" s="11">
        <f>'Res Predicted Monthly'!$AB$9</f>
        <v>-154534728.74811399</v>
      </c>
      <c r="O10" s="11">
        <f ca="1">E10*'Res Predicted Monthly'!$AB$10</f>
        <v>3447721.8146898891</v>
      </c>
      <c r="P10" s="11">
        <f ca="1">F10*'Res Predicted Monthly'!$AB$11</f>
        <v>29597907.270938363</v>
      </c>
      <c r="Q10" s="11">
        <f>G10*'Res Predicted Monthly'!$AB$12</f>
        <v>140655786.17342937</v>
      </c>
      <c r="R10" s="11">
        <f>H10*'Res Predicted Monthly'!$AB$13</f>
        <v>0</v>
      </c>
      <c r="S10" s="11">
        <f>I10*'Res Predicted Monthly'!$AB$14</f>
        <v>67794305.5115688</v>
      </c>
      <c r="T10" s="11">
        <f>J10*'Res Predicted Monthly'!$AB$15</f>
        <v>0</v>
      </c>
      <c r="U10" s="11">
        <f ca="1">K10*'Res Predicted Monthly'!$AB$16</f>
        <v>0</v>
      </c>
      <c r="V10" s="11">
        <f ca="1">L10*'Res Predicted Monthly'!$AB$17</f>
        <v>0</v>
      </c>
      <c r="W10" s="18">
        <f t="shared" ca="1" si="3"/>
        <v>86960992.022512421</v>
      </c>
    </row>
    <row r="11" spans="1:23" x14ac:dyDescent="0.2">
      <c r="A11" s="8">
        <f>'Monthly Data'!A11</f>
        <v>43009</v>
      </c>
      <c r="B11">
        <f t="shared" si="4"/>
        <v>2017</v>
      </c>
      <c r="C11">
        <f t="shared" si="5"/>
        <v>10</v>
      </c>
      <c r="D11" s="18">
        <f>'Monthly Data'!F11</f>
        <v>77506626.176033407</v>
      </c>
      <c r="E11" s="290">
        <f ca="1">Weather!AO43</f>
        <v>229.16187499999995</v>
      </c>
      <c r="F11" s="290">
        <f ca="1">Weather!BR43</f>
        <v>24.703125000000007</v>
      </c>
      <c r="G11" s="11">
        <f>'Monthly Data'!G11</f>
        <v>142654</v>
      </c>
      <c r="H11">
        <f>'Monthly Data'!CC11</f>
        <v>0</v>
      </c>
      <c r="I11" s="21">
        <f>'Monthly Data'!CS11</f>
        <v>31</v>
      </c>
      <c r="J11" s="21">
        <f>'Monthly Data'!CK11</f>
        <v>0</v>
      </c>
      <c r="K11" s="21">
        <f t="shared" ca="1" si="1"/>
        <v>0</v>
      </c>
      <c r="L11" s="21">
        <f t="shared" ca="1" si="2"/>
        <v>0</v>
      </c>
      <c r="M11">
        <f>'Monthly Data'!CV11</f>
        <v>0</v>
      </c>
      <c r="N11" s="11">
        <f>'Res Predicted Monthly'!$AB$9</f>
        <v>-154534728.74811399</v>
      </c>
      <c r="O11" s="11">
        <f ca="1">E11*'Res Predicted Monthly'!$AB$10</f>
        <v>14068385.571677633</v>
      </c>
      <c r="P11" s="11">
        <f ca="1">F11*'Res Predicted Monthly'!$AB$11</f>
        <v>7016996.5083714752</v>
      </c>
      <c r="Q11" s="11">
        <f>G11*'Res Predicted Monthly'!$AB$12</f>
        <v>140794948.6768533</v>
      </c>
      <c r="R11" s="11">
        <f>H11*'Res Predicted Monthly'!$AB$13</f>
        <v>0</v>
      </c>
      <c r="S11" s="11">
        <f>I11*'Res Predicted Monthly'!$AB$14</f>
        <v>70054115.695287749</v>
      </c>
      <c r="T11" s="11">
        <f>J11*'Res Predicted Monthly'!$AB$15</f>
        <v>0</v>
      </c>
      <c r="U11" s="11">
        <f ca="1">K11*'Res Predicted Monthly'!$AB$16</f>
        <v>0</v>
      </c>
      <c r="V11" s="11">
        <f ca="1">L11*'Res Predicted Monthly'!$AB$17</f>
        <v>0</v>
      </c>
      <c r="W11" s="18">
        <f t="shared" ca="1" si="3"/>
        <v>77399717.704076156</v>
      </c>
    </row>
    <row r="12" spans="1:23" x14ac:dyDescent="0.2">
      <c r="A12" s="8">
        <f>'Monthly Data'!A12</f>
        <v>43040</v>
      </c>
      <c r="B12">
        <f t="shared" si="4"/>
        <v>2017</v>
      </c>
      <c r="C12">
        <f t="shared" si="5"/>
        <v>11</v>
      </c>
      <c r="D12" s="18">
        <f>'Monthly Data'!F12</f>
        <v>84425507.974580884</v>
      </c>
      <c r="E12" s="290">
        <f ca="1">Weather!AO44</f>
        <v>422.06333333333333</v>
      </c>
      <c r="F12" s="290">
        <f ca="1">Weather!BR44</f>
        <v>1.6454166666666665</v>
      </c>
      <c r="G12" s="11">
        <f>'Monthly Data'!G12</f>
        <v>142883</v>
      </c>
      <c r="H12">
        <f>'Monthly Data'!CC12</f>
        <v>0</v>
      </c>
      <c r="I12" s="21">
        <f>'Monthly Data'!CS12</f>
        <v>30</v>
      </c>
      <c r="J12" s="21">
        <f>'Monthly Data'!CK12</f>
        <v>0</v>
      </c>
      <c r="K12" s="21">
        <f t="shared" ca="1" si="1"/>
        <v>0</v>
      </c>
      <c r="L12" s="21">
        <f t="shared" ca="1" si="2"/>
        <v>0</v>
      </c>
      <c r="M12">
        <f>'Monthly Data'!CV12</f>
        <v>0</v>
      </c>
      <c r="N12" s="11">
        <f>'Res Predicted Monthly'!$AB$9</f>
        <v>-154534728.74811399</v>
      </c>
      <c r="O12" s="11">
        <f ca="1">E12*'Res Predicted Monthly'!$AB$10</f>
        <v>25910722.318015747</v>
      </c>
      <c r="P12" s="11">
        <f ca="1">F12*'Res Predicted Monthly'!$AB$11</f>
        <v>467385.52328161825</v>
      </c>
      <c r="Q12" s="11">
        <f>G12*'Res Predicted Monthly'!$AB$12</f>
        <v>141020964.37390351</v>
      </c>
      <c r="R12" s="11">
        <f>H12*'Res Predicted Monthly'!$AB$13</f>
        <v>0</v>
      </c>
      <c r="S12" s="11">
        <f>I12*'Res Predicted Monthly'!$AB$14</f>
        <v>67794305.5115688</v>
      </c>
      <c r="T12" s="11">
        <f>J12*'Res Predicted Monthly'!$AB$15</f>
        <v>0</v>
      </c>
      <c r="U12" s="11">
        <f ca="1">K12*'Res Predicted Monthly'!$AB$16</f>
        <v>0</v>
      </c>
      <c r="V12" s="11">
        <f ca="1">L12*'Res Predicted Monthly'!$AB$17</f>
        <v>0</v>
      </c>
      <c r="W12" s="18">
        <f t="shared" ca="1" si="3"/>
        <v>80658648.978655696</v>
      </c>
    </row>
    <row r="13" spans="1:23" x14ac:dyDescent="0.2">
      <c r="A13" s="8">
        <f>'Monthly Data'!A13</f>
        <v>43070</v>
      </c>
      <c r="B13">
        <f t="shared" si="4"/>
        <v>2017</v>
      </c>
      <c r="C13">
        <f t="shared" si="5"/>
        <v>12</v>
      </c>
      <c r="D13" s="18">
        <f>'Monthly Data'!F13</f>
        <v>102733791.77312838</v>
      </c>
      <c r="E13" s="290">
        <f ca="1">Weather!AO45</f>
        <v>591.99583333333339</v>
      </c>
      <c r="F13" s="290">
        <f ca="1">Weather!BR45</f>
        <v>0</v>
      </c>
      <c r="G13" s="11">
        <f>'Monthly Data'!G13</f>
        <v>143018</v>
      </c>
      <c r="H13">
        <f>'Monthly Data'!CC13</f>
        <v>1</v>
      </c>
      <c r="I13" s="21">
        <f>'Monthly Data'!CS13</f>
        <v>31</v>
      </c>
      <c r="J13" s="21">
        <f>'Monthly Data'!CK13</f>
        <v>0</v>
      </c>
      <c r="K13" s="21">
        <f t="shared" ca="1" si="1"/>
        <v>0</v>
      </c>
      <c r="L13" s="21">
        <f t="shared" ca="1" si="2"/>
        <v>0</v>
      </c>
      <c r="M13">
        <f>'Monthly Data'!CV13</f>
        <v>0</v>
      </c>
      <c r="N13" s="11">
        <f>'Res Predicted Monthly'!$AB$9</f>
        <v>-154534728.74811399</v>
      </c>
      <c r="O13" s="11">
        <f ca="1">E13*'Res Predicted Monthly'!$AB$10</f>
        <v>36342980.873934403</v>
      </c>
      <c r="P13" s="11">
        <f ca="1">F13*'Res Predicted Monthly'!$AB$11</f>
        <v>0</v>
      </c>
      <c r="Q13" s="11">
        <f>G13*'Res Predicted Monthly'!$AB$12</f>
        <v>141154205.06867108</v>
      </c>
      <c r="R13" s="11">
        <f>H13*'Res Predicted Monthly'!$AB$13</f>
        <v>3702152.17603915</v>
      </c>
      <c r="S13" s="11">
        <f>I13*'Res Predicted Monthly'!$AB$14</f>
        <v>70054115.695287749</v>
      </c>
      <c r="T13" s="11">
        <f>J13*'Res Predicted Monthly'!$AB$15</f>
        <v>0</v>
      </c>
      <c r="U13" s="11">
        <f ca="1">K13*'Res Predicted Monthly'!$AB$16</f>
        <v>0</v>
      </c>
      <c r="V13" s="11">
        <f ca="1">L13*'Res Predicted Monthly'!$AB$17</f>
        <v>0</v>
      </c>
      <c r="W13" s="18">
        <f t="shared" ca="1" si="3"/>
        <v>96718725.065818399</v>
      </c>
    </row>
    <row r="14" spans="1:23" x14ac:dyDescent="0.2">
      <c r="A14" s="8">
        <f>'Monthly Data'!A14</f>
        <v>43101</v>
      </c>
      <c r="B14">
        <f t="shared" si="4"/>
        <v>2018</v>
      </c>
      <c r="C14">
        <f t="shared" si="5"/>
        <v>1</v>
      </c>
      <c r="D14" s="18">
        <f>'Monthly Data'!F14</f>
        <v>104765390.03404444</v>
      </c>
      <c r="E14" s="21">
        <f t="shared" ref="E14:F33" ca="1" si="6">E2</f>
        <v>683.09489583333334</v>
      </c>
      <c r="F14" s="21">
        <f t="shared" ca="1" si="6"/>
        <v>0</v>
      </c>
      <c r="G14" s="11">
        <f>'Monthly Data'!G14</f>
        <v>143169</v>
      </c>
      <c r="H14">
        <f>'Monthly Data'!CC14</f>
        <v>0</v>
      </c>
      <c r="I14" s="21">
        <f>'Monthly Data'!CS14</f>
        <v>31</v>
      </c>
      <c r="J14" s="21">
        <f>'Monthly Data'!CK14</f>
        <v>0</v>
      </c>
      <c r="K14" s="21">
        <f t="shared" ca="1" si="1"/>
        <v>0</v>
      </c>
      <c r="L14" s="21">
        <f t="shared" ca="1" si="2"/>
        <v>0</v>
      </c>
      <c r="M14">
        <f>'Monthly Data'!CV14</f>
        <v>0</v>
      </c>
      <c r="N14" s="11">
        <f>'Res Predicted Monthly'!$AB$9</f>
        <v>-154534728.74811399</v>
      </c>
      <c r="O14" s="11">
        <f ca="1">E14*'Res Predicted Monthly'!$AB$10</f>
        <v>41935607.20616509</v>
      </c>
      <c r="P14" s="11">
        <f ca="1">F14*'Res Predicted Monthly'!$AB$11</f>
        <v>0</v>
      </c>
      <c r="Q14" s="11">
        <f>G14*'Res Predicted Monthly'!$AB$12</f>
        <v>141303237.25318891</v>
      </c>
      <c r="R14" s="11">
        <f>H14*'Res Predicted Monthly'!$AB$13</f>
        <v>0</v>
      </c>
      <c r="S14" s="11">
        <f>I14*'Res Predicted Monthly'!$AB$14</f>
        <v>70054115.695287749</v>
      </c>
      <c r="T14" s="11">
        <f>J14*'Res Predicted Monthly'!$AB$15</f>
        <v>0</v>
      </c>
      <c r="U14" s="11">
        <f ca="1">K14*'Res Predicted Monthly'!$AB$16</f>
        <v>0</v>
      </c>
      <c r="V14" s="11">
        <f ca="1">L14*'Res Predicted Monthly'!$AB$17</f>
        <v>0</v>
      </c>
      <c r="W14" s="18">
        <f t="shared" ca="1" si="3"/>
        <v>98758231.406527758</v>
      </c>
    </row>
    <row r="15" spans="1:23" x14ac:dyDescent="0.2">
      <c r="A15" s="8">
        <f>'Monthly Data'!A15</f>
        <v>43132</v>
      </c>
      <c r="B15">
        <f t="shared" si="4"/>
        <v>2018</v>
      </c>
      <c r="C15">
        <f t="shared" si="5"/>
        <v>2</v>
      </c>
      <c r="D15" s="18">
        <f>'Monthly Data'!F15</f>
        <v>87909194.787768081</v>
      </c>
      <c r="E15" s="21">
        <f t="shared" ca="1" si="6"/>
        <v>589.85491666666678</v>
      </c>
      <c r="F15" s="21">
        <f t="shared" ca="1" si="6"/>
        <v>0</v>
      </c>
      <c r="G15" s="11">
        <f>'Monthly Data'!G15</f>
        <v>143313</v>
      </c>
      <c r="H15">
        <f>'Monthly Data'!CC15</f>
        <v>0</v>
      </c>
      <c r="I15" s="21">
        <f>'Monthly Data'!CS15</f>
        <v>28</v>
      </c>
      <c r="J15" s="21">
        <f>'Monthly Data'!CK15</f>
        <v>0</v>
      </c>
      <c r="K15" s="21">
        <f t="shared" ca="1" si="1"/>
        <v>0</v>
      </c>
      <c r="L15" s="21">
        <f t="shared" ca="1" si="2"/>
        <v>0</v>
      </c>
      <c r="M15">
        <f>'Monthly Data'!CV15</f>
        <v>0</v>
      </c>
      <c r="N15" s="11">
        <f>'Res Predicted Monthly'!$AB$9</f>
        <v>-154534728.74811399</v>
      </c>
      <c r="O15" s="11">
        <f ca="1">E15*'Res Predicted Monthly'!$AB$10</f>
        <v>36211548.709908441</v>
      </c>
      <c r="P15" s="11">
        <f ca="1">F15*'Res Predicted Monthly'!$AB$11</f>
        <v>0</v>
      </c>
      <c r="Q15" s="11">
        <f>G15*'Res Predicted Monthly'!$AB$12</f>
        <v>141445360.660941</v>
      </c>
      <c r="R15" s="11">
        <f>H15*'Res Predicted Monthly'!$AB$13</f>
        <v>0</v>
      </c>
      <c r="S15" s="11">
        <f>I15*'Res Predicted Monthly'!$AB$14</f>
        <v>63274685.144130871</v>
      </c>
      <c r="T15" s="11">
        <f>J15*'Res Predicted Monthly'!$AB$15</f>
        <v>0</v>
      </c>
      <c r="U15" s="11">
        <f ca="1">K15*'Res Predicted Monthly'!$AB$16</f>
        <v>0</v>
      </c>
      <c r="V15" s="11">
        <f ca="1">L15*'Res Predicted Monthly'!$AB$17</f>
        <v>0</v>
      </c>
      <c r="W15" s="18">
        <f t="shared" ca="1" si="3"/>
        <v>86396865.766866326</v>
      </c>
    </row>
    <row r="16" spans="1:23" x14ac:dyDescent="0.2">
      <c r="A16" s="8">
        <f>'Monthly Data'!A16</f>
        <v>43160</v>
      </c>
      <c r="B16">
        <f t="shared" si="4"/>
        <v>2018</v>
      </c>
      <c r="C16">
        <f t="shared" si="5"/>
        <v>3</v>
      </c>
      <c r="D16" s="18">
        <f>'Monthly Data'!F16</f>
        <v>91818531.541491702</v>
      </c>
      <c r="E16" s="21">
        <f t="shared" ca="1" si="6"/>
        <v>522.20004166666672</v>
      </c>
      <c r="F16" s="21">
        <f t="shared" ca="1" si="6"/>
        <v>0</v>
      </c>
      <c r="G16" s="11">
        <f>'Monthly Data'!G16</f>
        <v>143415</v>
      </c>
      <c r="H16">
        <f>'Monthly Data'!CC16</f>
        <v>0</v>
      </c>
      <c r="I16" s="21">
        <f>'Monthly Data'!CS16</f>
        <v>31</v>
      </c>
      <c r="J16" s="21">
        <f>'Monthly Data'!CK16</f>
        <v>0</v>
      </c>
      <c r="K16" s="21">
        <f t="shared" ca="1" si="1"/>
        <v>0</v>
      </c>
      <c r="L16" s="21">
        <f t="shared" ca="1" si="2"/>
        <v>0</v>
      </c>
      <c r="M16">
        <f>'Monthly Data'!CV16</f>
        <v>0</v>
      </c>
      <c r="N16" s="11">
        <f>'Res Predicted Monthly'!$AB$9</f>
        <v>-154534728.74811399</v>
      </c>
      <c r="O16" s="11">
        <f ca="1">E16*'Res Predicted Monthly'!$AB$10</f>
        <v>32058175.172954902</v>
      </c>
      <c r="P16" s="11">
        <f ca="1">F16*'Res Predicted Monthly'!$AB$11</f>
        <v>0</v>
      </c>
      <c r="Q16" s="11">
        <f>G16*'Res Predicted Monthly'!$AB$12</f>
        <v>141546031.40809873</v>
      </c>
      <c r="R16" s="11">
        <f>H16*'Res Predicted Monthly'!$AB$13</f>
        <v>0</v>
      </c>
      <c r="S16" s="11">
        <f>I16*'Res Predicted Monthly'!$AB$14</f>
        <v>70054115.695287749</v>
      </c>
      <c r="T16" s="11">
        <f>J16*'Res Predicted Monthly'!$AB$15</f>
        <v>0</v>
      </c>
      <c r="U16" s="11">
        <f ca="1">K16*'Res Predicted Monthly'!$AB$16</f>
        <v>0</v>
      </c>
      <c r="V16" s="11">
        <f ca="1">L16*'Res Predicted Monthly'!$AB$17</f>
        <v>0</v>
      </c>
      <c r="W16" s="18">
        <f t="shared" ca="1" si="3"/>
        <v>89123593.528227389</v>
      </c>
    </row>
    <row r="17" spans="1:23" x14ac:dyDescent="0.2">
      <c r="A17" s="8">
        <f>'Monthly Data'!A17</f>
        <v>43191</v>
      </c>
      <c r="B17">
        <f t="shared" si="4"/>
        <v>2018</v>
      </c>
      <c r="C17">
        <f t="shared" si="5"/>
        <v>4</v>
      </c>
      <c r="D17" s="18">
        <f>'Monthly Data'!F17</f>
        <v>83778021.295215338</v>
      </c>
      <c r="E17" s="21">
        <f t="shared" ca="1" si="6"/>
        <v>343.18302083333327</v>
      </c>
      <c r="F17" s="21">
        <f t="shared" ca="1" si="6"/>
        <v>6.5650000000000031</v>
      </c>
      <c r="G17" s="11">
        <f>'Monthly Data'!G17</f>
        <v>143508</v>
      </c>
      <c r="H17">
        <f>'Monthly Data'!CC17</f>
        <v>0</v>
      </c>
      <c r="I17" s="21">
        <f>'Monthly Data'!CS17</f>
        <v>30</v>
      </c>
      <c r="J17" s="21">
        <f>'Monthly Data'!CK17</f>
        <v>0</v>
      </c>
      <c r="K17" s="21">
        <f t="shared" ca="1" si="1"/>
        <v>0</v>
      </c>
      <c r="L17" s="21">
        <f t="shared" ca="1" si="2"/>
        <v>0</v>
      </c>
      <c r="M17">
        <f>'Monthly Data'!CV17</f>
        <v>0</v>
      </c>
      <c r="N17" s="11">
        <f>'Res Predicted Monthly'!$AB$9</f>
        <v>-154534728.74811399</v>
      </c>
      <c r="O17" s="11">
        <f ca="1">E17*'Res Predicted Monthly'!$AB$10</f>
        <v>21068212.409836546</v>
      </c>
      <c r="P17" s="11">
        <f ca="1">F17*'Res Predicted Monthly'!$AB$11</f>
        <v>1864807.876633371</v>
      </c>
      <c r="Q17" s="11">
        <f>G17*'Res Predicted Monthly'!$AB$12</f>
        <v>141637819.44227195</v>
      </c>
      <c r="R17" s="11">
        <f>H17*'Res Predicted Monthly'!$AB$13</f>
        <v>0</v>
      </c>
      <c r="S17" s="11">
        <f>I17*'Res Predicted Monthly'!$AB$14</f>
        <v>67794305.5115688</v>
      </c>
      <c r="T17" s="11">
        <f>J17*'Res Predicted Monthly'!$AB$15</f>
        <v>0</v>
      </c>
      <c r="U17" s="11">
        <f ca="1">K17*'Res Predicted Monthly'!$AB$16</f>
        <v>0</v>
      </c>
      <c r="V17" s="11">
        <f ca="1">L17*'Res Predicted Monthly'!$AB$17</f>
        <v>0</v>
      </c>
      <c r="W17" s="18">
        <f t="shared" ca="1" si="3"/>
        <v>77830416.492196679</v>
      </c>
    </row>
    <row r="18" spans="1:23" x14ac:dyDescent="0.2">
      <c r="A18" s="8">
        <f>'Monthly Data'!A18</f>
        <v>43221</v>
      </c>
      <c r="B18">
        <f t="shared" si="4"/>
        <v>2018</v>
      </c>
      <c r="C18">
        <f t="shared" si="5"/>
        <v>5</v>
      </c>
      <c r="D18" s="18">
        <f>'Monthly Data'!F18</f>
        <v>84852159.04893896</v>
      </c>
      <c r="E18" s="21">
        <f t="shared" ca="1" si="6"/>
        <v>146.15645833333332</v>
      </c>
      <c r="F18" s="21">
        <f t="shared" ca="1" si="6"/>
        <v>59.300416666666649</v>
      </c>
      <c r="G18" s="11">
        <f>'Monthly Data'!G18</f>
        <v>143726</v>
      </c>
      <c r="H18">
        <f>'Monthly Data'!CC18</f>
        <v>0</v>
      </c>
      <c r="I18" s="21">
        <f>'Monthly Data'!CS18</f>
        <v>31</v>
      </c>
      <c r="J18" s="21">
        <f>'Monthly Data'!CK18</f>
        <v>1</v>
      </c>
      <c r="K18" s="21">
        <f t="shared" ca="1" si="1"/>
        <v>0</v>
      </c>
      <c r="L18" s="21">
        <f t="shared" ca="1" si="2"/>
        <v>0</v>
      </c>
      <c r="M18">
        <f>'Monthly Data'!CV18</f>
        <v>0</v>
      </c>
      <c r="N18" s="11">
        <f>'Res Predicted Monthly'!$AB$9</f>
        <v>-154534728.74811399</v>
      </c>
      <c r="O18" s="11">
        <f ca="1">E18*'Res Predicted Monthly'!$AB$10</f>
        <v>8972633.033414349</v>
      </c>
      <c r="P18" s="11">
        <f ca="1">F18*'Res Predicted Monthly'!$AB$11</f>
        <v>16844460.637873683</v>
      </c>
      <c r="Q18" s="11">
        <f>G18*'Res Predicted Monthly'!$AB$12</f>
        <v>141852978.49011886</v>
      </c>
      <c r="R18" s="11">
        <f>H18*'Res Predicted Monthly'!$AB$13</f>
        <v>0</v>
      </c>
      <c r="S18" s="11">
        <f>I18*'Res Predicted Monthly'!$AB$14</f>
        <v>70054115.695287749</v>
      </c>
      <c r="T18" s="11">
        <f>J18*'Res Predicted Monthly'!$AB$15</f>
        <v>-2784507.8509929599</v>
      </c>
      <c r="U18" s="11">
        <f ca="1">K18*'Res Predicted Monthly'!$AB$16</f>
        <v>0</v>
      </c>
      <c r="V18" s="11">
        <f ca="1">L18*'Res Predicted Monthly'!$AB$17</f>
        <v>0</v>
      </c>
      <c r="W18" s="18">
        <f t="shared" ca="1" si="3"/>
        <v>80404951.257587701</v>
      </c>
    </row>
    <row r="19" spans="1:23" x14ac:dyDescent="0.2">
      <c r="A19" s="8">
        <f>'Monthly Data'!A19</f>
        <v>43252</v>
      </c>
      <c r="B19">
        <f t="shared" si="4"/>
        <v>2018</v>
      </c>
      <c r="C19">
        <f t="shared" si="5"/>
        <v>6</v>
      </c>
      <c r="D19" s="18">
        <f>'Monthly Data'!F19</f>
        <v>96396686.802662596</v>
      </c>
      <c r="E19" s="21">
        <f t="shared" ca="1" si="6"/>
        <v>29.335416666666674</v>
      </c>
      <c r="F19" s="21">
        <f t="shared" ca="1" si="6"/>
        <v>157.17000000000002</v>
      </c>
      <c r="G19" s="11">
        <f>'Monthly Data'!G19</f>
        <v>143830</v>
      </c>
      <c r="H19">
        <f>'Monthly Data'!CC19</f>
        <v>0</v>
      </c>
      <c r="I19" s="21">
        <f>'Monthly Data'!CS19</f>
        <v>30</v>
      </c>
      <c r="J19" s="21">
        <f>'Monthly Data'!CK19</f>
        <v>1</v>
      </c>
      <c r="K19" s="21">
        <f t="shared" ca="1" si="1"/>
        <v>0</v>
      </c>
      <c r="L19" s="21">
        <f t="shared" ca="1" si="2"/>
        <v>0</v>
      </c>
      <c r="M19">
        <f>'Monthly Data'!CV19</f>
        <v>0</v>
      </c>
      <c r="N19" s="11">
        <f>'Res Predicted Monthly'!$AB$9</f>
        <v>-154534728.74811399</v>
      </c>
      <c r="O19" s="11">
        <f ca="1">E19*'Res Predicted Monthly'!$AB$10</f>
        <v>1800918.903166092</v>
      </c>
      <c r="P19" s="11">
        <f ca="1">F19*'Res Predicted Monthly'!$AB$11</f>
        <v>44644608.373262271</v>
      </c>
      <c r="Q19" s="11">
        <f>G19*'Res Predicted Monthly'!$AB$12</f>
        <v>141955623.17349538</v>
      </c>
      <c r="R19" s="11">
        <f>H19*'Res Predicted Monthly'!$AB$13</f>
        <v>0</v>
      </c>
      <c r="S19" s="11">
        <f>I19*'Res Predicted Monthly'!$AB$14</f>
        <v>67794305.5115688</v>
      </c>
      <c r="T19" s="11">
        <f>J19*'Res Predicted Monthly'!$AB$15</f>
        <v>-2784507.8509929599</v>
      </c>
      <c r="U19" s="11">
        <f ca="1">K19*'Res Predicted Monthly'!$AB$16</f>
        <v>0</v>
      </c>
      <c r="V19" s="11">
        <f ca="1">L19*'Res Predicted Monthly'!$AB$17</f>
        <v>0</v>
      </c>
      <c r="W19" s="18">
        <f t="shared" ca="1" si="3"/>
        <v>98876219.362385586</v>
      </c>
    </row>
    <row r="20" spans="1:23" x14ac:dyDescent="0.2">
      <c r="A20" s="8">
        <f>'Monthly Data'!A20</f>
        <v>43282</v>
      </c>
      <c r="B20">
        <f t="shared" si="4"/>
        <v>2018</v>
      </c>
      <c r="C20">
        <f t="shared" si="5"/>
        <v>7</v>
      </c>
      <c r="D20" s="18">
        <f>'Monthly Data'!F20</f>
        <v>120736313.55638622</v>
      </c>
      <c r="E20" s="21">
        <f t="shared" ca="1" si="6"/>
        <v>1.6731249999999993</v>
      </c>
      <c r="F20" s="21">
        <f t="shared" ca="1" si="6"/>
        <v>231.27145833333333</v>
      </c>
      <c r="G20" s="11">
        <f>'Monthly Data'!G20</f>
        <v>143994</v>
      </c>
      <c r="H20">
        <f>'Monthly Data'!CC20</f>
        <v>0</v>
      </c>
      <c r="I20" s="21">
        <f>'Monthly Data'!CS20</f>
        <v>31</v>
      </c>
      <c r="J20" s="21">
        <f>'Monthly Data'!CK20</f>
        <v>1</v>
      </c>
      <c r="K20" s="21">
        <f t="shared" ca="1" si="1"/>
        <v>0</v>
      </c>
      <c r="L20" s="21">
        <f t="shared" ca="1" si="2"/>
        <v>0</v>
      </c>
      <c r="M20">
        <f>'Monthly Data'!CV20</f>
        <v>0</v>
      </c>
      <c r="N20" s="11">
        <f>'Res Predicted Monthly'!$AB$9</f>
        <v>-154534728.74811399</v>
      </c>
      <c r="O20" s="11">
        <f ca="1">E20*'Res Predicted Monthly'!$AB$10</f>
        <v>102714.15177421259</v>
      </c>
      <c r="P20" s="11">
        <f ca="1">F20*'Res Predicted Monthly'!$AB$11</f>
        <v>65693349.145542458</v>
      </c>
      <c r="Q20" s="11">
        <f>G20*'Res Predicted Monthly'!$AB$12</f>
        <v>142117485.94343525</v>
      </c>
      <c r="R20" s="11">
        <f>H20*'Res Predicted Monthly'!$AB$13</f>
        <v>0</v>
      </c>
      <c r="S20" s="11">
        <f>I20*'Res Predicted Monthly'!$AB$14</f>
        <v>70054115.695287749</v>
      </c>
      <c r="T20" s="11">
        <f>J20*'Res Predicted Monthly'!$AB$15</f>
        <v>-2784507.8509929599</v>
      </c>
      <c r="U20" s="11">
        <f ca="1">K20*'Res Predicted Monthly'!$AB$16</f>
        <v>0</v>
      </c>
      <c r="V20" s="11">
        <f ca="1">L20*'Res Predicted Monthly'!$AB$17</f>
        <v>0</v>
      </c>
      <c r="W20" s="18">
        <f t="shared" ca="1" si="3"/>
        <v>120648428.3369327</v>
      </c>
    </row>
    <row r="21" spans="1:23" x14ac:dyDescent="0.2">
      <c r="A21" s="8">
        <f>'Monthly Data'!A21</f>
        <v>43313</v>
      </c>
      <c r="B21">
        <f t="shared" si="4"/>
        <v>2018</v>
      </c>
      <c r="C21">
        <f t="shared" si="5"/>
        <v>8</v>
      </c>
      <c r="D21" s="18">
        <f>'Monthly Data'!F21</f>
        <v>119361439.31010985</v>
      </c>
      <c r="E21" s="21">
        <f t="shared" ca="1" si="6"/>
        <v>7.1606250000000005</v>
      </c>
      <c r="F21" s="21">
        <f t="shared" ca="1" si="6"/>
        <v>196.13625000000002</v>
      </c>
      <c r="G21" s="11">
        <f>'Monthly Data'!G21</f>
        <v>144112</v>
      </c>
      <c r="H21">
        <f>'Monthly Data'!CC21</f>
        <v>0</v>
      </c>
      <c r="I21" s="21">
        <f>'Monthly Data'!CS21</f>
        <v>31</v>
      </c>
      <c r="J21" s="21">
        <f>'Monthly Data'!CK21</f>
        <v>1</v>
      </c>
      <c r="K21" s="21">
        <f t="shared" ca="1" si="1"/>
        <v>0</v>
      </c>
      <c r="L21" s="21">
        <f t="shared" ca="1" si="2"/>
        <v>0</v>
      </c>
      <c r="M21">
        <f>'Monthly Data'!CV21</f>
        <v>0</v>
      </c>
      <c r="N21" s="11">
        <f>'Res Predicted Monthly'!$AB$9</f>
        <v>-154534728.74811399</v>
      </c>
      <c r="O21" s="11">
        <f ca="1">E21*'Res Predicted Monthly'!$AB$10</f>
        <v>439595.08288276213</v>
      </c>
      <c r="P21" s="11">
        <f ca="1">F21*'Res Predicted Monthly'!$AB$11</f>
        <v>55713088.178725339</v>
      </c>
      <c r="Q21" s="11">
        <f>G21*'Res Predicted Monthly'!$AB$12</f>
        <v>142233948.18034324</v>
      </c>
      <c r="R21" s="11">
        <f>H21*'Res Predicted Monthly'!$AB$13</f>
        <v>0</v>
      </c>
      <c r="S21" s="11">
        <f>I21*'Res Predicted Monthly'!$AB$14</f>
        <v>70054115.695287749</v>
      </c>
      <c r="T21" s="11">
        <f>J21*'Res Predicted Monthly'!$AB$15</f>
        <v>-2784507.8509929599</v>
      </c>
      <c r="U21" s="11">
        <f ca="1">K21*'Res Predicted Monthly'!$AB$16</f>
        <v>0</v>
      </c>
      <c r="V21" s="11">
        <f ca="1">L21*'Res Predicted Monthly'!$AB$17</f>
        <v>0</v>
      </c>
      <c r="W21" s="18">
        <f t="shared" ca="1" si="3"/>
        <v>111121510.53813213</v>
      </c>
    </row>
    <row r="22" spans="1:23" x14ac:dyDescent="0.2">
      <c r="A22" s="8">
        <f>'Monthly Data'!A22</f>
        <v>43344</v>
      </c>
      <c r="B22">
        <f t="shared" si="4"/>
        <v>2018</v>
      </c>
      <c r="C22">
        <f t="shared" si="5"/>
        <v>9</v>
      </c>
      <c r="D22" s="18">
        <f>'Monthly Data'!F22</f>
        <v>98395160.063833475</v>
      </c>
      <c r="E22" s="21">
        <f t="shared" ca="1" si="6"/>
        <v>56.160416666666663</v>
      </c>
      <c r="F22" s="21">
        <f t="shared" ca="1" si="6"/>
        <v>104.19854166666664</v>
      </c>
      <c r="G22" s="11">
        <f>'Monthly Data'!G22</f>
        <v>144236</v>
      </c>
      <c r="H22">
        <f>'Monthly Data'!CC22</f>
        <v>0</v>
      </c>
      <c r="I22" s="21">
        <f>'Monthly Data'!CS22</f>
        <v>30</v>
      </c>
      <c r="J22" s="21">
        <f>'Monthly Data'!CK22</f>
        <v>0</v>
      </c>
      <c r="K22" s="21">
        <f t="shared" ca="1" si="1"/>
        <v>0</v>
      </c>
      <c r="L22" s="21">
        <f t="shared" ca="1" si="2"/>
        <v>0</v>
      </c>
      <c r="M22">
        <f>'Monthly Data'!CV22</f>
        <v>0</v>
      </c>
      <c r="N22" s="11">
        <f>'Res Predicted Monthly'!$AB$9</f>
        <v>-154534728.74811399</v>
      </c>
      <c r="O22" s="11">
        <f ca="1">E22*'Res Predicted Monthly'!$AB$10</f>
        <v>3447721.8146898891</v>
      </c>
      <c r="P22" s="11">
        <f ca="1">F22*'Res Predicted Monthly'!$AB$11</f>
        <v>29597907.270938363</v>
      </c>
      <c r="Q22" s="11">
        <f>G22*'Res Predicted Monthly'!$AB$12</f>
        <v>142356332.22590753</v>
      </c>
      <c r="R22" s="11">
        <f>H22*'Res Predicted Monthly'!$AB$13</f>
        <v>0</v>
      </c>
      <c r="S22" s="11">
        <f>I22*'Res Predicted Monthly'!$AB$14</f>
        <v>67794305.5115688</v>
      </c>
      <c r="T22" s="11">
        <f>J22*'Res Predicted Monthly'!$AB$15</f>
        <v>0</v>
      </c>
      <c r="U22" s="11">
        <f ca="1">K22*'Res Predicted Monthly'!$AB$16</f>
        <v>0</v>
      </c>
      <c r="V22" s="11">
        <f ca="1">L22*'Res Predicted Monthly'!$AB$17</f>
        <v>0</v>
      </c>
      <c r="W22" s="18">
        <f t="shared" ca="1" si="3"/>
        <v>88661538.074990585</v>
      </c>
    </row>
    <row r="23" spans="1:23" x14ac:dyDescent="0.2">
      <c r="A23" s="8">
        <f>'Monthly Data'!A23</f>
        <v>43374</v>
      </c>
      <c r="B23">
        <f t="shared" si="4"/>
        <v>2018</v>
      </c>
      <c r="C23">
        <f t="shared" si="5"/>
        <v>10</v>
      </c>
      <c r="D23" s="18">
        <f>'Monthly Data'!F23</f>
        <v>83137429.817557111</v>
      </c>
      <c r="E23" s="21">
        <f t="shared" ca="1" si="6"/>
        <v>229.16187499999995</v>
      </c>
      <c r="F23" s="21">
        <f t="shared" ca="1" si="6"/>
        <v>24.703125000000007</v>
      </c>
      <c r="G23" s="11">
        <f>'Monthly Data'!G23</f>
        <v>144490</v>
      </c>
      <c r="H23">
        <f>'Monthly Data'!CC23</f>
        <v>0</v>
      </c>
      <c r="I23" s="21">
        <f>'Monthly Data'!CS23</f>
        <v>31</v>
      </c>
      <c r="J23" s="21">
        <f>'Monthly Data'!CK23</f>
        <v>0</v>
      </c>
      <c r="K23" s="21">
        <f t="shared" ca="1" si="1"/>
        <v>0</v>
      </c>
      <c r="L23" s="21">
        <f t="shared" ca="1" si="2"/>
        <v>0</v>
      </c>
      <c r="M23">
        <f>'Monthly Data'!CV23</f>
        <v>0</v>
      </c>
      <c r="N23" s="11">
        <f>'Res Predicted Monthly'!$AB$9</f>
        <v>-154534728.74811399</v>
      </c>
      <c r="O23" s="11">
        <f ca="1">E23*'Res Predicted Monthly'!$AB$10</f>
        <v>14068385.571677633</v>
      </c>
      <c r="P23" s="11">
        <f ca="1">F23*'Res Predicted Monthly'!$AB$11</f>
        <v>7016996.5083714752</v>
      </c>
      <c r="Q23" s="11">
        <f>G23*'Res Predicted Monthly'!$AB$12</f>
        <v>142607022.12569246</v>
      </c>
      <c r="R23" s="11">
        <f>H23*'Res Predicted Monthly'!$AB$13</f>
        <v>0</v>
      </c>
      <c r="S23" s="11">
        <f>I23*'Res Predicted Monthly'!$AB$14</f>
        <v>70054115.695287749</v>
      </c>
      <c r="T23" s="11">
        <f>J23*'Res Predicted Monthly'!$AB$15</f>
        <v>0</v>
      </c>
      <c r="U23" s="11">
        <f ca="1">K23*'Res Predicted Monthly'!$AB$16</f>
        <v>0</v>
      </c>
      <c r="V23" s="11">
        <f ca="1">L23*'Res Predicted Monthly'!$AB$17</f>
        <v>0</v>
      </c>
      <c r="W23" s="18">
        <f t="shared" ca="1" si="3"/>
        <v>79211791.152915314</v>
      </c>
    </row>
    <row r="24" spans="1:23" x14ac:dyDescent="0.2">
      <c r="A24" s="8">
        <f>'Monthly Data'!A24</f>
        <v>43405</v>
      </c>
      <c r="B24">
        <f t="shared" si="4"/>
        <v>2018</v>
      </c>
      <c r="C24">
        <f t="shared" si="5"/>
        <v>11</v>
      </c>
      <c r="D24" s="18">
        <f>'Monthly Data'!F24</f>
        <v>90326715.571280748</v>
      </c>
      <c r="E24" s="21">
        <f t="shared" ca="1" si="6"/>
        <v>422.06333333333333</v>
      </c>
      <c r="F24" s="21">
        <f t="shared" ca="1" si="6"/>
        <v>1.6454166666666665</v>
      </c>
      <c r="G24" s="11">
        <f>'Monthly Data'!G24</f>
        <v>144599</v>
      </c>
      <c r="H24">
        <f>'Monthly Data'!CC24</f>
        <v>0</v>
      </c>
      <c r="I24" s="21">
        <f>'Monthly Data'!CS24</f>
        <v>30</v>
      </c>
      <c r="J24" s="21">
        <f>'Monthly Data'!CK24</f>
        <v>0</v>
      </c>
      <c r="K24" s="21">
        <f t="shared" ca="1" si="1"/>
        <v>0</v>
      </c>
      <c r="L24" s="21">
        <f t="shared" ca="1" si="2"/>
        <v>0</v>
      </c>
      <c r="M24">
        <f>'Monthly Data'!CV24</f>
        <v>0</v>
      </c>
      <c r="N24" s="11">
        <f>'Res Predicted Monthly'!$AB$9</f>
        <v>-154534728.74811399</v>
      </c>
      <c r="O24" s="11">
        <f ca="1">E24*'Res Predicted Monthly'!$AB$10</f>
        <v>25910722.318015747</v>
      </c>
      <c r="P24" s="11">
        <f ca="1">F24*'Res Predicted Monthly'!$AB$11</f>
        <v>467385.52328161825</v>
      </c>
      <c r="Q24" s="11">
        <f>G24*'Res Predicted Monthly'!$AB$12</f>
        <v>142714601.64961591</v>
      </c>
      <c r="R24" s="11">
        <f>H24*'Res Predicted Monthly'!$AB$13</f>
        <v>0</v>
      </c>
      <c r="S24" s="11">
        <f>I24*'Res Predicted Monthly'!$AB$14</f>
        <v>67794305.5115688</v>
      </c>
      <c r="T24" s="11">
        <f>J24*'Res Predicted Monthly'!$AB$15</f>
        <v>0</v>
      </c>
      <c r="U24" s="11">
        <f ca="1">K24*'Res Predicted Monthly'!$AB$16</f>
        <v>0</v>
      </c>
      <c r="V24" s="11">
        <f ca="1">L24*'Res Predicted Monthly'!$AB$17</f>
        <v>0</v>
      </c>
      <c r="W24" s="18">
        <f t="shared" ca="1" si="3"/>
        <v>82352286.254368097</v>
      </c>
    </row>
    <row r="25" spans="1:23" x14ac:dyDescent="0.2">
      <c r="A25" s="8">
        <f>'Monthly Data'!A25</f>
        <v>43435</v>
      </c>
      <c r="B25">
        <f t="shared" si="4"/>
        <v>2018</v>
      </c>
      <c r="C25">
        <f t="shared" si="5"/>
        <v>12</v>
      </c>
      <c r="D25" s="18">
        <f>'Monthly Data'!F25</f>
        <v>102342861.32500437</v>
      </c>
      <c r="E25" s="21">
        <f t="shared" ca="1" si="6"/>
        <v>591.99583333333339</v>
      </c>
      <c r="F25" s="21">
        <f t="shared" ca="1" si="6"/>
        <v>0</v>
      </c>
      <c r="G25" s="11">
        <f>'Monthly Data'!G25</f>
        <v>144731</v>
      </c>
      <c r="H25">
        <f>'Monthly Data'!CC25</f>
        <v>1</v>
      </c>
      <c r="I25" s="21">
        <f>'Monthly Data'!CS25</f>
        <v>31</v>
      </c>
      <c r="J25" s="21">
        <f>'Monthly Data'!CK25</f>
        <v>0</v>
      </c>
      <c r="K25" s="21">
        <f t="shared" ca="1" si="1"/>
        <v>0</v>
      </c>
      <c r="L25" s="21">
        <f t="shared" ca="1" si="2"/>
        <v>0</v>
      </c>
      <c r="M25">
        <f>'Monthly Data'!CV25</f>
        <v>0</v>
      </c>
      <c r="N25" s="11">
        <f>'Res Predicted Monthly'!$AB$9</f>
        <v>-154534728.74811399</v>
      </c>
      <c r="O25" s="11">
        <f ca="1">E25*'Res Predicted Monthly'!$AB$10</f>
        <v>36342980.873934403</v>
      </c>
      <c r="P25" s="11">
        <f ca="1">F25*'Res Predicted Monthly'!$AB$11</f>
        <v>0</v>
      </c>
      <c r="Q25" s="11">
        <f>G25*'Res Predicted Monthly'!$AB$12</f>
        <v>142844881.44005534</v>
      </c>
      <c r="R25" s="11">
        <f>H25*'Res Predicted Monthly'!$AB$13</f>
        <v>3702152.17603915</v>
      </c>
      <c r="S25" s="11">
        <f>I25*'Res Predicted Monthly'!$AB$14</f>
        <v>70054115.695287749</v>
      </c>
      <c r="T25" s="11">
        <f>J25*'Res Predicted Monthly'!$AB$15</f>
        <v>0</v>
      </c>
      <c r="U25" s="11">
        <f ca="1">K25*'Res Predicted Monthly'!$AB$16</f>
        <v>0</v>
      </c>
      <c r="V25" s="11">
        <f ca="1">L25*'Res Predicted Monthly'!$AB$17</f>
        <v>0</v>
      </c>
      <c r="W25" s="18">
        <f t="shared" ca="1" si="3"/>
        <v>98409401.437202662</v>
      </c>
    </row>
    <row r="26" spans="1:23" x14ac:dyDescent="0.2">
      <c r="A26" s="8">
        <f>'Monthly Data'!A26</f>
        <v>43466</v>
      </c>
      <c r="B26">
        <f t="shared" si="4"/>
        <v>2019</v>
      </c>
      <c r="C26">
        <f t="shared" si="5"/>
        <v>1</v>
      </c>
      <c r="D26" s="18">
        <f>'Monthly Data'!F26</f>
        <v>105416679.01993552</v>
      </c>
      <c r="E26" s="21">
        <f t="shared" ca="1" si="6"/>
        <v>683.09489583333334</v>
      </c>
      <c r="F26" s="21">
        <f t="shared" ca="1" si="6"/>
        <v>0</v>
      </c>
      <c r="G26" s="11">
        <f>'Monthly Data'!G26</f>
        <v>144863</v>
      </c>
      <c r="H26">
        <f>'Monthly Data'!CC26</f>
        <v>0</v>
      </c>
      <c r="I26" s="21">
        <f>'Monthly Data'!CS26</f>
        <v>31</v>
      </c>
      <c r="J26" s="21">
        <f>'Monthly Data'!CK26</f>
        <v>0</v>
      </c>
      <c r="K26" s="21">
        <f t="shared" ca="1" si="1"/>
        <v>0</v>
      </c>
      <c r="L26" s="21">
        <f t="shared" ca="1" si="2"/>
        <v>0</v>
      </c>
      <c r="M26">
        <f>'Monthly Data'!CV26</f>
        <v>0</v>
      </c>
      <c r="N26" s="11">
        <f>'Res Predicted Monthly'!$AB$9</f>
        <v>-154534728.74811399</v>
      </c>
      <c r="O26" s="11">
        <f ca="1">E26*'Res Predicted Monthly'!$AB$10</f>
        <v>41935607.20616509</v>
      </c>
      <c r="P26" s="11">
        <f ca="1">F26*'Res Predicted Monthly'!$AB$11</f>
        <v>0</v>
      </c>
      <c r="Q26" s="11">
        <f>G26*'Res Predicted Monthly'!$AB$12</f>
        <v>142975161.23049477</v>
      </c>
      <c r="R26" s="11">
        <f>H26*'Res Predicted Monthly'!$AB$13</f>
        <v>0</v>
      </c>
      <c r="S26" s="11">
        <f>I26*'Res Predicted Monthly'!$AB$14</f>
        <v>70054115.695287749</v>
      </c>
      <c r="T26" s="11">
        <f>J26*'Res Predicted Monthly'!$AB$15</f>
        <v>0</v>
      </c>
      <c r="U26" s="11">
        <f ca="1">K26*'Res Predicted Monthly'!$AB$16</f>
        <v>0</v>
      </c>
      <c r="V26" s="11">
        <f ca="1">L26*'Res Predicted Monthly'!$AB$17</f>
        <v>0</v>
      </c>
      <c r="W26" s="18">
        <f t="shared" ca="1" si="3"/>
        <v>100430155.38383362</v>
      </c>
    </row>
    <row r="27" spans="1:23" x14ac:dyDescent="0.2">
      <c r="A27" s="8">
        <f>'Monthly Data'!A27</f>
        <v>43497</v>
      </c>
      <c r="B27">
        <f t="shared" si="4"/>
        <v>2019</v>
      </c>
      <c r="C27">
        <f t="shared" si="5"/>
        <v>2</v>
      </c>
      <c r="D27" s="18">
        <f>'Monthly Data'!F27</f>
        <v>92620975.343300313</v>
      </c>
      <c r="E27" s="21">
        <f t="shared" ca="1" si="6"/>
        <v>589.85491666666678</v>
      </c>
      <c r="F27" s="21">
        <f t="shared" ca="1" si="6"/>
        <v>0</v>
      </c>
      <c r="G27" s="11">
        <f>'Monthly Data'!G27</f>
        <v>145010</v>
      </c>
      <c r="H27">
        <f>'Monthly Data'!CC27</f>
        <v>0</v>
      </c>
      <c r="I27" s="21">
        <f>'Monthly Data'!CS27</f>
        <v>28</v>
      </c>
      <c r="J27" s="21">
        <f>'Monthly Data'!CK27</f>
        <v>0</v>
      </c>
      <c r="K27" s="21">
        <f t="shared" ca="1" si="1"/>
        <v>0</v>
      </c>
      <c r="L27" s="21">
        <f t="shared" ca="1" si="2"/>
        <v>0</v>
      </c>
      <c r="M27">
        <f>'Monthly Data'!CV27</f>
        <v>0</v>
      </c>
      <c r="N27" s="11">
        <f>'Res Predicted Monthly'!$AB$9</f>
        <v>-154534728.74811399</v>
      </c>
      <c r="O27" s="11">
        <f ca="1">E27*'Res Predicted Monthly'!$AB$10</f>
        <v>36211548.709908441</v>
      </c>
      <c r="P27" s="11">
        <f ca="1">F27*'Res Predicted Monthly'!$AB$11</f>
        <v>0</v>
      </c>
      <c r="Q27" s="11">
        <f>G27*'Res Predicted Monthly'!$AB$12</f>
        <v>143120245.54257503</v>
      </c>
      <c r="R27" s="11">
        <f>H27*'Res Predicted Monthly'!$AB$13</f>
        <v>0</v>
      </c>
      <c r="S27" s="11">
        <f>I27*'Res Predicted Monthly'!$AB$14</f>
        <v>63274685.144130871</v>
      </c>
      <c r="T27" s="11">
        <f>J27*'Res Predicted Monthly'!$AB$15</f>
        <v>0</v>
      </c>
      <c r="U27" s="11">
        <f ca="1">K27*'Res Predicted Monthly'!$AB$16</f>
        <v>0</v>
      </c>
      <c r="V27" s="11">
        <f ca="1">L27*'Res Predicted Monthly'!$AB$17</f>
        <v>0</v>
      </c>
      <c r="W27" s="18">
        <f t="shared" ca="1" si="3"/>
        <v>88071750.648500353</v>
      </c>
    </row>
    <row r="28" spans="1:23" x14ac:dyDescent="0.2">
      <c r="A28" s="8">
        <f>'Monthly Data'!A28</f>
        <v>43525</v>
      </c>
      <c r="B28">
        <f t="shared" si="4"/>
        <v>2019</v>
      </c>
      <c r="C28">
        <f t="shared" si="5"/>
        <v>3</v>
      </c>
      <c r="D28" s="18">
        <f>'Monthly Data'!F28</f>
        <v>94241177.603081301</v>
      </c>
      <c r="E28" s="21">
        <f t="shared" ca="1" si="6"/>
        <v>522.20004166666672</v>
      </c>
      <c r="F28" s="21">
        <f t="shared" ca="1" si="6"/>
        <v>0</v>
      </c>
      <c r="G28" s="11">
        <f>'Monthly Data'!G28</f>
        <v>145052</v>
      </c>
      <c r="H28">
        <f>'Monthly Data'!CC28</f>
        <v>0</v>
      </c>
      <c r="I28" s="21">
        <f>'Monthly Data'!CS28</f>
        <v>31</v>
      </c>
      <c r="J28" s="21">
        <f>'Monthly Data'!CK28</f>
        <v>0</v>
      </c>
      <c r="K28" s="21">
        <f t="shared" ca="1" si="1"/>
        <v>0</v>
      </c>
      <c r="L28" s="21">
        <f t="shared" ca="1" si="2"/>
        <v>0</v>
      </c>
      <c r="M28">
        <f>'Monthly Data'!CV28</f>
        <v>0</v>
      </c>
      <c r="N28" s="11">
        <f>'Res Predicted Monthly'!$AB$9</f>
        <v>-154534728.74811399</v>
      </c>
      <c r="O28" s="11">
        <f ca="1">E28*'Res Predicted Monthly'!$AB$10</f>
        <v>32058175.172954902</v>
      </c>
      <c r="P28" s="11">
        <f ca="1">F28*'Res Predicted Monthly'!$AB$11</f>
        <v>0</v>
      </c>
      <c r="Q28" s="11">
        <f>G28*'Res Predicted Monthly'!$AB$12</f>
        <v>143161698.20316938</v>
      </c>
      <c r="R28" s="11">
        <f>H28*'Res Predicted Monthly'!$AB$13</f>
        <v>0</v>
      </c>
      <c r="S28" s="11">
        <f>I28*'Res Predicted Monthly'!$AB$14</f>
        <v>70054115.695287749</v>
      </c>
      <c r="T28" s="11">
        <f>J28*'Res Predicted Monthly'!$AB$15</f>
        <v>0</v>
      </c>
      <c r="U28" s="11">
        <f ca="1">K28*'Res Predicted Monthly'!$AB$16</f>
        <v>0</v>
      </c>
      <c r="V28" s="11">
        <f ca="1">L28*'Res Predicted Monthly'!$AB$17</f>
        <v>0</v>
      </c>
      <c r="W28" s="18">
        <f t="shared" ca="1" si="3"/>
        <v>90739260.323298037</v>
      </c>
    </row>
    <row r="29" spans="1:23" x14ac:dyDescent="0.2">
      <c r="A29" s="8">
        <f>'Monthly Data'!A29</f>
        <v>43556</v>
      </c>
      <c r="B29">
        <f t="shared" si="4"/>
        <v>2019</v>
      </c>
      <c r="C29">
        <f t="shared" si="5"/>
        <v>4</v>
      </c>
      <c r="D29" s="18">
        <f>'Monthly Data'!F29</f>
        <v>79477048.429578483</v>
      </c>
      <c r="E29" s="21">
        <f t="shared" ca="1" si="6"/>
        <v>343.18302083333327</v>
      </c>
      <c r="F29" s="21">
        <f t="shared" ca="1" si="6"/>
        <v>6.5650000000000031</v>
      </c>
      <c r="G29" s="11">
        <f>'Monthly Data'!G29</f>
        <v>145220</v>
      </c>
      <c r="H29">
        <f>'Monthly Data'!CC29</f>
        <v>0</v>
      </c>
      <c r="I29" s="21">
        <f>'Monthly Data'!CS29</f>
        <v>30</v>
      </c>
      <c r="J29" s="21">
        <f>'Monthly Data'!CK29</f>
        <v>0</v>
      </c>
      <c r="K29" s="21">
        <f t="shared" ca="1" si="1"/>
        <v>0</v>
      </c>
      <c r="L29" s="21">
        <f t="shared" ca="1" si="2"/>
        <v>0</v>
      </c>
      <c r="M29">
        <f>'Monthly Data'!CV29</f>
        <v>0</v>
      </c>
      <c r="N29" s="11">
        <f>'Res Predicted Monthly'!$AB$9</f>
        <v>-154534728.74811399</v>
      </c>
      <c r="O29" s="11">
        <f ca="1">E29*'Res Predicted Monthly'!$AB$10</f>
        <v>21068212.409836546</v>
      </c>
      <c r="P29" s="11">
        <f ca="1">F29*'Res Predicted Monthly'!$AB$11</f>
        <v>1864807.876633371</v>
      </c>
      <c r="Q29" s="11">
        <f>G29*'Res Predicted Monthly'!$AB$12</f>
        <v>143327508.84554681</v>
      </c>
      <c r="R29" s="11">
        <f>H29*'Res Predicted Monthly'!$AB$13</f>
        <v>0</v>
      </c>
      <c r="S29" s="11">
        <f>I29*'Res Predicted Monthly'!$AB$14</f>
        <v>67794305.5115688</v>
      </c>
      <c r="T29" s="11">
        <f>J29*'Res Predicted Monthly'!$AB$15</f>
        <v>0</v>
      </c>
      <c r="U29" s="11">
        <f ca="1">K29*'Res Predicted Monthly'!$AB$16</f>
        <v>0</v>
      </c>
      <c r="V29" s="11">
        <f ca="1">L29*'Res Predicted Monthly'!$AB$17</f>
        <v>0</v>
      </c>
      <c r="W29" s="18">
        <f t="shared" ca="1" si="3"/>
        <v>79520105.895471543</v>
      </c>
    </row>
    <row r="30" spans="1:23" x14ac:dyDescent="0.2">
      <c r="A30" s="8">
        <f>'Monthly Data'!A30</f>
        <v>43586</v>
      </c>
      <c r="B30">
        <f t="shared" si="4"/>
        <v>2019</v>
      </c>
      <c r="C30">
        <f t="shared" si="5"/>
        <v>5</v>
      </c>
      <c r="D30" s="18">
        <f>'Monthly Data'!F30</f>
        <v>75969863.614056066</v>
      </c>
      <c r="E30" s="21">
        <f t="shared" ca="1" si="6"/>
        <v>146.15645833333332</v>
      </c>
      <c r="F30" s="21">
        <f t="shared" ca="1" si="6"/>
        <v>59.300416666666649</v>
      </c>
      <c r="G30" s="11">
        <f>'Monthly Data'!G30</f>
        <v>145361</v>
      </c>
      <c r="H30">
        <f>'Monthly Data'!CC30</f>
        <v>0</v>
      </c>
      <c r="I30" s="21">
        <f>'Monthly Data'!CS30</f>
        <v>31</v>
      </c>
      <c r="J30" s="21">
        <f>'Monthly Data'!CK30</f>
        <v>1</v>
      </c>
      <c r="K30" s="21">
        <f t="shared" ca="1" si="1"/>
        <v>0</v>
      </c>
      <c r="L30" s="21">
        <f t="shared" ca="1" si="2"/>
        <v>0</v>
      </c>
      <c r="M30">
        <f>'Monthly Data'!CV30</f>
        <v>0</v>
      </c>
      <c r="N30" s="11">
        <f>'Res Predicted Monthly'!$AB$9</f>
        <v>-154534728.74811399</v>
      </c>
      <c r="O30" s="11">
        <f ca="1">E30*'Res Predicted Monthly'!$AB$10</f>
        <v>8972633.033414349</v>
      </c>
      <c r="P30" s="11">
        <f ca="1">F30*'Res Predicted Monthly'!$AB$11</f>
        <v>16844460.637873683</v>
      </c>
      <c r="Q30" s="11">
        <f>G30*'Res Predicted Monthly'!$AB$12</f>
        <v>143466671.34897074</v>
      </c>
      <c r="R30" s="11">
        <f>H30*'Res Predicted Monthly'!$AB$13</f>
        <v>0</v>
      </c>
      <c r="S30" s="11">
        <f>I30*'Res Predicted Monthly'!$AB$14</f>
        <v>70054115.695287749</v>
      </c>
      <c r="T30" s="11">
        <f>J30*'Res Predicted Monthly'!$AB$15</f>
        <v>-2784507.8509929599</v>
      </c>
      <c r="U30" s="11">
        <f ca="1">K30*'Res Predicted Monthly'!$AB$16</f>
        <v>0</v>
      </c>
      <c r="V30" s="11">
        <f ca="1">L30*'Res Predicted Monthly'!$AB$17</f>
        <v>0</v>
      </c>
      <c r="W30" s="18">
        <f t="shared" ca="1" si="3"/>
        <v>82018644.116439581</v>
      </c>
    </row>
    <row r="31" spans="1:23" x14ac:dyDescent="0.2">
      <c r="A31" s="8">
        <f>'Monthly Data'!A31</f>
        <v>43617</v>
      </c>
      <c r="B31">
        <f t="shared" si="4"/>
        <v>2019</v>
      </c>
      <c r="C31">
        <f t="shared" si="5"/>
        <v>6</v>
      </c>
      <c r="D31" s="18">
        <f>'Monthly Data'!F31</f>
        <v>87994636.970840842</v>
      </c>
      <c r="E31" s="21">
        <f t="shared" ca="1" si="6"/>
        <v>29.335416666666674</v>
      </c>
      <c r="F31" s="21">
        <f t="shared" ca="1" si="6"/>
        <v>157.17000000000002</v>
      </c>
      <c r="G31" s="11">
        <f>'Monthly Data'!G31</f>
        <v>145409</v>
      </c>
      <c r="H31">
        <f>'Monthly Data'!CC31</f>
        <v>0</v>
      </c>
      <c r="I31" s="21">
        <f>'Monthly Data'!CS31</f>
        <v>30</v>
      </c>
      <c r="J31" s="21">
        <f>'Monthly Data'!CK31</f>
        <v>1</v>
      </c>
      <c r="K31" s="21">
        <f t="shared" ca="1" si="1"/>
        <v>0</v>
      </c>
      <c r="L31" s="21">
        <f t="shared" ca="1" si="2"/>
        <v>0</v>
      </c>
      <c r="M31">
        <f>'Monthly Data'!CV31</f>
        <v>0</v>
      </c>
      <c r="N31" s="11">
        <f>'Res Predicted Monthly'!$AB$9</f>
        <v>-154534728.74811399</v>
      </c>
      <c r="O31" s="11">
        <f ca="1">E31*'Res Predicted Monthly'!$AB$10</f>
        <v>1800918.903166092</v>
      </c>
      <c r="P31" s="11">
        <f ca="1">F31*'Res Predicted Monthly'!$AB$11</f>
        <v>44644608.373262271</v>
      </c>
      <c r="Q31" s="11">
        <f>G31*'Res Predicted Monthly'!$AB$12</f>
        <v>143514045.81822145</v>
      </c>
      <c r="R31" s="11">
        <f>H31*'Res Predicted Monthly'!$AB$13</f>
        <v>0</v>
      </c>
      <c r="S31" s="11">
        <f>I31*'Res Predicted Monthly'!$AB$14</f>
        <v>67794305.5115688</v>
      </c>
      <c r="T31" s="11">
        <f>J31*'Res Predicted Monthly'!$AB$15</f>
        <v>-2784507.8509929599</v>
      </c>
      <c r="U31" s="11">
        <f ca="1">K31*'Res Predicted Monthly'!$AB$16</f>
        <v>0</v>
      </c>
      <c r="V31" s="11">
        <f ca="1">L31*'Res Predicted Monthly'!$AB$17</f>
        <v>0</v>
      </c>
      <c r="W31" s="18">
        <f t="shared" ca="1" si="3"/>
        <v>100434642.00711165</v>
      </c>
    </row>
    <row r="32" spans="1:23" x14ac:dyDescent="0.2">
      <c r="A32" s="8">
        <f>'Monthly Data'!A32</f>
        <v>43647</v>
      </c>
      <c r="B32">
        <f t="shared" si="4"/>
        <v>2019</v>
      </c>
      <c r="C32">
        <f t="shared" si="5"/>
        <v>7</v>
      </c>
      <c r="D32" s="18">
        <f>'Monthly Data'!F32</f>
        <v>127394508.16810884</v>
      </c>
      <c r="E32" s="21">
        <f t="shared" ca="1" si="6"/>
        <v>1.6731249999999993</v>
      </c>
      <c r="F32" s="21">
        <f t="shared" ca="1" si="6"/>
        <v>231.27145833333333</v>
      </c>
      <c r="G32" s="11">
        <f>'Monthly Data'!G32</f>
        <v>145575</v>
      </c>
      <c r="H32">
        <f>'Monthly Data'!CC32</f>
        <v>0</v>
      </c>
      <c r="I32" s="21">
        <f>'Monthly Data'!CS32</f>
        <v>31</v>
      </c>
      <c r="J32" s="21">
        <f>'Monthly Data'!CK32</f>
        <v>1</v>
      </c>
      <c r="K32" s="21">
        <f t="shared" ca="1" si="1"/>
        <v>0</v>
      </c>
      <c r="L32" s="21">
        <f t="shared" ca="1" si="2"/>
        <v>0</v>
      </c>
      <c r="M32">
        <f>'Monthly Data'!CV32</f>
        <v>0</v>
      </c>
      <c r="N32" s="11">
        <f>'Res Predicted Monthly'!$AB$9</f>
        <v>-154534728.74811399</v>
      </c>
      <c r="O32" s="11">
        <f ca="1">E32*'Res Predicted Monthly'!$AB$10</f>
        <v>102714.15177421259</v>
      </c>
      <c r="P32" s="11">
        <f ca="1">F32*'Res Predicted Monthly'!$AB$11</f>
        <v>65693349.145542458</v>
      </c>
      <c r="Q32" s="11">
        <f>G32*'Res Predicted Monthly'!$AB$12</f>
        <v>143677882.52438012</v>
      </c>
      <c r="R32" s="11">
        <f>H32*'Res Predicted Monthly'!$AB$13</f>
        <v>0</v>
      </c>
      <c r="S32" s="11">
        <f>I32*'Res Predicted Monthly'!$AB$14</f>
        <v>70054115.695287749</v>
      </c>
      <c r="T32" s="11">
        <f>J32*'Res Predicted Monthly'!$AB$15</f>
        <v>-2784507.8509929599</v>
      </c>
      <c r="U32" s="11">
        <f ca="1">K32*'Res Predicted Monthly'!$AB$16</f>
        <v>0</v>
      </c>
      <c r="V32" s="11">
        <f ca="1">L32*'Res Predicted Monthly'!$AB$17</f>
        <v>0</v>
      </c>
      <c r="W32" s="18">
        <f t="shared" ca="1" si="3"/>
        <v>122208824.91787757</v>
      </c>
    </row>
    <row r="33" spans="1:23" x14ac:dyDescent="0.2">
      <c r="A33" s="8">
        <f>'Monthly Data'!A33</f>
        <v>43678</v>
      </c>
      <c r="B33">
        <f t="shared" si="4"/>
        <v>2019</v>
      </c>
      <c r="C33">
        <f t="shared" si="5"/>
        <v>8</v>
      </c>
      <c r="D33" s="18">
        <f>'Monthly Data'!F33</f>
        <v>109911720.39383872</v>
      </c>
      <c r="E33" s="21">
        <f t="shared" ca="1" si="6"/>
        <v>7.1606250000000005</v>
      </c>
      <c r="F33" s="21">
        <f t="shared" ca="1" si="6"/>
        <v>196.13625000000002</v>
      </c>
      <c r="G33" s="11">
        <f>'Monthly Data'!G33</f>
        <v>145632</v>
      </c>
      <c r="H33">
        <f>'Monthly Data'!CC33</f>
        <v>0</v>
      </c>
      <c r="I33" s="21">
        <f>'Monthly Data'!CS33</f>
        <v>31</v>
      </c>
      <c r="J33" s="21">
        <f>'Monthly Data'!CK33</f>
        <v>1</v>
      </c>
      <c r="K33" s="21">
        <f t="shared" ca="1" si="1"/>
        <v>0</v>
      </c>
      <c r="L33" s="21">
        <f t="shared" ca="1" si="2"/>
        <v>0</v>
      </c>
      <c r="M33">
        <f>'Monthly Data'!CV33</f>
        <v>0</v>
      </c>
      <c r="N33" s="11">
        <f>'Res Predicted Monthly'!$AB$9</f>
        <v>-154534728.74811399</v>
      </c>
      <c r="O33" s="11">
        <f ca="1">E33*'Res Predicted Monthly'!$AB$10</f>
        <v>439595.08288276213</v>
      </c>
      <c r="P33" s="11">
        <f ca="1">F33*'Res Predicted Monthly'!$AB$11</f>
        <v>55713088.178725339</v>
      </c>
      <c r="Q33" s="11">
        <f>G33*'Res Predicted Monthly'!$AB$12</f>
        <v>143734139.7066153</v>
      </c>
      <c r="R33" s="11">
        <f>H33*'Res Predicted Monthly'!$AB$13</f>
        <v>0</v>
      </c>
      <c r="S33" s="11">
        <f>I33*'Res Predicted Monthly'!$AB$14</f>
        <v>70054115.695287749</v>
      </c>
      <c r="T33" s="11">
        <f>J33*'Res Predicted Monthly'!$AB$15</f>
        <v>-2784507.8509929599</v>
      </c>
      <c r="U33" s="11">
        <f ca="1">K33*'Res Predicted Monthly'!$AB$16</f>
        <v>0</v>
      </c>
      <c r="V33" s="11">
        <f ca="1">L33*'Res Predicted Monthly'!$AB$17</f>
        <v>0</v>
      </c>
      <c r="W33" s="18">
        <f t="shared" ca="1" si="3"/>
        <v>112621702.06440419</v>
      </c>
    </row>
    <row r="34" spans="1:23" x14ac:dyDescent="0.2">
      <c r="A34" s="8">
        <f>'Monthly Data'!A34</f>
        <v>43709</v>
      </c>
      <c r="B34">
        <f t="shared" si="4"/>
        <v>2019</v>
      </c>
      <c r="C34">
        <f t="shared" si="5"/>
        <v>9</v>
      </c>
      <c r="D34" s="18">
        <f>'Monthly Data'!F34</f>
        <v>86984748.548102602</v>
      </c>
      <c r="E34" s="21">
        <f t="shared" ref="E34:F53" ca="1" si="7">E22</f>
        <v>56.160416666666663</v>
      </c>
      <c r="F34" s="21">
        <f t="shared" ca="1" si="7"/>
        <v>104.19854166666664</v>
      </c>
      <c r="G34" s="11">
        <f>'Monthly Data'!G34</f>
        <v>145827</v>
      </c>
      <c r="H34">
        <f>'Monthly Data'!CC34</f>
        <v>0</v>
      </c>
      <c r="I34" s="21">
        <f>'Monthly Data'!CS34</f>
        <v>30</v>
      </c>
      <c r="J34" s="21">
        <f>'Monthly Data'!CK34</f>
        <v>0</v>
      </c>
      <c r="K34" s="21">
        <f t="shared" ca="1" si="1"/>
        <v>0</v>
      </c>
      <c r="L34" s="21">
        <f t="shared" ca="1" si="2"/>
        <v>0</v>
      </c>
      <c r="M34">
        <f>'Monthly Data'!CV34</f>
        <v>0</v>
      </c>
      <c r="N34" s="11">
        <f>'Res Predicted Monthly'!$AB$9</f>
        <v>-154534728.74811399</v>
      </c>
      <c r="O34" s="11">
        <f ca="1">E34*'Res Predicted Monthly'!$AB$10</f>
        <v>3447721.8146898891</v>
      </c>
      <c r="P34" s="11">
        <f ca="1">F34*'Res Predicted Monthly'!$AB$11</f>
        <v>29597907.270938363</v>
      </c>
      <c r="Q34" s="11">
        <f>G34*'Res Predicted Monthly'!$AB$12</f>
        <v>143926598.48794627</v>
      </c>
      <c r="R34" s="11">
        <f>H34*'Res Predicted Monthly'!$AB$13</f>
        <v>0</v>
      </c>
      <c r="S34" s="11">
        <f>I34*'Res Predicted Monthly'!$AB$14</f>
        <v>67794305.5115688</v>
      </c>
      <c r="T34" s="11">
        <f>J34*'Res Predicted Monthly'!$AB$15</f>
        <v>0</v>
      </c>
      <c r="U34" s="11">
        <f ca="1">K34*'Res Predicted Monthly'!$AB$16</f>
        <v>0</v>
      </c>
      <c r="V34" s="11">
        <f ca="1">L34*'Res Predicted Monthly'!$AB$17</f>
        <v>0</v>
      </c>
      <c r="W34" s="18">
        <f t="shared" ca="1" si="3"/>
        <v>90231804.337029323</v>
      </c>
    </row>
    <row r="35" spans="1:23" x14ac:dyDescent="0.2">
      <c r="A35" s="8">
        <f>'Monthly Data'!A35</f>
        <v>43739</v>
      </c>
      <c r="B35">
        <f t="shared" si="4"/>
        <v>2019</v>
      </c>
      <c r="C35">
        <f t="shared" si="5"/>
        <v>10</v>
      </c>
      <c r="D35" s="18">
        <f>'Monthly Data'!F35</f>
        <v>79074026.821383372</v>
      </c>
      <c r="E35" s="21">
        <f t="shared" ca="1" si="7"/>
        <v>229.16187499999995</v>
      </c>
      <c r="F35" s="21">
        <f t="shared" ca="1" si="7"/>
        <v>24.703125000000007</v>
      </c>
      <c r="G35" s="11">
        <f>'Monthly Data'!G35</f>
        <v>145934</v>
      </c>
      <c r="H35">
        <f>'Monthly Data'!CC35</f>
        <v>0</v>
      </c>
      <c r="I35" s="21">
        <f>'Monthly Data'!CS35</f>
        <v>31</v>
      </c>
      <c r="J35" s="21">
        <f>'Monthly Data'!CK35</f>
        <v>0</v>
      </c>
      <c r="K35" s="21">
        <f t="shared" ca="1" si="1"/>
        <v>0</v>
      </c>
      <c r="L35" s="21">
        <f t="shared" ca="1" si="2"/>
        <v>0</v>
      </c>
      <c r="M35">
        <f>'Monthly Data'!CV35</f>
        <v>0</v>
      </c>
      <c r="N35" s="11">
        <f>'Res Predicted Monthly'!$AB$9</f>
        <v>-154534728.74811399</v>
      </c>
      <c r="O35" s="11">
        <f ca="1">E35*'Res Predicted Monthly'!$AB$10</f>
        <v>14068385.571677633</v>
      </c>
      <c r="P35" s="11">
        <f ca="1">F35*'Res Predicted Monthly'!$AB$11</f>
        <v>7016996.5083714752</v>
      </c>
      <c r="Q35" s="11">
        <f>G35*'Res Predicted Monthly'!$AB$12</f>
        <v>144032204.07565093</v>
      </c>
      <c r="R35" s="11">
        <f>H35*'Res Predicted Monthly'!$AB$13</f>
        <v>0</v>
      </c>
      <c r="S35" s="11">
        <f>I35*'Res Predicted Monthly'!$AB$14</f>
        <v>70054115.695287749</v>
      </c>
      <c r="T35" s="11">
        <f>J35*'Res Predicted Monthly'!$AB$15</f>
        <v>0</v>
      </c>
      <c r="U35" s="11">
        <f ca="1">K35*'Res Predicted Monthly'!$AB$16</f>
        <v>0</v>
      </c>
      <c r="V35" s="11">
        <f ca="1">L35*'Res Predicted Monthly'!$AB$17</f>
        <v>0</v>
      </c>
      <c r="W35" s="18">
        <f t="shared" ca="1" si="3"/>
        <v>80636973.102873787</v>
      </c>
    </row>
    <row r="36" spans="1:23" x14ac:dyDescent="0.2">
      <c r="A36" s="8">
        <f>'Monthly Data'!A36</f>
        <v>43770</v>
      </c>
      <c r="B36">
        <f t="shared" si="4"/>
        <v>2019</v>
      </c>
      <c r="C36">
        <f t="shared" si="5"/>
        <v>11</v>
      </c>
      <c r="D36" s="18">
        <f>'Monthly Data'!F36</f>
        <v>88890436.20814155</v>
      </c>
      <c r="E36" s="21">
        <f t="shared" ca="1" si="7"/>
        <v>422.06333333333333</v>
      </c>
      <c r="F36" s="21">
        <f t="shared" ca="1" si="7"/>
        <v>1.6454166666666665</v>
      </c>
      <c r="G36" s="11">
        <f>'Monthly Data'!G36</f>
        <v>146082</v>
      </c>
      <c r="H36">
        <f>'Monthly Data'!CC36</f>
        <v>0</v>
      </c>
      <c r="I36" s="21">
        <f>'Monthly Data'!CS36</f>
        <v>30</v>
      </c>
      <c r="J36" s="21">
        <f>'Monthly Data'!CK36</f>
        <v>0</v>
      </c>
      <c r="K36" s="21">
        <f t="shared" ca="1" si="1"/>
        <v>0</v>
      </c>
      <c r="L36" s="21">
        <f t="shared" ca="1" si="2"/>
        <v>0</v>
      </c>
      <c r="M36">
        <f>'Monthly Data'!CV36</f>
        <v>0</v>
      </c>
      <c r="N36" s="11">
        <f>'Res Predicted Monthly'!$AB$9</f>
        <v>-154534728.74811399</v>
      </c>
      <c r="O36" s="11">
        <f ca="1">E36*'Res Predicted Monthly'!$AB$10</f>
        <v>25910722.318015747</v>
      </c>
      <c r="P36" s="11">
        <f ca="1">F36*'Res Predicted Monthly'!$AB$11</f>
        <v>467385.52328161825</v>
      </c>
      <c r="Q36" s="11">
        <f>G36*'Res Predicted Monthly'!$AB$12</f>
        <v>144178275.35584059</v>
      </c>
      <c r="R36" s="11">
        <f>H36*'Res Predicted Monthly'!$AB$13</f>
        <v>0</v>
      </c>
      <c r="S36" s="11">
        <f>I36*'Res Predicted Monthly'!$AB$14</f>
        <v>67794305.5115688</v>
      </c>
      <c r="T36" s="11">
        <f>J36*'Res Predicted Monthly'!$AB$15</f>
        <v>0</v>
      </c>
      <c r="U36" s="11">
        <f ca="1">K36*'Res Predicted Monthly'!$AB$16</f>
        <v>0</v>
      </c>
      <c r="V36" s="11">
        <f ca="1">L36*'Res Predicted Monthly'!$AB$17</f>
        <v>0</v>
      </c>
      <c r="W36" s="18">
        <f t="shared" ca="1" si="3"/>
        <v>83815959.960592777</v>
      </c>
    </row>
    <row r="37" spans="1:23" x14ac:dyDescent="0.2">
      <c r="A37" s="8">
        <f>'Monthly Data'!A37</f>
        <v>43800</v>
      </c>
      <c r="B37">
        <f t="shared" si="4"/>
        <v>2019</v>
      </c>
      <c r="C37">
        <f t="shared" si="5"/>
        <v>12</v>
      </c>
      <c r="D37" s="18">
        <f>'Monthly Data'!F37</f>
        <v>99357327.710085541</v>
      </c>
      <c r="E37" s="21">
        <f t="shared" ca="1" si="7"/>
        <v>591.99583333333339</v>
      </c>
      <c r="F37" s="21">
        <f t="shared" ca="1" si="7"/>
        <v>0</v>
      </c>
      <c r="G37" s="11">
        <f>'Monthly Data'!G37</f>
        <v>146208</v>
      </c>
      <c r="H37">
        <f>'Monthly Data'!CC37</f>
        <v>1</v>
      </c>
      <c r="I37" s="21">
        <f>'Monthly Data'!CS37</f>
        <v>31</v>
      </c>
      <c r="J37" s="21">
        <f>'Monthly Data'!CK37</f>
        <v>0</v>
      </c>
      <c r="K37" s="21">
        <f t="shared" ca="1" si="1"/>
        <v>0</v>
      </c>
      <c r="L37" s="21">
        <f t="shared" ca="1" si="2"/>
        <v>0</v>
      </c>
      <c r="M37">
        <f>'Monthly Data'!CV37</f>
        <v>0</v>
      </c>
      <c r="N37" s="11">
        <f>'Res Predicted Monthly'!$AB$9</f>
        <v>-154534728.74811399</v>
      </c>
      <c r="O37" s="11">
        <f ca="1">E37*'Res Predicted Monthly'!$AB$10</f>
        <v>36342980.873934403</v>
      </c>
      <c r="P37" s="11">
        <f ca="1">F37*'Res Predicted Monthly'!$AB$11</f>
        <v>0</v>
      </c>
      <c r="Q37" s="11">
        <f>G37*'Res Predicted Monthly'!$AB$12</f>
        <v>144302633.33762369</v>
      </c>
      <c r="R37" s="11">
        <f>H37*'Res Predicted Monthly'!$AB$13</f>
        <v>3702152.17603915</v>
      </c>
      <c r="S37" s="11">
        <f>I37*'Res Predicted Monthly'!$AB$14</f>
        <v>70054115.695287749</v>
      </c>
      <c r="T37" s="11">
        <f>J37*'Res Predicted Monthly'!$AB$15</f>
        <v>0</v>
      </c>
      <c r="U37" s="11">
        <f ca="1">K37*'Res Predicted Monthly'!$AB$16</f>
        <v>0</v>
      </c>
      <c r="V37" s="11">
        <f ca="1">L37*'Res Predicted Monthly'!$AB$17</f>
        <v>0</v>
      </c>
      <c r="W37" s="18">
        <f t="shared" ca="1" si="3"/>
        <v>99867153.334771007</v>
      </c>
    </row>
    <row r="38" spans="1:23" x14ac:dyDescent="0.2">
      <c r="A38" s="8">
        <f>'Monthly Data'!A38</f>
        <v>43831</v>
      </c>
      <c r="B38">
        <f t="shared" si="4"/>
        <v>2020</v>
      </c>
      <c r="C38">
        <f t="shared" si="5"/>
        <v>1</v>
      </c>
      <c r="D38" s="18">
        <f>'Monthly Data'!F38</f>
        <v>97545951.767339185</v>
      </c>
      <c r="E38" s="21">
        <f t="shared" ca="1" si="7"/>
        <v>683.09489583333334</v>
      </c>
      <c r="F38" s="21">
        <f t="shared" ca="1" si="7"/>
        <v>0</v>
      </c>
      <c r="G38" s="11">
        <f>'Monthly Data'!G38</f>
        <v>146344</v>
      </c>
      <c r="H38">
        <f>'Monthly Data'!CC38</f>
        <v>0</v>
      </c>
      <c r="I38" s="21">
        <f>'Monthly Data'!CS38</f>
        <v>31</v>
      </c>
      <c r="J38" s="21">
        <f>'Monthly Data'!CK38</f>
        <v>0</v>
      </c>
      <c r="K38" s="21">
        <f t="shared" ca="1" si="1"/>
        <v>0</v>
      </c>
      <c r="L38" s="21">
        <f t="shared" ca="1" si="2"/>
        <v>0</v>
      </c>
      <c r="M38">
        <f>'Monthly Data'!CV38</f>
        <v>0</v>
      </c>
      <c r="N38" s="11">
        <f>'Res Predicted Monthly'!$AB$9</f>
        <v>-154534728.74811399</v>
      </c>
      <c r="O38" s="11">
        <f ca="1">E38*'Res Predicted Monthly'!$AB$10</f>
        <v>41935607.20616509</v>
      </c>
      <c r="P38" s="11">
        <f ca="1">F38*'Res Predicted Monthly'!$AB$11</f>
        <v>0</v>
      </c>
      <c r="Q38" s="11">
        <f>G38*'Res Predicted Monthly'!$AB$12</f>
        <v>144436861.00050065</v>
      </c>
      <c r="R38" s="11">
        <f>H38*'Res Predicted Monthly'!$AB$13</f>
        <v>0</v>
      </c>
      <c r="S38" s="11">
        <f>I38*'Res Predicted Monthly'!$AB$14</f>
        <v>70054115.695287749</v>
      </c>
      <c r="T38" s="11">
        <f>J38*'Res Predicted Monthly'!$AB$15</f>
        <v>0</v>
      </c>
      <c r="U38" s="11">
        <f ca="1">K38*'Res Predicted Monthly'!$AB$16</f>
        <v>0</v>
      </c>
      <c r="V38" s="11">
        <f ca="1">L38*'Res Predicted Monthly'!$AB$17</f>
        <v>0</v>
      </c>
      <c r="W38" s="18">
        <f t="shared" ca="1" si="3"/>
        <v>101891855.1538395</v>
      </c>
    </row>
    <row r="39" spans="1:23" x14ac:dyDescent="0.2">
      <c r="A39" s="8">
        <f>'Monthly Data'!A39</f>
        <v>43862</v>
      </c>
      <c r="B39">
        <f t="shared" si="4"/>
        <v>2020</v>
      </c>
      <c r="C39">
        <f t="shared" si="5"/>
        <v>2</v>
      </c>
      <c r="D39" s="18">
        <f>'Monthly Data'!F39</f>
        <v>91493578.994513884</v>
      </c>
      <c r="E39" s="21">
        <f t="shared" ca="1" si="7"/>
        <v>589.85491666666678</v>
      </c>
      <c r="F39" s="21">
        <f t="shared" ca="1" si="7"/>
        <v>0</v>
      </c>
      <c r="G39" s="11">
        <f>'Monthly Data'!G39</f>
        <v>146387</v>
      </c>
      <c r="H39">
        <f>'Monthly Data'!CC39</f>
        <v>0</v>
      </c>
      <c r="I39" s="21">
        <f>'Monthly Data'!CS39</f>
        <v>29</v>
      </c>
      <c r="J39" s="21">
        <f>'Monthly Data'!CK39</f>
        <v>0</v>
      </c>
      <c r="K39" s="21">
        <f t="shared" ca="1" si="1"/>
        <v>0</v>
      </c>
      <c r="L39" s="21">
        <f t="shared" ca="1" si="2"/>
        <v>0</v>
      </c>
      <c r="M39">
        <f>'Monthly Data'!CV39</f>
        <v>0</v>
      </c>
      <c r="N39" s="11">
        <f>'Res Predicted Monthly'!$AB$9</f>
        <v>-154534728.74811399</v>
      </c>
      <c r="O39" s="11">
        <f ca="1">E39*'Res Predicted Monthly'!$AB$10</f>
        <v>36211548.709908441</v>
      </c>
      <c r="P39" s="11">
        <f ca="1">F39*'Res Predicted Monthly'!$AB$11</f>
        <v>0</v>
      </c>
      <c r="Q39" s="11">
        <f>G39*'Res Predicted Monthly'!$AB$12</f>
        <v>144479300.62920439</v>
      </c>
      <c r="R39" s="11">
        <f>H39*'Res Predicted Monthly'!$AB$13</f>
        <v>0</v>
      </c>
      <c r="S39" s="11">
        <f>I39*'Res Predicted Monthly'!$AB$14</f>
        <v>65534495.327849835</v>
      </c>
      <c r="T39" s="11">
        <f>J39*'Res Predicted Monthly'!$AB$15</f>
        <v>0</v>
      </c>
      <c r="U39" s="11">
        <f ca="1">K39*'Res Predicted Monthly'!$AB$16</f>
        <v>0</v>
      </c>
      <c r="V39" s="11">
        <f ca="1">L39*'Res Predicted Monthly'!$AB$17</f>
        <v>0</v>
      </c>
      <c r="W39" s="18">
        <f t="shared" ca="1" si="3"/>
        <v>91690615.918848678</v>
      </c>
    </row>
    <row r="40" spans="1:23" x14ac:dyDescent="0.2">
      <c r="A40" s="8">
        <f>'Monthly Data'!A40</f>
        <v>43891</v>
      </c>
      <c r="B40">
        <f t="shared" si="4"/>
        <v>2020</v>
      </c>
      <c r="C40">
        <f t="shared" si="5"/>
        <v>3</v>
      </c>
      <c r="D40" s="18">
        <f>'Monthly Data'!F40</f>
        <v>91571517.654991493</v>
      </c>
      <c r="E40" s="21">
        <f t="shared" ca="1" si="7"/>
        <v>522.20004166666672</v>
      </c>
      <c r="F40" s="21">
        <f t="shared" ca="1" si="7"/>
        <v>0</v>
      </c>
      <c r="G40" s="11">
        <f>'Monthly Data'!G40</f>
        <v>146528</v>
      </c>
      <c r="H40">
        <f>'Monthly Data'!CC40</f>
        <v>0</v>
      </c>
      <c r="I40" s="21">
        <f>'Monthly Data'!CS40</f>
        <v>31</v>
      </c>
      <c r="J40" s="21">
        <f>'Monthly Data'!CK40</f>
        <v>0</v>
      </c>
      <c r="K40" s="21">
        <f t="shared" ca="1" si="1"/>
        <v>261.10002083333336</v>
      </c>
      <c r="L40" s="21">
        <f t="shared" ca="1" si="2"/>
        <v>0</v>
      </c>
      <c r="M40">
        <f>'Monthly Data'!CV40</f>
        <v>0.5</v>
      </c>
      <c r="N40" s="11">
        <f>'Res Predicted Monthly'!$AB$9</f>
        <v>-154534728.74811399</v>
      </c>
      <c r="O40" s="11">
        <f ca="1">E40*'Res Predicted Monthly'!$AB$10</f>
        <v>32058175.172954902</v>
      </c>
      <c r="P40" s="11">
        <f ca="1">F40*'Res Predicted Monthly'!$AB$11</f>
        <v>0</v>
      </c>
      <c r="Q40" s="11">
        <f>G40*'Res Predicted Monthly'!$AB$12</f>
        <v>144618463.13262832</v>
      </c>
      <c r="R40" s="11">
        <f>H40*'Res Predicted Monthly'!$AB$13</f>
        <v>0</v>
      </c>
      <c r="S40" s="11">
        <f>I40*'Res Predicted Monthly'!$AB$14</f>
        <v>70054115.695287749</v>
      </c>
      <c r="T40" s="11">
        <f>J40*'Res Predicted Monthly'!$AB$15</f>
        <v>0</v>
      </c>
      <c r="U40" s="11">
        <f ca="1">K40*'Res Predicted Monthly'!$AB$16</f>
        <v>2762515.8478855821</v>
      </c>
      <c r="V40" s="11">
        <f ca="1">L40*'Res Predicted Monthly'!$AB$17</f>
        <v>0</v>
      </c>
      <c r="W40" s="18">
        <f t="shared" ca="1" si="3"/>
        <v>94958541.100642562</v>
      </c>
    </row>
    <row r="41" spans="1:23" x14ac:dyDescent="0.2">
      <c r="A41" s="8">
        <f>'Monthly Data'!A41</f>
        <v>43922</v>
      </c>
      <c r="B41">
        <f t="shared" si="4"/>
        <v>2020</v>
      </c>
      <c r="C41">
        <f t="shared" si="5"/>
        <v>4</v>
      </c>
      <c r="D41" s="18">
        <f>'Monthly Data'!F41</f>
        <v>85758313.193750188</v>
      </c>
      <c r="E41" s="21">
        <f t="shared" ca="1" si="7"/>
        <v>343.18302083333327</v>
      </c>
      <c r="F41" s="21">
        <f t="shared" ca="1" si="7"/>
        <v>6.5650000000000031</v>
      </c>
      <c r="G41" s="11">
        <f>'Monthly Data'!G41</f>
        <v>146621</v>
      </c>
      <c r="H41">
        <f>'Monthly Data'!CC41</f>
        <v>0</v>
      </c>
      <c r="I41" s="21">
        <f>'Monthly Data'!CS41</f>
        <v>30</v>
      </c>
      <c r="J41" s="21">
        <f>'Monthly Data'!CK41</f>
        <v>0</v>
      </c>
      <c r="K41" s="21">
        <f t="shared" ca="1" si="1"/>
        <v>343.18302083333327</v>
      </c>
      <c r="L41" s="21">
        <f t="shared" ca="1" si="2"/>
        <v>6.5650000000000031</v>
      </c>
      <c r="M41">
        <f>'Monthly Data'!CV41</f>
        <v>1</v>
      </c>
      <c r="N41" s="11">
        <f>'Res Predicted Monthly'!$AB$9</f>
        <v>-154534728.74811399</v>
      </c>
      <c r="O41" s="11">
        <f ca="1">E41*'Res Predicted Monthly'!$AB$10</f>
        <v>21068212.409836546</v>
      </c>
      <c r="P41" s="11">
        <f ca="1">F41*'Res Predicted Monthly'!$AB$11</f>
        <v>1864807.876633371</v>
      </c>
      <c r="Q41" s="11">
        <f>G41*'Res Predicted Monthly'!$AB$12</f>
        <v>144710251.16680154</v>
      </c>
      <c r="R41" s="11">
        <f>H41*'Res Predicted Monthly'!$AB$13</f>
        <v>0</v>
      </c>
      <c r="S41" s="11">
        <f>I41*'Res Predicted Monthly'!$AB$14</f>
        <v>67794305.5115688</v>
      </c>
      <c r="T41" s="11">
        <f>J41*'Res Predicted Monthly'!$AB$15</f>
        <v>0</v>
      </c>
      <c r="U41" s="11">
        <f ca="1">K41*'Res Predicted Monthly'!$AB$16</f>
        <v>3630978.3919262649</v>
      </c>
      <c r="V41" s="11">
        <f ca="1">L41*'Res Predicted Monthly'!$AB$17</f>
        <v>314595.99280098249</v>
      </c>
      <c r="W41" s="18">
        <f t="shared" ca="1" si="3"/>
        <v>84848422.601453513</v>
      </c>
    </row>
    <row r="42" spans="1:23" x14ac:dyDescent="0.2">
      <c r="A42" s="8">
        <f>'Monthly Data'!A42</f>
        <v>43952</v>
      </c>
      <c r="B42">
        <f t="shared" si="4"/>
        <v>2020</v>
      </c>
      <c r="C42">
        <f t="shared" si="5"/>
        <v>5</v>
      </c>
      <c r="D42" s="18">
        <f>'Monthly Data'!F42</f>
        <v>92128124.461526498</v>
      </c>
      <c r="E42" s="21">
        <f t="shared" ca="1" si="7"/>
        <v>146.15645833333332</v>
      </c>
      <c r="F42" s="21">
        <f t="shared" ca="1" si="7"/>
        <v>59.300416666666649</v>
      </c>
      <c r="G42" s="11">
        <f>'Monthly Data'!G42</f>
        <v>146786</v>
      </c>
      <c r="H42">
        <f>'Monthly Data'!CC42</f>
        <v>0</v>
      </c>
      <c r="I42" s="21">
        <f>'Monthly Data'!CS42</f>
        <v>31</v>
      </c>
      <c r="J42" s="21">
        <f>'Monthly Data'!CK42</f>
        <v>1</v>
      </c>
      <c r="K42" s="21">
        <f t="shared" ca="1" si="1"/>
        <v>146.15645833333332</v>
      </c>
      <c r="L42" s="21">
        <f t="shared" ca="1" si="2"/>
        <v>59.300416666666649</v>
      </c>
      <c r="M42">
        <f>'Monthly Data'!CV42</f>
        <v>1</v>
      </c>
      <c r="N42" s="11">
        <f>'Res Predicted Monthly'!$AB$9</f>
        <v>-154534728.74811399</v>
      </c>
      <c r="O42" s="11">
        <f ca="1">E42*'Res Predicted Monthly'!$AB$10</f>
        <v>8972633.033414349</v>
      </c>
      <c r="P42" s="11">
        <f ca="1">F42*'Res Predicted Monthly'!$AB$11</f>
        <v>16844460.637873683</v>
      </c>
      <c r="Q42" s="11">
        <f>G42*'Res Predicted Monthly'!$AB$12</f>
        <v>144873100.90485081</v>
      </c>
      <c r="R42" s="11">
        <f>H42*'Res Predicted Monthly'!$AB$13</f>
        <v>0</v>
      </c>
      <c r="S42" s="11">
        <f>I42*'Res Predicted Monthly'!$AB$14</f>
        <v>70054115.695287749</v>
      </c>
      <c r="T42" s="11">
        <f>J42*'Res Predicted Monthly'!$AB$15</f>
        <v>-2784507.8509929599</v>
      </c>
      <c r="U42" s="11">
        <f ca="1">K42*'Res Predicted Monthly'!$AB$16</f>
        <v>1546378.782843498</v>
      </c>
      <c r="V42" s="11">
        <f ca="1">L42*'Res Predicted Monthly'!$AB$17</f>
        <v>2841686.7410147623</v>
      </c>
      <c r="W42" s="18">
        <f t="shared" ca="1" si="3"/>
        <v>87813139.196177915</v>
      </c>
    </row>
    <row r="43" spans="1:23" x14ac:dyDescent="0.2">
      <c r="A43" s="8">
        <f>'Monthly Data'!A43</f>
        <v>43983</v>
      </c>
      <c r="B43">
        <f t="shared" si="4"/>
        <v>2020</v>
      </c>
      <c r="C43">
        <f t="shared" si="5"/>
        <v>6</v>
      </c>
      <c r="D43" s="18">
        <f>'Monthly Data'!F43</f>
        <v>112735350.78716789</v>
      </c>
      <c r="E43" s="21">
        <f t="shared" ca="1" si="7"/>
        <v>29.335416666666674</v>
      </c>
      <c r="F43" s="21">
        <f t="shared" ca="1" si="7"/>
        <v>157.17000000000002</v>
      </c>
      <c r="G43" s="11">
        <f>'Monthly Data'!G43</f>
        <v>146944</v>
      </c>
      <c r="H43">
        <f>'Monthly Data'!CC43</f>
        <v>0</v>
      </c>
      <c r="I43" s="21">
        <f>'Monthly Data'!CS43</f>
        <v>30</v>
      </c>
      <c r="J43" s="21">
        <f>'Monthly Data'!CK43</f>
        <v>1</v>
      </c>
      <c r="K43" s="21">
        <f t="shared" ca="1" si="1"/>
        <v>14.667708333333337</v>
      </c>
      <c r="L43" s="21">
        <f t="shared" ca="1" si="2"/>
        <v>78.585000000000008</v>
      </c>
      <c r="M43">
        <f>'Monthly Data'!CV43</f>
        <v>0.5</v>
      </c>
      <c r="N43" s="11">
        <f>'Res Predicted Monthly'!$AB$9</f>
        <v>-154534728.74811399</v>
      </c>
      <c r="O43" s="11">
        <f ca="1">E43*'Res Predicted Monthly'!$AB$10</f>
        <v>1800918.903166092</v>
      </c>
      <c r="P43" s="11">
        <f ca="1">F43*'Res Predicted Monthly'!$AB$11</f>
        <v>44644608.373262271</v>
      </c>
      <c r="Q43" s="11">
        <f>G43*'Res Predicted Monthly'!$AB$12</f>
        <v>145029041.86613438</v>
      </c>
      <c r="R43" s="11">
        <f>H43*'Res Predicted Monthly'!$AB$13</f>
        <v>0</v>
      </c>
      <c r="S43" s="11">
        <f>I43*'Res Predicted Monthly'!$AB$14</f>
        <v>67794305.5115688</v>
      </c>
      <c r="T43" s="11">
        <f>J43*'Res Predicted Monthly'!$AB$15</f>
        <v>-2784507.8509929599</v>
      </c>
      <c r="U43" s="11">
        <f ca="1">K43*'Res Predicted Monthly'!$AB$16</f>
        <v>155188.71501301619</v>
      </c>
      <c r="V43" s="11">
        <f ca="1">L43*'Res Predicted Monthly'!$AB$17</f>
        <v>3765807.4781820565</v>
      </c>
      <c r="W43" s="18">
        <f t="shared" ca="1" si="3"/>
        <v>105870634.24821965</v>
      </c>
    </row>
    <row r="44" spans="1:23" x14ac:dyDescent="0.2">
      <c r="A44" s="8">
        <f>'Monthly Data'!A44</f>
        <v>44013</v>
      </c>
      <c r="B44">
        <f t="shared" si="4"/>
        <v>2020</v>
      </c>
      <c r="C44">
        <f t="shared" si="5"/>
        <v>7</v>
      </c>
      <c r="D44" s="18">
        <f>'Monthly Data'!F44</f>
        <v>146625970.2936959</v>
      </c>
      <c r="E44" s="21">
        <f t="shared" ca="1" si="7"/>
        <v>1.6731249999999993</v>
      </c>
      <c r="F44" s="21">
        <f t="shared" ca="1" si="7"/>
        <v>231.27145833333333</v>
      </c>
      <c r="G44" s="11">
        <f>'Monthly Data'!G44</f>
        <v>147020</v>
      </c>
      <c r="H44">
        <f>'Monthly Data'!CC44</f>
        <v>0</v>
      </c>
      <c r="I44" s="21">
        <f>'Monthly Data'!CS44</f>
        <v>31</v>
      </c>
      <c r="J44" s="21">
        <f>'Monthly Data'!CK44</f>
        <v>1</v>
      </c>
      <c r="K44" s="21">
        <f t="shared" ca="1" si="1"/>
        <v>0.83656249999999965</v>
      </c>
      <c r="L44" s="21">
        <f t="shared" ca="1" si="2"/>
        <v>115.63572916666666</v>
      </c>
      <c r="M44">
        <f>'Monthly Data'!CV44</f>
        <v>0.5</v>
      </c>
      <c r="N44" s="11">
        <f>'Res Predicted Monthly'!$AB$9</f>
        <v>-154534728.74811399</v>
      </c>
      <c r="O44" s="11">
        <f ca="1">E44*'Res Predicted Monthly'!$AB$10</f>
        <v>102714.15177421259</v>
      </c>
      <c r="P44" s="11">
        <f ca="1">F44*'Res Predicted Monthly'!$AB$11</f>
        <v>65693349.145542458</v>
      </c>
      <c r="Q44" s="11">
        <f>G44*'Res Predicted Monthly'!$AB$12</f>
        <v>145104051.44244796</v>
      </c>
      <c r="R44" s="11">
        <f>H44*'Res Predicted Monthly'!$AB$13</f>
        <v>0</v>
      </c>
      <c r="S44" s="11">
        <f>I44*'Res Predicted Monthly'!$AB$14</f>
        <v>70054115.695287749</v>
      </c>
      <c r="T44" s="11">
        <f>J44*'Res Predicted Monthly'!$AB$15</f>
        <v>-2784507.8509929599</v>
      </c>
      <c r="U44" s="11">
        <f ca="1">K44*'Res Predicted Monthly'!$AB$16</f>
        <v>8851.0799678256662</v>
      </c>
      <c r="V44" s="11">
        <f ca="1">L44*'Res Predicted Monthly'!$AB$17</f>
        <v>5541285.1516303141</v>
      </c>
      <c r="W44" s="18">
        <f t="shared" ca="1" si="3"/>
        <v>129185130.06754355</v>
      </c>
    </row>
    <row r="45" spans="1:23" x14ac:dyDescent="0.2">
      <c r="A45" s="8">
        <f>'Monthly Data'!A45</f>
        <v>44044</v>
      </c>
      <c r="B45">
        <f t="shared" si="4"/>
        <v>2020</v>
      </c>
      <c r="C45">
        <f t="shared" si="5"/>
        <v>8</v>
      </c>
      <c r="D45" s="18">
        <f>'Monthly Data'!F45</f>
        <v>120844372.34821889</v>
      </c>
      <c r="E45" s="21">
        <f t="shared" ca="1" si="7"/>
        <v>7.1606250000000005</v>
      </c>
      <c r="F45" s="21">
        <f t="shared" ca="1" si="7"/>
        <v>196.13625000000002</v>
      </c>
      <c r="G45" s="11">
        <f>'Monthly Data'!G45</f>
        <v>147180</v>
      </c>
      <c r="H45">
        <f>'Monthly Data'!CC45</f>
        <v>0</v>
      </c>
      <c r="I45" s="21">
        <f>'Monthly Data'!CS45</f>
        <v>31</v>
      </c>
      <c r="J45" s="21">
        <f>'Monthly Data'!CK45</f>
        <v>1</v>
      </c>
      <c r="K45" s="21">
        <f t="shared" ca="1" si="1"/>
        <v>3.5803125000000002</v>
      </c>
      <c r="L45" s="21">
        <f t="shared" ca="1" si="2"/>
        <v>98.068125000000009</v>
      </c>
      <c r="M45">
        <f>'Monthly Data'!CV45</f>
        <v>0.5</v>
      </c>
      <c r="N45" s="11">
        <f>'Res Predicted Monthly'!$AB$9</f>
        <v>-154534728.74811399</v>
      </c>
      <c r="O45" s="11">
        <f ca="1">E45*'Res Predicted Monthly'!$AB$10</f>
        <v>439595.08288276213</v>
      </c>
      <c r="P45" s="11">
        <f ca="1">F45*'Res Predicted Monthly'!$AB$11</f>
        <v>55713088.178725339</v>
      </c>
      <c r="Q45" s="11">
        <f>G45*'Res Predicted Monthly'!$AB$12</f>
        <v>145261966.33995029</v>
      </c>
      <c r="R45" s="11">
        <f>H45*'Res Predicted Monthly'!$AB$13</f>
        <v>0</v>
      </c>
      <c r="S45" s="11">
        <f>I45*'Res Predicted Monthly'!$AB$14</f>
        <v>70054115.695287749</v>
      </c>
      <c r="T45" s="11">
        <f>J45*'Res Predicted Monthly'!$AB$15</f>
        <v>-2784507.8509929599</v>
      </c>
      <c r="U45" s="11">
        <f ca="1">K45*'Res Predicted Monthly'!$AB$16</f>
        <v>37880.77071026474</v>
      </c>
      <c r="V45" s="11">
        <f ca="1">L45*'Res Predicted Monthly'!$AB$17</f>
        <v>4699442.3680892373</v>
      </c>
      <c r="W45" s="18">
        <f t="shared" ca="1" si="3"/>
        <v>118886851.83653869</v>
      </c>
    </row>
    <row r="46" spans="1:23" x14ac:dyDescent="0.2">
      <c r="A46" s="8">
        <f>'Monthly Data'!A46</f>
        <v>44075</v>
      </c>
      <c r="B46">
        <f t="shared" si="4"/>
        <v>2020</v>
      </c>
      <c r="C46">
        <f t="shared" si="5"/>
        <v>9</v>
      </c>
      <c r="D46" s="18">
        <f>'Monthly Data'!F46</f>
        <v>87619165.062130496</v>
      </c>
      <c r="E46" s="21">
        <f t="shared" ca="1" si="7"/>
        <v>56.160416666666663</v>
      </c>
      <c r="F46" s="21">
        <f t="shared" ca="1" si="7"/>
        <v>104.19854166666664</v>
      </c>
      <c r="G46" s="11">
        <f>'Monthly Data'!G46</f>
        <v>147302</v>
      </c>
      <c r="H46">
        <f>'Monthly Data'!CC46</f>
        <v>0</v>
      </c>
      <c r="I46" s="21">
        <f>'Monthly Data'!CS46</f>
        <v>30</v>
      </c>
      <c r="J46" s="21">
        <f>'Monthly Data'!CK46</f>
        <v>0</v>
      </c>
      <c r="K46" s="21">
        <f t="shared" ca="1" si="1"/>
        <v>28.080208333333331</v>
      </c>
      <c r="L46" s="21">
        <f t="shared" ca="1" si="2"/>
        <v>52.099270833333321</v>
      </c>
      <c r="M46">
        <f>'Monthly Data'!CV46</f>
        <v>0.5</v>
      </c>
      <c r="N46" s="11">
        <f>'Res Predicted Monthly'!$AB$9</f>
        <v>-154534728.74811399</v>
      </c>
      <c r="O46" s="11">
        <f ca="1">E46*'Res Predicted Monthly'!$AB$10</f>
        <v>3447721.8146898891</v>
      </c>
      <c r="P46" s="11">
        <f ca="1">F46*'Res Predicted Monthly'!$AB$11</f>
        <v>29597907.270938363</v>
      </c>
      <c r="Q46" s="11">
        <f>G46*'Res Predicted Monthly'!$AB$12</f>
        <v>145382376.44929582</v>
      </c>
      <c r="R46" s="11">
        <f>H46*'Res Predicted Monthly'!$AB$13</f>
        <v>0</v>
      </c>
      <c r="S46" s="11">
        <f>I46*'Res Predicted Monthly'!$AB$14</f>
        <v>67794305.5115688</v>
      </c>
      <c r="T46" s="11">
        <f>J46*'Res Predicted Monthly'!$AB$15</f>
        <v>0</v>
      </c>
      <c r="U46" s="11">
        <f ca="1">K46*'Res Predicted Monthly'!$AB$16</f>
        <v>297096.95267423306</v>
      </c>
      <c r="V46" s="11">
        <f ca="1">L46*'Res Predicted Monthly'!$AB$17</f>
        <v>2496606.5242985166</v>
      </c>
      <c r="W46" s="18">
        <f t="shared" ca="1" si="3"/>
        <v>94481285.775351629</v>
      </c>
    </row>
    <row r="47" spans="1:23" x14ac:dyDescent="0.2">
      <c r="A47" s="8">
        <f>'Monthly Data'!A47</f>
        <v>44105</v>
      </c>
      <c r="B47">
        <f t="shared" si="4"/>
        <v>2020</v>
      </c>
      <c r="C47">
        <f t="shared" si="5"/>
        <v>10</v>
      </c>
      <c r="D47" s="18">
        <f>'Monthly Data'!F47</f>
        <v>83474979.349141687</v>
      </c>
      <c r="E47" s="21">
        <f t="shared" ca="1" si="7"/>
        <v>229.16187499999995</v>
      </c>
      <c r="F47" s="21">
        <f t="shared" ca="1" si="7"/>
        <v>24.703125000000007</v>
      </c>
      <c r="G47" s="11">
        <f>'Monthly Data'!G47</f>
        <v>147372</v>
      </c>
      <c r="H47">
        <f>'Monthly Data'!CC47</f>
        <v>0</v>
      </c>
      <c r="I47" s="21">
        <f>'Monthly Data'!CS47</f>
        <v>31</v>
      </c>
      <c r="J47" s="21">
        <f>'Monthly Data'!CK47</f>
        <v>0</v>
      </c>
      <c r="K47" s="21">
        <f t="shared" ca="1" si="1"/>
        <v>114.58093749999998</v>
      </c>
      <c r="L47" s="21">
        <f t="shared" ca="1" si="2"/>
        <v>12.351562500000004</v>
      </c>
      <c r="M47">
        <f>'Monthly Data'!CV47</f>
        <v>0.5</v>
      </c>
      <c r="N47" s="11">
        <f>'Res Predicted Monthly'!$AB$9</f>
        <v>-154534728.74811399</v>
      </c>
      <c r="O47" s="11">
        <f ca="1">E47*'Res Predicted Monthly'!$AB$10</f>
        <v>14068385.571677633</v>
      </c>
      <c r="P47" s="11">
        <f ca="1">F47*'Res Predicted Monthly'!$AB$11</f>
        <v>7016996.5083714752</v>
      </c>
      <c r="Q47" s="11">
        <f>G47*'Res Predicted Monthly'!$AB$12</f>
        <v>145451464.21695307</v>
      </c>
      <c r="R47" s="11">
        <f>H47*'Res Predicted Monthly'!$AB$13</f>
        <v>0</v>
      </c>
      <c r="S47" s="11">
        <f>I47*'Res Predicted Monthly'!$AB$14</f>
        <v>70054115.695287749</v>
      </c>
      <c r="T47" s="11">
        <f>J47*'Res Predicted Monthly'!$AB$15</f>
        <v>0</v>
      </c>
      <c r="U47" s="11">
        <f ca="1">K47*'Res Predicted Monthly'!$AB$16</f>
        <v>1212300.384730292</v>
      </c>
      <c r="V47" s="11">
        <f ca="1">L47*'Res Predicted Monthly'!$AB$17</f>
        <v>591889.11916692834</v>
      </c>
      <c r="W47" s="18">
        <f t="shared" ca="1" si="3"/>
        <v>83860422.748073146</v>
      </c>
    </row>
    <row r="48" spans="1:23" x14ac:dyDescent="0.2">
      <c r="A48" s="8">
        <f>'Monthly Data'!A48</f>
        <v>44136</v>
      </c>
      <c r="B48">
        <f t="shared" si="4"/>
        <v>2020</v>
      </c>
      <c r="C48">
        <f t="shared" si="5"/>
        <v>11</v>
      </c>
      <c r="D48" s="18">
        <f>'Monthly Data'!F48</f>
        <v>86270435.371089891</v>
      </c>
      <c r="E48" s="21">
        <f t="shared" ca="1" si="7"/>
        <v>422.06333333333333</v>
      </c>
      <c r="F48" s="21">
        <f t="shared" ca="1" si="7"/>
        <v>1.6454166666666665</v>
      </c>
      <c r="G48" s="11">
        <f>'Monthly Data'!G48</f>
        <v>147580</v>
      </c>
      <c r="H48">
        <f>'Monthly Data'!CC48</f>
        <v>0</v>
      </c>
      <c r="I48" s="21">
        <f>'Monthly Data'!CS48</f>
        <v>30</v>
      </c>
      <c r="J48" s="21">
        <f>'Monthly Data'!CK48</f>
        <v>0</v>
      </c>
      <c r="K48" s="21">
        <f t="shared" ca="1" si="1"/>
        <v>211.03166666666667</v>
      </c>
      <c r="L48" s="21">
        <f t="shared" ca="1" si="2"/>
        <v>0.82270833333333326</v>
      </c>
      <c r="M48">
        <f>'Monthly Data'!CV48</f>
        <v>0.5</v>
      </c>
      <c r="N48" s="11">
        <f>'Res Predicted Monthly'!$AB$9</f>
        <v>-154534728.74811399</v>
      </c>
      <c r="O48" s="11">
        <f ca="1">E48*'Res Predicted Monthly'!$AB$10</f>
        <v>25910722.318015747</v>
      </c>
      <c r="P48" s="11">
        <f ca="1">F48*'Res Predicted Monthly'!$AB$11</f>
        <v>467385.52328161825</v>
      </c>
      <c r="Q48" s="11">
        <f>G48*'Res Predicted Monthly'!$AB$12</f>
        <v>145656753.58370611</v>
      </c>
      <c r="R48" s="11">
        <f>H48*'Res Predicted Monthly'!$AB$13</f>
        <v>0</v>
      </c>
      <c r="S48" s="11">
        <f>I48*'Res Predicted Monthly'!$AB$14</f>
        <v>67794305.5115688</v>
      </c>
      <c r="T48" s="11">
        <f>J48*'Res Predicted Monthly'!$AB$15</f>
        <v>0</v>
      </c>
      <c r="U48" s="11">
        <f ca="1">K48*'Res Predicted Monthly'!$AB$16</f>
        <v>2232777.7750140578</v>
      </c>
      <c r="V48" s="11">
        <f ca="1">L48*'Res Predicted Monthly'!$AB$17</f>
        <v>39424.332811978908</v>
      </c>
      <c r="W48" s="18">
        <f t="shared" ca="1" si="3"/>
        <v>87566640.296284333</v>
      </c>
    </row>
    <row r="49" spans="1:23" x14ac:dyDescent="0.2">
      <c r="A49" s="8">
        <f>'Monthly Data'!A49</f>
        <v>44166</v>
      </c>
      <c r="B49">
        <f t="shared" si="4"/>
        <v>2020</v>
      </c>
      <c r="C49">
        <f t="shared" si="5"/>
        <v>12</v>
      </c>
      <c r="D49" s="18">
        <f>'Monthly Data'!F49</f>
        <v>104207857.30909689</v>
      </c>
      <c r="E49" s="21">
        <f t="shared" ca="1" si="7"/>
        <v>591.99583333333339</v>
      </c>
      <c r="F49" s="21">
        <f t="shared" ca="1" si="7"/>
        <v>0</v>
      </c>
      <c r="G49" s="11">
        <f>'Monthly Data'!G49</f>
        <v>147666</v>
      </c>
      <c r="H49">
        <f>'Monthly Data'!CC49</f>
        <v>1</v>
      </c>
      <c r="I49" s="21">
        <f>'Monthly Data'!CS49</f>
        <v>31</v>
      </c>
      <c r="J49" s="21">
        <f>'Monthly Data'!CK49</f>
        <v>0</v>
      </c>
      <c r="K49" s="21">
        <f t="shared" ca="1" si="1"/>
        <v>295.9979166666667</v>
      </c>
      <c r="L49" s="21">
        <f t="shared" ca="1" si="2"/>
        <v>0</v>
      </c>
      <c r="M49">
        <f>'Monthly Data'!CV49</f>
        <v>0.5</v>
      </c>
      <c r="N49" s="11">
        <f>'Res Predicted Monthly'!$AB$9</f>
        <v>-154534728.74811399</v>
      </c>
      <c r="O49" s="11">
        <f ca="1">E49*'Res Predicted Monthly'!$AB$10</f>
        <v>36342980.873934403</v>
      </c>
      <c r="P49" s="11">
        <f ca="1">F49*'Res Predicted Monthly'!$AB$11</f>
        <v>0</v>
      </c>
      <c r="Q49" s="11">
        <f>G49*'Res Predicted Monthly'!$AB$12</f>
        <v>145741632.8411136</v>
      </c>
      <c r="R49" s="11">
        <f>H49*'Res Predicted Monthly'!$AB$13</f>
        <v>3702152.17603915</v>
      </c>
      <c r="S49" s="11">
        <f>I49*'Res Predicted Monthly'!$AB$14</f>
        <v>70054115.695287749</v>
      </c>
      <c r="T49" s="11">
        <f>J49*'Res Predicted Monthly'!$AB$15</f>
        <v>0</v>
      </c>
      <c r="U49" s="11">
        <f ca="1">K49*'Res Predicted Monthly'!$AB$16</f>
        <v>3131745.9612718304</v>
      </c>
      <c r="V49" s="11">
        <f ca="1">L49*'Res Predicted Monthly'!$AB$17</f>
        <v>0</v>
      </c>
      <c r="W49" s="18">
        <f t="shared" ca="1" si="3"/>
        <v>104437898.79953276</v>
      </c>
    </row>
    <row r="50" spans="1:23" x14ac:dyDescent="0.2">
      <c r="A50" s="8">
        <f>'Monthly Data'!A50</f>
        <v>44197</v>
      </c>
      <c r="B50">
        <f t="shared" si="4"/>
        <v>2021</v>
      </c>
      <c r="C50">
        <f t="shared" si="5"/>
        <v>1</v>
      </c>
      <c r="D50" s="18">
        <f>'Monthly Data'!F50</f>
        <v>105751345.12864499</v>
      </c>
      <c r="E50" s="21">
        <f t="shared" ca="1" si="7"/>
        <v>683.09489583333334</v>
      </c>
      <c r="F50" s="21">
        <f t="shared" ca="1" si="7"/>
        <v>0</v>
      </c>
      <c r="G50" s="11">
        <f>'Monthly Data'!G50</f>
        <v>147698</v>
      </c>
      <c r="H50">
        <f>'Monthly Data'!CC50</f>
        <v>0</v>
      </c>
      <c r="I50" s="21">
        <f>'Monthly Data'!CS50</f>
        <v>31</v>
      </c>
      <c r="J50" s="21">
        <f>'Monthly Data'!CK50</f>
        <v>0</v>
      </c>
      <c r="K50" s="21">
        <f t="shared" ca="1" si="1"/>
        <v>341.54744791666667</v>
      </c>
      <c r="L50" s="21">
        <f t="shared" ca="1" si="2"/>
        <v>0</v>
      </c>
      <c r="M50">
        <f>'Monthly Data'!CV50</f>
        <v>0.5</v>
      </c>
      <c r="N50" s="11">
        <f>'Res Predicted Monthly'!$AB$9</f>
        <v>-154534728.74811399</v>
      </c>
      <c r="O50" s="11">
        <f ca="1">E50*'Res Predicted Monthly'!$AB$10</f>
        <v>41935607.20616509</v>
      </c>
      <c r="P50" s="11">
        <f ca="1">F50*'Res Predicted Monthly'!$AB$11</f>
        <v>0</v>
      </c>
      <c r="Q50" s="11">
        <f>G50*'Res Predicted Monthly'!$AB$12</f>
        <v>145773215.82061407</v>
      </c>
      <c r="R50" s="11">
        <f>H50*'Res Predicted Monthly'!$AB$13</f>
        <v>0</v>
      </c>
      <c r="S50" s="11">
        <f>I50*'Res Predicted Monthly'!$AB$14</f>
        <v>70054115.695287749</v>
      </c>
      <c r="T50" s="11">
        <f>J50*'Res Predicted Monthly'!$AB$15</f>
        <v>0</v>
      </c>
      <c r="U50" s="11">
        <f ca="1">K50*'Res Predicted Monthly'!$AB$16</f>
        <v>3613673.5441968651</v>
      </c>
      <c r="V50" s="11">
        <f ca="1">L50*'Res Predicted Monthly'!$AB$17</f>
        <v>0</v>
      </c>
      <c r="W50" s="18">
        <f t="shared" ca="1" si="3"/>
        <v>106841883.51814978</v>
      </c>
    </row>
    <row r="51" spans="1:23" x14ac:dyDescent="0.2">
      <c r="A51" s="8">
        <f>'Monthly Data'!A51</f>
        <v>44228</v>
      </c>
      <c r="B51">
        <f t="shared" si="4"/>
        <v>2021</v>
      </c>
      <c r="C51">
        <f t="shared" si="5"/>
        <v>2</v>
      </c>
      <c r="D51" s="18">
        <f>'Monthly Data'!F51</f>
        <v>98306877.169293538</v>
      </c>
      <c r="E51" s="21">
        <f t="shared" ca="1" si="7"/>
        <v>589.85491666666678</v>
      </c>
      <c r="F51" s="21">
        <f t="shared" ca="1" si="7"/>
        <v>0</v>
      </c>
      <c r="G51" s="11">
        <f>'Monthly Data'!G51</f>
        <v>147947</v>
      </c>
      <c r="H51">
        <f>'Monthly Data'!CC51</f>
        <v>0</v>
      </c>
      <c r="I51" s="21">
        <f>'Monthly Data'!CS51</f>
        <v>28</v>
      </c>
      <c r="J51" s="21">
        <f>'Monthly Data'!CK51</f>
        <v>0</v>
      </c>
      <c r="K51" s="21">
        <f t="shared" ca="1" si="1"/>
        <v>294.92745833333339</v>
      </c>
      <c r="L51" s="21">
        <f t="shared" ca="1" si="2"/>
        <v>0</v>
      </c>
      <c r="M51">
        <f>'Monthly Data'!CV51</f>
        <v>0.5</v>
      </c>
      <c r="N51" s="11">
        <f>'Res Predicted Monthly'!$AB$9</f>
        <v>-154534728.74811399</v>
      </c>
      <c r="O51" s="11">
        <f ca="1">E51*'Res Predicted Monthly'!$AB$10</f>
        <v>36211548.709908441</v>
      </c>
      <c r="P51" s="11">
        <f ca="1">F51*'Res Predicted Monthly'!$AB$11</f>
        <v>0</v>
      </c>
      <c r="Q51" s="11">
        <f>G51*'Res Predicted Monthly'!$AB$12</f>
        <v>146018970.87985206</v>
      </c>
      <c r="R51" s="11">
        <f>H51*'Res Predicted Monthly'!$AB$13</f>
        <v>0</v>
      </c>
      <c r="S51" s="11">
        <f>I51*'Res Predicted Monthly'!$AB$14</f>
        <v>63274685.144130871</v>
      </c>
      <c r="T51" s="11">
        <f>J51*'Res Predicted Monthly'!$AB$15</f>
        <v>0</v>
      </c>
      <c r="U51" s="11">
        <f ca="1">K51*'Res Predicted Monthly'!$AB$16</f>
        <v>3120420.1938479282</v>
      </c>
      <c r="V51" s="11">
        <f ca="1">L51*'Res Predicted Monthly'!$AB$17</f>
        <v>0</v>
      </c>
      <c r="W51" s="18">
        <f t="shared" ca="1" si="3"/>
        <v>94090896.179625303</v>
      </c>
    </row>
    <row r="52" spans="1:23" x14ac:dyDescent="0.2">
      <c r="A52" s="8">
        <f>'Monthly Data'!A52</f>
        <v>44256</v>
      </c>
      <c r="B52">
        <f t="shared" si="4"/>
        <v>2021</v>
      </c>
      <c r="C52">
        <f t="shared" si="5"/>
        <v>3</v>
      </c>
      <c r="D52" s="18">
        <f>'Monthly Data'!F52</f>
        <v>91973029.250623286</v>
      </c>
      <c r="E52" s="21">
        <f t="shared" ca="1" si="7"/>
        <v>522.20004166666672</v>
      </c>
      <c r="F52" s="21">
        <f t="shared" ca="1" si="7"/>
        <v>0</v>
      </c>
      <c r="G52" s="11">
        <f>'Monthly Data'!G52</f>
        <v>148098</v>
      </c>
      <c r="H52">
        <f>'Monthly Data'!CC52</f>
        <v>0</v>
      </c>
      <c r="I52" s="21">
        <f>'Monthly Data'!CS52</f>
        <v>31</v>
      </c>
      <c r="J52" s="21">
        <f>'Monthly Data'!CK52</f>
        <v>0</v>
      </c>
      <c r="K52" s="21">
        <f t="shared" ca="1" si="1"/>
        <v>261.10002083333336</v>
      </c>
      <c r="L52" s="21">
        <f t="shared" ca="1" si="2"/>
        <v>0</v>
      </c>
      <c r="M52">
        <f>'Monthly Data'!CV52</f>
        <v>0.5</v>
      </c>
      <c r="N52" s="11">
        <f>'Res Predicted Monthly'!$AB$9</f>
        <v>-154534728.74811399</v>
      </c>
      <c r="O52" s="11">
        <f ca="1">E52*'Res Predicted Monthly'!$AB$10</f>
        <v>32058175.172954902</v>
      </c>
      <c r="P52" s="11">
        <f ca="1">F52*'Res Predicted Monthly'!$AB$11</f>
        <v>0</v>
      </c>
      <c r="Q52" s="11">
        <f>G52*'Res Predicted Monthly'!$AB$12</f>
        <v>146168003.06436989</v>
      </c>
      <c r="R52" s="11">
        <f>H52*'Res Predicted Monthly'!$AB$13</f>
        <v>0</v>
      </c>
      <c r="S52" s="11">
        <f>I52*'Res Predicted Monthly'!$AB$14</f>
        <v>70054115.695287749</v>
      </c>
      <c r="T52" s="11">
        <f>J52*'Res Predicted Monthly'!$AB$15</f>
        <v>0</v>
      </c>
      <c r="U52" s="11">
        <f ca="1">K52*'Res Predicted Monthly'!$AB$16</f>
        <v>2762515.8478855821</v>
      </c>
      <c r="V52" s="11">
        <f ca="1">L52*'Res Predicted Monthly'!$AB$17</f>
        <v>0</v>
      </c>
      <c r="W52" s="18">
        <f t="shared" ca="1" si="3"/>
        <v>96508081.032384127</v>
      </c>
    </row>
    <row r="53" spans="1:23" x14ac:dyDescent="0.2">
      <c r="A53" s="8">
        <f>'Monthly Data'!A53</f>
        <v>44287</v>
      </c>
      <c r="B53">
        <f t="shared" si="4"/>
        <v>2021</v>
      </c>
      <c r="C53">
        <f t="shared" si="5"/>
        <v>4</v>
      </c>
      <c r="D53" s="18">
        <f>'Monthly Data'!F53</f>
        <v>82981156.929550335</v>
      </c>
      <c r="E53" s="21">
        <f t="shared" ca="1" si="7"/>
        <v>343.18302083333327</v>
      </c>
      <c r="F53" s="21">
        <f t="shared" ca="1" si="7"/>
        <v>6.5650000000000031</v>
      </c>
      <c r="G53" s="11">
        <f>'Monthly Data'!G53</f>
        <v>148249</v>
      </c>
      <c r="H53">
        <f>'Monthly Data'!CC53</f>
        <v>0</v>
      </c>
      <c r="I53" s="21">
        <f>'Monthly Data'!CS53</f>
        <v>30</v>
      </c>
      <c r="J53" s="21">
        <f>'Monthly Data'!CK53</f>
        <v>0</v>
      </c>
      <c r="K53" s="21">
        <f t="shared" ca="1" si="1"/>
        <v>171.59151041666664</v>
      </c>
      <c r="L53" s="21">
        <f t="shared" ca="1" si="2"/>
        <v>3.2825000000000015</v>
      </c>
      <c r="M53">
        <f>'Monthly Data'!CV53</f>
        <v>0.5</v>
      </c>
      <c r="N53" s="11">
        <f>'Res Predicted Monthly'!$AB$9</f>
        <v>-154534728.74811399</v>
      </c>
      <c r="O53" s="11">
        <f ca="1">E53*'Res Predicted Monthly'!$AB$10</f>
        <v>21068212.409836546</v>
      </c>
      <c r="P53" s="11">
        <f ca="1">F53*'Res Predicted Monthly'!$AB$11</f>
        <v>1864807.876633371</v>
      </c>
      <c r="Q53" s="11">
        <f>G53*'Res Predicted Monthly'!$AB$12</f>
        <v>146317035.24888769</v>
      </c>
      <c r="R53" s="11">
        <f>H53*'Res Predicted Monthly'!$AB$13</f>
        <v>0</v>
      </c>
      <c r="S53" s="11">
        <f>I53*'Res Predicted Monthly'!$AB$14</f>
        <v>67794305.5115688</v>
      </c>
      <c r="T53" s="11">
        <f>J53*'Res Predicted Monthly'!$AB$15</f>
        <v>0</v>
      </c>
      <c r="U53" s="11">
        <f ca="1">K53*'Res Predicted Monthly'!$AB$16</f>
        <v>1815489.1959631324</v>
      </c>
      <c r="V53" s="11">
        <f ca="1">L53*'Res Predicted Monthly'!$AB$17</f>
        <v>157297.99640049125</v>
      </c>
      <c r="W53" s="18">
        <f t="shared" ca="1" si="3"/>
        <v>84482419.491176039</v>
      </c>
    </row>
    <row r="54" spans="1:23" x14ac:dyDescent="0.2">
      <c r="A54" s="8">
        <f>'Monthly Data'!A54</f>
        <v>44317</v>
      </c>
      <c r="B54">
        <f t="shared" si="4"/>
        <v>2021</v>
      </c>
      <c r="C54">
        <f t="shared" si="5"/>
        <v>5</v>
      </c>
      <c r="D54" s="18">
        <f>'Monthly Data'!F54</f>
        <v>91340076.58452858</v>
      </c>
      <c r="E54" s="21">
        <f t="shared" ref="E54:F73" ca="1" si="8">E42</f>
        <v>146.15645833333332</v>
      </c>
      <c r="F54" s="21">
        <f t="shared" ca="1" si="8"/>
        <v>59.300416666666649</v>
      </c>
      <c r="G54" s="11">
        <f>'Monthly Data'!G54</f>
        <v>148347</v>
      </c>
      <c r="H54">
        <f>'Monthly Data'!CC54</f>
        <v>0</v>
      </c>
      <c r="I54" s="21">
        <f>'Monthly Data'!CS54</f>
        <v>31</v>
      </c>
      <c r="J54" s="21">
        <f>'Monthly Data'!CK54</f>
        <v>1</v>
      </c>
      <c r="K54" s="21">
        <f t="shared" ca="1" si="1"/>
        <v>73.078229166666659</v>
      </c>
      <c r="L54" s="21">
        <f t="shared" ca="1" si="2"/>
        <v>29.650208333333325</v>
      </c>
      <c r="M54">
        <f>'Monthly Data'!CV54</f>
        <v>0.5</v>
      </c>
      <c r="N54" s="11">
        <f>'Res Predicted Monthly'!$AB$9</f>
        <v>-154534728.74811399</v>
      </c>
      <c r="O54" s="11">
        <f ca="1">E54*'Res Predicted Monthly'!$AB$10</f>
        <v>8972633.033414349</v>
      </c>
      <c r="P54" s="11">
        <f ca="1">F54*'Res Predicted Monthly'!$AB$11</f>
        <v>16844460.637873683</v>
      </c>
      <c r="Q54" s="11">
        <f>G54*'Res Predicted Monthly'!$AB$12</f>
        <v>146413758.12360787</v>
      </c>
      <c r="R54" s="11">
        <f>H54*'Res Predicted Monthly'!$AB$13</f>
        <v>0</v>
      </c>
      <c r="S54" s="11">
        <f>I54*'Res Predicted Monthly'!$AB$14</f>
        <v>70054115.695287749</v>
      </c>
      <c r="T54" s="11">
        <f>J54*'Res Predicted Monthly'!$AB$15</f>
        <v>-2784507.8509929599</v>
      </c>
      <c r="U54" s="11">
        <f ca="1">K54*'Res Predicted Monthly'!$AB$16</f>
        <v>773189.39142174902</v>
      </c>
      <c r="V54" s="11">
        <f ca="1">L54*'Res Predicted Monthly'!$AB$17</f>
        <v>1420843.3705073812</v>
      </c>
      <c r="W54" s="18">
        <f t="shared" ca="1" si="3"/>
        <v>87159763.653005838</v>
      </c>
    </row>
    <row r="55" spans="1:23" x14ac:dyDescent="0.2">
      <c r="A55" s="8">
        <f>'Monthly Data'!A55</f>
        <v>44348</v>
      </c>
      <c r="B55">
        <f t="shared" si="4"/>
        <v>2021</v>
      </c>
      <c r="C55">
        <f t="shared" si="5"/>
        <v>6</v>
      </c>
      <c r="D55" s="18">
        <f>'Monthly Data'!F55</f>
        <v>115361515.82174373</v>
      </c>
      <c r="E55" s="21">
        <f t="shared" ca="1" si="8"/>
        <v>29.335416666666674</v>
      </c>
      <c r="F55" s="21">
        <f t="shared" ca="1" si="8"/>
        <v>157.17000000000002</v>
      </c>
      <c r="G55" s="11">
        <f>'Monthly Data'!G55</f>
        <v>148573</v>
      </c>
      <c r="H55">
        <f>'Monthly Data'!CC55</f>
        <v>0</v>
      </c>
      <c r="I55" s="21">
        <f>'Monthly Data'!CS55</f>
        <v>30</v>
      </c>
      <c r="J55" s="21">
        <f>'Monthly Data'!CK55</f>
        <v>1</v>
      </c>
      <c r="K55" s="21">
        <f t="shared" ca="1" si="1"/>
        <v>14.667708333333337</v>
      </c>
      <c r="L55" s="21">
        <f t="shared" ca="1" si="2"/>
        <v>78.585000000000008</v>
      </c>
      <c r="M55">
        <f>'Monthly Data'!CV55</f>
        <v>0.5</v>
      </c>
      <c r="N55" s="11">
        <f>'Res Predicted Monthly'!$AB$9</f>
        <v>-154534728.74811399</v>
      </c>
      <c r="O55" s="11">
        <f ca="1">E55*'Res Predicted Monthly'!$AB$10</f>
        <v>1800918.903166092</v>
      </c>
      <c r="P55" s="11">
        <f ca="1">F55*'Res Predicted Monthly'!$AB$11</f>
        <v>44644608.373262271</v>
      </c>
      <c r="Q55" s="11">
        <f>G55*'Res Predicted Monthly'!$AB$12</f>
        <v>146636812.91632989</v>
      </c>
      <c r="R55" s="11">
        <f>H55*'Res Predicted Monthly'!$AB$13</f>
        <v>0</v>
      </c>
      <c r="S55" s="11">
        <f>I55*'Res Predicted Monthly'!$AB$14</f>
        <v>67794305.5115688</v>
      </c>
      <c r="T55" s="11">
        <f>J55*'Res Predicted Monthly'!$AB$15</f>
        <v>-2784507.8509929599</v>
      </c>
      <c r="U55" s="11">
        <f ca="1">K55*'Res Predicted Monthly'!$AB$16</f>
        <v>155188.71501301619</v>
      </c>
      <c r="V55" s="11">
        <f ca="1">L55*'Res Predicted Monthly'!$AB$17</f>
        <v>3765807.4781820565</v>
      </c>
      <c r="W55" s="18">
        <f t="shared" ca="1" si="3"/>
        <v>107478405.29841517</v>
      </c>
    </row>
    <row r="56" spans="1:23" x14ac:dyDescent="0.2">
      <c r="A56" s="8">
        <f>'Monthly Data'!A56</f>
        <v>44378</v>
      </c>
      <c r="B56">
        <f t="shared" si="4"/>
        <v>2021</v>
      </c>
      <c r="C56">
        <f t="shared" si="5"/>
        <v>7</v>
      </c>
      <c r="D56" s="18">
        <f>'Monthly Data'!F56</f>
        <v>119528701.30399828</v>
      </c>
      <c r="E56" s="21">
        <f t="shared" ca="1" si="8"/>
        <v>1.6731249999999993</v>
      </c>
      <c r="F56" s="21">
        <f t="shared" ca="1" si="8"/>
        <v>231.27145833333333</v>
      </c>
      <c r="G56" s="11">
        <f>'Monthly Data'!G56</f>
        <v>148627</v>
      </c>
      <c r="H56">
        <f>'Monthly Data'!CC56</f>
        <v>0</v>
      </c>
      <c r="I56" s="21">
        <f>'Monthly Data'!CS56</f>
        <v>31</v>
      </c>
      <c r="J56" s="21">
        <f>'Monthly Data'!CK56</f>
        <v>1</v>
      </c>
      <c r="K56" s="21">
        <f t="shared" ca="1" si="1"/>
        <v>0.83656249999999965</v>
      </c>
      <c r="L56" s="21">
        <f t="shared" ca="1" si="2"/>
        <v>115.63572916666666</v>
      </c>
      <c r="M56">
        <f>'Monthly Data'!CV56</f>
        <v>0.5</v>
      </c>
      <c r="N56" s="11">
        <f>'Res Predicted Monthly'!$AB$9</f>
        <v>-154534728.74811399</v>
      </c>
      <c r="O56" s="11">
        <f ca="1">E56*'Res Predicted Monthly'!$AB$10</f>
        <v>102714.15177421259</v>
      </c>
      <c r="P56" s="11">
        <f ca="1">F56*'Res Predicted Monthly'!$AB$11</f>
        <v>65693349.145542458</v>
      </c>
      <c r="Q56" s="11">
        <f>G56*'Res Predicted Monthly'!$AB$12</f>
        <v>146690109.19423693</v>
      </c>
      <c r="R56" s="11">
        <f>H56*'Res Predicted Monthly'!$AB$13</f>
        <v>0</v>
      </c>
      <c r="S56" s="11">
        <f>I56*'Res Predicted Monthly'!$AB$14</f>
        <v>70054115.695287749</v>
      </c>
      <c r="T56" s="11">
        <f>J56*'Res Predicted Monthly'!$AB$15</f>
        <v>-2784507.8509929599</v>
      </c>
      <c r="U56" s="11">
        <f ca="1">K56*'Res Predicted Monthly'!$AB$16</f>
        <v>8851.0799678256662</v>
      </c>
      <c r="V56" s="11">
        <f ca="1">L56*'Res Predicted Monthly'!$AB$17</f>
        <v>5541285.1516303141</v>
      </c>
      <c r="W56" s="18">
        <f t="shared" ca="1" si="3"/>
        <v>130771187.81933253</v>
      </c>
    </row>
    <row r="57" spans="1:23" x14ac:dyDescent="0.2">
      <c r="A57" s="8">
        <f>'Monthly Data'!A57</f>
        <v>44409</v>
      </c>
      <c r="B57">
        <f t="shared" si="4"/>
        <v>2021</v>
      </c>
      <c r="C57">
        <f t="shared" si="5"/>
        <v>8</v>
      </c>
      <c r="D57" s="18">
        <f>'Monthly Data'!F57</f>
        <v>132199542.12188883</v>
      </c>
      <c r="E57" s="21">
        <f t="shared" ca="1" si="8"/>
        <v>7.1606250000000005</v>
      </c>
      <c r="F57" s="21">
        <f t="shared" ca="1" si="8"/>
        <v>196.13625000000002</v>
      </c>
      <c r="G57" s="11">
        <f>'Monthly Data'!G57</f>
        <v>148813</v>
      </c>
      <c r="H57">
        <f>'Monthly Data'!CC57</f>
        <v>0</v>
      </c>
      <c r="I57" s="21">
        <f>'Monthly Data'!CS57</f>
        <v>31</v>
      </c>
      <c r="J57" s="21">
        <f>'Monthly Data'!CK57</f>
        <v>1</v>
      </c>
      <c r="K57" s="21">
        <f t="shared" ca="1" si="1"/>
        <v>3.5803125000000002</v>
      </c>
      <c r="L57" s="21">
        <f t="shared" ca="1" si="2"/>
        <v>98.068125000000009</v>
      </c>
      <c r="M57">
        <f>'Monthly Data'!CV57</f>
        <v>0.5</v>
      </c>
      <c r="N57" s="11">
        <f>'Res Predicted Monthly'!$AB$9</f>
        <v>-154534728.74811399</v>
      </c>
      <c r="O57" s="11">
        <f ca="1">E57*'Res Predicted Monthly'!$AB$10</f>
        <v>439595.08288276213</v>
      </c>
      <c r="P57" s="11">
        <f ca="1">F57*'Res Predicted Monthly'!$AB$11</f>
        <v>55713088.178725339</v>
      </c>
      <c r="Q57" s="11">
        <f>G57*'Res Predicted Monthly'!$AB$12</f>
        <v>146873685.26258337</v>
      </c>
      <c r="R57" s="11">
        <f>H57*'Res Predicted Monthly'!$AB$13</f>
        <v>0</v>
      </c>
      <c r="S57" s="11">
        <f>I57*'Res Predicted Monthly'!$AB$14</f>
        <v>70054115.695287749</v>
      </c>
      <c r="T57" s="11">
        <f>J57*'Res Predicted Monthly'!$AB$15</f>
        <v>-2784507.8509929599</v>
      </c>
      <c r="U57" s="11">
        <f ca="1">K57*'Res Predicted Monthly'!$AB$16</f>
        <v>37880.77071026474</v>
      </c>
      <c r="V57" s="11">
        <f ca="1">L57*'Res Predicted Monthly'!$AB$17</f>
        <v>4699442.3680892373</v>
      </c>
      <c r="W57" s="18">
        <f t="shared" ca="1" si="3"/>
        <v>120498570.75917177</v>
      </c>
    </row>
    <row r="58" spans="1:23" x14ac:dyDescent="0.2">
      <c r="A58" s="8">
        <f>'Monthly Data'!A58</f>
        <v>44440</v>
      </c>
      <c r="B58">
        <f t="shared" si="4"/>
        <v>2021</v>
      </c>
      <c r="C58">
        <f t="shared" si="5"/>
        <v>9</v>
      </c>
      <c r="D58" s="18">
        <f>'Monthly Data'!F58</f>
        <v>92658508.505937979</v>
      </c>
      <c r="E58" s="21">
        <f t="shared" ca="1" si="8"/>
        <v>56.160416666666663</v>
      </c>
      <c r="F58" s="21">
        <f t="shared" ca="1" si="8"/>
        <v>104.19854166666664</v>
      </c>
      <c r="G58" s="11">
        <f>'Monthly Data'!G58</f>
        <v>148932</v>
      </c>
      <c r="H58">
        <f>'Monthly Data'!CC58</f>
        <v>0</v>
      </c>
      <c r="I58" s="21">
        <f>'Monthly Data'!CS58</f>
        <v>30</v>
      </c>
      <c r="J58" s="21">
        <f>'Monthly Data'!CK58</f>
        <v>0</v>
      </c>
      <c r="K58" s="21">
        <f t="shared" ca="1" si="1"/>
        <v>28.080208333333331</v>
      </c>
      <c r="L58" s="21">
        <f t="shared" ca="1" si="2"/>
        <v>52.099270833333321</v>
      </c>
      <c r="M58">
        <f>'Monthly Data'!CV58</f>
        <v>0.5</v>
      </c>
      <c r="N58" s="11">
        <f>'Res Predicted Monthly'!$AB$9</f>
        <v>-154534728.74811399</v>
      </c>
      <c r="O58" s="11">
        <f ca="1">E58*'Res Predicted Monthly'!$AB$10</f>
        <v>3447721.8146898891</v>
      </c>
      <c r="P58" s="11">
        <f ca="1">F58*'Res Predicted Monthly'!$AB$11</f>
        <v>29597907.270938363</v>
      </c>
      <c r="Q58" s="11">
        <f>G58*'Res Predicted Monthly'!$AB$12</f>
        <v>146991134.46760073</v>
      </c>
      <c r="R58" s="11">
        <f>H58*'Res Predicted Monthly'!$AB$13</f>
        <v>0</v>
      </c>
      <c r="S58" s="11">
        <f>I58*'Res Predicted Monthly'!$AB$14</f>
        <v>67794305.5115688</v>
      </c>
      <c r="T58" s="11">
        <f>J58*'Res Predicted Monthly'!$AB$15</f>
        <v>0</v>
      </c>
      <c r="U58" s="11">
        <f ca="1">K58*'Res Predicted Monthly'!$AB$16</f>
        <v>297096.95267423306</v>
      </c>
      <c r="V58" s="11">
        <f ca="1">L58*'Res Predicted Monthly'!$AB$17</f>
        <v>2496606.5242985166</v>
      </c>
      <c r="W58" s="18">
        <f t="shared" ca="1" si="3"/>
        <v>96090043.793656543</v>
      </c>
    </row>
    <row r="59" spans="1:23" x14ac:dyDescent="0.2">
      <c r="A59" s="8">
        <f>'Monthly Data'!A59</f>
        <v>44470</v>
      </c>
      <c r="B59">
        <f t="shared" si="4"/>
        <v>2021</v>
      </c>
      <c r="C59">
        <f t="shared" si="5"/>
        <v>10</v>
      </c>
      <c r="D59" s="18">
        <f>'Monthly Data'!F59</f>
        <v>87440775.674946621</v>
      </c>
      <c r="E59" s="21">
        <f t="shared" ca="1" si="8"/>
        <v>229.16187499999995</v>
      </c>
      <c r="F59" s="21">
        <f t="shared" ca="1" si="8"/>
        <v>24.703125000000007</v>
      </c>
      <c r="G59" s="11">
        <f>'Monthly Data'!G59</f>
        <v>149070</v>
      </c>
      <c r="H59">
        <f>'Monthly Data'!CC59</f>
        <v>0</v>
      </c>
      <c r="I59" s="21">
        <f>'Monthly Data'!CS59</f>
        <v>31</v>
      </c>
      <c r="J59" s="21">
        <f>'Monthly Data'!CK59</f>
        <v>0</v>
      </c>
      <c r="K59" s="21">
        <f t="shared" ca="1" si="1"/>
        <v>114.58093749999998</v>
      </c>
      <c r="L59" s="21">
        <f t="shared" ca="1" si="2"/>
        <v>12.351562500000004</v>
      </c>
      <c r="M59">
        <f>'Monthly Data'!CV59</f>
        <v>0.5</v>
      </c>
      <c r="N59" s="11">
        <f>'Res Predicted Monthly'!$AB$9</f>
        <v>-154534728.74811399</v>
      </c>
      <c r="O59" s="11">
        <f ca="1">E59*'Res Predicted Monthly'!$AB$10</f>
        <v>14068385.571677633</v>
      </c>
      <c r="P59" s="11">
        <f ca="1">F59*'Res Predicted Monthly'!$AB$11</f>
        <v>7016996.5083714752</v>
      </c>
      <c r="Q59" s="11">
        <f>G59*'Res Predicted Monthly'!$AB$12</f>
        <v>147127336.06669649</v>
      </c>
      <c r="R59" s="11">
        <f>H59*'Res Predicted Monthly'!$AB$13</f>
        <v>0</v>
      </c>
      <c r="S59" s="11">
        <f>I59*'Res Predicted Monthly'!$AB$14</f>
        <v>70054115.695287749</v>
      </c>
      <c r="T59" s="11">
        <f>J59*'Res Predicted Monthly'!$AB$15</f>
        <v>0</v>
      </c>
      <c r="U59" s="11">
        <f ca="1">K59*'Res Predicted Monthly'!$AB$16</f>
        <v>1212300.384730292</v>
      </c>
      <c r="V59" s="11">
        <f ca="1">L59*'Res Predicted Monthly'!$AB$17</f>
        <v>591889.11916692834</v>
      </c>
      <c r="W59" s="18">
        <f t="shared" ca="1" si="3"/>
        <v>85536294.597816572</v>
      </c>
    </row>
    <row r="60" spans="1:23" x14ac:dyDescent="0.2">
      <c r="A60" s="8">
        <f>'Monthly Data'!A60</f>
        <v>44501</v>
      </c>
      <c r="B60">
        <f t="shared" si="4"/>
        <v>2021</v>
      </c>
      <c r="C60">
        <f t="shared" si="5"/>
        <v>11</v>
      </c>
      <c r="D60" s="18">
        <f>'Monthly Data'!F60</f>
        <v>89753400.674855173</v>
      </c>
      <c r="E60" s="21">
        <f t="shared" ca="1" si="8"/>
        <v>422.06333333333333</v>
      </c>
      <c r="F60" s="21">
        <f t="shared" ca="1" si="8"/>
        <v>1.6454166666666665</v>
      </c>
      <c r="G60" s="11">
        <f>'Monthly Data'!G60</f>
        <v>149218</v>
      </c>
      <c r="H60">
        <f>'Monthly Data'!CC60</f>
        <v>0</v>
      </c>
      <c r="I60" s="21">
        <f>'Monthly Data'!CS60</f>
        <v>30</v>
      </c>
      <c r="J60" s="21">
        <f>'Monthly Data'!CK60</f>
        <v>0</v>
      </c>
      <c r="K60" s="21">
        <f t="shared" ca="1" si="1"/>
        <v>211.03166666666667</v>
      </c>
      <c r="L60" s="21">
        <f t="shared" ca="1" si="2"/>
        <v>0.82270833333333326</v>
      </c>
      <c r="M60">
        <f>'Monthly Data'!CV60</f>
        <v>0.5</v>
      </c>
      <c r="N60" s="11">
        <f>'Res Predicted Monthly'!$AB$9</f>
        <v>-154534728.74811399</v>
      </c>
      <c r="O60" s="11">
        <f ca="1">E60*'Res Predicted Monthly'!$AB$10</f>
        <v>25910722.318015747</v>
      </c>
      <c r="P60" s="11">
        <f ca="1">F60*'Res Predicted Monthly'!$AB$11</f>
        <v>467385.52328161825</v>
      </c>
      <c r="Q60" s="11">
        <f>G60*'Res Predicted Monthly'!$AB$12</f>
        <v>147273407.34688616</v>
      </c>
      <c r="R60" s="11">
        <f>H60*'Res Predicted Monthly'!$AB$13</f>
        <v>0</v>
      </c>
      <c r="S60" s="11">
        <f>I60*'Res Predicted Monthly'!$AB$14</f>
        <v>67794305.5115688</v>
      </c>
      <c r="T60" s="11">
        <f>J60*'Res Predicted Monthly'!$AB$15</f>
        <v>0</v>
      </c>
      <c r="U60" s="11">
        <f ca="1">K60*'Res Predicted Monthly'!$AB$16</f>
        <v>2232777.7750140578</v>
      </c>
      <c r="V60" s="11">
        <f ca="1">L60*'Res Predicted Monthly'!$AB$17</f>
        <v>39424.332811978908</v>
      </c>
      <c r="W60" s="18">
        <f t="shared" ca="1" si="3"/>
        <v>89183294.05946438</v>
      </c>
    </row>
    <row r="61" spans="1:23" x14ac:dyDescent="0.2">
      <c r="A61" s="8">
        <f>'Monthly Data'!A61</f>
        <v>44531</v>
      </c>
      <c r="B61">
        <f t="shared" si="4"/>
        <v>2021</v>
      </c>
      <c r="C61">
        <f t="shared" si="5"/>
        <v>12</v>
      </c>
      <c r="D61" s="18">
        <f>'Monthly Data'!F61</f>
        <v>101925936.95283271</v>
      </c>
      <c r="E61" s="21">
        <f t="shared" ca="1" si="8"/>
        <v>591.99583333333339</v>
      </c>
      <c r="F61" s="21">
        <f t="shared" ca="1" si="8"/>
        <v>0</v>
      </c>
      <c r="G61" s="11">
        <f>'Monthly Data'!G61</f>
        <v>149578</v>
      </c>
      <c r="H61">
        <f>'Monthly Data'!CC61</f>
        <v>1</v>
      </c>
      <c r="I61" s="21">
        <f>'Monthly Data'!CS61</f>
        <v>31</v>
      </c>
      <c r="J61" s="21">
        <f>'Monthly Data'!CK61</f>
        <v>0</v>
      </c>
      <c r="K61" s="21">
        <f t="shared" ca="1" si="1"/>
        <v>295.9979166666667</v>
      </c>
      <c r="L61" s="21">
        <f t="shared" ca="1" si="2"/>
        <v>0</v>
      </c>
      <c r="M61">
        <f>'Monthly Data'!CV61</f>
        <v>0.5</v>
      </c>
      <c r="N61" s="11">
        <f>'Res Predicted Monthly'!$AB$9</f>
        <v>-154534728.74811399</v>
      </c>
      <c r="O61" s="11">
        <f ca="1">E61*'Res Predicted Monthly'!$AB$10</f>
        <v>36342980.873934403</v>
      </c>
      <c r="P61" s="11">
        <f ca="1">F61*'Res Predicted Monthly'!$AB$11</f>
        <v>0</v>
      </c>
      <c r="Q61" s="11">
        <f>G61*'Res Predicted Monthly'!$AB$12</f>
        <v>147628715.86626637</v>
      </c>
      <c r="R61" s="11">
        <f>H61*'Res Predicted Monthly'!$AB$13</f>
        <v>3702152.17603915</v>
      </c>
      <c r="S61" s="11">
        <f>I61*'Res Predicted Monthly'!$AB$14</f>
        <v>70054115.695287749</v>
      </c>
      <c r="T61" s="11">
        <f>J61*'Res Predicted Monthly'!$AB$15</f>
        <v>0</v>
      </c>
      <c r="U61" s="11">
        <f ca="1">K61*'Res Predicted Monthly'!$AB$16</f>
        <v>3131745.9612718304</v>
      </c>
      <c r="V61" s="11">
        <f ca="1">L61*'Res Predicted Monthly'!$AB$17</f>
        <v>0</v>
      </c>
      <c r="W61" s="18">
        <f t="shared" ca="1" si="3"/>
        <v>106324981.82468553</v>
      </c>
    </row>
    <row r="62" spans="1:23" x14ac:dyDescent="0.2">
      <c r="A62" s="8">
        <f>'Monthly Data'!A62</f>
        <v>44562</v>
      </c>
      <c r="B62">
        <f t="shared" ref="B62:B97" si="9">YEAR(A62)</f>
        <v>2022</v>
      </c>
      <c r="C62">
        <f t="shared" ref="C62:C97" si="10">MONTH(A62)</f>
        <v>1</v>
      </c>
      <c r="D62" s="18">
        <f>'Monthly Data'!F62</f>
        <v>113400436.11189753</v>
      </c>
      <c r="E62" s="21">
        <f t="shared" ca="1" si="8"/>
        <v>683.09489583333334</v>
      </c>
      <c r="F62" s="21">
        <f t="shared" ca="1" si="8"/>
        <v>0</v>
      </c>
      <c r="G62" s="11">
        <f>'Monthly Data'!G62</f>
        <v>149791</v>
      </c>
      <c r="H62">
        <f>'Monthly Data'!CC62</f>
        <v>0</v>
      </c>
      <c r="I62" s="21">
        <f>'Monthly Data'!CS62</f>
        <v>31</v>
      </c>
      <c r="J62" s="21">
        <f>'Monthly Data'!CK62</f>
        <v>0</v>
      </c>
      <c r="K62" s="21">
        <f t="shared" ca="1" si="1"/>
        <v>170.77372395833333</v>
      </c>
      <c r="L62" s="21">
        <f t="shared" ca="1" si="2"/>
        <v>0</v>
      </c>
      <c r="M62">
        <f>'Monthly Data'!CV62</f>
        <v>0.25</v>
      </c>
      <c r="N62" s="11">
        <f>'Res Predicted Monthly'!$AB$9</f>
        <v>-154534728.74811399</v>
      </c>
      <c r="O62" s="11">
        <f ca="1">E62*'Res Predicted Monthly'!$AB$10</f>
        <v>41935607.20616509</v>
      </c>
      <c r="P62" s="11">
        <f ca="1">F62*'Res Predicted Monthly'!$AB$11</f>
        <v>0</v>
      </c>
      <c r="Q62" s="11">
        <f>G62*'Res Predicted Monthly'!$AB$12</f>
        <v>147838940.07356635</v>
      </c>
      <c r="R62" s="11">
        <f>H62*'Res Predicted Monthly'!$AB$13</f>
        <v>0</v>
      </c>
      <c r="S62" s="11">
        <f>I62*'Res Predicted Monthly'!$AB$14</f>
        <v>70054115.695287749</v>
      </c>
      <c r="T62" s="11">
        <f>J62*'Res Predicted Monthly'!$AB$15</f>
        <v>0</v>
      </c>
      <c r="U62" s="11">
        <f ca="1">K62*'Res Predicted Monthly'!$AB$16</f>
        <v>1806836.7720984325</v>
      </c>
      <c r="V62" s="11">
        <f ca="1">L62*'Res Predicted Monthly'!$AB$17</f>
        <v>0</v>
      </c>
      <c r="W62" s="18">
        <f t="shared" ca="1" si="3"/>
        <v>107100770.99900363</v>
      </c>
    </row>
    <row r="63" spans="1:23" x14ac:dyDescent="0.2">
      <c r="A63" s="8">
        <f>'Monthly Data'!A63</f>
        <v>44593</v>
      </c>
      <c r="B63">
        <f t="shared" si="9"/>
        <v>2022</v>
      </c>
      <c r="C63">
        <f t="shared" si="10"/>
        <v>2</v>
      </c>
      <c r="D63" s="18">
        <f>'Monthly Data'!F63</f>
        <v>98271140.502125725</v>
      </c>
      <c r="E63" s="21">
        <f t="shared" ca="1" si="8"/>
        <v>589.85491666666678</v>
      </c>
      <c r="F63" s="21">
        <f t="shared" ca="1" si="8"/>
        <v>0</v>
      </c>
      <c r="G63" s="11">
        <f>'Monthly Data'!G63</f>
        <v>149936</v>
      </c>
      <c r="H63">
        <f>'Monthly Data'!CC63</f>
        <v>0</v>
      </c>
      <c r="I63" s="21">
        <f>'Monthly Data'!CS63</f>
        <v>28</v>
      </c>
      <c r="J63" s="21">
        <f>'Monthly Data'!CK63</f>
        <v>0</v>
      </c>
      <c r="K63" s="21">
        <f t="shared" ca="1" si="1"/>
        <v>147.4637291666667</v>
      </c>
      <c r="L63" s="21">
        <f t="shared" ca="1" si="2"/>
        <v>0</v>
      </c>
      <c r="M63">
        <f>'Monthly Data'!CV63</f>
        <v>0.25</v>
      </c>
      <c r="N63" s="11">
        <f>'Res Predicted Monthly'!$AB$9</f>
        <v>-154534728.74811399</v>
      </c>
      <c r="O63" s="11">
        <f ca="1">E63*'Res Predicted Monthly'!$AB$10</f>
        <v>36211548.709908441</v>
      </c>
      <c r="P63" s="11">
        <f ca="1">F63*'Res Predicted Monthly'!$AB$11</f>
        <v>0</v>
      </c>
      <c r="Q63" s="11">
        <f>G63*'Res Predicted Monthly'!$AB$12</f>
        <v>147982050.44942781</v>
      </c>
      <c r="R63" s="11">
        <f>H63*'Res Predicted Monthly'!$AB$13</f>
        <v>0</v>
      </c>
      <c r="S63" s="11">
        <f>I63*'Res Predicted Monthly'!$AB$14</f>
        <v>63274685.144130871</v>
      </c>
      <c r="T63" s="11">
        <f>J63*'Res Predicted Monthly'!$AB$15</f>
        <v>0</v>
      </c>
      <c r="U63" s="11">
        <f ca="1">K63*'Res Predicted Monthly'!$AB$16</f>
        <v>1560210.0969239641</v>
      </c>
      <c r="V63" s="11">
        <f ca="1">L63*'Res Predicted Monthly'!$AB$17</f>
        <v>0</v>
      </c>
      <c r="W63" s="18">
        <f t="shared" ca="1" si="3"/>
        <v>94493765.652277097</v>
      </c>
    </row>
    <row r="64" spans="1:23" x14ac:dyDescent="0.2">
      <c r="A64" s="8">
        <f>'Monthly Data'!A64</f>
        <v>44621</v>
      </c>
      <c r="B64">
        <f t="shared" si="9"/>
        <v>2022</v>
      </c>
      <c r="C64">
        <f t="shared" si="10"/>
        <v>3</v>
      </c>
      <c r="D64" s="18">
        <f>'Monthly Data'!F64</f>
        <v>97810437.164043024</v>
      </c>
      <c r="E64" s="21">
        <f t="shared" ca="1" si="8"/>
        <v>522.20004166666672</v>
      </c>
      <c r="F64" s="21">
        <f t="shared" ca="1" si="8"/>
        <v>0</v>
      </c>
      <c r="G64" s="11">
        <f>'Monthly Data'!G64</f>
        <v>150067</v>
      </c>
      <c r="H64">
        <f>'Monthly Data'!CC64</f>
        <v>0</v>
      </c>
      <c r="I64" s="21">
        <f>'Monthly Data'!CS64</f>
        <v>31</v>
      </c>
      <c r="J64" s="21">
        <f>'Monthly Data'!CK64</f>
        <v>0</v>
      </c>
      <c r="K64" s="21">
        <f t="shared" ca="1" si="1"/>
        <v>130.55001041666668</v>
      </c>
      <c r="L64" s="21">
        <f t="shared" ca="1" si="2"/>
        <v>0</v>
      </c>
      <c r="M64">
        <f>'Monthly Data'!CV64</f>
        <v>0.25</v>
      </c>
      <c r="N64" s="11">
        <f>'Res Predicted Monthly'!$AB$9</f>
        <v>-154534728.74811399</v>
      </c>
      <c r="O64" s="11">
        <f ca="1">E64*'Res Predicted Monthly'!$AB$10</f>
        <v>32058175.172954902</v>
      </c>
      <c r="P64" s="11">
        <f ca="1">F64*'Res Predicted Monthly'!$AB$11</f>
        <v>0</v>
      </c>
      <c r="Q64" s="11">
        <f>G64*'Res Predicted Monthly'!$AB$12</f>
        <v>148111343.27175784</v>
      </c>
      <c r="R64" s="11">
        <f>H64*'Res Predicted Monthly'!$AB$13</f>
        <v>0</v>
      </c>
      <c r="S64" s="11">
        <f>I64*'Res Predicted Monthly'!$AB$14</f>
        <v>70054115.695287749</v>
      </c>
      <c r="T64" s="11">
        <f>J64*'Res Predicted Monthly'!$AB$15</f>
        <v>0</v>
      </c>
      <c r="U64" s="11">
        <f ca="1">K64*'Res Predicted Monthly'!$AB$16</f>
        <v>1381257.9239427911</v>
      </c>
      <c r="V64" s="11">
        <f ca="1">L64*'Res Predicted Monthly'!$AB$17</f>
        <v>0</v>
      </c>
      <c r="W64" s="18">
        <f t="shared" ca="1" si="3"/>
        <v>97070163.315829292</v>
      </c>
    </row>
    <row r="65" spans="1:23" x14ac:dyDescent="0.2">
      <c r="A65" s="8">
        <f>'Monthly Data'!A65</f>
        <v>44652</v>
      </c>
      <c r="B65">
        <f t="shared" si="9"/>
        <v>2022</v>
      </c>
      <c r="C65">
        <f t="shared" si="10"/>
        <v>4</v>
      </c>
      <c r="D65" s="18">
        <f>'Monthly Data'!F65</f>
        <v>85783051.575556532</v>
      </c>
      <c r="E65" s="21">
        <f t="shared" ca="1" si="8"/>
        <v>343.18302083333327</v>
      </c>
      <c r="F65" s="21">
        <f t="shared" ca="1" si="8"/>
        <v>6.5650000000000031</v>
      </c>
      <c r="G65" s="11">
        <f>'Monthly Data'!G65</f>
        <v>150303</v>
      </c>
      <c r="H65">
        <f>'Monthly Data'!CC65</f>
        <v>0</v>
      </c>
      <c r="I65" s="21">
        <f>'Monthly Data'!CS65</f>
        <v>30</v>
      </c>
      <c r="J65" s="21">
        <f>'Monthly Data'!CK65</f>
        <v>0</v>
      </c>
      <c r="K65" s="21">
        <f t="shared" ca="1" si="1"/>
        <v>85.795755208333318</v>
      </c>
      <c r="L65" s="21">
        <f t="shared" ca="1" si="2"/>
        <v>1.6412500000000008</v>
      </c>
      <c r="M65">
        <f>'Monthly Data'!CV65</f>
        <v>0.25</v>
      </c>
      <c r="N65" s="11">
        <f>'Res Predicted Monthly'!$AB$9</f>
        <v>-154534728.74811399</v>
      </c>
      <c r="O65" s="11">
        <f ca="1">E65*'Res Predicted Monthly'!$AB$10</f>
        <v>21068212.409836546</v>
      </c>
      <c r="P65" s="11">
        <f ca="1">F65*'Res Predicted Monthly'!$AB$11</f>
        <v>1864807.876633371</v>
      </c>
      <c r="Q65" s="11">
        <f>G65*'Res Predicted Monthly'!$AB$12</f>
        <v>148344267.74557379</v>
      </c>
      <c r="R65" s="11">
        <f>H65*'Res Predicted Monthly'!$AB$13</f>
        <v>0</v>
      </c>
      <c r="S65" s="11">
        <f>I65*'Res Predicted Monthly'!$AB$14</f>
        <v>67794305.5115688</v>
      </c>
      <c r="T65" s="11">
        <f>J65*'Res Predicted Monthly'!$AB$15</f>
        <v>0</v>
      </c>
      <c r="U65" s="11">
        <f ca="1">K65*'Res Predicted Monthly'!$AB$16</f>
        <v>907744.59798156621</v>
      </c>
      <c r="V65" s="11">
        <f ca="1">L65*'Res Predicted Monthly'!$AB$17</f>
        <v>78648.998200245624</v>
      </c>
      <c r="W65" s="18">
        <f t="shared" ca="1" si="3"/>
        <v>85523258.391680345</v>
      </c>
    </row>
    <row r="66" spans="1:23" x14ac:dyDescent="0.2">
      <c r="A66" s="8">
        <f>'Monthly Data'!A66</f>
        <v>44682</v>
      </c>
      <c r="B66">
        <f t="shared" si="9"/>
        <v>2022</v>
      </c>
      <c r="C66">
        <f t="shared" si="10"/>
        <v>5</v>
      </c>
      <c r="D66" s="18">
        <f>'Monthly Data'!F66</f>
        <v>89296731.492021337</v>
      </c>
      <c r="E66" s="21">
        <f t="shared" ca="1" si="8"/>
        <v>146.15645833333332</v>
      </c>
      <c r="F66" s="21">
        <f t="shared" ca="1" si="8"/>
        <v>59.300416666666649</v>
      </c>
      <c r="G66" s="11">
        <f>'Monthly Data'!G66</f>
        <v>150135</v>
      </c>
      <c r="H66">
        <f>'Monthly Data'!CC66</f>
        <v>0</v>
      </c>
      <c r="I66" s="21">
        <f>'Monthly Data'!CS66</f>
        <v>31</v>
      </c>
      <c r="J66" s="21">
        <f>'Monthly Data'!CK66</f>
        <v>1</v>
      </c>
      <c r="K66" s="21">
        <f t="shared" ca="1" si="1"/>
        <v>36.53911458333333</v>
      </c>
      <c r="L66" s="21">
        <f t="shared" ca="1" si="2"/>
        <v>14.825104166666662</v>
      </c>
      <c r="M66">
        <f>'Monthly Data'!CV66</f>
        <v>0.25</v>
      </c>
      <c r="N66" s="11">
        <f>'Res Predicted Monthly'!$AB$9</f>
        <v>-154534728.74811399</v>
      </c>
      <c r="O66" s="11">
        <f ca="1">E66*'Res Predicted Monthly'!$AB$10</f>
        <v>8972633.033414349</v>
      </c>
      <c r="P66" s="11">
        <f ca="1">F66*'Res Predicted Monthly'!$AB$11</f>
        <v>16844460.637873683</v>
      </c>
      <c r="Q66" s="11">
        <f>G66*'Res Predicted Monthly'!$AB$12</f>
        <v>148178457.10319632</v>
      </c>
      <c r="R66" s="11">
        <f>H66*'Res Predicted Monthly'!$AB$13</f>
        <v>0</v>
      </c>
      <c r="S66" s="11">
        <f>I66*'Res Predicted Monthly'!$AB$14</f>
        <v>70054115.695287749</v>
      </c>
      <c r="T66" s="11">
        <f>J66*'Res Predicted Monthly'!$AB$15</f>
        <v>-2784507.8509929599</v>
      </c>
      <c r="U66" s="11">
        <f ca="1">K66*'Res Predicted Monthly'!$AB$16</f>
        <v>386594.69571087451</v>
      </c>
      <c r="V66" s="11">
        <f ca="1">L66*'Res Predicted Monthly'!$AB$17</f>
        <v>710421.68525369058</v>
      </c>
      <c r="W66" s="18">
        <f t="shared" ca="1" si="3"/>
        <v>87827446.251629725</v>
      </c>
    </row>
    <row r="67" spans="1:23" x14ac:dyDescent="0.2">
      <c r="A67" s="8">
        <f>'Monthly Data'!A67</f>
        <v>44713</v>
      </c>
      <c r="B67">
        <f t="shared" si="9"/>
        <v>2022</v>
      </c>
      <c r="C67">
        <f t="shared" si="10"/>
        <v>6</v>
      </c>
      <c r="D67" s="18">
        <f>'Monthly Data'!F67</f>
        <v>104358390.42752253</v>
      </c>
      <c r="E67" s="21">
        <f t="shared" ca="1" si="8"/>
        <v>29.335416666666674</v>
      </c>
      <c r="F67" s="21">
        <f t="shared" ca="1" si="8"/>
        <v>157.17000000000002</v>
      </c>
      <c r="G67" s="11">
        <f>'Monthly Data'!G67</f>
        <v>150281</v>
      </c>
      <c r="H67">
        <f>'Monthly Data'!CC67</f>
        <v>0</v>
      </c>
      <c r="I67" s="21">
        <f>'Monthly Data'!CS67</f>
        <v>30</v>
      </c>
      <c r="J67" s="21">
        <f>'Monthly Data'!CK67</f>
        <v>1</v>
      </c>
      <c r="K67" s="21">
        <f t="shared" ref="K67:K110" ca="1" si="11">E67*M67</f>
        <v>7.3338541666666686</v>
      </c>
      <c r="L67" s="21">
        <f t="shared" ref="L67:L110" ca="1" si="12">F67*M67</f>
        <v>39.292500000000004</v>
      </c>
      <c r="M67">
        <f>'Monthly Data'!CV67</f>
        <v>0.25</v>
      </c>
      <c r="N67" s="11">
        <f>'Res Predicted Monthly'!$AB$9</f>
        <v>-154534728.74811399</v>
      </c>
      <c r="O67" s="11">
        <f ca="1">E67*'Res Predicted Monthly'!$AB$10</f>
        <v>1800918.903166092</v>
      </c>
      <c r="P67" s="11">
        <f ca="1">F67*'Res Predicted Monthly'!$AB$11</f>
        <v>44644608.373262271</v>
      </c>
      <c r="Q67" s="11">
        <f>G67*'Res Predicted Monthly'!$AB$12</f>
        <v>148322554.44716722</v>
      </c>
      <c r="R67" s="11">
        <f>H67*'Res Predicted Monthly'!$AB$13</f>
        <v>0</v>
      </c>
      <c r="S67" s="11">
        <f>I67*'Res Predicted Monthly'!$AB$14</f>
        <v>67794305.5115688</v>
      </c>
      <c r="T67" s="11">
        <f>J67*'Res Predicted Monthly'!$AB$15</f>
        <v>-2784507.8509929599</v>
      </c>
      <c r="U67" s="11">
        <f ca="1">K67*'Res Predicted Monthly'!$AB$16</f>
        <v>77594.357506508095</v>
      </c>
      <c r="V67" s="11">
        <f ca="1">L67*'Res Predicted Monthly'!$AB$17</f>
        <v>1882903.7390910282</v>
      </c>
      <c r="W67" s="18">
        <f t="shared" ref="W67:W130" ca="1" si="13">SUM(N67:V67)</f>
        <v>107203648.73265496</v>
      </c>
    </row>
    <row r="68" spans="1:23" x14ac:dyDescent="0.2">
      <c r="A68" s="8">
        <f>'Monthly Data'!A68</f>
        <v>44743</v>
      </c>
      <c r="B68">
        <f t="shared" si="9"/>
        <v>2022</v>
      </c>
      <c r="C68">
        <f t="shared" si="10"/>
        <v>7</v>
      </c>
      <c r="D68" s="18">
        <f>'Monthly Data'!F68</f>
        <v>125884000.32741234</v>
      </c>
      <c r="E68" s="21">
        <f t="shared" ca="1" si="8"/>
        <v>1.6731249999999993</v>
      </c>
      <c r="F68" s="21">
        <f t="shared" ca="1" si="8"/>
        <v>231.27145833333333</v>
      </c>
      <c r="G68" s="11">
        <f>'Monthly Data'!G68</f>
        <v>150338</v>
      </c>
      <c r="H68">
        <f>'Monthly Data'!CC68</f>
        <v>0</v>
      </c>
      <c r="I68" s="21">
        <f>'Monthly Data'!CS68</f>
        <v>31</v>
      </c>
      <c r="J68" s="21">
        <f>'Monthly Data'!CK68</f>
        <v>1</v>
      </c>
      <c r="K68" s="21">
        <f t="shared" ca="1" si="11"/>
        <v>0.41828124999999983</v>
      </c>
      <c r="L68" s="21">
        <f t="shared" ca="1" si="12"/>
        <v>57.817864583333332</v>
      </c>
      <c r="M68">
        <f>'Monthly Data'!CV68</f>
        <v>0.25</v>
      </c>
      <c r="N68" s="11">
        <f>'Res Predicted Monthly'!$AB$9</f>
        <v>-154534728.74811399</v>
      </c>
      <c r="O68" s="11">
        <f ca="1">E68*'Res Predicted Monthly'!$AB$10</f>
        <v>102714.15177421259</v>
      </c>
      <c r="P68" s="11">
        <f ca="1">F68*'Res Predicted Monthly'!$AB$11</f>
        <v>65693349.145542458</v>
      </c>
      <c r="Q68" s="11">
        <f>G68*'Res Predicted Monthly'!$AB$12</f>
        <v>148378811.6294024</v>
      </c>
      <c r="R68" s="11">
        <f>H68*'Res Predicted Monthly'!$AB$13</f>
        <v>0</v>
      </c>
      <c r="S68" s="11">
        <f>I68*'Res Predicted Monthly'!$AB$14</f>
        <v>70054115.695287749</v>
      </c>
      <c r="T68" s="11">
        <f>J68*'Res Predicted Monthly'!$AB$15</f>
        <v>-2784507.8509929599</v>
      </c>
      <c r="U68" s="11">
        <f ca="1">K68*'Res Predicted Monthly'!$AB$16</f>
        <v>4425.5399839128331</v>
      </c>
      <c r="V68" s="11">
        <f ca="1">L68*'Res Predicted Monthly'!$AB$17</f>
        <v>2770642.575815157</v>
      </c>
      <c r="W68" s="18">
        <f t="shared" ca="1" si="13"/>
        <v>129684822.13869892</v>
      </c>
    </row>
    <row r="69" spans="1:23" x14ac:dyDescent="0.2">
      <c r="A69" s="8">
        <f>'Monthly Data'!A69</f>
        <v>44774</v>
      </c>
      <c r="B69">
        <f t="shared" si="9"/>
        <v>2022</v>
      </c>
      <c r="C69">
        <f t="shared" si="10"/>
        <v>8</v>
      </c>
      <c r="D69" s="18">
        <f>'Monthly Data'!F69</f>
        <v>121150244.47990614</v>
      </c>
      <c r="E69" s="21">
        <f t="shared" ca="1" si="8"/>
        <v>7.1606250000000005</v>
      </c>
      <c r="F69" s="21">
        <f t="shared" ca="1" si="8"/>
        <v>196.13625000000002</v>
      </c>
      <c r="G69" s="11">
        <f>'Monthly Data'!G69</f>
        <v>150523</v>
      </c>
      <c r="H69">
        <f>'Monthly Data'!CC69</f>
        <v>0</v>
      </c>
      <c r="I69" s="21">
        <f>'Monthly Data'!CS69</f>
        <v>31</v>
      </c>
      <c r="J69" s="21">
        <f>'Monthly Data'!CK69</f>
        <v>1</v>
      </c>
      <c r="K69" s="21">
        <f t="shared" ca="1" si="11"/>
        <v>1.7901562500000001</v>
      </c>
      <c r="L69" s="21">
        <f t="shared" ca="1" si="12"/>
        <v>49.034062500000005</v>
      </c>
      <c r="M69">
        <f>'Monthly Data'!CV69</f>
        <v>0.25</v>
      </c>
      <c r="N69" s="11">
        <f>'Res Predicted Monthly'!$AB$9</f>
        <v>-154534728.74811399</v>
      </c>
      <c r="O69" s="11">
        <f ca="1">E69*'Res Predicted Monthly'!$AB$10</f>
        <v>439595.08288276213</v>
      </c>
      <c r="P69" s="11">
        <f ca="1">F69*'Res Predicted Monthly'!$AB$11</f>
        <v>55713088.178725339</v>
      </c>
      <c r="Q69" s="11">
        <f>G69*'Res Predicted Monthly'!$AB$12</f>
        <v>148561400.72963947</v>
      </c>
      <c r="R69" s="11">
        <f>H69*'Res Predicted Monthly'!$AB$13</f>
        <v>0</v>
      </c>
      <c r="S69" s="11">
        <f>I69*'Res Predicted Monthly'!$AB$14</f>
        <v>70054115.695287749</v>
      </c>
      <c r="T69" s="11">
        <f>J69*'Res Predicted Monthly'!$AB$15</f>
        <v>-2784507.8509929599</v>
      </c>
      <c r="U69" s="11">
        <f ca="1">K69*'Res Predicted Monthly'!$AB$16</f>
        <v>18940.38535513237</v>
      </c>
      <c r="V69" s="11">
        <f ca="1">L69*'Res Predicted Monthly'!$AB$17</f>
        <v>2349721.1840446186</v>
      </c>
      <c r="W69" s="18">
        <f t="shared" ca="1" si="13"/>
        <v>119817624.65682811</v>
      </c>
    </row>
    <row r="70" spans="1:23" x14ac:dyDescent="0.2">
      <c r="A70" s="8">
        <f>'Monthly Data'!A70</f>
        <v>44805</v>
      </c>
      <c r="B70">
        <f t="shared" si="9"/>
        <v>2022</v>
      </c>
      <c r="C70">
        <f t="shared" si="10"/>
        <v>9</v>
      </c>
      <c r="D70" s="18">
        <f>'Monthly Data'!F70</f>
        <v>95896085.279471442</v>
      </c>
      <c r="E70" s="21">
        <f t="shared" ca="1" si="8"/>
        <v>56.160416666666663</v>
      </c>
      <c r="F70" s="21">
        <f t="shared" ca="1" si="8"/>
        <v>104.19854166666664</v>
      </c>
      <c r="G70" s="11">
        <f>'Monthly Data'!G70</f>
        <v>150661</v>
      </c>
      <c r="H70">
        <f>'Monthly Data'!CC70</f>
        <v>0</v>
      </c>
      <c r="I70" s="21">
        <f>'Monthly Data'!CS70</f>
        <v>30</v>
      </c>
      <c r="J70" s="21">
        <f>'Monthly Data'!CK70</f>
        <v>0</v>
      </c>
      <c r="K70" s="21">
        <f t="shared" ca="1" si="11"/>
        <v>14.040104166666666</v>
      </c>
      <c r="L70" s="21">
        <f t="shared" ca="1" si="12"/>
        <v>26.049635416666661</v>
      </c>
      <c r="M70">
        <f>'Monthly Data'!CV70</f>
        <v>0.25</v>
      </c>
      <c r="N70" s="11">
        <f>'Res Predicted Monthly'!$AB$9</f>
        <v>-154534728.74811399</v>
      </c>
      <c r="O70" s="11">
        <f ca="1">E70*'Res Predicted Monthly'!$AB$10</f>
        <v>3447721.8146898891</v>
      </c>
      <c r="P70" s="11">
        <f ca="1">F70*'Res Predicted Monthly'!$AB$11</f>
        <v>29597907.270938363</v>
      </c>
      <c r="Q70" s="11">
        <f>G70*'Res Predicted Monthly'!$AB$12</f>
        <v>148697602.32873523</v>
      </c>
      <c r="R70" s="11">
        <f>H70*'Res Predicted Monthly'!$AB$13</f>
        <v>0</v>
      </c>
      <c r="S70" s="11">
        <f>I70*'Res Predicted Monthly'!$AB$14</f>
        <v>67794305.5115688</v>
      </c>
      <c r="T70" s="11">
        <f>J70*'Res Predicted Monthly'!$AB$15</f>
        <v>0</v>
      </c>
      <c r="U70" s="11">
        <f ca="1">K70*'Res Predicted Monthly'!$AB$16</f>
        <v>148548.47633711653</v>
      </c>
      <c r="V70" s="11">
        <f ca="1">L70*'Res Predicted Monthly'!$AB$17</f>
        <v>1248303.2621492583</v>
      </c>
      <c r="W70" s="18">
        <f t="shared" ca="1" si="13"/>
        <v>96399659.916304663</v>
      </c>
    </row>
    <row r="71" spans="1:23" x14ac:dyDescent="0.2">
      <c r="A71" s="8">
        <f>'Monthly Data'!A71</f>
        <v>44835</v>
      </c>
      <c r="B71">
        <f t="shared" si="9"/>
        <v>2022</v>
      </c>
      <c r="C71">
        <f t="shared" si="10"/>
        <v>10</v>
      </c>
      <c r="D71" s="18">
        <f>'Monthly Data'!F71</f>
        <v>82407651.875134245</v>
      </c>
      <c r="E71" s="21">
        <f t="shared" ca="1" si="8"/>
        <v>229.16187499999995</v>
      </c>
      <c r="F71" s="21">
        <f t="shared" ca="1" si="8"/>
        <v>24.703125000000007</v>
      </c>
      <c r="G71" s="11">
        <f>'Monthly Data'!G71</f>
        <v>150911</v>
      </c>
      <c r="H71">
        <f>'Monthly Data'!CC71</f>
        <v>0</v>
      </c>
      <c r="I71" s="21">
        <f>'Monthly Data'!CS71</f>
        <v>31</v>
      </c>
      <c r="J71" s="21">
        <f>'Monthly Data'!CK71</f>
        <v>0</v>
      </c>
      <c r="K71" s="21">
        <f t="shared" ca="1" si="11"/>
        <v>57.290468749999988</v>
      </c>
      <c r="L71" s="21">
        <f t="shared" ca="1" si="12"/>
        <v>6.1757812500000018</v>
      </c>
      <c r="M71">
        <f>'Monthly Data'!CV71</f>
        <v>0.25</v>
      </c>
      <c r="N71" s="11">
        <f>'Res Predicted Monthly'!$AB$9</f>
        <v>-154534728.74811399</v>
      </c>
      <c r="O71" s="11">
        <f ca="1">E71*'Res Predicted Monthly'!$AB$10</f>
        <v>14068385.571677633</v>
      </c>
      <c r="P71" s="11">
        <f ca="1">F71*'Res Predicted Monthly'!$AB$11</f>
        <v>7016996.5083714752</v>
      </c>
      <c r="Q71" s="11">
        <f>G71*'Res Predicted Monthly'!$AB$12</f>
        <v>148944344.35608262</v>
      </c>
      <c r="R71" s="11">
        <f>H71*'Res Predicted Monthly'!$AB$13</f>
        <v>0</v>
      </c>
      <c r="S71" s="11">
        <f>I71*'Res Predicted Monthly'!$AB$14</f>
        <v>70054115.695287749</v>
      </c>
      <c r="T71" s="11">
        <f>J71*'Res Predicted Monthly'!$AB$15</f>
        <v>0</v>
      </c>
      <c r="U71" s="11">
        <f ca="1">K71*'Res Predicted Monthly'!$AB$16</f>
        <v>606150.19236514601</v>
      </c>
      <c r="V71" s="11">
        <f ca="1">L71*'Res Predicted Monthly'!$AB$17</f>
        <v>295944.55958346417</v>
      </c>
      <c r="W71" s="18">
        <f t="shared" ca="1" si="13"/>
        <v>86451208.135254085</v>
      </c>
    </row>
    <row r="72" spans="1:23" x14ac:dyDescent="0.2">
      <c r="A72" s="8">
        <f>'Monthly Data'!A72</f>
        <v>44866</v>
      </c>
      <c r="B72">
        <f t="shared" si="9"/>
        <v>2022</v>
      </c>
      <c r="C72">
        <f t="shared" si="10"/>
        <v>11</v>
      </c>
      <c r="D72" s="18">
        <f>'Monthly Data'!F72</f>
        <v>87684954.067774549</v>
      </c>
      <c r="E72" s="21">
        <f t="shared" ca="1" si="8"/>
        <v>422.06333333333333</v>
      </c>
      <c r="F72" s="21">
        <f t="shared" ca="1" si="8"/>
        <v>1.6454166666666665</v>
      </c>
      <c r="G72" s="11">
        <f>'Monthly Data'!G72</f>
        <v>151261</v>
      </c>
      <c r="H72">
        <f>'Monthly Data'!CC72</f>
        <v>0</v>
      </c>
      <c r="I72" s="21">
        <f>'Monthly Data'!CS72</f>
        <v>30</v>
      </c>
      <c r="J72" s="21">
        <f>'Monthly Data'!CK72</f>
        <v>0</v>
      </c>
      <c r="K72" s="21">
        <f t="shared" ca="1" si="11"/>
        <v>105.51583333333333</v>
      </c>
      <c r="L72" s="21">
        <f t="shared" ca="1" si="12"/>
        <v>0.41135416666666663</v>
      </c>
      <c r="M72">
        <f>'Monthly Data'!CV72</f>
        <v>0.25</v>
      </c>
      <c r="N72" s="11">
        <f>'Res Predicted Monthly'!$AB$9</f>
        <v>-154534728.74811399</v>
      </c>
      <c r="O72" s="11">
        <f ca="1">E72*'Res Predicted Monthly'!$AB$10</f>
        <v>25910722.318015747</v>
      </c>
      <c r="P72" s="11">
        <f ca="1">F72*'Res Predicted Monthly'!$AB$11</f>
        <v>467385.52328161825</v>
      </c>
      <c r="Q72" s="11">
        <f>G72*'Res Predicted Monthly'!$AB$12</f>
        <v>149289783.19436893</v>
      </c>
      <c r="R72" s="11">
        <f>H72*'Res Predicted Monthly'!$AB$13</f>
        <v>0</v>
      </c>
      <c r="S72" s="11">
        <f>I72*'Res Predicted Monthly'!$AB$14</f>
        <v>67794305.5115688</v>
      </c>
      <c r="T72" s="11">
        <f>J72*'Res Predicted Monthly'!$AB$15</f>
        <v>0</v>
      </c>
      <c r="U72" s="11">
        <f ca="1">K72*'Res Predicted Monthly'!$AB$16</f>
        <v>1116388.8875070289</v>
      </c>
      <c r="V72" s="11">
        <f ca="1">L72*'Res Predicted Monthly'!$AB$17</f>
        <v>19712.166405989454</v>
      </c>
      <c r="W72" s="18">
        <f t="shared" ca="1" si="13"/>
        <v>90063568.853034124</v>
      </c>
    </row>
    <row r="73" spans="1:23" x14ac:dyDescent="0.2">
      <c r="A73" s="8">
        <f>'Monthly Data'!A73</f>
        <v>44896</v>
      </c>
      <c r="B73">
        <f t="shared" si="9"/>
        <v>2022</v>
      </c>
      <c r="C73">
        <f t="shared" si="10"/>
        <v>12</v>
      </c>
      <c r="D73" s="18">
        <f>'Monthly Data'!F73</f>
        <v>104600325.92757934</v>
      </c>
      <c r="E73" s="21">
        <f t="shared" ca="1" si="8"/>
        <v>591.99583333333339</v>
      </c>
      <c r="F73" s="21">
        <f t="shared" ca="1" si="8"/>
        <v>0</v>
      </c>
      <c r="G73" s="11">
        <f>'Monthly Data'!G73</f>
        <v>151365</v>
      </c>
      <c r="H73">
        <f>'Monthly Data'!CC73</f>
        <v>1</v>
      </c>
      <c r="I73" s="21">
        <f>'Monthly Data'!CS73</f>
        <v>31</v>
      </c>
      <c r="J73" s="21">
        <f>'Monthly Data'!CK73</f>
        <v>0</v>
      </c>
      <c r="K73" s="21">
        <f t="shared" ca="1" si="11"/>
        <v>147.99895833333335</v>
      </c>
      <c r="L73" s="21">
        <f t="shared" ca="1" si="12"/>
        <v>0</v>
      </c>
      <c r="M73">
        <f>'Monthly Data'!CV73</f>
        <v>0.25</v>
      </c>
      <c r="N73" s="11">
        <f>'Res Predicted Monthly'!$AB$9</f>
        <v>-154534728.74811399</v>
      </c>
      <c r="O73" s="11">
        <f ca="1">E73*'Res Predicted Monthly'!$AB$10</f>
        <v>36342980.873934403</v>
      </c>
      <c r="P73" s="11">
        <f ca="1">F73*'Res Predicted Monthly'!$AB$11</f>
        <v>0</v>
      </c>
      <c r="Q73" s="11">
        <f>G73*'Res Predicted Monthly'!$AB$12</f>
        <v>149392427.87774545</v>
      </c>
      <c r="R73" s="11">
        <f>H73*'Res Predicted Monthly'!$AB$13</f>
        <v>3702152.17603915</v>
      </c>
      <c r="S73" s="11">
        <f>I73*'Res Predicted Monthly'!$AB$14</f>
        <v>70054115.695287749</v>
      </c>
      <c r="T73" s="11">
        <f>J73*'Res Predicted Monthly'!$AB$15</f>
        <v>0</v>
      </c>
      <c r="U73" s="11">
        <f ca="1">K73*'Res Predicted Monthly'!$AB$16</f>
        <v>1565872.9806359152</v>
      </c>
      <c r="V73" s="11">
        <f ca="1">L73*'Res Predicted Monthly'!$AB$17</f>
        <v>0</v>
      </c>
      <c r="W73" s="18">
        <f t="shared" ca="1" si="13"/>
        <v>106522820.85552868</v>
      </c>
    </row>
    <row r="74" spans="1:23" x14ac:dyDescent="0.2">
      <c r="A74" s="8">
        <f>'Monthly Data'!A74</f>
        <v>44927</v>
      </c>
      <c r="B74">
        <f t="shared" si="9"/>
        <v>2023</v>
      </c>
      <c r="C74">
        <f t="shared" si="10"/>
        <v>1</v>
      </c>
      <c r="D74" s="18">
        <f>'Monthly Data'!F74</f>
        <v>101095920.38269933</v>
      </c>
      <c r="E74" s="21">
        <f t="shared" ref="E74:F93" ca="1" si="14">E62</f>
        <v>683.09489583333334</v>
      </c>
      <c r="F74" s="21">
        <f t="shared" ca="1" si="14"/>
        <v>0</v>
      </c>
      <c r="G74" s="11">
        <f>'Monthly Data'!G74</f>
        <v>151499</v>
      </c>
      <c r="H74">
        <f>'Monthly Data'!CC74</f>
        <v>0</v>
      </c>
      <c r="I74" s="21">
        <f>'Monthly Data'!CS74</f>
        <v>31</v>
      </c>
      <c r="J74" s="21">
        <f>'Monthly Data'!CK74</f>
        <v>0</v>
      </c>
      <c r="K74" s="21">
        <f t="shared" ca="1" si="11"/>
        <v>0</v>
      </c>
      <c r="L74" s="21">
        <f t="shared" ca="1" si="12"/>
        <v>0</v>
      </c>
      <c r="M74">
        <f>'Monthly Data'!CV74</f>
        <v>0</v>
      </c>
      <c r="N74" s="11">
        <f>'Res Predicted Monthly'!$AB$9</f>
        <v>-154534728.74811399</v>
      </c>
      <c r="O74" s="11">
        <f ca="1">E74*'Res Predicted Monthly'!$AB$10</f>
        <v>41935607.20616509</v>
      </c>
      <c r="P74" s="11">
        <f ca="1">F74*'Res Predicted Monthly'!$AB$11</f>
        <v>0</v>
      </c>
      <c r="Q74" s="11">
        <f>G74*'Res Predicted Monthly'!$AB$12</f>
        <v>149524681.60440364</v>
      </c>
      <c r="R74" s="11">
        <f>H74*'Res Predicted Monthly'!$AB$13</f>
        <v>0</v>
      </c>
      <c r="S74" s="11">
        <f>I74*'Res Predicted Monthly'!$AB$14</f>
        <v>70054115.695287749</v>
      </c>
      <c r="T74" s="11">
        <f>J74*'Res Predicted Monthly'!$AB$15</f>
        <v>0</v>
      </c>
      <c r="U74" s="11">
        <f ca="1">K74*'Res Predicted Monthly'!$AB$16</f>
        <v>0</v>
      </c>
      <c r="V74" s="11">
        <f ca="1">L74*'Res Predicted Monthly'!$AB$17</f>
        <v>0</v>
      </c>
      <c r="W74" s="18">
        <f t="shared" ca="1" si="13"/>
        <v>106979675.75774249</v>
      </c>
    </row>
    <row r="75" spans="1:23" x14ac:dyDescent="0.2">
      <c r="A75" s="8">
        <f>'Monthly Data'!A75</f>
        <v>44958</v>
      </c>
      <c r="B75">
        <f t="shared" si="9"/>
        <v>2023</v>
      </c>
      <c r="C75">
        <f t="shared" si="10"/>
        <v>2</v>
      </c>
      <c r="D75" s="18">
        <f>'Monthly Data'!F75</f>
        <v>91047446.956413373</v>
      </c>
      <c r="E75" s="21">
        <f t="shared" ca="1" si="14"/>
        <v>589.85491666666678</v>
      </c>
      <c r="F75" s="21">
        <f t="shared" ca="1" si="14"/>
        <v>0</v>
      </c>
      <c r="G75" s="11">
        <f>'Monthly Data'!G75</f>
        <v>151628</v>
      </c>
      <c r="H75">
        <f>'Monthly Data'!CC75</f>
        <v>0</v>
      </c>
      <c r="I75" s="21">
        <f>'Monthly Data'!CS75</f>
        <v>28</v>
      </c>
      <c r="J75" s="21">
        <f>'Monthly Data'!CK75</f>
        <v>0</v>
      </c>
      <c r="K75" s="21">
        <f t="shared" ca="1" si="11"/>
        <v>0</v>
      </c>
      <c r="L75" s="21">
        <f t="shared" ca="1" si="12"/>
        <v>0</v>
      </c>
      <c r="M75">
        <f>'Monthly Data'!CV75</f>
        <v>0</v>
      </c>
      <c r="N75" s="11">
        <f>'Res Predicted Monthly'!$AB$9</f>
        <v>-154534728.74811399</v>
      </c>
      <c r="O75" s="11">
        <f ca="1">E75*'Res Predicted Monthly'!$AB$10</f>
        <v>36211548.709908441</v>
      </c>
      <c r="P75" s="11">
        <f ca="1">F75*'Res Predicted Monthly'!$AB$11</f>
        <v>0</v>
      </c>
      <c r="Q75" s="11">
        <f>G75*'Res Predicted Monthly'!$AB$12</f>
        <v>149652000.4905149</v>
      </c>
      <c r="R75" s="11">
        <f>H75*'Res Predicted Monthly'!$AB$13</f>
        <v>0</v>
      </c>
      <c r="S75" s="11">
        <f>I75*'Res Predicted Monthly'!$AB$14</f>
        <v>63274685.144130871</v>
      </c>
      <c r="T75" s="11">
        <f>J75*'Res Predicted Monthly'!$AB$15</f>
        <v>0</v>
      </c>
      <c r="U75" s="11">
        <f ca="1">K75*'Res Predicted Monthly'!$AB$16</f>
        <v>0</v>
      </c>
      <c r="V75" s="11">
        <f ca="1">L75*'Res Predicted Monthly'!$AB$17</f>
        <v>0</v>
      </c>
      <c r="W75" s="18">
        <f t="shared" ca="1" si="13"/>
        <v>94603505.596440226</v>
      </c>
    </row>
    <row r="76" spans="1:23" x14ac:dyDescent="0.2">
      <c r="A76" s="8">
        <f>'Monthly Data'!A76</f>
        <v>44986</v>
      </c>
      <c r="B76">
        <f t="shared" si="9"/>
        <v>2023</v>
      </c>
      <c r="C76">
        <f t="shared" si="10"/>
        <v>3</v>
      </c>
      <c r="D76" s="18">
        <f>'Monthly Data'!F76</f>
        <v>95849298.594118595</v>
      </c>
      <c r="E76" s="21">
        <f t="shared" ca="1" si="14"/>
        <v>522.20004166666672</v>
      </c>
      <c r="F76" s="21">
        <f t="shared" ca="1" si="14"/>
        <v>0</v>
      </c>
      <c r="G76" s="11">
        <f>'Monthly Data'!G76</f>
        <v>151662</v>
      </c>
      <c r="H76">
        <f>'Monthly Data'!CC76</f>
        <v>0</v>
      </c>
      <c r="I76" s="21">
        <f>'Monthly Data'!CS76</f>
        <v>31</v>
      </c>
      <c r="J76" s="21">
        <f>'Monthly Data'!CK76</f>
        <v>0</v>
      </c>
      <c r="K76" s="21">
        <f t="shared" ca="1" si="11"/>
        <v>0</v>
      </c>
      <c r="L76" s="21">
        <f t="shared" ca="1" si="12"/>
        <v>0</v>
      </c>
      <c r="M76">
        <f>'Monthly Data'!CV76</f>
        <v>0</v>
      </c>
      <c r="N76" s="11">
        <f>'Res Predicted Monthly'!$AB$9</f>
        <v>-154534728.74811399</v>
      </c>
      <c r="O76" s="11">
        <f ca="1">E76*'Res Predicted Monthly'!$AB$10</f>
        <v>32058175.172954902</v>
      </c>
      <c r="P76" s="11">
        <f ca="1">F76*'Res Predicted Monthly'!$AB$11</f>
        <v>0</v>
      </c>
      <c r="Q76" s="11">
        <f>G76*'Res Predicted Monthly'!$AB$12</f>
        <v>149685557.40623415</v>
      </c>
      <c r="R76" s="11">
        <f>H76*'Res Predicted Monthly'!$AB$13</f>
        <v>0</v>
      </c>
      <c r="S76" s="11">
        <f>I76*'Res Predicted Monthly'!$AB$14</f>
        <v>70054115.695287749</v>
      </c>
      <c r="T76" s="11">
        <f>J76*'Res Predicted Monthly'!$AB$15</f>
        <v>0</v>
      </c>
      <c r="U76" s="11">
        <f ca="1">K76*'Res Predicted Monthly'!$AB$16</f>
        <v>0</v>
      </c>
      <c r="V76" s="11">
        <f ca="1">L76*'Res Predicted Monthly'!$AB$17</f>
        <v>0</v>
      </c>
      <c r="W76" s="18">
        <f t="shared" ca="1" si="13"/>
        <v>97263119.526362807</v>
      </c>
    </row>
    <row r="77" spans="1:23" x14ac:dyDescent="0.2">
      <c r="A77" s="8">
        <f>'Monthly Data'!A77</f>
        <v>45017</v>
      </c>
      <c r="B77">
        <f t="shared" si="9"/>
        <v>2023</v>
      </c>
      <c r="C77">
        <f t="shared" si="10"/>
        <v>4</v>
      </c>
      <c r="D77" s="18">
        <f>'Monthly Data'!F77</f>
        <v>84098508.162623033</v>
      </c>
      <c r="E77" s="21">
        <f t="shared" ca="1" si="14"/>
        <v>343.18302083333327</v>
      </c>
      <c r="F77" s="21">
        <f t="shared" ca="1" si="14"/>
        <v>6.5650000000000031</v>
      </c>
      <c r="G77" s="11">
        <f>'Monthly Data'!G77</f>
        <v>151651</v>
      </c>
      <c r="H77">
        <f>'Monthly Data'!CC77</f>
        <v>0</v>
      </c>
      <c r="I77" s="21">
        <f>'Monthly Data'!CS77</f>
        <v>30</v>
      </c>
      <c r="J77" s="21">
        <f>'Monthly Data'!CK77</f>
        <v>0</v>
      </c>
      <c r="K77" s="21">
        <f t="shared" ca="1" si="11"/>
        <v>0</v>
      </c>
      <c r="L77" s="21">
        <f t="shared" ca="1" si="12"/>
        <v>0</v>
      </c>
      <c r="M77">
        <f>'Monthly Data'!CV77</f>
        <v>0</v>
      </c>
      <c r="N77" s="11">
        <f>'Res Predicted Monthly'!$AB$9</f>
        <v>-154534728.74811399</v>
      </c>
      <c r="O77" s="11">
        <f ca="1">E77*'Res Predicted Monthly'!$AB$10</f>
        <v>21068212.409836546</v>
      </c>
      <c r="P77" s="11">
        <f ca="1">F77*'Res Predicted Monthly'!$AB$11</f>
        <v>1864807.876633371</v>
      </c>
      <c r="Q77" s="11">
        <f>G77*'Res Predicted Monthly'!$AB$12</f>
        <v>149674700.75703084</v>
      </c>
      <c r="R77" s="11">
        <f>H77*'Res Predicted Monthly'!$AB$13</f>
        <v>0</v>
      </c>
      <c r="S77" s="11">
        <f>I77*'Res Predicted Monthly'!$AB$14</f>
        <v>67794305.5115688</v>
      </c>
      <c r="T77" s="11">
        <f>J77*'Res Predicted Monthly'!$AB$15</f>
        <v>0</v>
      </c>
      <c r="U77" s="11">
        <f ca="1">K77*'Res Predicted Monthly'!$AB$16</f>
        <v>0</v>
      </c>
      <c r="V77" s="11">
        <f ca="1">L77*'Res Predicted Monthly'!$AB$17</f>
        <v>0</v>
      </c>
      <c r="W77" s="18">
        <f t="shared" ca="1" si="13"/>
        <v>85867297.806955576</v>
      </c>
    </row>
    <row r="78" spans="1:23" x14ac:dyDescent="0.2">
      <c r="A78" s="8">
        <f>'Monthly Data'!A78</f>
        <v>45047</v>
      </c>
      <c r="B78">
        <f t="shared" si="9"/>
        <v>2023</v>
      </c>
      <c r="C78">
        <f t="shared" si="10"/>
        <v>5</v>
      </c>
      <c r="D78" s="18">
        <f>'Monthly Data'!F78</f>
        <v>84438333.862071276</v>
      </c>
      <c r="E78" s="21">
        <f t="shared" ca="1" si="14"/>
        <v>146.15645833333332</v>
      </c>
      <c r="F78" s="21">
        <f t="shared" ca="1" si="14"/>
        <v>59.300416666666649</v>
      </c>
      <c r="G78" s="11">
        <f>'Monthly Data'!G78</f>
        <v>151748</v>
      </c>
      <c r="H78">
        <f>'Monthly Data'!CC78</f>
        <v>0</v>
      </c>
      <c r="I78" s="21">
        <f>'Monthly Data'!CS78</f>
        <v>31</v>
      </c>
      <c r="J78" s="21">
        <f>'Monthly Data'!CK78</f>
        <v>1</v>
      </c>
      <c r="K78" s="21">
        <f t="shared" ca="1" si="11"/>
        <v>0</v>
      </c>
      <c r="L78" s="21">
        <f t="shared" ca="1" si="12"/>
        <v>0</v>
      </c>
      <c r="M78">
        <f>'Monthly Data'!CV78</f>
        <v>0</v>
      </c>
      <c r="N78" s="11">
        <f>'Res Predicted Monthly'!$AB$9</f>
        <v>-154534728.74811399</v>
      </c>
      <c r="O78" s="11">
        <f ca="1">E78*'Res Predicted Monthly'!$AB$10</f>
        <v>8972633.033414349</v>
      </c>
      <c r="P78" s="11">
        <f ca="1">F78*'Res Predicted Monthly'!$AB$11</f>
        <v>16844460.637873683</v>
      </c>
      <c r="Q78" s="11">
        <f>G78*'Res Predicted Monthly'!$AB$12</f>
        <v>149770436.66364163</v>
      </c>
      <c r="R78" s="11">
        <f>H78*'Res Predicted Monthly'!$AB$13</f>
        <v>0</v>
      </c>
      <c r="S78" s="11">
        <f>I78*'Res Predicted Monthly'!$AB$14</f>
        <v>70054115.695287749</v>
      </c>
      <c r="T78" s="11">
        <f>J78*'Res Predicted Monthly'!$AB$15</f>
        <v>-2784507.8509929599</v>
      </c>
      <c r="U78" s="11">
        <f ca="1">K78*'Res Predicted Monthly'!$AB$16</f>
        <v>0</v>
      </c>
      <c r="V78" s="11">
        <f ca="1">L78*'Res Predicted Monthly'!$AB$17</f>
        <v>0</v>
      </c>
      <c r="W78" s="18">
        <f t="shared" ca="1" si="13"/>
        <v>88322409.431110471</v>
      </c>
    </row>
    <row r="79" spans="1:23" x14ac:dyDescent="0.2">
      <c r="A79" s="8">
        <f>'Monthly Data'!A79</f>
        <v>45078</v>
      </c>
      <c r="B79">
        <f t="shared" si="9"/>
        <v>2023</v>
      </c>
      <c r="C79">
        <f t="shared" si="10"/>
        <v>6</v>
      </c>
      <c r="D79" s="18">
        <f>'Monthly Data'!F79</f>
        <v>97286503.750689998</v>
      </c>
      <c r="E79" s="21">
        <f t="shared" ca="1" si="14"/>
        <v>29.335416666666674</v>
      </c>
      <c r="F79" s="21">
        <f t="shared" ca="1" si="14"/>
        <v>157.17000000000002</v>
      </c>
      <c r="G79" s="11">
        <f>'Monthly Data'!G79</f>
        <v>151811</v>
      </c>
      <c r="H79">
        <f>'Monthly Data'!CC79</f>
        <v>0</v>
      </c>
      <c r="I79" s="21">
        <f>'Monthly Data'!CS79</f>
        <v>30</v>
      </c>
      <c r="J79" s="21">
        <f>'Monthly Data'!CK79</f>
        <v>1</v>
      </c>
      <c r="K79" s="21">
        <f t="shared" ca="1" si="11"/>
        <v>0</v>
      </c>
      <c r="L79" s="21">
        <f t="shared" ca="1" si="12"/>
        <v>0</v>
      </c>
      <c r="M79">
        <f>'Monthly Data'!CV79</f>
        <v>0</v>
      </c>
      <c r="N79" s="11">
        <f>'Res Predicted Monthly'!$AB$9</f>
        <v>-154534728.74811399</v>
      </c>
      <c r="O79" s="11">
        <f ca="1">E79*'Res Predicted Monthly'!$AB$10</f>
        <v>1800918.903166092</v>
      </c>
      <c r="P79" s="11">
        <f ca="1">F79*'Res Predicted Monthly'!$AB$11</f>
        <v>44644608.373262271</v>
      </c>
      <c r="Q79" s="11">
        <f>G79*'Res Predicted Monthly'!$AB$12</f>
        <v>149832615.65453318</v>
      </c>
      <c r="R79" s="11">
        <f>H79*'Res Predicted Monthly'!$AB$13</f>
        <v>0</v>
      </c>
      <c r="S79" s="11">
        <f>I79*'Res Predicted Monthly'!$AB$14</f>
        <v>67794305.5115688</v>
      </c>
      <c r="T79" s="11">
        <f>J79*'Res Predicted Monthly'!$AB$15</f>
        <v>-2784507.8509929599</v>
      </c>
      <c r="U79" s="11">
        <f ca="1">K79*'Res Predicted Monthly'!$AB$16</f>
        <v>0</v>
      </c>
      <c r="V79" s="11">
        <f ca="1">L79*'Res Predicted Monthly'!$AB$17</f>
        <v>0</v>
      </c>
      <c r="W79" s="18">
        <f t="shared" ca="1" si="13"/>
        <v>106753211.84342338</v>
      </c>
    </row>
    <row r="80" spans="1:23" x14ac:dyDescent="0.2">
      <c r="A80" s="8">
        <f>'Monthly Data'!A80</f>
        <v>45108</v>
      </c>
      <c r="B80">
        <f t="shared" si="9"/>
        <v>2023</v>
      </c>
      <c r="C80">
        <f t="shared" si="10"/>
        <v>7</v>
      </c>
      <c r="D80" s="18">
        <f>'Monthly Data'!F80</f>
        <v>121481480.73199384</v>
      </c>
      <c r="E80" s="21">
        <f t="shared" ca="1" si="14"/>
        <v>1.6731249999999993</v>
      </c>
      <c r="F80" s="21">
        <f t="shared" ca="1" si="14"/>
        <v>231.27145833333333</v>
      </c>
      <c r="G80" s="11">
        <f>'Monthly Data'!G80</f>
        <v>151829</v>
      </c>
      <c r="H80">
        <f>'Monthly Data'!CC80</f>
        <v>0</v>
      </c>
      <c r="I80" s="21">
        <f>'Monthly Data'!CS80</f>
        <v>31</v>
      </c>
      <c r="J80" s="21">
        <f>'Monthly Data'!CK80</f>
        <v>1</v>
      </c>
      <c r="K80" s="21">
        <f t="shared" ca="1" si="11"/>
        <v>0</v>
      </c>
      <c r="L80" s="21">
        <f t="shared" ca="1" si="12"/>
        <v>0</v>
      </c>
      <c r="M80">
        <f>'Monthly Data'!CV80</f>
        <v>0</v>
      </c>
      <c r="N80" s="11">
        <f>'Res Predicted Monthly'!$AB$9</f>
        <v>-154534728.74811399</v>
      </c>
      <c r="O80" s="11">
        <f ca="1">E80*'Res Predicted Monthly'!$AB$10</f>
        <v>102714.15177421259</v>
      </c>
      <c r="P80" s="11">
        <f ca="1">F80*'Res Predicted Monthly'!$AB$11</f>
        <v>65693349.145542458</v>
      </c>
      <c r="Q80" s="11">
        <f>G80*'Res Predicted Monthly'!$AB$12</f>
        <v>149850381.08050218</v>
      </c>
      <c r="R80" s="11">
        <f>H80*'Res Predicted Monthly'!$AB$13</f>
        <v>0</v>
      </c>
      <c r="S80" s="11">
        <f>I80*'Res Predicted Monthly'!$AB$14</f>
        <v>70054115.695287749</v>
      </c>
      <c r="T80" s="11">
        <f>J80*'Res Predicted Monthly'!$AB$15</f>
        <v>-2784507.8509929599</v>
      </c>
      <c r="U80" s="11">
        <f ca="1">K80*'Res Predicted Monthly'!$AB$16</f>
        <v>0</v>
      </c>
      <c r="V80" s="11">
        <f ca="1">L80*'Res Predicted Monthly'!$AB$17</f>
        <v>0</v>
      </c>
      <c r="W80" s="18">
        <f t="shared" ca="1" si="13"/>
        <v>128381323.47399963</v>
      </c>
    </row>
    <row r="81" spans="1:23" x14ac:dyDescent="0.2">
      <c r="A81" s="8">
        <f>'Monthly Data'!A81</f>
        <v>45139</v>
      </c>
      <c r="B81">
        <f t="shared" si="9"/>
        <v>2023</v>
      </c>
      <c r="C81">
        <f t="shared" si="10"/>
        <v>8</v>
      </c>
      <c r="D81" s="18">
        <f>'Monthly Data'!F81</f>
        <v>106591355.68128458</v>
      </c>
      <c r="E81" s="21">
        <f t="shared" ca="1" si="14"/>
        <v>7.1606250000000005</v>
      </c>
      <c r="F81" s="21">
        <f t="shared" ca="1" si="14"/>
        <v>196.13625000000002</v>
      </c>
      <c r="G81" s="11">
        <f>'Monthly Data'!G81</f>
        <v>151891</v>
      </c>
      <c r="H81">
        <f>'Monthly Data'!CC81</f>
        <v>0</v>
      </c>
      <c r="I81" s="21">
        <f>'Monthly Data'!CS81</f>
        <v>31</v>
      </c>
      <c r="J81" s="21">
        <f>'Monthly Data'!CK81</f>
        <v>1</v>
      </c>
      <c r="K81" s="21">
        <f t="shared" ca="1" si="11"/>
        <v>0</v>
      </c>
      <c r="L81" s="21">
        <f t="shared" ca="1" si="12"/>
        <v>0</v>
      </c>
      <c r="M81">
        <f>'Monthly Data'!CV81</f>
        <v>0</v>
      </c>
      <c r="N81" s="11">
        <f>'Res Predicted Monthly'!$AB$9</f>
        <v>-154534728.74811399</v>
      </c>
      <c r="O81" s="11">
        <f ca="1">E81*'Res Predicted Monthly'!$AB$10</f>
        <v>439595.08288276213</v>
      </c>
      <c r="P81" s="11">
        <f ca="1">F81*'Res Predicted Monthly'!$AB$11</f>
        <v>55713088.178725339</v>
      </c>
      <c r="Q81" s="11">
        <f>G81*'Res Predicted Monthly'!$AB$12</f>
        <v>149911573.10328433</v>
      </c>
      <c r="R81" s="11">
        <f>H81*'Res Predicted Monthly'!$AB$13</f>
        <v>0</v>
      </c>
      <c r="S81" s="11">
        <f>I81*'Res Predicted Monthly'!$AB$14</f>
        <v>70054115.695287749</v>
      </c>
      <c r="T81" s="11">
        <f>J81*'Res Predicted Monthly'!$AB$15</f>
        <v>-2784507.8509929599</v>
      </c>
      <c r="U81" s="11">
        <f ca="1">K81*'Res Predicted Monthly'!$AB$16</f>
        <v>0</v>
      </c>
      <c r="V81" s="11">
        <f ca="1">L81*'Res Predicted Monthly'!$AB$17</f>
        <v>0</v>
      </c>
      <c r="W81" s="18">
        <f t="shared" ca="1" si="13"/>
        <v>118799135.46107322</v>
      </c>
    </row>
    <row r="82" spans="1:23" x14ac:dyDescent="0.2">
      <c r="A82" s="8">
        <f>'Monthly Data'!A82</f>
        <v>45170</v>
      </c>
      <c r="B82">
        <f t="shared" si="9"/>
        <v>2023</v>
      </c>
      <c r="C82">
        <f t="shared" si="10"/>
        <v>9</v>
      </c>
      <c r="D82" s="18">
        <f>'Monthly Data'!F82</f>
        <v>94551964.486079708</v>
      </c>
      <c r="E82" s="21">
        <f t="shared" ca="1" si="14"/>
        <v>56.160416666666663</v>
      </c>
      <c r="F82" s="21">
        <f t="shared" ca="1" si="14"/>
        <v>104.19854166666664</v>
      </c>
      <c r="G82" s="11">
        <f>'Monthly Data'!G82</f>
        <v>151956</v>
      </c>
      <c r="H82">
        <f>'Monthly Data'!CC82</f>
        <v>0</v>
      </c>
      <c r="I82" s="21">
        <f>'Monthly Data'!CS82</f>
        <v>30</v>
      </c>
      <c r="J82" s="21">
        <f>'Monthly Data'!CK82</f>
        <v>0</v>
      </c>
      <c r="K82" s="21">
        <f t="shared" ca="1" si="11"/>
        <v>0</v>
      </c>
      <c r="L82" s="21">
        <f t="shared" ca="1" si="12"/>
        <v>0</v>
      </c>
      <c r="M82">
        <f>'Monthly Data'!CV82</f>
        <v>0</v>
      </c>
      <c r="N82" s="11">
        <f>'Res Predicted Monthly'!$AB$9</f>
        <v>-154534728.74811399</v>
      </c>
      <c r="O82" s="11">
        <f ca="1">E82*'Res Predicted Monthly'!$AB$10</f>
        <v>3447721.8146898891</v>
      </c>
      <c r="P82" s="11">
        <f ca="1">F82*'Res Predicted Monthly'!$AB$11</f>
        <v>29597907.270938363</v>
      </c>
      <c r="Q82" s="11">
        <f>G82*'Res Predicted Monthly'!$AB$12</f>
        <v>149975726.03039467</v>
      </c>
      <c r="R82" s="11">
        <f>H82*'Res Predicted Monthly'!$AB$13</f>
        <v>0</v>
      </c>
      <c r="S82" s="11">
        <f>I82*'Res Predicted Monthly'!$AB$14</f>
        <v>67794305.5115688</v>
      </c>
      <c r="T82" s="11">
        <f>J82*'Res Predicted Monthly'!$AB$15</f>
        <v>0</v>
      </c>
      <c r="U82" s="11">
        <f ca="1">K82*'Res Predicted Monthly'!$AB$16</f>
        <v>0</v>
      </c>
      <c r="V82" s="11">
        <f ca="1">L82*'Res Predicted Monthly'!$AB$17</f>
        <v>0</v>
      </c>
      <c r="W82" s="18">
        <f t="shared" ca="1" si="13"/>
        <v>96280931.879477724</v>
      </c>
    </row>
    <row r="83" spans="1:23" x14ac:dyDescent="0.2">
      <c r="A83" s="8">
        <f>'Monthly Data'!A83</f>
        <v>45200</v>
      </c>
      <c r="B83">
        <f t="shared" si="9"/>
        <v>2023</v>
      </c>
      <c r="C83">
        <f t="shared" si="10"/>
        <v>10</v>
      </c>
      <c r="D83" s="18">
        <f>'Monthly Data'!F83</f>
        <v>87394678.400082737</v>
      </c>
      <c r="E83" s="21">
        <f t="shared" ca="1" si="14"/>
        <v>229.16187499999995</v>
      </c>
      <c r="F83" s="21">
        <f t="shared" ca="1" si="14"/>
        <v>24.703125000000007</v>
      </c>
      <c r="G83" s="11">
        <f>'Monthly Data'!G83</f>
        <v>152084</v>
      </c>
      <c r="H83">
        <f>'Monthly Data'!CC83</f>
        <v>0</v>
      </c>
      <c r="I83" s="21">
        <f>'Monthly Data'!CS83</f>
        <v>31</v>
      </c>
      <c r="J83" s="21">
        <f>'Monthly Data'!CK83</f>
        <v>0</v>
      </c>
      <c r="K83" s="21">
        <f t="shared" ca="1" si="11"/>
        <v>0</v>
      </c>
      <c r="L83" s="21">
        <f t="shared" ca="1" si="12"/>
        <v>0</v>
      </c>
      <c r="M83">
        <f>'Monthly Data'!CV83</f>
        <v>0</v>
      </c>
      <c r="N83" s="11">
        <f>'Res Predicted Monthly'!$AB$9</f>
        <v>-154534728.74811399</v>
      </c>
      <c r="O83" s="11">
        <f ca="1">E83*'Res Predicted Monthly'!$AB$10</f>
        <v>14068385.571677633</v>
      </c>
      <c r="P83" s="11">
        <f ca="1">F83*'Res Predicted Monthly'!$AB$11</f>
        <v>7016996.5083714752</v>
      </c>
      <c r="Q83" s="11">
        <f>G83*'Res Predicted Monthly'!$AB$12</f>
        <v>150102057.94839653</v>
      </c>
      <c r="R83" s="11">
        <f>H83*'Res Predicted Monthly'!$AB$13</f>
        <v>0</v>
      </c>
      <c r="S83" s="11">
        <f>I83*'Res Predicted Monthly'!$AB$14</f>
        <v>70054115.695287749</v>
      </c>
      <c r="T83" s="11">
        <f>J83*'Res Predicted Monthly'!$AB$15</f>
        <v>0</v>
      </c>
      <c r="U83" s="11">
        <f ca="1">K83*'Res Predicted Monthly'!$AB$16</f>
        <v>0</v>
      </c>
      <c r="V83" s="11">
        <f ca="1">L83*'Res Predicted Monthly'!$AB$17</f>
        <v>0</v>
      </c>
      <c r="W83" s="18">
        <f t="shared" ca="1" si="13"/>
        <v>86706826.975619391</v>
      </c>
    </row>
    <row r="84" spans="1:23" x14ac:dyDescent="0.2">
      <c r="A84" s="8">
        <f>'Monthly Data'!A84</f>
        <v>45231</v>
      </c>
      <c r="B84">
        <f t="shared" si="9"/>
        <v>2023</v>
      </c>
      <c r="C84">
        <f t="shared" si="10"/>
        <v>11</v>
      </c>
      <c r="D84" s="18">
        <f>'Monthly Data'!F84</f>
        <v>90724734.418044969</v>
      </c>
      <c r="E84" s="21">
        <f t="shared" ca="1" si="14"/>
        <v>422.06333333333333</v>
      </c>
      <c r="F84" s="21">
        <f t="shared" ca="1" si="14"/>
        <v>1.6454166666666665</v>
      </c>
      <c r="G84" s="11">
        <f>'Monthly Data'!G84</f>
        <v>152199</v>
      </c>
      <c r="H84">
        <f>'Monthly Data'!CC84</f>
        <v>0</v>
      </c>
      <c r="I84" s="21">
        <f>'Monthly Data'!CS84</f>
        <v>30</v>
      </c>
      <c r="J84" s="21">
        <f>'Monthly Data'!CK84</f>
        <v>0</v>
      </c>
      <c r="K84" s="21">
        <f t="shared" ca="1" si="11"/>
        <v>0</v>
      </c>
      <c r="L84" s="21">
        <f t="shared" ca="1" si="12"/>
        <v>0</v>
      </c>
      <c r="M84">
        <f>'Monthly Data'!CV84</f>
        <v>0</v>
      </c>
      <c r="N84" s="11">
        <f>'Res Predicted Monthly'!$AB$9</f>
        <v>-154534728.74811399</v>
      </c>
      <c r="O84" s="11">
        <f ca="1">E84*'Res Predicted Monthly'!$AB$10</f>
        <v>25910722.318015747</v>
      </c>
      <c r="P84" s="11">
        <f ca="1">F84*'Res Predicted Monthly'!$AB$11</f>
        <v>467385.52328161825</v>
      </c>
      <c r="Q84" s="11">
        <f>G84*'Res Predicted Monthly'!$AB$12</f>
        <v>150215559.28097633</v>
      </c>
      <c r="R84" s="11">
        <f>H84*'Res Predicted Monthly'!$AB$13</f>
        <v>0</v>
      </c>
      <c r="S84" s="11">
        <f>I84*'Res Predicted Monthly'!$AB$14</f>
        <v>67794305.5115688</v>
      </c>
      <c r="T84" s="11">
        <f>J84*'Res Predicted Monthly'!$AB$15</f>
        <v>0</v>
      </c>
      <c r="U84" s="11">
        <f ca="1">K84*'Res Predicted Monthly'!$AB$16</f>
        <v>0</v>
      </c>
      <c r="V84" s="11">
        <f ca="1">L84*'Res Predicted Monthly'!$AB$17</f>
        <v>0</v>
      </c>
      <c r="W84" s="18">
        <f t="shared" ca="1" si="13"/>
        <v>89853243.885728508</v>
      </c>
    </row>
    <row r="85" spans="1:23" x14ac:dyDescent="0.2">
      <c r="A85" s="8">
        <f>'Monthly Data'!A85</f>
        <v>45261</v>
      </c>
      <c r="B85">
        <f t="shared" si="9"/>
        <v>2023</v>
      </c>
      <c r="C85">
        <f t="shared" si="10"/>
        <v>12</v>
      </c>
      <c r="D85" s="18">
        <f>'Monthly Data'!F85</f>
        <v>100027267.37958151</v>
      </c>
      <c r="E85" s="21">
        <f t="shared" ca="1" si="14"/>
        <v>591.99583333333339</v>
      </c>
      <c r="F85" s="21">
        <f t="shared" ca="1" si="14"/>
        <v>0</v>
      </c>
      <c r="G85" s="11">
        <f>'Monthly Data'!G85</f>
        <v>152344</v>
      </c>
      <c r="H85">
        <f>'Monthly Data'!CC85</f>
        <v>1</v>
      </c>
      <c r="I85" s="21">
        <f>'Monthly Data'!CS85</f>
        <v>31</v>
      </c>
      <c r="J85" s="21">
        <f>'Monthly Data'!CK85</f>
        <v>0</v>
      </c>
      <c r="K85" s="21">
        <f t="shared" ca="1" si="11"/>
        <v>0</v>
      </c>
      <c r="L85" s="21">
        <f t="shared" ca="1" si="12"/>
        <v>0</v>
      </c>
      <c r="M85">
        <f>'Monthly Data'!CV85</f>
        <v>0</v>
      </c>
      <c r="N85" s="11">
        <f>'Res Predicted Monthly'!$AB$9</f>
        <v>-154534728.74811399</v>
      </c>
      <c r="O85" s="11">
        <f ca="1">E85*'Res Predicted Monthly'!$AB$10</f>
        <v>36342980.873934403</v>
      </c>
      <c r="P85" s="11">
        <f ca="1">F85*'Res Predicted Monthly'!$AB$11</f>
        <v>0</v>
      </c>
      <c r="Q85" s="11">
        <f>G85*'Res Predicted Monthly'!$AB$12</f>
        <v>150358669.65683779</v>
      </c>
      <c r="R85" s="11">
        <f>H85*'Res Predicted Monthly'!$AB$13</f>
        <v>3702152.17603915</v>
      </c>
      <c r="S85" s="11">
        <f>I85*'Res Predicted Monthly'!$AB$14</f>
        <v>70054115.695287749</v>
      </c>
      <c r="T85" s="11">
        <f>J85*'Res Predicted Monthly'!$AB$15</f>
        <v>0</v>
      </c>
      <c r="U85" s="11">
        <f ca="1">K85*'Res Predicted Monthly'!$AB$16</f>
        <v>0</v>
      </c>
      <c r="V85" s="11">
        <f ca="1">L85*'Res Predicted Monthly'!$AB$17</f>
        <v>0</v>
      </c>
      <c r="W85" s="18">
        <f t="shared" ca="1" si="13"/>
        <v>105923189.65398511</v>
      </c>
    </row>
    <row r="86" spans="1:23" x14ac:dyDescent="0.2">
      <c r="A86" s="8">
        <f>'Monthly Data'!A86</f>
        <v>45292</v>
      </c>
      <c r="B86">
        <f t="shared" si="9"/>
        <v>2024</v>
      </c>
      <c r="C86">
        <f t="shared" si="10"/>
        <v>1</v>
      </c>
      <c r="D86" s="18">
        <f>'Monthly Data'!F86</f>
        <v>107987271.15008742</v>
      </c>
      <c r="E86" s="21">
        <f t="shared" ca="1" si="14"/>
        <v>683.09489583333334</v>
      </c>
      <c r="F86" s="21">
        <f t="shared" ca="1" si="14"/>
        <v>0</v>
      </c>
      <c r="G86" s="11">
        <f>'Monthly Data'!G86</f>
        <v>152450</v>
      </c>
      <c r="H86">
        <f>'Monthly Data'!CC86</f>
        <v>0</v>
      </c>
      <c r="I86" s="21">
        <f>'Monthly Data'!CS86</f>
        <v>31</v>
      </c>
      <c r="J86" s="21">
        <f>'Monthly Data'!CK86</f>
        <v>0</v>
      </c>
      <c r="K86" s="21">
        <f t="shared" ca="1" si="11"/>
        <v>0</v>
      </c>
      <c r="L86" s="21">
        <f t="shared" ca="1" si="12"/>
        <v>0</v>
      </c>
      <c r="M86">
        <f>'Monthly Data'!CV86</f>
        <v>0</v>
      </c>
      <c r="N86" s="11">
        <f>'Res Predicted Monthly'!$AB$9</f>
        <v>-154534728.74811399</v>
      </c>
      <c r="O86" s="11">
        <f ca="1">E86*'Res Predicted Monthly'!$AB$10</f>
        <v>41935607.20616509</v>
      </c>
      <c r="P86" s="11">
        <f ca="1">F86*'Res Predicted Monthly'!$AB$11</f>
        <v>0</v>
      </c>
      <c r="Q86" s="11">
        <f>G86*'Res Predicted Monthly'!$AB$12</f>
        <v>150463288.27643308</v>
      </c>
      <c r="R86" s="11">
        <f>H86*'Res Predicted Monthly'!$AB$13</f>
        <v>0</v>
      </c>
      <c r="S86" s="11">
        <f>I86*'Res Predicted Monthly'!$AB$14</f>
        <v>70054115.695287749</v>
      </c>
      <c r="T86" s="11">
        <f>J86*'Res Predicted Monthly'!$AB$15</f>
        <v>0</v>
      </c>
      <c r="U86" s="11">
        <f ca="1">K86*'Res Predicted Monthly'!$AB$16</f>
        <v>0</v>
      </c>
      <c r="V86" s="11">
        <f ca="1">L86*'Res Predicted Monthly'!$AB$17</f>
        <v>0</v>
      </c>
      <c r="W86" s="18">
        <f t="shared" ca="1" si="13"/>
        <v>107918282.42977193</v>
      </c>
    </row>
    <row r="87" spans="1:23" x14ac:dyDescent="0.2">
      <c r="A87" s="8">
        <f>'Monthly Data'!A87</f>
        <v>45323</v>
      </c>
      <c r="B87">
        <f t="shared" si="9"/>
        <v>2024</v>
      </c>
      <c r="C87">
        <f t="shared" si="10"/>
        <v>2</v>
      </c>
      <c r="D87" s="18">
        <f>'Monthly Data'!F87</f>
        <v>93237063.884746984</v>
      </c>
      <c r="E87" s="21">
        <f t="shared" ca="1" si="14"/>
        <v>589.85491666666678</v>
      </c>
      <c r="F87" s="21">
        <f t="shared" ca="1" si="14"/>
        <v>0</v>
      </c>
      <c r="G87" s="11">
        <f>'Monthly Data'!G87</f>
        <v>152507</v>
      </c>
      <c r="H87">
        <f>'Monthly Data'!CC87</f>
        <v>0</v>
      </c>
      <c r="I87" s="21">
        <f>'Monthly Data'!CS87</f>
        <v>29</v>
      </c>
      <c r="J87" s="21">
        <f>'Monthly Data'!CK87</f>
        <v>0</v>
      </c>
      <c r="K87" s="21">
        <f t="shared" ca="1" si="11"/>
        <v>0</v>
      </c>
      <c r="L87" s="21">
        <f t="shared" ca="1" si="12"/>
        <v>0</v>
      </c>
      <c r="M87">
        <f>'Monthly Data'!CV87</f>
        <v>0</v>
      </c>
      <c r="N87" s="11">
        <f>'Res Predicted Monthly'!$AB$9</f>
        <v>-154534728.74811399</v>
      </c>
      <c r="O87" s="11">
        <f ca="1">E87*'Res Predicted Monthly'!$AB$10</f>
        <v>36211548.709908441</v>
      </c>
      <c r="P87" s="11">
        <f ca="1">F87*'Res Predicted Monthly'!$AB$11</f>
        <v>0</v>
      </c>
      <c r="Q87" s="11">
        <f>G87*'Res Predicted Monthly'!$AB$12</f>
        <v>150519545.45866829</v>
      </c>
      <c r="R87" s="11">
        <f>H87*'Res Predicted Monthly'!$AB$13</f>
        <v>0</v>
      </c>
      <c r="S87" s="11">
        <f>I87*'Res Predicted Monthly'!$AB$14</f>
        <v>65534495.327849835</v>
      </c>
      <c r="T87" s="11">
        <f>J87*'Res Predicted Monthly'!$AB$15</f>
        <v>0</v>
      </c>
      <c r="U87" s="11">
        <f ca="1">K87*'Res Predicted Monthly'!$AB$16</f>
        <v>0</v>
      </c>
      <c r="V87" s="11">
        <f ca="1">L87*'Res Predicted Monthly'!$AB$17</f>
        <v>0</v>
      </c>
      <c r="W87" s="18">
        <f t="shared" ca="1" si="13"/>
        <v>97730860.748312578</v>
      </c>
    </row>
    <row r="88" spans="1:23" x14ac:dyDescent="0.2">
      <c r="A88" s="8">
        <f>'Monthly Data'!A88</f>
        <v>45352</v>
      </c>
      <c r="B88">
        <f t="shared" si="9"/>
        <v>2024</v>
      </c>
      <c r="C88">
        <f t="shared" si="10"/>
        <v>3</v>
      </c>
      <c r="D88" s="18">
        <f>'Monthly Data'!F88</f>
        <v>94045575.889152646</v>
      </c>
      <c r="E88" s="21">
        <f t="shared" ca="1" si="14"/>
        <v>522.20004166666672</v>
      </c>
      <c r="F88" s="21">
        <f t="shared" ca="1" si="14"/>
        <v>0</v>
      </c>
      <c r="G88" s="11">
        <f>'Monthly Data'!G88</f>
        <v>152573</v>
      </c>
      <c r="H88">
        <f>'Monthly Data'!CC88</f>
        <v>0</v>
      </c>
      <c r="I88" s="21">
        <f>'Monthly Data'!CS88</f>
        <v>31</v>
      </c>
      <c r="J88" s="21">
        <f>'Monthly Data'!CK88</f>
        <v>0</v>
      </c>
      <c r="K88" s="21">
        <f t="shared" ca="1" si="11"/>
        <v>0</v>
      </c>
      <c r="L88" s="21">
        <f t="shared" ca="1" si="12"/>
        <v>0</v>
      </c>
      <c r="M88">
        <f>'Monthly Data'!CV88</f>
        <v>0</v>
      </c>
      <c r="N88" s="11">
        <f>'Res Predicted Monthly'!$AB$9</f>
        <v>-154534728.74811399</v>
      </c>
      <c r="O88" s="11">
        <f ca="1">E88*'Res Predicted Monthly'!$AB$10</f>
        <v>32058175.172954902</v>
      </c>
      <c r="P88" s="11">
        <f ca="1">F88*'Res Predicted Monthly'!$AB$11</f>
        <v>0</v>
      </c>
      <c r="Q88" s="11">
        <f>G88*'Res Predicted Monthly'!$AB$12</f>
        <v>150584685.35388801</v>
      </c>
      <c r="R88" s="11">
        <f>H88*'Res Predicted Monthly'!$AB$13</f>
        <v>0</v>
      </c>
      <c r="S88" s="11">
        <f>I88*'Res Predicted Monthly'!$AB$14</f>
        <v>70054115.695287749</v>
      </c>
      <c r="T88" s="11">
        <f>J88*'Res Predicted Monthly'!$AB$15</f>
        <v>0</v>
      </c>
      <c r="U88" s="11">
        <f ca="1">K88*'Res Predicted Monthly'!$AB$16</f>
        <v>0</v>
      </c>
      <c r="V88" s="11">
        <f ca="1">L88*'Res Predicted Monthly'!$AB$17</f>
        <v>0</v>
      </c>
      <c r="W88" s="18">
        <f t="shared" ca="1" si="13"/>
        <v>98162247.474016666</v>
      </c>
    </row>
    <row r="89" spans="1:23" x14ac:dyDescent="0.2">
      <c r="A89" s="8">
        <f>'Monthly Data'!A89</f>
        <v>45383</v>
      </c>
      <c r="B89">
        <f t="shared" si="9"/>
        <v>2024</v>
      </c>
      <c r="C89">
        <f t="shared" si="10"/>
        <v>4</v>
      </c>
      <c r="D89" s="18">
        <f>'Monthly Data'!F89</f>
        <v>82535428.2478275</v>
      </c>
      <c r="E89" s="21">
        <f t="shared" ca="1" si="14"/>
        <v>343.18302083333327</v>
      </c>
      <c r="F89" s="21">
        <f t="shared" ca="1" si="14"/>
        <v>6.5650000000000031</v>
      </c>
      <c r="G89" s="11">
        <f>'Monthly Data'!G89</f>
        <v>152751</v>
      </c>
      <c r="H89">
        <f>'Monthly Data'!CC89</f>
        <v>0</v>
      </c>
      <c r="I89" s="21">
        <f>'Monthly Data'!CS89</f>
        <v>30</v>
      </c>
      <c r="J89" s="21">
        <f>'Monthly Data'!CK89</f>
        <v>0</v>
      </c>
      <c r="K89" s="21">
        <f t="shared" ca="1" si="11"/>
        <v>0</v>
      </c>
      <c r="L89" s="21">
        <f t="shared" ca="1" si="12"/>
        <v>0</v>
      </c>
      <c r="M89">
        <f>'Monthly Data'!CV89</f>
        <v>0</v>
      </c>
      <c r="N89" s="11">
        <f>'Res Predicted Monthly'!$AB$9</f>
        <v>-154534728.74811399</v>
      </c>
      <c r="O89" s="11">
        <f ca="1">E89*'Res Predicted Monthly'!$AB$10</f>
        <v>21068212.409836546</v>
      </c>
      <c r="P89" s="11">
        <f ca="1">F89*'Res Predicted Monthly'!$AB$11</f>
        <v>1864807.876633371</v>
      </c>
      <c r="Q89" s="11">
        <f>G89*'Res Predicted Monthly'!$AB$12</f>
        <v>150760365.67735934</v>
      </c>
      <c r="R89" s="11">
        <f>H89*'Res Predicted Monthly'!$AB$13</f>
        <v>0</v>
      </c>
      <c r="S89" s="11">
        <f>I89*'Res Predicted Monthly'!$AB$14</f>
        <v>67794305.5115688</v>
      </c>
      <c r="T89" s="11">
        <f>J89*'Res Predicted Monthly'!$AB$15</f>
        <v>0</v>
      </c>
      <c r="U89" s="11">
        <f ca="1">K89*'Res Predicted Monthly'!$AB$16</f>
        <v>0</v>
      </c>
      <c r="V89" s="11">
        <f ca="1">L89*'Res Predicted Monthly'!$AB$17</f>
        <v>0</v>
      </c>
      <c r="W89" s="18">
        <f t="shared" ca="1" si="13"/>
        <v>86952962.727284074</v>
      </c>
    </row>
    <row r="90" spans="1:23" x14ac:dyDescent="0.2">
      <c r="A90" s="8">
        <f>'Monthly Data'!A90</f>
        <v>45413</v>
      </c>
      <c r="B90">
        <f t="shared" si="9"/>
        <v>2024</v>
      </c>
      <c r="C90">
        <f t="shared" si="10"/>
        <v>5</v>
      </c>
      <c r="D90" s="18">
        <f>'Monthly Data'!F90</f>
        <v>90145540.473728657</v>
      </c>
      <c r="E90" s="21">
        <f t="shared" ca="1" si="14"/>
        <v>146.15645833333332</v>
      </c>
      <c r="F90" s="21">
        <f t="shared" ca="1" si="14"/>
        <v>59.300416666666649</v>
      </c>
      <c r="G90" s="11">
        <f>'Monthly Data'!G90</f>
        <v>152743</v>
      </c>
      <c r="H90">
        <f>'Monthly Data'!CC90</f>
        <v>0</v>
      </c>
      <c r="I90" s="21">
        <f>'Monthly Data'!CS90</f>
        <v>31</v>
      </c>
      <c r="J90" s="21">
        <f>'Monthly Data'!CK90</f>
        <v>1</v>
      </c>
      <c r="K90" s="21">
        <f t="shared" ca="1" si="11"/>
        <v>0</v>
      </c>
      <c r="L90" s="21">
        <f t="shared" ca="1" si="12"/>
        <v>0</v>
      </c>
      <c r="M90">
        <f>'Monthly Data'!CV90</f>
        <v>0</v>
      </c>
      <c r="N90" s="11">
        <f>'Res Predicted Monthly'!$AB$9</f>
        <v>-154534728.74811399</v>
      </c>
      <c r="O90" s="11">
        <f ca="1">E90*'Res Predicted Monthly'!$AB$10</f>
        <v>8972633.033414349</v>
      </c>
      <c r="P90" s="11">
        <f ca="1">F90*'Res Predicted Monthly'!$AB$11</f>
        <v>16844460.637873683</v>
      </c>
      <c r="Q90" s="11">
        <f>G90*'Res Predicted Monthly'!$AB$12</f>
        <v>150752469.93248421</v>
      </c>
      <c r="R90" s="11">
        <f>H90*'Res Predicted Monthly'!$AB$13</f>
        <v>0</v>
      </c>
      <c r="S90" s="11">
        <f>I90*'Res Predicted Monthly'!$AB$14</f>
        <v>70054115.695287749</v>
      </c>
      <c r="T90" s="11">
        <f>J90*'Res Predicted Monthly'!$AB$15</f>
        <v>-2784507.8509929599</v>
      </c>
      <c r="U90" s="11">
        <f ca="1">K90*'Res Predicted Monthly'!$AB$16</f>
        <v>0</v>
      </c>
      <c r="V90" s="11">
        <f ca="1">L90*'Res Predicted Monthly'!$AB$17</f>
        <v>0</v>
      </c>
      <c r="W90" s="18">
        <f t="shared" ca="1" si="13"/>
        <v>89304442.699953049</v>
      </c>
    </row>
    <row r="91" spans="1:23" x14ac:dyDescent="0.2">
      <c r="A91" s="8">
        <f>'Monthly Data'!A91</f>
        <v>45444</v>
      </c>
      <c r="B91">
        <f t="shared" si="9"/>
        <v>2024</v>
      </c>
      <c r="C91">
        <f t="shared" si="10"/>
        <v>6</v>
      </c>
      <c r="D91" s="18">
        <f>'Monthly Data'!F91</f>
        <v>111435063.72212371</v>
      </c>
      <c r="E91" s="21">
        <f t="shared" ca="1" si="14"/>
        <v>29.335416666666674</v>
      </c>
      <c r="F91" s="21">
        <f t="shared" ca="1" si="14"/>
        <v>157.17000000000002</v>
      </c>
      <c r="G91" s="11">
        <f>'Monthly Data'!G91</f>
        <v>152735</v>
      </c>
      <c r="H91">
        <f>'Monthly Data'!CC91</f>
        <v>0</v>
      </c>
      <c r="I91" s="21">
        <f>'Monthly Data'!CS91</f>
        <v>30</v>
      </c>
      <c r="J91" s="21">
        <f>'Monthly Data'!CK91</f>
        <v>1</v>
      </c>
      <c r="K91" s="21">
        <f t="shared" ca="1" si="11"/>
        <v>0</v>
      </c>
      <c r="L91" s="21">
        <f t="shared" ca="1" si="12"/>
        <v>0</v>
      </c>
      <c r="M91">
        <f>'Monthly Data'!CV91</f>
        <v>0</v>
      </c>
      <c r="N91" s="11">
        <f>'Res Predicted Monthly'!$AB$9</f>
        <v>-154534728.74811399</v>
      </c>
      <c r="O91" s="11">
        <f ca="1">E91*'Res Predicted Monthly'!$AB$10</f>
        <v>1800918.903166092</v>
      </c>
      <c r="P91" s="11">
        <f ca="1">F91*'Res Predicted Monthly'!$AB$11</f>
        <v>44644608.373262271</v>
      </c>
      <c r="Q91" s="11">
        <f>G91*'Res Predicted Monthly'!$AB$12</f>
        <v>150744574.18760911</v>
      </c>
      <c r="R91" s="11">
        <f>H91*'Res Predicted Monthly'!$AB$13</f>
        <v>0</v>
      </c>
      <c r="S91" s="11">
        <f>I91*'Res Predicted Monthly'!$AB$14</f>
        <v>67794305.5115688</v>
      </c>
      <c r="T91" s="11">
        <f>J91*'Res Predicted Monthly'!$AB$15</f>
        <v>-2784507.8509929599</v>
      </c>
      <c r="U91" s="11">
        <f ca="1">K91*'Res Predicted Monthly'!$AB$16</f>
        <v>0</v>
      </c>
      <c r="V91" s="11">
        <f ca="1">L91*'Res Predicted Monthly'!$AB$17</f>
        <v>0</v>
      </c>
      <c r="W91" s="18">
        <f t="shared" ca="1" si="13"/>
        <v>107665170.37649931</v>
      </c>
    </row>
    <row r="92" spans="1:23" x14ac:dyDescent="0.2">
      <c r="A92" s="8">
        <f>'Monthly Data'!A92</f>
        <v>45474</v>
      </c>
      <c r="B92">
        <f t="shared" si="9"/>
        <v>2024</v>
      </c>
      <c r="C92">
        <f t="shared" si="10"/>
        <v>7</v>
      </c>
      <c r="D92" s="18">
        <f>'Monthly Data'!F92</f>
        <v>130191861.16614237</v>
      </c>
      <c r="E92" s="21">
        <f t="shared" ca="1" si="14"/>
        <v>1.6731249999999993</v>
      </c>
      <c r="F92" s="21">
        <f t="shared" ca="1" si="14"/>
        <v>231.27145833333333</v>
      </c>
      <c r="G92" s="11">
        <f>'Monthly Data'!G92</f>
        <v>152859</v>
      </c>
      <c r="H92">
        <f>'Monthly Data'!CC92</f>
        <v>0</v>
      </c>
      <c r="I92" s="21">
        <f>'Monthly Data'!CS92</f>
        <v>31</v>
      </c>
      <c r="J92" s="21">
        <f>'Monthly Data'!CK92</f>
        <v>1</v>
      </c>
      <c r="K92" s="21">
        <f t="shared" ca="1" si="11"/>
        <v>0</v>
      </c>
      <c r="L92" s="21">
        <f t="shared" ca="1" si="12"/>
        <v>0</v>
      </c>
      <c r="M92">
        <f>'Monthly Data'!CV92</f>
        <v>0</v>
      </c>
      <c r="N92" s="11">
        <f>'Res Predicted Monthly'!$AB$9</f>
        <v>-154534728.74811399</v>
      </c>
      <c r="O92" s="11">
        <f ca="1">E92*'Res Predicted Monthly'!$AB$10</f>
        <v>102714.15177421259</v>
      </c>
      <c r="P92" s="11">
        <f ca="1">F92*'Res Predicted Monthly'!$AB$11</f>
        <v>65693349.145542458</v>
      </c>
      <c r="Q92" s="11">
        <f>G92*'Res Predicted Monthly'!$AB$12</f>
        <v>150866958.2331734</v>
      </c>
      <c r="R92" s="11">
        <f>H92*'Res Predicted Monthly'!$AB$13</f>
        <v>0</v>
      </c>
      <c r="S92" s="11">
        <f>I92*'Res Predicted Monthly'!$AB$14</f>
        <v>70054115.695287749</v>
      </c>
      <c r="T92" s="11">
        <f>J92*'Res Predicted Monthly'!$AB$15</f>
        <v>-2784507.8509929599</v>
      </c>
      <c r="U92" s="11">
        <f ca="1">K92*'Res Predicted Monthly'!$AB$16</f>
        <v>0</v>
      </c>
      <c r="V92" s="11">
        <f ca="1">L92*'Res Predicted Monthly'!$AB$17</f>
        <v>0</v>
      </c>
      <c r="W92" s="18">
        <f t="shared" ca="1" si="13"/>
        <v>129397900.62667085</v>
      </c>
    </row>
    <row r="93" spans="1:23" x14ac:dyDescent="0.2">
      <c r="A93" s="8">
        <f>'Monthly Data'!A93</f>
        <v>45505</v>
      </c>
      <c r="B93">
        <f t="shared" si="9"/>
        <v>2024</v>
      </c>
      <c r="C93">
        <f t="shared" si="10"/>
        <v>8</v>
      </c>
      <c r="D93" s="18">
        <f>'Monthly Data'!F93</f>
        <v>120170576.65742104</v>
      </c>
      <c r="E93" s="21">
        <f t="shared" ca="1" si="14"/>
        <v>7.1606250000000005</v>
      </c>
      <c r="F93" s="21">
        <f t="shared" ca="1" si="14"/>
        <v>196.13625000000002</v>
      </c>
      <c r="G93" s="11">
        <f>'Monthly Data'!G93</f>
        <v>152895</v>
      </c>
      <c r="H93">
        <f>'Monthly Data'!CC93</f>
        <v>0</v>
      </c>
      <c r="I93" s="21">
        <f>'Monthly Data'!CS93</f>
        <v>31</v>
      </c>
      <c r="J93" s="21">
        <f>'Monthly Data'!CK93</f>
        <v>1</v>
      </c>
      <c r="K93" s="21">
        <f t="shared" ca="1" si="11"/>
        <v>0</v>
      </c>
      <c r="L93" s="21">
        <f t="shared" ca="1" si="12"/>
        <v>0</v>
      </c>
      <c r="M93">
        <f>'Monthly Data'!CV93</f>
        <v>0</v>
      </c>
      <c r="N93" s="11">
        <f>'Res Predicted Monthly'!$AB$9</f>
        <v>-154534728.74811399</v>
      </c>
      <c r="O93" s="11">
        <f ca="1">E93*'Res Predicted Monthly'!$AB$10</f>
        <v>439595.08288276213</v>
      </c>
      <c r="P93" s="11">
        <f ca="1">F93*'Res Predicted Monthly'!$AB$11</f>
        <v>55713088.178725339</v>
      </c>
      <c r="Q93" s="11">
        <f>G93*'Res Predicted Monthly'!$AB$12</f>
        <v>150902489.08511144</v>
      </c>
      <c r="R93" s="11">
        <f>H93*'Res Predicted Monthly'!$AB$13</f>
        <v>0</v>
      </c>
      <c r="S93" s="11">
        <f>I93*'Res Predicted Monthly'!$AB$14</f>
        <v>70054115.695287749</v>
      </c>
      <c r="T93" s="11">
        <f>J93*'Res Predicted Monthly'!$AB$15</f>
        <v>-2784507.8509929599</v>
      </c>
      <c r="U93" s="11">
        <f ca="1">K93*'Res Predicted Monthly'!$AB$16</f>
        <v>0</v>
      </c>
      <c r="V93" s="11">
        <f ca="1">L93*'Res Predicted Monthly'!$AB$17</f>
        <v>0</v>
      </c>
      <c r="W93" s="18">
        <f t="shared" ca="1" si="13"/>
        <v>119790051.44290033</v>
      </c>
    </row>
    <row r="94" spans="1:23" x14ac:dyDescent="0.2">
      <c r="A94" s="8">
        <f>'Monthly Data'!A94</f>
        <v>45536</v>
      </c>
      <c r="B94">
        <f t="shared" si="9"/>
        <v>2024</v>
      </c>
      <c r="C94">
        <f t="shared" si="10"/>
        <v>9</v>
      </c>
      <c r="D94" s="18">
        <f>'Monthly Data'!F94</f>
        <v>100285392.95244572</v>
      </c>
      <c r="E94" s="21">
        <f t="shared" ref="E94:F113" ca="1" si="15">E82</f>
        <v>56.160416666666663</v>
      </c>
      <c r="F94" s="21">
        <f t="shared" ca="1" si="15"/>
        <v>104.19854166666664</v>
      </c>
      <c r="G94" s="11">
        <f>'Monthly Data'!G94</f>
        <v>153070</v>
      </c>
      <c r="H94">
        <f>'Monthly Data'!CC94</f>
        <v>0</v>
      </c>
      <c r="I94" s="21">
        <f>'Monthly Data'!CS94</f>
        <v>30</v>
      </c>
      <c r="J94" s="21">
        <f>'Monthly Data'!CK94</f>
        <v>0</v>
      </c>
      <c r="K94" s="21">
        <f t="shared" ca="1" si="11"/>
        <v>0</v>
      </c>
      <c r="L94" s="21">
        <f t="shared" ca="1" si="12"/>
        <v>0</v>
      </c>
      <c r="M94">
        <f>'Monthly Data'!CV94</f>
        <v>0</v>
      </c>
      <c r="N94" s="11">
        <f>'Res Predicted Monthly'!$AB$9</f>
        <v>-154534728.74811399</v>
      </c>
      <c r="O94" s="11">
        <f ca="1">E94*'Res Predicted Monthly'!$AB$10</f>
        <v>3447721.8146898891</v>
      </c>
      <c r="P94" s="11">
        <f ca="1">F94*'Res Predicted Monthly'!$AB$11</f>
        <v>29597907.270938363</v>
      </c>
      <c r="Q94" s="11">
        <f>G94*'Res Predicted Monthly'!$AB$12</f>
        <v>151075208.50425458</v>
      </c>
      <c r="R94" s="11">
        <f>H94*'Res Predicted Monthly'!$AB$13</f>
        <v>0</v>
      </c>
      <c r="S94" s="11">
        <f>I94*'Res Predicted Monthly'!$AB$14</f>
        <v>67794305.5115688</v>
      </c>
      <c r="T94" s="11">
        <f>J94*'Res Predicted Monthly'!$AB$15</f>
        <v>0</v>
      </c>
      <c r="U94" s="11">
        <f ca="1">K94*'Res Predicted Monthly'!$AB$16</f>
        <v>0</v>
      </c>
      <c r="V94" s="11">
        <f ca="1">L94*'Res Predicted Monthly'!$AB$17</f>
        <v>0</v>
      </c>
      <c r="W94" s="18">
        <f t="shared" ca="1" si="13"/>
        <v>97380414.353337631</v>
      </c>
    </row>
    <row r="95" spans="1:23" x14ac:dyDescent="0.2">
      <c r="A95" s="8">
        <f>'Monthly Data'!A95</f>
        <v>45566</v>
      </c>
      <c r="B95">
        <f t="shared" si="9"/>
        <v>2024</v>
      </c>
      <c r="C95">
        <f t="shared" si="10"/>
        <v>10</v>
      </c>
      <c r="D95" s="18">
        <f>'Monthly Data'!F95</f>
        <v>83692326.02029407</v>
      </c>
      <c r="E95" s="21">
        <f t="shared" ca="1" si="15"/>
        <v>229.16187499999995</v>
      </c>
      <c r="F95" s="21">
        <f t="shared" ca="1" si="15"/>
        <v>24.703125000000007</v>
      </c>
      <c r="G95" s="11">
        <f>'Monthly Data'!G95</f>
        <v>153181</v>
      </c>
      <c r="H95">
        <f>'Monthly Data'!CC95</f>
        <v>0</v>
      </c>
      <c r="I95" s="21">
        <f>'Monthly Data'!CS95</f>
        <v>31</v>
      </c>
      <c r="J95" s="21">
        <f>'Monthly Data'!CK95</f>
        <v>0</v>
      </c>
      <c r="K95" s="21">
        <f t="shared" ca="1" si="11"/>
        <v>0</v>
      </c>
      <c r="L95" s="21">
        <f t="shared" ca="1" si="12"/>
        <v>0</v>
      </c>
      <c r="M95">
        <f>'Monthly Data'!CV95</f>
        <v>0</v>
      </c>
      <c r="N95" s="11">
        <f>'Res Predicted Monthly'!$AB$9</f>
        <v>-154534728.74811399</v>
      </c>
      <c r="O95" s="11">
        <f ca="1">E95*'Res Predicted Monthly'!$AB$10</f>
        <v>14068385.571677633</v>
      </c>
      <c r="P95" s="11">
        <f ca="1">F95*'Res Predicted Monthly'!$AB$11</f>
        <v>7016996.5083714752</v>
      </c>
      <c r="Q95" s="11">
        <f>G95*'Res Predicted Monthly'!$AB$12</f>
        <v>151184761.96439683</v>
      </c>
      <c r="R95" s="11">
        <f>H95*'Res Predicted Monthly'!$AB$13</f>
        <v>0</v>
      </c>
      <c r="S95" s="11">
        <f>I95*'Res Predicted Monthly'!$AB$14</f>
        <v>70054115.695287749</v>
      </c>
      <c r="T95" s="11">
        <f>J95*'Res Predicted Monthly'!$AB$15</f>
        <v>0</v>
      </c>
      <c r="U95" s="11">
        <f ca="1">K95*'Res Predicted Monthly'!$AB$16</f>
        <v>0</v>
      </c>
      <c r="V95" s="11">
        <f ca="1">L95*'Res Predicted Monthly'!$AB$17</f>
        <v>0</v>
      </c>
      <c r="W95" s="18">
        <f t="shared" ca="1" si="13"/>
        <v>87789530.991619691</v>
      </c>
    </row>
    <row r="96" spans="1:23" x14ac:dyDescent="0.2">
      <c r="A96" s="8">
        <f>'Monthly Data'!A96</f>
        <v>45597</v>
      </c>
      <c r="B96">
        <f t="shared" si="9"/>
        <v>2024</v>
      </c>
      <c r="C96">
        <f t="shared" si="10"/>
        <v>11</v>
      </c>
      <c r="D96" s="18">
        <f>'Monthly Data'!F96</f>
        <v>88124968.455559433</v>
      </c>
      <c r="E96" s="21">
        <f t="shared" ca="1" si="15"/>
        <v>422.06333333333333</v>
      </c>
      <c r="F96" s="21">
        <f t="shared" ca="1" si="15"/>
        <v>1.6454166666666665</v>
      </c>
      <c r="G96" s="11">
        <f>'Monthly Data'!G96</f>
        <v>153239</v>
      </c>
      <c r="H96">
        <f>'Monthly Data'!CC96</f>
        <v>0</v>
      </c>
      <c r="I96" s="21">
        <f>'Monthly Data'!CS96</f>
        <v>30</v>
      </c>
      <c r="J96" s="21">
        <f>'Monthly Data'!CK96</f>
        <v>0</v>
      </c>
      <c r="K96" s="21">
        <f t="shared" ca="1" si="11"/>
        <v>0</v>
      </c>
      <c r="L96" s="21">
        <f t="shared" ca="1" si="12"/>
        <v>0</v>
      </c>
      <c r="M96">
        <f>'Monthly Data'!CV96</f>
        <v>0</v>
      </c>
      <c r="N96" s="11">
        <f>'Res Predicted Monthly'!$AB$9</f>
        <v>-154534728.74811399</v>
      </c>
      <c r="O96" s="11">
        <f ca="1">E96*'Res Predicted Monthly'!$AB$10</f>
        <v>25910722.318015747</v>
      </c>
      <c r="P96" s="11">
        <f ca="1">F96*'Res Predicted Monthly'!$AB$11</f>
        <v>467385.52328161825</v>
      </c>
      <c r="Q96" s="11">
        <f>G96*'Res Predicted Monthly'!$AB$12</f>
        <v>151242006.11474141</v>
      </c>
      <c r="R96" s="11">
        <f>H96*'Res Predicted Monthly'!$AB$13</f>
        <v>0</v>
      </c>
      <c r="S96" s="11">
        <f>I96*'Res Predicted Monthly'!$AB$14</f>
        <v>67794305.5115688</v>
      </c>
      <c r="T96" s="11">
        <f>J96*'Res Predicted Monthly'!$AB$15</f>
        <v>0</v>
      </c>
      <c r="U96" s="11">
        <f ca="1">K96*'Res Predicted Monthly'!$AB$16</f>
        <v>0</v>
      </c>
      <c r="V96" s="11">
        <f ca="1">L96*'Res Predicted Monthly'!$AB$17</f>
        <v>0</v>
      </c>
      <c r="W96" s="18">
        <f t="shared" ca="1" si="13"/>
        <v>90879690.719493598</v>
      </c>
    </row>
    <row r="97" spans="1:23" x14ac:dyDescent="0.2">
      <c r="A97" s="8">
        <f>'Monthly Data'!A97</f>
        <v>45627</v>
      </c>
      <c r="B97">
        <f t="shared" si="9"/>
        <v>2024</v>
      </c>
      <c r="C97">
        <f t="shared" si="10"/>
        <v>12</v>
      </c>
      <c r="D97" s="18">
        <f>'Monthly Data'!F97</f>
        <v>107392341.21479669</v>
      </c>
      <c r="E97" s="21">
        <f t="shared" ca="1" si="15"/>
        <v>591.99583333333339</v>
      </c>
      <c r="F97" s="21">
        <f t="shared" ca="1" si="15"/>
        <v>0</v>
      </c>
      <c r="G97" s="11">
        <f>'Monthly Data'!G97</f>
        <v>153271</v>
      </c>
      <c r="H97">
        <f>'Monthly Data'!CC97</f>
        <v>1</v>
      </c>
      <c r="I97" s="21">
        <f>'Monthly Data'!CS97</f>
        <v>31</v>
      </c>
      <c r="J97" s="21">
        <f>'Monthly Data'!CK97</f>
        <v>0</v>
      </c>
      <c r="K97" s="21">
        <f t="shared" ca="1" si="11"/>
        <v>0</v>
      </c>
      <c r="L97" s="21">
        <f t="shared" ca="1" si="12"/>
        <v>0</v>
      </c>
      <c r="M97">
        <f>'Monthly Data'!CV97</f>
        <v>0</v>
      </c>
      <c r="N97" s="11">
        <f>'Res Predicted Monthly'!$AB$9</f>
        <v>-154534728.74811399</v>
      </c>
      <c r="O97" s="11">
        <f ca="1">E97*'Res Predicted Monthly'!$AB$10</f>
        <v>36342980.873934403</v>
      </c>
      <c r="P97" s="11">
        <f ca="1">F97*'Res Predicted Monthly'!$AB$11</f>
        <v>0</v>
      </c>
      <c r="Q97" s="11">
        <f>G97*'Res Predicted Monthly'!$AB$12</f>
        <v>151273589.09424189</v>
      </c>
      <c r="R97" s="11">
        <f>H97*'Res Predicted Monthly'!$AB$13</f>
        <v>3702152.17603915</v>
      </c>
      <c r="S97" s="11">
        <f>I97*'Res Predicted Monthly'!$AB$14</f>
        <v>70054115.695287749</v>
      </c>
      <c r="T97" s="11">
        <f>J97*'Res Predicted Monthly'!$AB$15</f>
        <v>0</v>
      </c>
      <c r="U97" s="11">
        <f ca="1">K97*'Res Predicted Monthly'!$AB$16</f>
        <v>0</v>
      </c>
      <c r="V97" s="11">
        <f ca="1">L97*'Res Predicted Monthly'!$AB$17</f>
        <v>0</v>
      </c>
      <c r="W97" s="18">
        <f t="shared" ca="1" si="13"/>
        <v>106838109.09138921</v>
      </c>
    </row>
    <row r="98" spans="1:23" x14ac:dyDescent="0.2">
      <c r="A98" s="8">
        <f>'Monthly Data'!A98</f>
        <v>45658</v>
      </c>
      <c r="B98">
        <f t="shared" ref="B98:B109" si="16">YEAR(A98)</f>
        <v>2025</v>
      </c>
      <c r="C98">
        <f t="shared" ref="C98:C109" si="17">MONTH(A98)</f>
        <v>1</v>
      </c>
      <c r="D98" s="18">
        <f>'Monthly Data'!F98</f>
        <v>113660418.88730848</v>
      </c>
      <c r="E98" s="21">
        <f t="shared" ca="1" si="15"/>
        <v>683.09489583333334</v>
      </c>
      <c r="F98" s="21">
        <f t="shared" ca="1" si="15"/>
        <v>0</v>
      </c>
      <c r="G98" s="11">
        <f>'Monthly Data'!G98</f>
        <v>153385</v>
      </c>
      <c r="H98">
        <f>'Monthly Data'!CC98</f>
        <v>0</v>
      </c>
      <c r="I98" s="21">
        <f>'Monthly Data'!CS98</f>
        <v>31</v>
      </c>
      <c r="J98" s="21">
        <f>'Monthly Data'!CK98</f>
        <v>0</v>
      </c>
      <c r="K98" s="21">
        <f t="shared" ref="K98:K109" ca="1" si="18">E98*M98</f>
        <v>0</v>
      </c>
      <c r="L98" s="21">
        <f t="shared" ref="L98:L109" ca="1" si="19">F98*M98</f>
        <v>0</v>
      </c>
      <c r="M98">
        <f>'Monthly Data'!CV98</f>
        <v>0</v>
      </c>
      <c r="N98" s="11">
        <f>'Res Predicted Monthly'!$AB$9</f>
        <v>-154534728.74811399</v>
      </c>
      <c r="O98" s="11">
        <f ca="1">E98*'Res Predicted Monthly'!$AB$10</f>
        <v>41935607.20616509</v>
      </c>
      <c r="P98" s="11">
        <f ca="1">F98*'Res Predicted Monthly'!$AB$11</f>
        <v>0</v>
      </c>
      <c r="Q98" s="11">
        <f>G98*'Res Predicted Monthly'!$AB$12</f>
        <v>151386103.45871228</v>
      </c>
      <c r="R98" s="11">
        <f>H98*'Res Predicted Monthly'!$AB$13</f>
        <v>0</v>
      </c>
      <c r="S98" s="11">
        <f>I98*'Res Predicted Monthly'!$AB$14</f>
        <v>70054115.695287749</v>
      </c>
      <c r="T98" s="11">
        <f>J98*'Res Predicted Monthly'!$AB$15</f>
        <v>0</v>
      </c>
      <c r="U98" s="11">
        <f ca="1">K98*'Res Predicted Monthly'!$AB$16</f>
        <v>0</v>
      </c>
      <c r="V98" s="11">
        <f ca="1">L98*'Res Predicted Monthly'!$AB$17</f>
        <v>0</v>
      </c>
      <c r="W98" s="18">
        <f t="shared" ref="W98:W109" ca="1" si="20">SUM(N98:V98)</f>
        <v>108841097.61205113</v>
      </c>
    </row>
    <row r="99" spans="1:23" x14ac:dyDescent="0.2">
      <c r="A99" s="8">
        <f>'Monthly Data'!A99</f>
        <v>45689</v>
      </c>
      <c r="B99">
        <f t="shared" si="16"/>
        <v>2025</v>
      </c>
      <c r="C99">
        <f t="shared" si="17"/>
        <v>2</v>
      </c>
      <c r="D99" s="18">
        <f>'Monthly Data'!F99</f>
        <v>99387988.37269628</v>
      </c>
      <c r="E99" s="21">
        <f t="shared" ca="1" si="15"/>
        <v>589.85491666666678</v>
      </c>
      <c r="F99" s="21">
        <f t="shared" ca="1" si="15"/>
        <v>0</v>
      </c>
      <c r="G99" s="11">
        <f>'Monthly Data'!G99</f>
        <v>153441</v>
      </c>
      <c r="H99">
        <f>'Monthly Data'!CC99</f>
        <v>0</v>
      </c>
      <c r="I99" s="21">
        <f>'Monthly Data'!CS99</f>
        <v>28</v>
      </c>
      <c r="J99" s="21">
        <f>'Monthly Data'!CK99</f>
        <v>0</v>
      </c>
      <c r="K99" s="21">
        <f t="shared" ca="1" si="18"/>
        <v>0</v>
      </c>
      <c r="L99" s="21">
        <f t="shared" ca="1" si="19"/>
        <v>0</v>
      </c>
      <c r="M99">
        <f>'Monthly Data'!CV99</f>
        <v>0</v>
      </c>
      <c r="N99" s="11">
        <f>'Res Predicted Monthly'!$AB$9</f>
        <v>-154534728.74811399</v>
      </c>
      <c r="O99" s="11">
        <f ca="1">E99*'Res Predicted Monthly'!$AB$10</f>
        <v>36211548.709908441</v>
      </c>
      <c r="P99" s="11">
        <f ca="1">F99*'Res Predicted Monthly'!$AB$11</f>
        <v>0</v>
      </c>
      <c r="Q99" s="11">
        <f>G99*'Res Predicted Monthly'!$AB$12</f>
        <v>151441373.67283812</v>
      </c>
      <c r="R99" s="11">
        <f>H99*'Res Predicted Monthly'!$AB$13</f>
        <v>0</v>
      </c>
      <c r="S99" s="11">
        <f>I99*'Res Predicted Monthly'!$AB$14</f>
        <v>63274685.144130871</v>
      </c>
      <c r="T99" s="11">
        <f>J99*'Res Predicted Monthly'!$AB$15</f>
        <v>0</v>
      </c>
      <c r="U99" s="11">
        <f ca="1">K99*'Res Predicted Monthly'!$AB$16</f>
        <v>0</v>
      </c>
      <c r="V99" s="11">
        <f ca="1">L99*'Res Predicted Monthly'!$AB$17</f>
        <v>0</v>
      </c>
      <c r="W99" s="18">
        <f t="shared" ca="1" si="20"/>
        <v>96392878.778763443</v>
      </c>
    </row>
    <row r="100" spans="1:23" x14ac:dyDescent="0.2">
      <c r="A100" s="8">
        <f>'Monthly Data'!A100</f>
        <v>45717</v>
      </c>
      <c r="B100">
        <f t="shared" si="16"/>
        <v>2025</v>
      </c>
      <c r="C100">
        <f t="shared" si="17"/>
        <v>3</v>
      </c>
      <c r="D100" s="18">
        <f>'Monthly Data'!F100</f>
        <v>96704636.918613061</v>
      </c>
      <c r="E100" s="21">
        <f t="shared" ca="1" si="15"/>
        <v>522.20004166666672</v>
      </c>
      <c r="F100" s="21">
        <f t="shared" ca="1" si="15"/>
        <v>0</v>
      </c>
      <c r="G100" s="11">
        <f>'Monthly Data'!G100</f>
        <v>153484</v>
      </c>
      <c r="H100">
        <f>'Monthly Data'!CC100</f>
        <v>0</v>
      </c>
      <c r="I100" s="21">
        <f>'Monthly Data'!CS100</f>
        <v>31</v>
      </c>
      <c r="J100" s="21">
        <f>'Monthly Data'!CK100</f>
        <v>0</v>
      </c>
      <c r="K100" s="21">
        <f t="shared" ca="1" si="18"/>
        <v>0</v>
      </c>
      <c r="L100" s="21">
        <f t="shared" ca="1" si="19"/>
        <v>0</v>
      </c>
      <c r="M100">
        <f>'Monthly Data'!CV100</f>
        <v>0</v>
      </c>
      <c r="N100" s="11">
        <f>'Res Predicted Monthly'!$AB$9</f>
        <v>-154534728.74811399</v>
      </c>
      <c r="O100" s="11">
        <f ca="1">E100*'Res Predicted Monthly'!$AB$10</f>
        <v>32058175.172954902</v>
      </c>
      <c r="P100" s="11">
        <f ca="1">F100*'Res Predicted Monthly'!$AB$11</f>
        <v>0</v>
      </c>
      <c r="Q100" s="11">
        <f>G100*'Res Predicted Monthly'!$AB$12</f>
        <v>151483813.30154186</v>
      </c>
      <c r="R100" s="11">
        <f>H100*'Res Predicted Monthly'!$AB$13</f>
        <v>0</v>
      </c>
      <c r="S100" s="11">
        <f>I100*'Res Predicted Monthly'!$AB$14</f>
        <v>70054115.695287749</v>
      </c>
      <c r="T100" s="11">
        <f>J100*'Res Predicted Monthly'!$AB$15</f>
        <v>0</v>
      </c>
      <c r="U100" s="11">
        <f ca="1">K100*'Res Predicted Monthly'!$AB$16</f>
        <v>0</v>
      </c>
      <c r="V100" s="11">
        <f ca="1">L100*'Res Predicted Monthly'!$AB$17</f>
        <v>0</v>
      </c>
      <c r="W100" s="18">
        <f t="shared" ca="1" si="20"/>
        <v>99061375.421670526</v>
      </c>
    </row>
    <row r="101" spans="1:23" x14ac:dyDescent="0.2">
      <c r="A101" s="8">
        <f>'Monthly Data'!A101</f>
        <v>45748</v>
      </c>
      <c r="B101">
        <f t="shared" si="16"/>
        <v>2025</v>
      </c>
      <c r="C101">
        <f t="shared" si="17"/>
        <v>4</v>
      </c>
      <c r="D101" s="18">
        <f>'Monthly Data'!F101</f>
        <v>85992221.873758852</v>
      </c>
      <c r="E101" s="21">
        <f t="shared" ca="1" si="15"/>
        <v>343.18302083333327</v>
      </c>
      <c r="F101" s="21">
        <f t="shared" ca="1" si="15"/>
        <v>6.5650000000000031</v>
      </c>
      <c r="G101" s="11">
        <f>'Monthly Data'!G101</f>
        <v>153534</v>
      </c>
      <c r="H101">
        <f>'Monthly Data'!CC101</f>
        <v>0</v>
      </c>
      <c r="I101" s="21">
        <f>'Monthly Data'!CS101</f>
        <v>30</v>
      </c>
      <c r="J101" s="21">
        <f>'Monthly Data'!CK101</f>
        <v>0</v>
      </c>
      <c r="K101" s="21">
        <f t="shared" ca="1" si="18"/>
        <v>0</v>
      </c>
      <c r="L101" s="21">
        <f t="shared" ca="1" si="19"/>
        <v>0</v>
      </c>
      <c r="M101">
        <f>'Monthly Data'!CV101</f>
        <v>0</v>
      </c>
      <c r="N101" s="11">
        <f>'Res Predicted Monthly'!$AB$9</f>
        <v>-154534728.74811399</v>
      </c>
      <c r="O101" s="11">
        <f ca="1">E101*'Res Predicted Monthly'!$AB$10</f>
        <v>21068212.409836546</v>
      </c>
      <c r="P101" s="11">
        <f ca="1">F101*'Res Predicted Monthly'!$AB$11</f>
        <v>1864807.876633371</v>
      </c>
      <c r="Q101" s="11">
        <f>G101*'Res Predicted Monthly'!$AB$12</f>
        <v>151533161.70701134</v>
      </c>
      <c r="R101" s="11">
        <f>H101*'Res Predicted Monthly'!$AB$13</f>
        <v>0</v>
      </c>
      <c r="S101" s="11">
        <f>I101*'Res Predicted Monthly'!$AB$14</f>
        <v>67794305.5115688</v>
      </c>
      <c r="T101" s="11">
        <f>J101*'Res Predicted Monthly'!$AB$15</f>
        <v>0</v>
      </c>
      <c r="U101" s="11">
        <f ca="1">K101*'Res Predicted Monthly'!$AB$16</f>
        <v>0</v>
      </c>
      <c r="V101" s="11">
        <f ca="1">L101*'Res Predicted Monthly'!$AB$17</f>
        <v>0</v>
      </c>
      <c r="W101" s="18">
        <f t="shared" ca="1" si="20"/>
        <v>87725758.756936073</v>
      </c>
    </row>
    <row r="102" spans="1:23" x14ac:dyDescent="0.2">
      <c r="A102" s="8">
        <f>'Monthly Data'!A102</f>
        <v>45778</v>
      </c>
      <c r="B102">
        <f t="shared" si="16"/>
        <v>2025</v>
      </c>
      <c r="C102">
        <f t="shared" si="17"/>
        <v>5</v>
      </c>
      <c r="D102" s="18">
        <f>'Monthly Data'!F102</f>
        <v>84993551.117046133</v>
      </c>
      <c r="E102" s="21">
        <f t="shared" ca="1" si="15"/>
        <v>146.15645833333332</v>
      </c>
      <c r="F102" s="21">
        <f t="shared" ca="1" si="15"/>
        <v>59.300416666666649</v>
      </c>
      <c r="G102" s="11">
        <f>'Monthly Data'!G102</f>
        <v>153566</v>
      </c>
      <c r="H102">
        <f>'Monthly Data'!CC102</f>
        <v>0</v>
      </c>
      <c r="I102" s="21">
        <f>'Monthly Data'!CS102</f>
        <v>31</v>
      </c>
      <c r="J102" s="21">
        <f>'Monthly Data'!CK102</f>
        <v>1</v>
      </c>
      <c r="K102" s="21">
        <f t="shared" ca="1" si="18"/>
        <v>0</v>
      </c>
      <c r="L102" s="21">
        <f t="shared" ca="1" si="19"/>
        <v>0</v>
      </c>
      <c r="M102">
        <f>'Monthly Data'!CV102</f>
        <v>0</v>
      </c>
      <c r="N102" s="11">
        <f>'Res Predicted Monthly'!$AB$9</f>
        <v>-154534728.74811399</v>
      </c>
      <c r="O102" s="11">
        <f ca="1">E102*'Res Predicted Monthly'!$AB$10</f>
        <v>8972633.033414349</v>
      </c>
      <c r="P102" s="11">
        <f ca="1">F102*'Res Predicted Monthly'!$AB$11</f>
        <v>16844460.637873683</v>
      </c>
      <c r="Q102" s="11">
        <f>G102*'Res Predicted Monthly'!$AB$12</f>
        <v>151564744.68651178</v>
      </c>
      <c r="R102" s="11">
        <f>H102*'Res Predicted Monthly'!$AB$13</f>
        <v>0</v>
      </c>
      <c r="S102" s="11">
        <f>I102*'Res Predicted Monthly'!$AB$14</f>
        <v>70054115.695287749</v>
      </c>
      <c r="T102" s="11">
        <f>J102*'Res Predicted Monthly'!$AB$15</f>
        <v>-2784507.8509929599</v>
      </c>
      <c r="U102" s="11">
        <f ca="1">K102*'Res Predicted Monthly'!$AB$16</f>
        <v>0</v>
      </c>
      <c r="V102" s="11">
        <f ca="1">L102*'Res Predicted Monthly'!$AB$17</f>
        <v>0</v>
      </c>
      <c r="W102" s="18">
        <f t="shared" ca="1" si="20"/>
        <v>90116717.453980625</v>
      </c>
    </row>
    <row r="103" spans="1:23" x14ac:dyDescent="0.2">
      <c r="A103" s="8">
        <f>'Monthly Data'!A103</f>
        <v>45809</v>
      </c>
      <c r="B103">
        <f t="shared" si="16"/>
        <v>2025</v>
      </c>
      <c r="C103">
        <f t="shared" si="17"/>
        <v>6</v>
      </c>
      <c r="D103" s="18">
        <f>'Monthly Data'!F103</f>
        <v>115056173.48231643</v>
      </c>
      <c r="E103" s="21">
        <f t="shared" ca="1" si="15"/>
        <v>29.335416666666674</v>
      </c>
      <c r="F103" s="21">
        <f t="shared" ca="1" si="15"/>
        <v>157.17000000000002</v>
      </c>
      <c r="G103" s="11">
        <f>'Monthly Data'!G103</f>
        <v>153633</v>
      </c>
      <c r="H103">
        <f>'Monthly Data'!CC103</f>
        <v>0</v>
      </c>
      <c r="I103" s="21">
        <f>'Monthly Data'!CS103</f>
        <v>30</v>
      </c>
      <c r="J103" s="21">
        <f>'Monthly Data'!CK103</f>
        <v>1</v>
      </c>
      <c r="K103" s="21">
        <f t="shared" ca="1" si="18"/>
        <v>0</v>
      </c>
      <c r="L103" s="21">
        <f t="shared" ca="1" si="19"/>
        <v>0</v>
      </c>
      <c r="M103">
        <f>'Monthly Data'!CV103</f>
        <v>0</v>
      </c>
      <c r="N103" s="11">
        <f>'Res Predicted Monthly'!$AB$9</f>
        <v>-154534728.74811399</v>
      </c>
      <c r="O103" s="11">
        <f ca="1">E103*'Res Predicted Monthly'!$AB$10</f>
        <v>1800918.903166092</v>
      </c>
      <c r="P103" s="11">
        <f ca="1">F103*'Res Predicted Monthly'!$AB$11</f>
        <v>44644608.373262271</v>
      </c>
      <c r="Q103" s="11">
        <f>G103*'Res Predicted Monthly'!$AB$12</f>
        <v>151630871.5498409</v>
      </c>
      <c r="R103" s="11">
        <f>H103*'Res Predicted Monthly'!$AB$13</f>
        <v>0</v>
      </c>
      <c r="S103" s="11">
        <f>I103*'Res Predicted Monthly'!$AB$14</f>
        <v>67794305.5115688</v>
      </c>
      <c r="T103" s="11">
        <f>J103*'Res Predicted Monthly'!$AB$15</f>
        <v>-2784507.8509929599</v>
      </c>
      <c r="U103" s="11">
        <f ca="1">K103*'Res Predicted Monthly'!$AB$16</f>
        <v>0</v>
      </c>
      <c r="V103" s="11">
        <f ca="1">L103*'Res Predicted Monthly'!$AB$17</f>
        <v>0</v>
      </c>
      <c r="W103" s="18">
        <f t="shared" ca="1" si="20"/>
        <v>108551467.7387311</v>
      </c>
    </row>
    <row r="104" spans="1:23" x14ac:dyDescent="0.2">
      <c r="A104" s="8">
        <f>'Monthly Data'!A104</f>
        <v>45839</v>
      </c>
      <c r="B104">
        <f t="shared" si="16"/>
        <v>2025</v>
      </c>
      <c r="C104">
        <f t="shared" si="17"/>
        <v>7</v>
      </c>
      <c r="D104" s="18">
        <f>'Monthly Data'!F104</f>
        <v>140976675.19585302</v>
      </c>
      <c r="E104" s="21">
        <f t="shared" ca="1" si="15"/>
        <v>1.6731249999999993</v>
      </c>
      <c r="F104" s="21">
        <f t="shared" ca="1" si="15"/>
        <v>231.27145833333333</v>
      </c>
      <c r="G104" s="11">
        <f>'Monthly Data'!G104</f>
        <v>153644</v>
      </c>
      <c r="H104">
        <f>'Monthly Data'!CC104</f>
        <v>0</v>
      </c>
      <c r="I104" s="21">
        <f>'Monthly Data'!CS104</f>
        <v>31</v>
      </c>
      <c r="J104" s="21">
        <f>'Monthly Data'!CK104</f>
        <v>1</v>
      </c>
      <c r="K104" s="21">
        <f t="shared" ca="1" si="18"/>
        <v>0</v>
      </c>
      <c r="L104" s="21">
        <f t="shared" ca="1" si="19"/>
        <v>0</v>
      </c>
      <c r="M104">
        <f>'Monthly Data'!CV104</f>
        <v>0</v>
      </c>
      <c r="N104" s="11">
        <f>'Res Predicted Monthly'!$AB$9</f>
        <v>-154534728.74811399</v>
      </c>
      <c r="O104" s="11">
        <f ca="1">E104*'Res Predicted Monthly'!$AB$10</f>
        <v>102714.15177421259</v>
      </c>
      <c r="P104" s="11">
        <f ca="1">F104*'Res Predicted Monthly'!$AB$11</f>
        <v>65693349.145542458</v>
      </c>
      <c r="Q104" s="11">
        <f>G104*'Res Predicted Monthly'!$AB$12</f>
        <v>151641728.19904417</v>
      </c>
      <c r="R104" s="11">
        <f>H104*'Res Predicted Monthly'!$AB$13</f>
        <v>0</v>
      </c>
      <c r="S104" s="11">
        <f>I104*'Res Predicted Monthly'!$AB$14</f>
        <v>70054115.695287749</v>
      </c>
      <c r="T104" s="11">
        <f>J104*'Res Predicted Monthly'!$AB$15</f>
        <v>-2784507.8509929599</v>
      </c>
      <c r="U104" s="11">
        <f ca="1">K104*'Res Predicted Monthly'!$AB$16</f>
        <v>0</v>
      </c>
      <c r="V104" s="11">
        <f ca="1">L104*'Res Predicted Monthly'!$AB$17</f>
        <v>0</v>
      </c>
      <c r="W104" s="18">
        <f t="shared" ca="1" si="20"/>
        <v>130172670.59254162</v>
      </c>
    </row>
    <row r="105" spans="1:23" x14ac:dyDescent="0.2">
      <c r="A105" s="8">
        <f>'Monthly Data'!A105</f>
        <v>45870</v>
      </c>
      <c r="B105">
        <f t="shared" si="16"/>
        <v>2025</v>
      </c>
      <c r="C105">
        <f t="shared" si="17"/>
        <v>8</v>
      </c>
      <c r="D105" s="18">
        <f>'Monthly Data'!F105</f>
        <v>121948218.3047366</v>
      </c>
      <c r="E105" s="21">
        <f t="shared" ca="1" si="15"/>
        <v>7.1606250000000005</v>
      </c>
      <c r="F105" s="21">
        <f t="shared" ca="1" si="15"/>
        <v>196.13625000000002</v>
      </c>
      <c r="G105" s="11">
        <f>'Monthly Data'!G105</f>
        <v>153658</v>
      </c>
      <c r="H105">
        <f>'Monthly Data'!CC105</f>
        <v>0</v>
      </c>
      <c r="I105" s="21">
        <f>'Monthly Data'!CS105</f>
        <v>31</v>
      </c>
      <c r="J105" s="21">
        <f>'Monthly Data'!CK105</f>
        <v>1</v>
      </c>
      <c r="K105" s="21">
        <f t="shared" ca="1" si="18"/>
        <v>0</v>
      </c>
      <c r="L105" s="21">
        <f t="shared" ca="1" si="19"/>
        <v>0</v>
      </c>
      <c r="M105">
        <f>'Monthly Data'!CV105</f>
        <v>0</v>
      </c>
      <c r="N105" s="11">
        <f>'Res Predicted Monthly'!$AB$9</f>
        <v>-154534728.74811399</v>
      </c>
      <c r="O105" s="11">
        <f ca="1">E105*'Res Predicted Monthly'!$AB$10</f>
        <v>439595.08288276213</v>
      </c>
      <c r="P105" s="11">
        <f ca="1">F105*'Res Predicted Monthly'!$AB$11</f>
        <v>55713088.178725339</v>
      </c>
      <c r="Q105" s="11">
        <f>G105*'Res Predicted Monthly'!$AB$12</f>
        <v>151655545.75257564</v>
      </c>
      <c r="R105" s="11">
        <f>H105*'Res Predicted Monthly'!$AB$13</f>
        <v>0</v>
      </c>
      <c r="S105" s="11">
        <f>I105*'Res Predicted Monthly'!$AB$14</f>
        <v>70054115.695287749</v>
      </c>
      <c r="T105" s="11">
        <f>J105*'Res Predicted Monthly'!$AB$15</f>
        <v>-2784507.8509929599</v>
      </c>
      <c r="U105" s="11">
        <f ca="1">K105*'Res Predicted Monthly'!$AB$16</f>
        <v>0</v>
      </c>
      <c r="V105" s="11">
        <f ca="1">L105*'Res Predicted Monthly'!$AB$17</f>
        <v>0</v>
      </c>
      <c r="W105" s="18">
        <f t="shared" ca="1" si="20"/>
        <v>120543108.11036453</v>
      </c>
    </row>
    <row r="106" spans="1:23" x14ac:dyDescent="0.2">
      <c r="A106" s="8">
        <f>'Monthly Data'!A106</f>
        <v>45901</v>
      </c>
      <c r="B106">
        <f t="shared" si="16"/>
        <v>2025</v>
      </c>
      <c r="C106">
        <f t="shared" si="17"/>
        <v>9</v>
      </c>
      <c r="D106" s="18">
        <f>'Monthly Data'!F106</f>
        <v>95222363.852296785</v>
      </c>
      <c r="E106" s="21">
        <f t="shared" ca="1" si="15"/>
        <v>56.160416666666663</v>
      </c>
      <c r="F106" s="21">
        <f t="shared" ca="1" si="15"/>
        <v>104.19854166666664</v>
      </c>
      <c r="G106" s="11">
        <f>'Monthly Data'!G106</f>
        <v>153829</v>
      </c>
      <c r="H106">
        <f>'Monthly Data'!CC106</f>
        <v>0</v>
      </c>
      <c r="I106" s="21">
        <f>'Monthly Data'!CS106</f>
        <v>30</v>
      </c>
      <c r="J106" s="21">
        <f>'Monthly Data'!CK106</f>
        <v>0</v>
      </c>
      <c r="K106" s="21">
        <f t="shared" ca="1" si="18"/>
        <v>0</v>
      </c>
      <c r="L106" s="21">
        <f t="shared" ca="1" si="19"/>
        <v>0</v>
      </c>
      <c r="M106">
        <f>'Monthly Data'!CV106</f>
        <v>0</v>
      </c>
      <c r="N106" s="11">
        <f>'Res Predicted Monthly'!$AB$9</f>
        <v>-154534728.74811399</v>
      </c>
      <c r="O106" s="11">
        <f ca="1">E106*'Res Predicted Monthly'!$AB$10</f>
        <v>3447721.8146898891</v>
      </c>
      <c r="P106" s="11">
        <f ca="1">F106*'Res Predicted Monthly'!$AB$11</f>
        <v>29597907.270938363</v>
      </c>
      <c r="Q106" s="11">
        <f>G106*'Res Predicted Monthly'!$AB$12</f>
        <v>151824317.29928124</v>
      </c>
      <c r="R106" s="11">
        <f>H106*'Res Predicted Monthly'!$AB$13</f>
        <v>0</v>
      </c>
      <c r="S106" s="11">
        <f>I106*'Res Predicted Monthly'!$AB$14</f>
        <v>67794305.5115688</v>
      </c>
      <c r="T106" s="11">
        <f>J106*'Res Predicted Monthly'!$AB$15</f>
        <v>0</v>
      </c>
      <c r="U106" s="11">
        <f ca="1">K106*'Res Predicted Monthly'!$AB$16</f>
        <v>0</v>
      </c>
      <c r="V106" s="11">
        <f ca="1">L106*'Res Predicted Monthly'!$AB$17</f>
        <v>0</v>
      </c>
      <c r="W106" s="18">
        <f t="shared" ca="1" si="20"/>
        <v>98129523.148364291</v>
      </c>
    </row>
    <row r="107" spans="1:23" x14ac:dyDescent="0.2">
      <c r="A107" s="8">
        <f>'Monthly Data'!A107</f>
        <v>45931</v>
      </c>
      <c r="B107">
        <f t="shared" si="16"/>
        <v>2025</v>
      </c>
      <c r="C107">
        <f t="shared" si="17"/>
        <v>10</v>
      </c>
      <c r="D107" s="18">
        <f>'Monthly Data'!F107</f>
        <v>87631115.335631788</v>
      </c>
      <c r="E107" s="21">
        <f t="shared" ca="1" si="15"/>
        <v>229.16187499999995</v>
      </c>
      <c r="F107" s="21">
        <f t="shared" ca="1" si="15"/>
        <v>24.703125000000007</v>
      </c>
      <c r="G107" s="11">
        <f>'Monthly Data'!G107</f>
        <v>153848</v>
      </c>
      <c r="H107">
        <f>'Monthly Data'!CC107</f>
        <v>0</v>
      </c>
      <c r="I107" s="21">
        <f>'Monthly Data'!CS107</f>
        <v>31</v>
      </c>
      <c r="J107" s="21">
        <f>'Monthly Data'!CK107</f>
        <v>0</v>
      </c>
      <c r="K107" s="21">
        <f t="shared" ca="1" si="18"/>
        <v>0</v>
      </c>
      <c r="L107" s="21">
        <f t="shared" ca="1" si="19"/>
        <v>0</v>
      </c>
      <c r="M107">
        <f>'Monthly Data'!CV107</f>
        <v>0</v>
      </c>
      <c r="N107" s="11">
        <f>'Res Predicted Monthly'!$AB$9</f>
        <v>-154534728.74811399</v>
      </c>
      <c r="O107" s="11">
        <f ca="1">E107*'Res Predicted Monthly'!$AB$10</f>
        <v>14068385.571677633</v>
      </c>
      <c r="P107" s="11">
        <f ca="1">F107*'Res Predicted Monthly'!$AB$11</f>
        <v>7016996.5083714752</v>
      </c>
      <c r="Q107" s="11">
        <f>G107*'Res Predicted Monthly'!$AB$12</f>
        <v>151843069.69335964</v>
      </c>
      <c r="R107" s="11">
        <f>H107*'Res Predicted Monthly'!$AB$13</f>
        <v>0</v>
      </c>
      <c r="S107" s="11">
        <f>I107*'Res Predicted Monthly'!$AB$14</f>
        <v>70054115.695287749</v>
      </c>
      <c r="T107" s="11">
        <f>J107*'Res Predicted Monthly'!$AB$15</f>
        <v>0</v>
      </c>
      <c r="U107" s="11">
        <f ca="1">K107*'Res Predicted Monthly'!$AB$16</f>
        <v>0</v>
      </c>
      <c r="V107" s="11">
        <f ca="1">L107*'Res Predicted Monthly'!$AB$17</f>
        <v>0</v>
      </c>
      <c r="W107" s="18">
        <f t="shared" ca="1" si="20"/>
        <v>88447838.7205825</v>
      </c>
    </row>
    <row r="108" spans="1:23" x14ac:dyDescent="0.2">
      <c r="A108" s="8">
        <f>'Monthly Data'!A108</f>
        <v>45962</v>
      </c>
      <c r="B108">
        <f t="shared" si="16"/>
        <v>2025</v>
      </c>
      <c r="C108">
        <f t="shared" si="17"/>
        <v>11</v>
      </c>
      <c r="D108" s="18">
        <f>'Monthly Data'!F108</f>
        <v>93364815.512638971</v>
      </c>
      <c r="E108" s="21">
        <f t="shared" ca="1" si="15"/>
        <v>422.06333333333333</v>
      </c>
      <c r="F108" s="21">
        <f t="shared" ca="1" si="15"/>
        <v>1.6454166666666665</v>
      </c>
      <c r="G108" s="11">
        <f>'Monthly Data'!G108</f>
        <v>153992</v>
      </c>
      <c r="H108">
        <f>'Monthly Data'!CC108</f>
        <v>0</v>
      </c>
      <c r="I108" s="21">
        <f>'Monthly Data'!CS108</f>
        <v>30</v>
      </c>
      <c r="J108" s="21">
        <f>'Monthly Data'!CK108</f>
        <v>0</v>
      </c>
      <c r="K108" s="21">
        <f t="shared" ca="1" si="18"/>
        <v>0</v>
      </c>
      <c r="L108" s="21">
        <f t="shared" ca="1" si="19"/>
        <v>0</v>
      </c>
      <c r="M108">
        <f>'Monthly Data'!CV108</f>
        <v>0</v>
      </c>
      <c r="N108" s="11">
        <f>'Res Predicted Monthly'!$AB$9</f>
        <v>-154534728.74811399</v>
      </c>
      <c r="O108" s="11">
        <f ca="1">E108*'Res Predicted Monthly'!$AB$10</f>
        <v>25910722.318015747</v>
      </c>
      <c r="P108" s="11">
        <f ca="1">F108*'Res Predicted Monthly'!$AB$11</f>
        <v>467385.52328161825</v>
      </c>
      <c r="Q108" s="11">
        <f>G108*'Res Predicted Monthly'!$AB$12</f>
        <v>151985193.10111174</v>
      </c>
      <c r="R108" s="11">
        <f>H108*'Res Predicted Monthly'!$AB$13</f>
        <v>0</v>
      </c>
      <c r="S108" s="11">
        <f>I108*'Res Predicted Monthly'!$AB$14</f>
        <v>67794305.5115688</v>
      </c>
      <c r="T108" s="11">
        <f>J108*'Res Predicted Monthly'!$AB$15</f>
        <v>0</v>
      </c>
      <c r="U108" s="11">
        <f ca="1">K108*'Res Predicted Monthly'!$AB$16</f>
        <v>0</v>
      </c>
      <c r="V108" s="11">
        <f ca="1">L108*'Res Predicted Monthly'!$AB$17</f>
        <v>0</v>
      </c>
      <c r="W108" s="18">
        <f t="shared" ca="1" si="20"/>
        <v>91622877.705863923</v>
      </c>
    </row>
    <row r="109" spans="1:23" x14ac:dyDescent="0.2">
      <c r="A109" s="8">
        <f>'Monthly Data'!A109</f>
        <v>45992</v>
      </c>
      <c r="B109">
        <f t="shared" si="16"/>
        <v>2025</v>
      </c>
      <c r="C109">
        <f t="shared" si="17"/>
        <v>12</v>
      </c>
      <c r="D109" s="18">
        <f>'Monthly Data'!F109</f>
        <v>111581704.96910296</v>
      </c>
      <c r="E109" s="21">
        <f t="shared" ca="1" si="15"/>
        <v>591.99583333333339</v>
      </c>
      <c r="F109" s="21">
        <f t="shared" ca="1" si="15"/>
        <v>0</v>
      </c>
      <c r="G109" s="11">
        <f>'Monthly Data'!G109</f>
        <v>154071</v>
      </c>
      <c r="H109">
        <f>'Monthly Data'!CC109</f>
        <v>1</v>
      </c>
      <c r="I109" s="21">
        <f>'Monthly Data'!CS109</f>
        <v>31</v>
      </c>
      <c r="J109" s="21">
        <f>'Monthly Data'!CK109</f>
        <v>0</v>
      </c>
      <c r="K109" s="21">
        <f t="shared" ca="1" si="18"/>
        <v>0</v>
      </c>
      <c r="L109" s="21">
        <f t="shared" ca="1" si="19"/>
        <v>0</v>
      </c>
      <c r="M109">
        <f>'Monthly Data'!CV109</f>
        <v>0</v>
      </c>
      <c r="N109" s="11">
        <f>'Res Predicted Monthly'!$AB$9</f>
        <v>-154534728.74811399</v>
      </c>
      <c r="O109" s="11">
        <f ca="1">E109*'Res Predicted Monthly'!$AB$10</f>
        <v>36342980.873934403</v>
      </c>
      <c r="P109" s="11">
        <f ca="1">F109*'Res Predicted Monthly'!$AB$11</f>
        <v>0</v>
      </c>
      <c r="Q109" s="11">
        <f>G109*'Res Predicted Monthly'!$AB$12</f>
        <v>152063163.58175352</v>
      </c>
      <c r="R109" s="11">
        <f>H109*'Res Predicted Monthly'!$AB$13</f>
        <v>3702152.17603915</v>
      </c>
      <c r="S109" s="11">
        <f>I109*'Res Predicted Monthly'!$AB$14</f>
        <v>70054115.695287749</v>
      </c>
      <c r="T109" s="11">
        <f>J109*'Res Predicted Monthly'!$AB$15</f>
        <v>0</v>
      </c>
      <c r="U109" s="11">
        <f ca="1">K109*'Res Predicted Monthly'!$AB$16</f>
        <v>0</v>
      </c>
      <c r="V109" s="11">
        <f ca="1">L109*'Res Predicted Monthly'!$AB$17</f>
        <v>0</v>
      </c>
      <c r="W109" s="18">
        <f t="shared" ca="1" si="20"/>
        <v>107627683.57890084</v>
      </c>
    </row>
    <row r="110" spans="1:23" x14ac:dyDescent="0.2">
      <c r="A110" s="506">
        <f t="shared" ref="A110:A133" si="21">EOMONTH(A109,0)+1</f>
        <v>46023</v>
      </c>
      <c r="B110" s="59">
        <f t="shared" ref="B110:B115" si="22">YEAR(A110)</f>
        <v>2026</v>
      </c>
      <c r="C110" s="59">
        <f t="shared" ref="C110:C115" si="23">MONTH(A110)</f>
        <v>1</v>
      </c>
      <c r="D110" s="178"/>
      <c r="E110" s="177">
        <f t="shared" ca="1" si="15"/>
        <v>683.09489583333334</v>
      </c>
      <c r="F110" s="177">
        <f t="shared" ca="1" si="15"/>
        <v>0</v>
      </c>
      <c r="G110" s="188">
        <f>'Customer Count'!C48</f>
        <v>154374.04183624993</v>
      </c>
      <c r="H110" s="177">
        <f t="shared" ref="H110:H133" si="24">H98</f>
        <v>0</v>
      </c>
      <c r="I110" s="177">
        <f t="shared" ref="I110:I133" si="25">I62</f>
        <v>31</v>
      </c>
      <c r="J110" s="177">
        <f t="shared" ref="J110:J133" si="26">J98</f>
        <v>0</v>
      </c>
      <c r="K110" s="177">
        <f t="shared" ca="1" si="11"/>
        <v>0</v>
      </c>
      <c r="L110" s="177">
        <f t="shared" ca="1" si="12"/>
        <v>0</v>
      </c>
      <c r="M110" s="59">
        <f>'Monthly Data'!CV110</f>
        <v>0</v>
      </c>
      <c r="N110" s="188">
        <f>'Res Predicted Monthly'!$AB$9</f>
        <v>-154534728.74811399</v>
      </c>
      <c r="O110" s="188">
        <f ca="1">E110*'Res Predicted Monthly'!$AB$10</f>
        <v>41935607.20616509</v>
      </c>
      <c r="P110" s="188">
        <f ca="1">F110*'Res Predicted Monthly'!$AB$11</f>
        <v>0</v>
      </c>
      <c r="Q110" s="188">
        <f>G110*'Res Predicted Monthly'!$AB$12</f>
        <v>152362256.20994303</v>
      </c>
      <c r="R110" s="188">
        <f>H110*'Res Predicted Monthly'!$AB$13</f>
        <v>0</v>
      </c>
      <c r="S110" s="188">
        <f>I110*'Res Predicted Monthly'!$AB$14</f>
        <v>70054115.695287749</v>
      </c>
      <c r="T110" s="188">
        <f>J110*'Res Predicted Monthly'!$AB$15</f>
        <v>0</v>
      </c>
      <c r="U110" s="188">
        <f ca="1">K110*'Res Predicted Monthly'!$AB$16</f>
        <v>0</v>
      </c>
      <c r="V110" s="188">
        <f ca="1">L110*'Res Predicted Monthly'!$AB$17</f>
        <v>0</v>
      </c>
      <c r="W110" s="178">
        <f t="shared" ca="1" si="13"/>
        <v>109817250.36328188</v>
      </c>
    </row>
    <row r="111" spans="1:23" x14ac:dyDescent="0.2">
      <c r="A111" s="506">
        <f t="shared" si="21"/>
        <v>46054</v>
      </c>
      <c r="B111" s="59">
        <f t="shared" si="22"/>
        <v>2026</v>
      </c>
      <c r="C111" s="59">
        <f t="shared" si="23"/>
        <v>2</v>
      </c>
      <c r="D111" s="178"/>
      <c r="E111" s="177">
        <f t="shared" ca="1" si="15"/>
        <v>589.85491666666678</v>
      </c>
      <c r="F111" s="177">
        <f t="shared" ca="1" si="15"/>
        <v>0</v>
      </c>
      <c r="G111" s="188">
        <f>'Customer Count'!C49</f>
        <v>154482.14714843917</v>
      </c>
      <c r="H111" s="177">
        <f t="shared" si="24"/>
        <v>0</v>
      </c>
      <c r="I111" s="177">
        <f t="shared" si="25"/>
        <v>28</v>
      </c>
      <c r="J111" s="177">
        <f t="shared" si="26"/>
        <v>0</v>
      </c>
      <c r="K111" s="177">
        <f t="shared" ref="K111:K133" ca="1" si="27">E111*M111</f>
        <v>0</v>
      </c>
      <c r="L111" s="177">
        <f t="shared" ref="L111:L133" ca="1" si="28">F111*M111</f>
        <v>0</v>
      </c>
      <c r="M111" s="59">
        <f>'Monthly Data'!CV111</f>
        <v>0</v>
      </c>
      <c r="N111" s="188">
        <f>'Res Predicted Monthly'!$AB$9</f>
        <v>-154534728.74811399</v>
      </c>
      <c r="O111" s="188">
        <f ca="1">E111*'Res Predicted Monthly'!$AB$10</f>
        <v>36211548.709908441</v>
      </c>
      <c r="P111" s="188">
        <f ca="1">F111*'Res Predicted Monthly'!$AB$11</f>
        <v>0</v>
      </c>
      <c r="Q111" s="188">
        <f>G111*'Res Predicted Monthly'!$AB$12</f>
        <v>152468952.70552939</v>
      </c>
      <c r="R111" s="188">
        <f>H111*'Res Predicted Monthly'!$AB$13</f>
        <v>0</v>
      </c>
      <c r="S111" s="188">
        <f>I111*'Res Predicted Monthly'!$AB$14</f>
        <v>63274685.144130871</v>
      </c>
      <c r="T111" s="188">
        <f>J111*'Res Predicted Monthly'!$AB$15</f>
        <v>0</v>
      </c>
      <c r="U111" s="188">
        <f ca="1">K111*'Res Predicted Monthly'!$AB$16</f>
        <v>0</v>
      </c>
      <c r="V111" s="188">
        <f ca="1">L111*'Res Predicted Monthly'!$AB$17</f>
        <v>0</v>
      </c>
      <c r="W111" s="178">
        <f t="shared" ca="1" si="13"/>
        <v>97420457.811454713</v>
      </c>
    </row>
    <row r="112" spans="1:23" x14ac:dyDescent="0.2">
      <c r="A112" s="506">
        <f t="shared" si="21"/>
        <v>46082</v>
      </c>
      <c r="B112" s="59">
        <f t="shared" si="22"/>
        <v>2026</v>
      </c>
      <c r="C112" s="59">
        <f t="shared" si="23"/>
        <v>3</v>
      </c>
      <c r="D112" s="178"/>
      <c r="E112" s="177">
        <f t="shared" ca="1" si="15"/>
        <v>522.20004166666672</v>
      </c>
      <c r="F112" s="177">
        <f t="shared" ca="1" si="15"/>
        <v>0</v>
      </c>
      <c r="G112" s="188">
        <f>'Customer Count'!C50</f>
        <v>154590.32816479719</v>
      </c>
      <c r="H112" s="177">
        <f t="shared" si="24"/>
        <v>0</v>
      </c>
      <c r="I112" s="177">
        <f t="shared" si="25"/>
        <v>31</v>
      </c>
      <c r="J112" s="177">
        <f t="shared" si="26"/>
        <v>0</v>
      </c>
      <c r="K112" s="177">
        <f t="shared" ca="1" si="27"/>
        <v>0</v>
      </c>
      <c r="L112" s="177">
        <f t="shared" ca="1" si="28"/>
        <v>0</v>
      </c>
      <c r="M112" s="59">
        <f>'Monthly Data'!CV112</f>
        <v>0</v>
      </c>
      <c r="N112" s="188">
        <f>'Res Predicted Monthly'!$AB$9</f>
        <v>-154534728.74811399</v>
      </c>
      <c r="O112" s="188">
        <f ca="1">E112*'Res Predicted Monthly'!$AB$10</f>
        <v>32058175.172954902</v>
      </c>
      <c r="P112" s="188">
        <f ca="1">F112*'Res Predicted Monthly'!$AB$11</f>
        <v>0</v>
      </c>
      <c r="Q112" s="188">
        <f>G112*'Res Predicted Monthly'!$AB$12</f>
        <v>152575723.91871613</v>
      </c>
      <c r="R112" s="188">
        <f>H112*'Res Predicted Monthly'!$AB$13</f>
        <v>0</v>
      </c>
      <c r="S112" s="188">
        <f>I112*'Res Predicted Monthly'!$AB$14</f>
        <v>70054115.695287749</v>
      </c>
      <c r="T112" s="188">
        <f>J112*'Res Predicted Monthly'!$AB$15</f>
        <v>0</v>
      </c>
      <c r="U112" s="188">
        <f ca="1">K112*'Res Predicted Monthly'!$AB$16</f>
        <v>0</v>
      </c>
      <c r="V112" s="188">
        <f ca="1">L112*'Res Predicted Monthly'!$AB$17</f>
        <v>0</v>
      </c>
      <c r="W112" s="178">
        <f t="shared" ca="1" si="13"/>
        <v>100153286.03884479</v>
      </c>
    </row>
    <row r="113" spans="1:23" x14ac:dyDescent="0.2">
      <c r="A113" s="506">
        <f t="shared" si="21"/>
        <v>46113</v>
      </c>
      <c r="B113" s="59">
        <f t="shared" si="22"/>
        <v>2026</v>
      </c>
      <c r="C113" s="59">
        <f t="shared" si="23"/>
        <v>4</v>
      </c>
      <c r="D113" s="178"/>
      <c r="E113" s="177">
        <f t="shared" ca="1" si="15"/>
        <v>343.18302083333327</v>
      </c>
      <c r="F113" s="177">
        <f t="shared" ca="1" si="15"/>
        <v>6.5650000000000031</v>
      </c>
      <c r="G113" s="188">
        <f>'Customer Count'!C51</f>
        <v>154698.58493833829</v>
      </c>
      <c r="H113" s="177">
        <f t="shared" si="24"/>
        <v>0</v>
      </c>
      <c r="I113" s="177">
        <f t="shared" si="25"/>
        <v>30</v>
      </c>
      <c r="J113" s="177">
        <f t="shared" si="26"/>
        <v>0</v>
      </c>
      <c r="K113" s="177">
        <f t="shared" ca="1" si="27"/>
        <v>0</v>
      </c>
      <c r="L113" s="177">
        <f t="shared" ca="1" si="28"/>
        <v>0</v>
      </c>
      <c r="M113" s="59">
        <f>'Monthly Data'!CV113</f>
        <v>0</v>
      </c>
      <c r="N113" s="188">
        <f>'Res Predicted Monthly'!$AB$9</f>
        <v>-154534728.74811399</v>
      </c>
      <c r="O113" s="188">
        <f ca="1">E113*'Res Predicted Monthly'!$AB$10</f>
        <v>21068212.409836546</v>
      </c>
      <c r="P113" s="188">
        <f ca="1">F113*'Res Predicted Monthly'!$AB$11</f>
        <v>1864807.876633371</v>
      </c>
      <c r="Q113" s="188">
        <f>G113*'Res Predicted Monthly'!$AB$12</f>
        <v>152682569.90182659</v>
      </c>
      <c r="R113" s="188">
        <f>H113*'Res Predicted Monthly'!$AB$13</f>
        <v>0</v>
      </c>
      <c r="S113" s="188">
        <f>I113*'Res Predicted Monthly'!$AB$14</f>
        <v>67794305.5115688</v>
      </c>
      <c r="T113" s="188">
        <f>J113*'Res Predicted Monthly'!$AB$15</f>
        <v>0</v>
      </c>
      <c r="U113" s="188">
        <f ca="1">K113*'Res Predicted Monthly'!$AB$16</f>
        <v>0</v>
      </c>
      <c r="V113" s="188">
        <f ca="1">L113*'Res Predicted Monthly'!$AB$17</f>
        <v>0</v>
      </c>
      <c r="W113" s="178">
        <f t="shared" ca="1" si="13"/>
        <v>88875166.951751322</v>
      </c>
    </row>
    <row r="114" spans="1:23" x14ac:dyDescent="0.2">
      <c r="A114" s="506">
        <f t="shared" si="21"/>
        <v>46143</v>
      </c>
      <c r="B114" s="59">
        <f t="shared" si="22"/>
        <v>2026</v>
      </c>
      <c r="C114" s="59">
        <f t="shared" si="23"/>
        <v>5</v>
      </c>
      <c r="D114" s="178"/>
      <c r="E114" s="177">
        <f t="shared" ref="E114:F133" ca="1" si="29">E102</f>
        <v>146.15645833333332</v>
      </c>
      <c r="F114" s="177">
        <f t="shared" ca="1" si="29"/>
        <v>59.300416666666649</v>
      </c>
      <c r="G114" s="188">
        <f>'Customer Count'!C52</f>
        <v>154806.9175221138</v>
      </c>
      <c r="H114" s="177">
        <f t="shared" si="24"/>
        <v>0</v>
      </c>
      <c r="I114" s="177">
        <f t="shared" si="25"/>
        <v>31</v>
      </c>
      <c r="J114" s="177">
        <f t="shared" si="26"/>
        <v>1</v>
      </c>
      <c r="K114" s="177">
        <f t="shared" ca="1" si="27"/>
        <v>0</v>
      </c>
      <c r="L114" s="177">
        <f t="shared" ca="1" si="28"/>
        <v>0</v>
      </c>
      <c r="M114" s="59">
        <f>'Monthly Data'!CV114</f>
        <v>0</v>
      </c>
      <c r="N114" s="188">
        <f>'Res Predicted Monthly'!$AB$9</f>
        <v>-154534728.74811399</v>
      </c>
      <c r="O114" s="188">
        <f ca="1">E114*'Res Predicted Monthly'!$AB$10</f>
        <v>8972633.033414349</v>
      </c>
      <c r="P114" s="188">
        <f ca="1">F114*'Res Predicted Monthly'!$AB$11</f>
        <v>16844460.637873683</v>
      </c>
      <c r="Q114" s="188">
        <f>G114*'Res Predicted Monthly'!$AB$12</f>
        <v>152789490.70722079</v>
      </c>
      <c r="R114" s="188">
        <f>H114*'Res Predicted Monthly'!$AB$13</f>
        <v>0</v>
      </c>
      <c r="S114" s="188">
        <f>I114*'Res Predicted Monthly'!$AB$14</f>
        <v>70054115.695287749</v>
      </c>
      <c r="T114" s="188">
        <f>J114*'Res Predicted Monthly'!$AB$15</f>
        <v>-2784507.8509929599</v>
      </c>
      <c r="U114" s="188">
        <f ca="1">K114*'Res Predicted Monthly'!$AB$16</f>
        <v>0</v>
      </c>
      <c r="V114" s="188">
        <f ca="1">L114*'Res Predicted Monthly'!$AB$17</f>
        <v>0</v>
      </c>
      <c r="W114" s="178">
        <f t="shared" ca="1" si="13"/>
        <v>91341463.474689633</v>
      </c>
    </row>
    <row r="115" spans="1:23" x14ac:dyDescent="0.2">
      <c r="A115" s="506">
        <f t="shared" si="21"/>
        <v>46174</v>
      </c>
      <c r="B115" s="59">
        <f t="shared" si="22"/>
        <v>2026</v>
      </c>
      <c r="C115" s="59">
        <f t="shared" si="23"/>
        <v>6</v>
      </c>
      <c r="D115" s="178"/>
      <c r="E115" s="177">
        <f t="shared" ca="1" si="29"/>
        <v>29.335416666666674</v>
      </c>
      <c r="F115" s="177">
        <f t="shared" ca="1" si="29"/>
        <v>157.17000000000002</v>
      </c>
      <c r="G115" s="188">
        <f>'Customer Count'!C53</f>
        <v>154915.32596921225</v>
      </c>
      <c r="H115" s="177">
        <f t="shared" si="24"/>
        <v>0</v>
      </c>
      <c r="I115" s="177">
        <f t="shared" si="25"/>
        <v>30</v>
      </c>
      <c r="J115" s="177">
        <f t="shared" si="26"/>
        <v>1</v>
      </c>
      <c r="K115" s="177">
        <f t="shared" ca="1" si="27"/>
        <v>0</v>
      </c>
      <c r="L115" s="177">
        <f t="shared" ca="1" si="28"/>
        <v>0</v>
      </c>
      <c r="M115" s="59">
        <f>'Monthly Data'!CV115</f>
        <v>0</v>
      </c>
      <c r="N115" s="188">
        <f>'Res Predicted Monthly'!$AB$9</f>
        <v>-154534728.74811399</v>
      </c>
      <c r="O115" s="188">
        <f ca="1">E115*'Res Predicted Monthly'!$AB$10</f>
        <v>1800918.903166092</v>
      </c>
      <c r="P115" s="188">
        <f ca="1">F115*'Res Predicted Monthly'!$AB$11</f>
        <v>44644608.373262271</v>
      </c>
      <c r="Q115" s="188">
        <f>G115*'Res Predicted Monthly'!$AB$12</f>
        <v>152896486.3872954</v>
      </c>
      <c r="R115" s="188">
        <f>H115*'Res Predicted Monthly'!$AB$13</f>
        <v>0</v>
      </c>
      <c r="S115" s="188">
        <f>I115*'Res Predicted Monthly'!$AB$14</f>
        <v>67794305.5115688</v>
      </c>
      <c r="T115" s="188">
        <f>J115*'Res Predicted Monthly'!$AB$15</f>
        <v>-2784507.8509929599</v>
      </c>
      <c r="U115" s="188">
        <f ca="1">K115*'Res Predicted Monthly'!$AB$16</f>
        <v>0</v>
      </c>
      <c r="V115" s="188">
        <f ca="1">L115*'Res Predicted Monthly'!$AB$17</f>
        <v>0</v>
      </c>
      <c r="W115" s="178">
        <f t="shared" ca="1" si="13"/>
        <v>109817082.5761856</v>
      </c>
    </row>
    <row r="116" spans="1:23" x14ac:dyDescent="0.2">
      <c r="A116" s="506">
        <f t="shared" si="21"/>
        <v>46204</v>
      </c>
      <c r="B116" s="59">
        <f>YEAR(A116)</f>
        <v>2026</v>
      </c>
      <c r="C116" s="59">
        <f>MONTH(A116)</f>
        <v>7</v>
      </c>
      <c r="D116" s="178"/>
      <c r="E116" s="177">
        <f t="shared" ca="1" si="29"/>
        <v>1.6731249999999993</v>
      </c>
      <c r="F116" s="177">
        <f t="shared" ca="1" si="29"/>
        <v>231.27145833333333</v>
      </c>
      <c r="G116" s="188">
        <f>'Customer Count'!C54</f>
        <v>155023.81033275934</v>
      </c>
      <c r="H116" s="177">
        <f t="shared" si="24"/>
        <v>0</v>
      </c>
      <c r="I116" s="177">
        <f t="shared" si="25"/>
        <v>31</v>
      </c>
      <c r="J116" s="177">
        <f t="shared" si="26"/>
        <v>1</v>
      </c>
      <c r="K116" s="177">
        <f t="shared" ca="1" si="27"/>
        <v>0</v>
      </c>
      <c r="L116" s="177">
        <f t="shared" ca="1" si="28"/>
        <v>0</v>
      </c>
      <c r="M116" s="59">
        <f>'Monthly Data'!CV116</f>
        <v>0</v>
      </c>
      <c r="N116" s="188">
        <f>'Res Predicted Monthly'!$AB$9</f>
        <v>-154534728.74811399</v>
      </c>
      <c r="O116" s="188">
        <f ca="1">E116*'Res Predicted Monthly'!$AB$10</f>
        <v>102714.15177421259</v>
      </c>
      <c r="P116" s="188">
        <f ca="1">F116*'Res Predicted Monthly'!$AB$11</f>
        <v>65693349.145542458</v>
      </c>
      <c r="Q116" s="188">
        <f>G116*'Res Predicted Monthly'!$AB$12</f>
        <v>153003556.9944838</v>
      </c>
      <c r="R116" s="188">
        <f>H116*'Res Predicted Monthly'!$AB$13</f>
        <v>0</v>
      </c>
      <c r="S116" s="188">
        <f>I116*'Res Predicted Monthly'!$AB$14</f>
        <v>70054115.695287749</v>
      </c>
      <c r="T116" s="188">
        <f>J116*'Res Predicted Monthly'!$AB$15</f>
        <v>-2784507.8509929599</v>
      </c>
      <c r="U116" s="188">
        <f ca="1">K116*'Res Predicted Monthly'!$AB$16</f>
        <v>0</v>
      </c>
      <c r="V116" s="188">
        <f ca="1">L116*'Res Predicted Monthly'!$AB$17</f>
        <v>0</v>
      </c>
      <c r="W116" s="178">
        <f t="shared" ca="1" si="13"/>
        <v>131534499.38798125</v>
      </c>
    </row>
    <row r="117" spans="1:23" x14ac:dyDescent="0.2">
      <c r="A117" s="506">
        <f t="shared" si="21"/>
        <v>46235</v>
      </c>
      <c r="B117" s="59">
        <f>YEAR(A117)</f>
        <v>2026</v>
      </c>
      <c r="C117" s="59">
        <f>MONTH(A117)</f>
        <v>8</v>
      </c>
      <c r="D117" s="178"/>
      <c r="E117" s="177">
        <f t="shared" ca="1" si="29"/>
        <v>7.1606250000000005</v>
      </c>
      <c r="F117" s="177">
        <f t="shared" ca="1" si="29"/>
        <v>196.13625000000002</v>
      </c>
      <c r="G117" s="188">
        <f>'Customer Count'!C55</f>
        <v>155132.37066591796</v>
      </c>
      <c r="H117" s="177">
        <f t="shared" si="24"/>
        <v>0</v>
      </c>
      <c r="I117" s="177">
        <f t="shared" si="25"/>
        <v>31</v>
      </c>
      <c r="J117" s="177">
        <f t="shared" si="26"/>
        <v>1</v>
      </c>
      <c r="K117" s="177">
        <f t="shared" ca="1" si="27"/>
        <v>0</v>
      </c>
      <c r="L117" s="177">
        <f t="shared" ca="1" si="28"/>
        <v>0</v>
      </c>
      <c r="M117" s="59">
        <f>'Monthly Data'!CV117</f>
        <v>0</v>
      </c>
      <c r="N117" s="188">
        <f>'Res Predicted Monthly'!$AB$9</f>
        <v>-154534728.74811399</v>
      </c>
      <c r="O117" s="188">
        <f ca="1">E117*'Res Predicted Monthly'!$AB$10</f>
        <v>439595.08288276213</v>
      </c>
      <c r="P117" s="188">
        <f ca="1">F117*'Res Predicted Monthly'!$AB$11</f>
        <v>55713088.178725339</v>
      </c>
      <c r="Q117" s="188">
        <f>G117*'Res Predicted Monthly'!$AB$12</f>
        <v>153110702.58125606</v>
      </c>
      <c r="R117" s="188">
        <f>H117*'Res Predicted Monthly'!$AB$13</f>
        <v>0</v>
      </c>
      <c r="S117" s="188">
        <f>I117*'Res Predicted Monthly'!$AB$14</f>
        <v>70054115.695287749</v>
      </c>
      <c r="T117" s="188">
        <f>J117*'Res Predicted Monthly'!$AB$15</f>
        <v>-2784507.8509929599</v>
      </c>
      <c r="U117" s="188">
        <f ca="1">K117*'Res Predicted Monthly'!$AB$16</f>
        <v>0</v>
      </c>
      <c r="V117" s="188">
        <f ca="1">L117*'Res Predicted Monthly'!$AB$17</f>
        <v>0</v>
      </c>
      <c r="W117" s="178">
        <f t="shared" ca="1" si="13"/>
        <v>121998264.93904495</v>
      </c>
    </row>
    <row r="118" spans="1:23" x14ac:dyDescent="0.2">
      <c r="A118" s="506">
        <f t="shared" si="21"/>
        <v>46266</v>
      </c>
      <c r="B118" s="59">
        <f>YEAR(A118)</f>
        <v>2026</v>
      </c>
      <c r="C118" s="59">
        <f>MONTH(A118)</f>
        <v>9</v>
      </c>
      <c r="D118" s="178"/>
      <c r="E118" s="177">
        <f t="shared" ca="1" si="29"/>
        <v>56.160416666666663</v>
      </c>
      <c r="F118" s="177">
        <f t="shared" ca="1" si="29"/>
        <v>104.19854166666664</v>
      </c>
      <c r="G118" s="188">
        <f>'Customer Count'!C56</f>
        <v>155241.00702188825</v>
      </c>
      <c r="H118" s="177">
        <f t="shared" si="24"/>
        <v>0</v>
      </c>
      <c r="I118" s="177">
        <f t="shared" si="25"/>
        <v>30</v>
      </c>
      <c r="J118" s="177">
        <f t="shared" si="26"/>
        <v>0</v>
      </c>
      <c r="K118" s="177">
        <f t="shared" ca="1" si="27"/>
        <v>0</v>
      </c>
      <c r="L118" s="177">
        <f t="shared" ca="1" si="28"/>
        <v>0</v>
      </c>
      <c r="M118" s="59">
        <f>'Monthly Data'!CV118</f>
        <v>0</v>
      </c>
      <c r="N118" s="188">
        <f>'Res Predicted Monthly'!$AB$9</f>
        <v>-154534728.74811399</v>
      </c>
      <c r="O118" s="188">
        <f ca="1">E118*'Res Predicted Monthly'!$AB$10</f>
        <v>3447721.8146898891</v>
      </c>
      <c r="P118" s="188">
        <f ca="1">F118*'Res Predicted Monthly'!$AB$11</f>
        <v>29597907.270938363</v>
      </c>
      <c r="Q118" s="188">
        <f>G118*'Res Predicted Monthly'!$AB$12</f>
        <v>153217923.20011902</v>
      </c>
      <c r="R118" s="188">
        <f>H118*'Res Predicted Monthly'!$AB$13</f>
        <v>0</v>
      </c>
      <c r="S118" s="188">
        <f>I118*'Res Predicted Monthly'!$AB$14</f>
        <v>67794305.5115688</v>
      </c>
      <c r="T118" s="188">
        <f>J118*'Res Predicted Monthly'!$AB$15</f>
        <v>0</v>
      </c>
      <c r="U118" s="188">
        <f ca="1">K118*'Res Predicted Monthly'!$AB$16</f>
        <v>0</v>
      </c>
      <c r="V118" s="188">
        <f ca="1">L118*'Res Predicted Monthly'!$AB$17</f>
        <v>0</v>
      </c>
      <c r="W118" s="178">
        <f t="shared" ca="1" si="13"/>
        <v>99523129.04920207</v>
      </c>
    </row>
    <row r="119" spans="1:23" x14ac:dyDescent="0.2">
      <c r="A119" s="506">
        <f t="shared" si="21"/>
        <v>46296</v>
      </c>
      <c r="B119" s="59">
        <f>YEAR(A119)</f>
        <v>2026</v>
      </c>
      <c r="C119" s="59">
        <f>MONTH(A119)</f>
        <v>10</v>
      </c>
      <c r="D119" s="178"/>
      <c r="E119" s="177">
        <f t="shared" ca="1" si="29"/>
        <v>229.16187499999995</v>
      </c>
      <c r="F119" s="177">
        <f t="shared" ca="1" si="29"/>
        <v>24.703125000000007</v>
      </c>
      <c r="G119" s="188">
        <f>'Customer Count'!C57</f>
        <v>155349.71945390757</v>
      </c>
      <c r="H119" s="177">
        <f t="shared" si="24"/>
        <v>0</v>
      </c>
      <c r="I119" s="177">
        <f t="shared" si="25"/>
        <v>31</v>
      </c>
      <c r="J119" s="177">
        <f t="shared" si="26"/>
        <v>0</v>
      </c>
      <c r="K119" s="177">
        <f t="shared" ca="1" si="27"/>
        <v>0</v>
      </c>
      <c r="L119" s="177">
        <f t="shared" ca="1" si="28"/>
        <v>0</v>
      </c>
      <c r="M119" s="59">
        <f>'Monthly Data'!CV119</f>
        <v>0</v>
      </c>
      <c r="N119" s="188">
        <f>'Res Predicted Monthly'!$AB$9</f>
        <v>-154534728.74811399</v>
      </c>
      <c r="O119" s="188">
        <f ca="1">E119*'Res Predicted Monthly'!$AB$10</f>
        <v>14068385.571677633</v>
      </c>
      <c r="P119" s="188">
        <f ca="1">F119*'Res Predicted Monthly'!$AB$11</f>
        <v>7016996.5083714752</v>
      </c>
      <c r="Q119" s="188">
        <f>G119*'Res Predicted Monthly'!$AB$12</f>
        <v>153325218.90361628</v>
      </c>
      <c r="R119" s="188">
        <f>H119*'Res Predicted Monthly'!$AB$13</f>
        <v>0</v>
      </c>
      <c r="S119" s="188">
        <f>I119*'Res Predicted Monthly'!$AB$14</f>
        <v>70054115.695287749</v>
      </c>
      <c r="T119" s="188">
        <f>J119*'Res Predicted Monthly'!$AB$15</f>
        <v>0</v>
      </c>
      <c r="U119" s="188">
        <f ca="1">K119*'Res Predicted Monthly'!$AB$16</f>
        <v>0</v>
      </c>
      <c r="V119" s="188">
        <f ca="1">L119*'Res Predicted Monthly'!$AB$17</f>
        <v>0</v>
      </c>
      <c r="W119" s="178">
        <f t="shared" ca="1" si="13"/>
        <v>89929987.930839136</v>
      </c>
    </row>
    <row r="120" spans="1:23" x14ac:dyDescent="0.2">
      <c r="A120" s="506">
        <f t="shared" si="21"/>
        <v>46327</v>
      </c>
      <c r="B120" s="59">
        <f t="shared" ref="B120:B133" si="30">YEAR(A120)</f>
        <v>2026</v>
      </c>
      <c r="C120" s="59">
        <f t="shared" ref="C120:C133" si="31">MONTH(A120)</f>
        <v>11</v>
      </c>
      <c r="D120" s="178"/>
      <c r="E120" s="177">
        <f t="shared" ca="1" si="29"/>
        <v>422.06333333333333</v>
      </c>
      <c r="F120" s="177">
        <f t="shared" ca="1" si="29"/>
        <v>1.6454166666666665</v>
      </c>
      <c r="G120" s="188">
        <f>'Customer Count'!C58</f>
        <v>155458.50801525058</v>
      </c>
      <c r="H120" s="177">
        <f t="shared" si="24"/>
        <v>0</v>
      </c>
      <c r="I120" s="177">
        <f t="shared" si="25"/>
        <v>30</v>
      </c>
      <c r="J120" s="177">
        <f t="shared" si="26"/>
        <v>0</v>
      </c>
      <c r="K120" s="177">
        <f t="shared" ca="1" si="27"/>
        <v>0</v>
      </c>
      <c r="L120" s="177">
        <f t="shared" ca="1" si="28"/>
        <v>0</v>
      </c>
      <c r="M120" s="59">
        <f>'Monthly Data'!CV120</f>
        <v>0</v>
      </c>
      <c r="N120" s="188">
        <f>'Res Predicted Monthly'!$AB$9</f>
        <v>-154534728.74811399</v>
      </c>
      <c r="O120" s="188">
        <f ca="1">E120*'Res Predicted Monthly'!$AB$10</f>
        <v>25910722.318015747</v>
      </c>
      <c r="P120" s="188">
        <f ca="1">F120*'Res Predicted Monthly'!$AB$11</f>
        <v>467385.52328161825</v>
      </c>
      <c r="Q120" s="188">
        <f>G120*'Res Predicted Monthly'!$AB$12</f>
        <v>153432589.7443282</v>
      </c>
      <c r="R120" s="188">
        <f>H120*'Res Predicted Monthly'!$AB$13</f>
        <v>0</v>
      </c>
      <c r="S120" s="188">
        <f>I120*'Res Predicted Monthly'!$AB$14</f>
        <v>67794305.5115688</v>
      </c>
      <c r="T120" s="188">
        <f>J120*'Res Predicted Monthly'!$AB$15</f>
        <v>0</v>
      </c>
      <c r="U120" s="188">
        <f ca="1">K120*'Res Predicted Monthly'!$AB$16</f>
        <v>0</v>
      </c>
      <c r="V120" s="188">
        <f ca="1">L120*'Res Predicted Monthly'!$AB$17</f>
        <v>0</v>
      </c>
      <c r="W120" s="178">
        <f t="shared" ca="1" si="13"/>
        <v>93070274.349080384</v>
      </c>
    </row>
    <row r="121" spans="1:23" x14ac:dyDescent="0.2">
      <c r="A121" s="506">
        <f t="shared" si="21"/>
        <v>46357</v>
      </c>
      <c r="B121" s="59">
        <f t="shared" si="30"/>
        <v>2026</v>
      </c>
      <c r="C121" s="59">
        <f t="shared" si="31"/>
        <v>12</v>
      </c>
      <c r="D121" s="178"/>
      <c r="E121" s="177">
        <f t="shared" ca="1" si="29"/>
        <v>591.99583333333339</v>
      </c>
      <c r="F121" s="177">
        <f t="shared" ca="1" si="29"/>
        <v>0</v>
      </c>
      <c r="G121" s="188">
        <f>'Customer Count'!C59</f>
        <v>155567.37275922927</v>
      </c>
      <c r="H121" s="177">
        <f t="shared" si="24"/>
        <v>1</v>
      </c>
      <c r="I121" s="177">
        <f t="shared" si="25"/>
        <v>31</v>
      </c>
      <c r="J121" s="177">
        <f t="shared" si="26"/>
        <v>0</v>
      </c>
      <c r="K121" s="177">
        <f t="shared" ca="1" si="27"/>
        <v>0</v>
      </c>
      <c r="L121" s="177">
        <f t="shared" ca="1" si="28"/>
        <v>0</v>
      </c>
      <c r="M121" s="59">
        <f>'Monthly Data'!CV121</f>
        <v>0</v>
      </c>
      <c r="N121" s="188">
        <f>'Res Predicted Monthly'!$AB$9</f>
        <v>-154534728.74811399</v>
      </c>
      <c r="O121" s="188">
        <f ca="1">E121*'Res Predicted Monthly'!$AB$10</f>
        <v>36342980.873934403</v>
      </c>
      <c r="P121" s="188">
        <f ca="1">F121*'Res Predicted Monthly'!$AB$11</f>
        <v>0</v>
      </c>
      <c r="Q121" s="188">
        <f>G121*'Res Predicted Monthly'!$AB$12</f>
        <v>153540035.774872</v>
      </c>
      <c r="R121" s="188">
        <f>H121*'Res Predicted Monthly'!$AB$13</f>
        <v>3702152.17603915</v>
      </c>
      <c r="S121" s="188">
        <f>I121*'Res Predicted Monthly'!$AB$14</f>
        <v>70054115.695287749</v>
      </c>
      <c r="T121" s="188">
        <f>J121*'Res Predicted Monthly'!$AB$15</f>
        <v>0</v>
      </c>
      <c r="U121" s="188">
        <f ca="1">K121*'Res Predicted Monthly'!$AB$16</f>
        <v>0</v>
      </c>
      <c r="V121" s="188">
        <f ca="1">L121*'Res Predicted Monthly'!$AB$17</f>
        <v>0</v>
      </c>
      <c r="W121" s="178">
        <f t="shared" ca="1" si="13"/>
        <v>109104555.77201933</v>
      </c>
    </row>
    <row r="122" spans="1:23" x14ac:dyDescent="0.2">
      <c r="A122" s="506">
        <f t="shared" si="21"/>
        <v>46388</v>
      </c>
      <c r="B122" s="59">
        <f t="shared" si="30"/>
        <v>2027</v>
      </c>
      <c r="C122" s="59">
        <f t="shared" si="31"/>
        <v>1</v>
      </c>
      <c r="D122" s="178"/>
      <c r="E122" s="177">
        <f t="shared" ca="1" si="29"/>
        <v>683.09489583333334</v>
      </c>
      <c r="F122" s="177">
        <f t="shared" ca="1" si="29"/>
        <v>0</v>
      </c>
      <c r="G122" s="188">
        <f>'Customer Count'!C60</f>
        <v>155676.31373919293</v>
      </c>
      <c r="H122" s="177">
        <f t="shared" si="24"/>
        <v>0</v>
      </c>
      <c r="I122" s="177">
        <f t="shared" si="25"/>
        <v>31</v>
      </c>
      <c r="J122" s="177">
        <f t="shared" si="26"/>
        <v>0</v>
      </c>
      <c r="K122" s="177">
        <f t="shared" ca="1" si="27"/>
        <v>0</v>
      </c>
      <c r="L122" s="177">
        <f t="shared" ca="1" si="28"/>
        <v>0</v>
      </c>
      <c r="M122" s="59">
        <f>'Monthly Data'!CV122</f>
        <v>0</v>
      </c>
      <c r="N122" s="188">
        <f>'Res Predicted Monthly'!$AB$9</f>
        <v>-154534728.74811399</v>
      </c>
      <c r="O122" s="188">
        <f ca="1">E122*'Res Predicted Monthly'!$AB$10</f>
        <v>41935607.20616509</v>
      </c>
      <c r="P122" s="188">
        <f ca="1">F122*'Res Predicted Monthly'!$AB$11</f>
        <v>0</v>
      </c>
      <c r="Q122" s="188">
        <f>G122*'Res Predicted Monthly'!$AB$12</f>
        <v>153647557.04790178</v>
      </c>
      <c r="R122" s="188">
        <f>H122*'Res Predicted Monthly'!$AB$13</f>
        <v>0</v>
      </c>
      <c r="S122" s="188">
        <f>I122*'Res Predicted Monthly'!$AB$14</f>
        <v>70054115.695287749</v>
      </c>
      <c r="T122" s="188">
        <f>J122*'Res Predicted Monthly'!$AB$15</f>
        <v>0</v>
      </c>
      <c r="U122" s="188">
        <f ca="1">K122*'Res Predicted Monthly'!$AB$16</f>
        <v>0</v>
      </c>
      <c r="V122" s="188">
        <f ca="1">L122*'Res Predicted Monthly'!$AB$17</f>
        <v>0</v>
      </c>
      <c r="W122" s="178">
        <f t="shared" ca="1" si="13"/>
        <v>111102551.20124063</v>
      </c>
    </row>
    <row r="123" spans="1:23" x14ac:dyDescent="0.2">
      <c r="A123" s="506">
        <f t="shared" si="21"/>
        <v>46419</v>
      </c>
      <c r="B123" s="59">
        <f t="shared" si="30"/>
        <v>2027</v>
      </c>
      <c r="C123" s="59">
        <f t="shared" si="31"/>
        <v>2</v>
      </c>
      <c r="D123" s="178"/>
      <c r="E123" s="177">
        <f t="shared" ca="1" si="29"/>
        <v>589.85491666666678</v>
      </c>
      <c r="F123" s="177">
        <f t="shared" ca="1" si="29"/>
        <v>0</v>
      </c>
      <c r="G123" s="188">
        <f>'Customer Count'!C61</f>
        <v>155785.33100852824</v>
      </c>
      <c r="H123" s="177">
        <f t="shared" si="24"/>
        <v>0</v>
      </c>
      <c r="I123" s="177">
        <f t="shared" si="25"/>
        <v>28</v>
      </c>
      <c r="J123" s="177">
        <f t="shared" si="26"/>
        <v>0</v>
      </c>
      <c r="K123" s="177">
        <f t="shared" ca="1" si="27"/>
        <v>0</v>
      </c>
      <c r="L123" s="177">
        <f t="shared" ca="1" si="28"/>
        <v>0</v>
      </c>
      <c r="M123" s="59">
        <f>'Monthly Data'!CV123</f>
        <v>0</v>
      </c>
      <c r="N123" s="188">
        <f>'Res Predicted Monthly'!$AB$9</f>
        <v>-154534728.74811399</v>
      </c>
      <c r="O123" s="188">
        <f ca="1">E123*'Res Predicted Monthly'!$AB$10</f>
        <v>36211548.709908441</v>
      </c>
      <c r="P123" s="188">
        <f ca="1">F123*'Res Predicted Monthly'!$AB$11</f>
        <v>0</v>
      </c>
      <c r="Q123" s="188">
        <f>G123*'Res Predicted Monthly'!$AB$12</f>
        <v>153755153.61610848</v>
      </c>
      <c r="R123" s="188">
        <f>H123*'Res Predicted Monthly'!$AB$13</f>
        <v>0</v>
      </c>
      <c r="S123" s="188">
        <f>I123*'Res Predicted Monthly'!$AB$14</f>
        <v>63274685.144130871</v>
      </c>
      <c r="T123" s="188">
        <f>J123*'Res Predicted Monthly'!$AB$15</f>
        <v>0</v>
      </c>
      <c r="U123" s="188">
        <f ca="1">K123*'Res Predicted Monthly'!$AB$16</f>
        <v>0</v>
      </c>
      <c r="V123" s="188">
        <f ca="1">L123*'Res Predicted Monthly'!$AB$17</f>
        <v>0</v>
      </c>
      <c r="W123" s="178">
        <f t="shared" ca="1" si="13"/>
        <v>98706658.722033799</v>
      </c>
    </row>
    <row r="124" spans="1:23" x14ac:dyDescent="0.2">
      <c r="A124" s="506">
        <f t="shared" si="21"/>
        <v>46447</v>
      </c>
      <c r="B124" s="59">
        <f t="shared" si="30"/>
        <v>2027</v>
      </c>
      <c r="C124" s="59">
        <f t="shared" si="31"/>
        <v>3</v>
      </c>
      <c r="D124" s="178"/>
      <c r="E124" s="177">
        <f t="shared" ca="1" si="29"/>
        <v>522.20004166666672</v>
      </c>
      <c r="F124" s="177">
        <f t="shared" ca="1" si="29"/>
        <v>0</v>
      </c>
      <c r="G124" s="188">
        <f>'Customer Count'!C62</f>
        <v>155894.42462065924</v>
      </c>
      <c r="H124" s="177">
        <f t="shared" si="24"/>
        <v>0</v>
      </c>
      <c r="I124" s="177">
        <f t="shared" si="25"/>
        <v>31</v>
      </c>
      <c r="J124" s="177">
        <f t="shared" si="26"/>
        <v>0</v>
      </c>
      <c r="K124" s="177">
        <f t="shared" ca="1" si="27"/>
        <v>0</v>
      </c>
      <c r="L124" s="177">
        <f t="shared" ca="1" si="28"/>
        <v>0</v>
      </c>
      <c r="M124" s="59">
        <f>'Monthly Data'!CV124</f>
        <v>0</v>
      </c>
      <c r="N124" s="188">
        <f>'Res Predicted Monthly'!$AB$9</f>
        <v>-154534728.74811399</v>
      </c>
      <c r="O124" s="188">
        <f ca="1">E124*'Res Predicted Monthly'!$AB$10</f>
        <v>32058175.172954902</v>
      </c>
      <c r="P124" s="188">
        <f ca="1">F124*'Res Predicted Monthly'!$AB$11</f>
        <v>0</v>
      </c>
      <c r="Q124" s="188">
        <f>G124*'Res Predicted Monthly'!$AB$12</f>
        <v>153862825.53221986</v>
      </c>
      <c r="R124" s="188">
        <f>H124*'Res Predicted Monthly'!$AB$13</f>
        <v>0</v>
      </c>
      <c r="S124" s="188">
        <f>I124*'Res Predicted Monthly'!$AB$14</f>
        <v>70054115.695287749</v>
      </c>
      <c r="T124" s="188">
        <f>J124*'Res Predicted Monthly'!$AB$15</f>
        <v>0</v>
      </c>
      <c r="U124" s="188">
        <f ca="1">K124*'Res Predicted Monthly'!$AB$16</f>
        <v>0</v>
      </c>
      <c r="V124" s="188">
        <f ca="1">L124*'Res Predicted Monthly'!$AB$17</f>
        <v>0</v>
      </c>
      <c r="W124" s="178">
        <f t="shared" ca="1" si="13"/>
        <v>101440387.65234852</v>
      </c>
    </row>
    <row r="125" spans="1:23" x14ac:dyDescent="0.2">
      <c r="A125" s="506">
        <f t="shared" si="21"/>
        <v>46478</v>
      </c>
      <c r="B125" s="59">
        <f t="shared" si="30"/>
        <v>2027</v>
      </c>
      <c r="C125" s="59">
        <f t="shared" si="31"/>
        <v>4</v>
      </c>
      <c r="D125" s="178"/>
      <c r="E125" s="177">
        <f t="shared" ca="1" si="29"/>
        <v>343.18302083333327</v>
      </c>
      <c r="F125" s="177">
        <f t="shared" ca="1" si="29"/>
        <v>6.5650000000000031</v>
      </c>
      <c r="G125" s="188">
        <f>'Customer Count'!C63</f>
        <v>156003.59462904738</v>
      </c>
      <c r="H125" s="177">
        <f t="shared" si="24"/>
        <v>0</v>
      </c>
      <c r="I125" s="177">
        <f t="shared" si="25"/>
        <v>30</v>
      </c>
      <c r="J125" s="177">
        <f t="shared" si="26"/>
        <v>0</v>
      </c>
      <c r="K125" s="177">
        <f t="shared" ca="1" si="27"/>
        <v>0</v>
      </c>
      <c r="L125" s="177">
        <f t="shared" ca="1" si="28"/>
        <v>0</v>
      </c>
      <c r="M125" s="59">
        <f>'Monthly Data'!CV125</f>
        <v>0</v>
      </c>
      <c r="N125" s="188">
        <f>'Res Predicted Monthly'!$AB$9</f>
        <v>-154534728.74811399</v>
      </c>
      <c r="O125" s="188">
        <f ca="1">E125*'Res Predicted Monthly'!$AB$10</f>
        <v>21068212.409836546</v>
      </c>
      <c r="P125" s="188">
        <f ca="1">F125*'Res Predicted Monthly'!$AB$11</f>
        <v>1864807.876633371</v>
      </c>
      <c r="Q125" s="188">
        <f>G125*'Res Predicted Monthly'!$AB$12</f>
        <v>153970572.84900075</v>
      </c>
      <c r="R125" s="188">
        <f>H125*'Res Predicted Monthly'!$AB$13</f>
        <v>0</v>
      </c>
      <c r="S125" s="188">
        <f>I125*'Res Predicted Monthly'!$AB$14</f>
        <v>67794305.5115688</v>
      </c>
      <c r="T125" s="188">
        <f>J125*'Res Predicted Monthly'!$AB$15</f>
        <v>0</v>
      </c>
      <c r="U125" s="188">
        <f ca="1">K125*'Res Predicted Monthly'!$AB$16</f>
        <v>0</v>
      </c>
      <c r="V125" s="188">
        <f ca="1">L125*'Res Predicted Monthly'!$AB$17</f>
        <v>0</v>
      </c>
      <c r="W125" s="178">
        <f t="shared" ca="1" si="13"/>
        <v>90163169.898925483</v>
      </c>
    </row>
    <row r="126" spans="1:23" x14ac:dyDescent="0.2">
      <c r="A126" s="506">
        <f t="shared" si="21"/>
        <v>46508</v>
      </c>
      <c r="B126" s="59">
        <f t="shared" si="30"/>
        <v>2027</v>
      </c>
      <c r="C126" s="59">
        <f t="shared" si="31"/>
        <v>5</v>
      </c>
      <c r="D126" s="178"/>
      <c r="E126" s="177">
        <f t="shared" ca="1" si="29"/>
        <v>146.15645833333332</v>
      </c>
      <c r="F126" s="177">
        <f t="shared" ca="1" si="29"/>
        <v>59.300416666666649</v>
      </c>
      <c r="G126" s="188">
        <f>'Customer Count'!C64</f>
        <v>156112.84108719157</v>
      </c>
      <c r="H126" s="177">
        <f t="shared" si="24"/>
        <v>0</v>
      </c>
      <c r="I126" s="177">
        <f t="shared" si="25"/>
        <v>31</v>
      </c>
      <c r="J126" s="177">
        <f t="shared" si="26"/>
        <v>1</v>
      </c>
      <c r="K126" s="177">
        <f t="shared" ca="1" si="27"/>
        <v>0</v>
      </c>
      <c r="L126" s="177">
        <f t="shared" ca="1" si="28"/>
        <v>0</v>
      </c>
      <c r="M126" s="59">
        <f>'Monthly Data'!CV126</f>
        <v>0</v>
      </c>
      <c r="N126" s="188">
        <f>'Res Predicted Monthly'!$AB$9</f>
        <v>-154534728.74811399</v>
      </c>
      <c r="O126" s="188">
        <f ca="1">E126*'Res Predicted Monthly'!$AB$10</f>
        <v>8972633.033414349</v>
      </c>
      <c r="P126" s="188">
        <f ca="1">F126*'Res Predicted Monthly'!$AB$11</f>
        <v>16844460.637873683</v>
      </c>
      <c r="Q126" s="188">
        <f>G126*'Res Predicted Monthly'!$AB$12</f>
        <v>154078395.61925283</v>
      </c>
      <c r="R126" s="188">
        <f>H126*'Res Predicted Monthly'!$AB$13</f>
        <v>0</v>
      </c>
      <c r="S126" s="188">
        <f>I126*'Res Predicted Monthly'!$AB$14</f>
        <v>70054115.695287749</v>
      </c>
      <c r="T126" s="188">
        <f>J126*'Res Predicted Monthly'!$AB$15</f>
        <v>-2784507.8509929599</v>
      </c>
      <c r="U126" s="188">
        <f ca="1">K126*'Res Predicted Monthly'!$AB$16</f>
        <v>0</v>
      </c>
      <c r="V126" s="188">
        <f ca="1">L126*'Res Predicted Monthly'!$AB$17</f>
        <v>0</v>
      </c>
      <c r="W126" s="178">
        <f t="shared" ca="1" si="13"/>
        <v>92630368.386721671</v>
      </c>
    </row>
    <row r="127" spans="1:23" x14ac:dyDescent="0.2">
      <c r="A127" s="506">
        <f t="shared" si="21"/>
        <v>46539</v>
      </c>
      <c r="B127" s="59">
        <f t="shared" si="30"/>
        <v>2027</v>
      </c>
      <c r="C127" s="59">
        <f t="shared" si="31"/>
        <v>6</v>
      </c>
      <c r="D127" s="178"/>
      <c r="E127" s="177">
        <f t="shared" ca="1" si="29"/>
        <v>29.335416666666674</v>
      </c>
      <c r="F127" s="177">
        <f t="shared" ca="1" si="29"/>
        <v>157.17000000000002</v>
      </c>
      <c r="G127" s="188">
        <f>'Customer Count'!C65</f>
        <v>156222.16404862818</v>
      </c>
      <c r="H127" s="177">
        <f t="shared" si="24"/>
        <v>0</v>
      </c>
      <c r="I127" s="177">
        <f t="shared" si="25"/>
        <v>30</v>
      </c>
      <c r="J127" s="177">
        <f t="shared" si="26"/>
        <v>1</v>
      </c>
      <c r="K127" s="177">
        <f t="shared" ca="1" si="27"/>
        <v>0</v>
      </c>
      <c r="L127" s="177">
        <f t="shared" ca="1" si="28"/>
        <v>0</v>
      </c>
      <c r="M127" s="59">
        <f>'Monthly Data'!CV127</f>
        <v>0</v>
      </c>
      <c r="N127" s="188">
        <f>'Res Predicted Monthly'!$AB$9</f>
        <v>-154534728.74811399</v>
      </c>
      <c r="O127" s="188">
        <f ca="1">E127*'Res Predicted Monthly'!$AB$10</f>
        <v>1800918.903166092</v>
      </c>
      <c r="P127" s="188">
        <f ca="1">F127*'Res Predicted Monthly'!$AB$11</f>
        <v>44644608.373262271</v>
      </c>
      <c r="Q127" s="188">
        <f>G127*'Res Predicted Monthly'!$AB$12</f>
        <v>154186293.89581478</v>
      </c>
      <c r="R127" s="188">
        <f>H127*'Res Predicted Monthly'!$AB$13</f>
        <v>0</v>
      </c>
      <c r="S127" s="188">
        <f>I127*'Res Predicted Monthly'!$AB$14</f>
        <v>67794305.5115688</v>
      </c>
      <c r="T127" s="188">
        <f>J127*'Res Predicted Monthly'!$AB$15</f>
        <v>-2784507.8509929599</v>
      </c>
      <c r="U127" s="188">
        <f ca="1">K127*'Res Predicted Monthly'!$AB$16</f>
        <v>0</v>
      </c>
      <c r="V127" s="188">
        <f ca="1">L127*'Res Predicted Monthly'!$AB$17</f>
        <v>0</v>
      </c>
      <c r="W127" s="178">
        <f t="shared" ca="1" si="13"/>
        <v>111106890.08470498</v>
      </c>
    </row>
    <row r="128" spans="1:23" x14ac:dyDescent="0.2">
      <c r="A128" s="506">
        <f t="shared" si="21"/>
        <v>46569</v>
      </c>
      <c r="B128" s="59">
        <f t="shared" si="30"/>
        <v>2027</v>
      </c>
      <c r="C128" s="59">
        <f t="shared" si="31"/>
        <v>7</v>
      </c>
      <c r="D128" s="178"/>
      <c r="E128" s="177">
        <f t="shared" ca="1" si="29"/>
        <v>1.6731249999999993</v>
      </c>
      <c r="F128" s="177">
        <f t="shared" ca="1" si="29"/>
        <v>231.27145833333333</v>
      </c>
      <c r="G128" s="188">
        <f>'Customer Count'!C66</f>
        <v>156331.56356693106</v>
      </c>
      <c r="H128" s="177">
        <f t="shared" si="24"/>
        <v>0</v>
      </c>
      <c r="I128" s="177">
        <f t="shared" si="25"/>
        <v>31</v>
      </c>
      <c r="J128" s="177">
        <f t="shared" si="26"/>
        <v>1</v>
      </c>
      <c r="K128" s="177">
        <f t="shared" ca="1" si="27"/>
        <v>0</v>
      </c>
      <c r="L128" s="177">
        <f t="shared" ca="1" si="28"/>
        <v>0</v>
      </c>
      <c r="M128" s="59">
        <f>'Monthly Data'!CV128</f>
        <v>0</v>
      </c>
      <c r="N128" s="188">
        <f>'Res Predicted Monthly'!$AB$9</f>
        <v>-154534728.74811399</v>
      </c>
      <c r="O128" s="188">
        <f ca="1">E128*'Res Predicted Monthly'!$AB$10</f>
        <v>102714.15177421259</v>
      </c>
      <c r="P128" s="188">
        <f ca="1">F128*'Res Predicted Monthly'!$AB$11</f>
        <v>65693349.145542458</v>
      </c>
      <c r="Q128" s="188">
        <f>G128*'Res Predicted Monthly'!$AB$12</f>
        <v>154294267.73156229</v>
      </c>
      <c r="R128" s="188">
        <f>H128*'Res Predicted Monthly'!$AB$13</f>
        <v>0</v>
      </c>
      <c r="S128" s="188">
        <f>I128*'Res Predicted Monthly'!$AB$14</f>
        <v>70054115.695287749</v>
      </c>
      <c r="T128" s="188">
        <f>J128*'Res Predicted Monthly'!$AB$15</f>
        <v>-2784507.8509929599</v>
      </c>
      <c r="U128" s="188">
        <f ca="1">K128*'Res Predicted Monthly'!$AB$16</f>
        <v>0</v>
      </c>
      <c r="V128" s="188">
        <f ca="1">L128*'Res Predicted Monthly'!$AB$17</f>
        <v>0</v>
      </c>
      <c r="W128" s="178">
        <f t="shared" ca="1" si="13"/>
        <v>132825210.12505974</v>
      </c>
    </row>
    <row r="129" spans="1:23" x14ac:dyDescent="0.2">
      <c r="A129" s="506">
        <f t="shared" si="21"/>
        <v>46600</v>
      </c>
      <c r="B129" s="59">
        <f t="shared" si="30"/>
        <v>2027</v>
      </c>
      <c r="C129" s="59">
        <f t="shared" si="31"/>
        <v>8</v>
      </c>
      <c r="D129" s="178"/>
      <c r="E129" s="177">
        <f t="shared" ca="1" si="29"/>
        <v>7.1606250000000005</v>
      </c>
      <c r="F129" s="177">
        <f t="shared" ca="1" si="29"/>
        <v>196.13625000000002</v>
      </c>
      <c r="G129" s="188">
        <f>'Customer Count'!C67</f>
        <v>156441.03969571157</v>
      </c>
      <c r="H129" s="177">
        <f t="shared" si="24"/>
        <v>0</v>
      </c>
      <c r="I129" s="177">
        <f t="shared" si="25"/>
        <v>31</v>
      </c>
      <c r="J129" s="177">
        <f t="shared" si="26"/>
        <v>1</v>
      </c>
      <c r="K129" s="177">
        <f t="shared" ca="1" si="27"/>
        <v>0</v>
      </c>
      <c r="L129" s="177">
        <f t="shared" ca="1" si="28"/>
        <v>0</v>
      </c>
      <c r="M129" s="59">
        <f>'Monthly Data'!CV129</f>
        <v>0</v>
      </c>
      <c r="N129" s="188">
        <f>'Res Predicted Monthly'!$AB$9</f>
        <v>-154534728.74811399</v>
      </c>
      <c r="O129" s="188">
        <f ca="1">E129*'Res Predicted Monthly'!$AB$10</f>
        <v>439595.08288276213</v>
      </c>
      <c r="P129" s="188">
        <f ca="1">F129*'Res Predicted Monthly'!$AB$11</f>
        <v>55713088.178725339</v>
      </c>
      <c r="Q129" s="188">
        <f>G129*'Res Predicted Monthly'!$AB$12</f>
        <v>154402317.17940807</v>
      </c>
      <c r="R129" s="188">
        <f>H129*'Res Predicted Monthly'!$AB$13</f>
        <v>0</v>
      </c>
      <c r="S129" s="188">
        <f>I129*'Res Predicted Monthly'!$AB$14</f>
        <v>70054115.695287749</v>
      </c>
      <c r="T129" s="188">
        <f>J129*'Res Predicted Monthly'!$AB$15</f>
        <v>-2784507.8509929599</v>
      </c>
      <c r="U129" s="188">
        <f ca="1">K129*'Res Predicted Monthly'!$AB$16</f>
        <v>0</v>
      </c>
      <c r="V129" s="188">
        <f ca="1">L129*'Res Predicted Monthly'!$AB$17</f>
        <v>0</v>
      </c>
      <c r="W129" s="178">
        <f t="shared" ca="1" si="13"/>
        <v>123289879.53719696</v>
      </c>
    </row>
    <row r="130" spans="1:23" x14ac:dyDescent="0.2">
      <c r="A130" s="506">
        <f t="shared" si="21"/>
        <v>46631</v>
      </c>
      <c r="B130" s="59">
        <f t="shared" si="30"/>
        <v>2027</v>
      </c>
      <c r="C130" s="59">
        <f t="shared" si="31"/>
        <v>9</v>
      </c>
      <c r="D130" s="178"/>
      <c r="E130" s="177">
        <f t="shared" ca="1" si="29"/>
        <v>56.160416666666663</v>
      </c>
      <c r="F130" s="177">
        <f t="shared" ca="1" si="29"/>
        <v>104.19854166666664</v>
      </c>
      <c r="G130" s="188">
        <f>'Customer Count'!C68</f>
        <v>156550.59248861863</v>
      </c>
      <c r="H130" s="177">
        <f t="shared" si="24"/>
        <v>0</v>
      </c>
      <c r="I130" s="177">
        <f t="shared" si="25"/>
        <v>30</v>
      </c>
      <c r="J130" s="177">
        <f t="shared" si="26"/>
        <v>0</v>
      </c>
      <c r="K130" s="177">
        <f t="shared" ca="1" si="27"/>
        <v>0</v>
      </c>
      <c r="L130" s="177">
        <f t="shared" ca="1" si="28"/>
        <v>0</v>
      </c>
      <c r="M130" s="59">
        <f>'Monthly Data'!CV130</f>
        <v>0</v>
      </c>
      <c r="N130" s="188">
        <f>'Res Predicted Monthly'!$AB$9</f>
        <v>-154534728.74811399</v>
      </c>
      <c r="O130" s="188">
        <f ca="1">E130*'Res Predicted Monthly'!$AB$10</f>
        <v>3447721.8146898891</v>
      </c>
      <c r="P130" s="188">
        <f ca="1">F130*'Res Predicted Monthly'!$AB$11</f>
        <v>29597907.270938363</v>
      </c>
      <c r="Q130" s="188">
        <f>G130*'Res Predicted Monthly'!$AB$12</f>
        <v>154510442.29230189</v>
      </c>
      <c r="R130" s="188">
        <f>H130*'Res Predicted Monthly'!$AB$13</f>
        <v>0</v>
      </c>
      <c r="S130" s="188">
        <f>I130*'Res Predicted Monthly'!$AB$14</f>
        <v>67794305.5115688</v>
      </c>
      <c r="T130" s="188">
        <f>J130*'Res Predicted Monthly'!$AB$15</f>
        <v>0</v>
      </c>
      <c r="U130" s="188">
        <f ca="1">K130*'Res Predicted Monthly'!$AB$16</f>
        <v>0</v>
      </c>
      <c r="V130" s="188">
        <f ca="1">L130*'Res Predicted Monthly'!$AB$17</f>
        <v>0</v>
      </c>
      <c r="W130" s="178">
        <f t="shared" ca="1" si="13"/>
        <v>100815648.14138494</v>
      </c>
    </row>
    <row r="131" spans="1:23" x14ac:dyDescent="0.2">
      <c r="A131" s="506">
        <f t="shared" si="21"/>
        <v>46661</v>
      </c>
      <c r="B131" s="59">
        <f t="shared" si="30"/>
        <v>2027</v>
      </c>
      <c r="C131" s="59">
        <f t="shared" si="31"/>
        <v>10</v>
      </c>
      <c r="D131" s="178"/>
      <c r="E131" s="177">
        <f t="shared" ca="1" si="29"/>
        <v>229.16187499999995</v>
      </c>
      <c r="F131" s="177">
        <f t="shared" ca="1" si="29"/>
        <v>24.703125000000007</v>
      </c>
      <c r="G131" s="188">
        <f>'Customer Count'!C69</f>
        <v>156660.22199933871</v>
      </c>
      <c r="H131" s="177">
        <f t="shared" si="24"/>
        <v>0</v>
      </c>
      <c r="I131" s="177">
        <f t="shared" si="25"/>
        <v>31</v>
      </c>
      <c r="J131" s="177">
        <f t="shared" si="26"/>
        <v>0</v>
      </c>
      <c r="K131" s="177">
        <f t="shared" ca="1" si="27"/>
        <v>0</v>
      </c>
      <c r="L131" s="177">
        <f t="shared" ca="1" si="28"/>
        <v>0</v>
      </c>
      <c r="M131" s="59">
        <f>'Monthly Data'!CV131</f>
        <v>0</v>
      </c>
      <c r="N131" s="188">
        <f>'Res Predicted Monthly'!$AB$9</f>
        <v>-154534728.74811399</v>
      </c>
      <c r="O131" s="188">
        <f ca="1">E131*'Res Predicted Monthly'!$AB$10</f>
        <v>14068385.571677633</v>
      </c>
      <c r="P131" s="188">
        <f ca="1">F131*'Res Predicted Monthly'!$AB$11</f>
        <v>7016996.5083714752</v>
      </c>
      <c r="Q131" s="188">
        <f>G131*'Res Predicted Monthly'!$AB$12</f>
        <v>154618643.12323061</v>
      </c>
      <c r="R131" s="188">
        <f>H131*'Res Predicted Monthly'!$AB$13</f>
        <v>0</v>
      </c>
      <c r="S131" s="188">
        <f>I131*'Res Predicted Monthly'!$AB$14</f>
        <v>70054115.695287749</v>
      </c>
      <c r="T131" s="188">
        <f>J131*'Res Predicted Monthly'!$AB$15</f>
        <v>0</v>
      </c>
      <c r="U131" s="188">
        <f ca="1">K131*'Res Predicted Monthly'!$AB$16</f>
        <v>0</v>
      </c>
      <c r="V131" s="188">
        <f ca="1">L131*'Res Predicted Monthly'!$AB$17</f>
        <v>0</v>
      </c>
      <c r="W131" s="178">
        <f ca="1">SUM(N131:V131)</f>
        <v>91223412.150453463</v>
      </c>
    </row>
    <row r="132" spans="1:23" x14ac:dyDescent="0.2">
      <c r="A132" s="506">
        <f t="shared" si="21"/>
        <v>46692</v>
      </c>
      <c r="B132" s="59">
        <f t="shared" si="30"/>
        <v>2027</v>
      </c>
      <c r="C132" s="59">
        <f t="shared" si="31"/>
        <v>11</v>
      </c>
      <c r="D132" s="178"/>
      <c r="E132" s="177">
        <f t="shared" ca="1" si="29"/>
        <v>422.06333333333333</v>
      </c>
      <c r="F132" s="177">
        <f t="shared" ca="1" si="29"/>
        <v>1.6454166666666665</v>
      </c>
      <c r="G132" s="188">
        <f>'Customer Count'!C70</f>
        <v>156769.9282815959</v>
      </c>
      <c r="H132" s="177">
        <f t="shared" si="24"/>
        <v>0</v>
      </c>
      <c r="I132" s="177">
        <f t="shared" si="25"/>
        <v>30</v>
      </c>
      <c r="J132" s="177">
        <f t="shared" si="26"/>
        <v>0</v>
      </c>
      <c r="K132" s="177">
        <f t="shared" ca="1" si="27"/>
        <v>0</v>
      </c>
      <c r="L132" s="177">
        <f t="shared" ca="1" si="28"/>
        <v>0</v>
      </c>
      <c r="M132" s="59">
        <f>'Monthly Data'!CV132</f>
        <v>0</v>
      </c>
      <c r="N132" s="188">
        <f>'Res Predicted Monthly'!$AB$9</f>
        <v>-154534728.74811399</v>
      </c>
      <c r="O132" s="188">
        <f ca="1">E132*'Res Predicted Monthly'!$AB$10</f>
        <v>25910722.318015747</v>
      </c>
      <c r="P132" s="188">
        <f ca="1">F132*'Res Predicted Monthly'!$AB$11</f>
        <v>467385.52328161825</v>
      </c>
      <c r="Q132" s="188">
        <f>G132*'Res Predicted Monthly'!$AB$12</f>
        <v>154726919.72521815</v>
      </c>
      <c r="R132" s="188">
        <f>H132*'Res Predicted Monthly'!$AB$13</f>
        <v>0</v>
      </c>
      <c r="S132" s="188">
        <f>I132*'Res Predicted Monthly'!$AB$14</f>
        <v>67794305.5115688</v>
      </c>
      <c r="T132" s="188">
        <f>J132*'Res Predicted Monthly'!$AB$15</f>
        <v>0</v>
      </c>
      <c r="U132" s="188">
        <f ca="1">K132*'Res Predicted Monthly'!$AB$16</f>
        <v>0</v>
      </c>
      <c r="V132" s="188">
        <f ca="1">L132*'Res Predicted Monthly'!$AB$17</f>
        <v>0</v>
      </c>
      <c r="W132" s="178">
        <f ca="1">SUM(N132:V132)</f>
        <v>94364604.32997033</v>
      </c>
    </row>
    <row r="133" spans="1:23" x14ac:dyDescent="0.2">
      <c r="A133" s="506">
        <f t="shared" si="21"/>
        <v>46722</v>
      </c>
      <c r="B133" s="59">
        <f t="shared" si="30"/>
        <v>2027</v>
      </c>
      <c r="C133" s="59">
        <f t="shared" si="31"/>
        <v>12</v>
      </c>
      <c r="D133" s="178"/>
      <c r="E133" s="177">
        <f t="shared" ca="1" si="29"/>
        <v>591.99583333333339</v>
      </c>
      <c r="F133" s="177">
        <f t="shared" ca="1" si="29"/>
        <v>0</v>
      </c>
      <c r="G133" s="188">
        <f>'Customer Count'!C71</f>
        <v>156879.7113891519</v>
      </c>
      <c r="H133" s="177">
        <f t="shared" si="24"/>
        <v>1</v>
      </c>
      <c r="I133" s="177">
        <f t="shared" si="25"/>
        <v>31</v>
      </c>
      <c r="J133" s="177">
        <f t="shared" si="26"/>
        <v>0</v>
      </c>
      <c r="K133" s="177">
        <f t="shared" ca="1" si="27"/>
        <v>0</v>
      </c>
      <c r="L133" s="177">
        <f t="shared" ca="1" si="28"/>
        <v>0</v>
      </c>
      <c r="M133" s="59">
        <f>'Monthly Data'!CV133</f>
        <v>0</v>
      </c>
      <c r="N133" s="188">
        <f>'Res Predicted Monthly'!$AB$9</f>
        <v>-154534728.74811399</v>
      </c>
      <c r="O133" s="188">
        <f ca="1">E133*'Res Predicted Monthly'!$AB$10</f>
        <v>36342980.873934403</v>
      </c>
      <c r="P133" s="188">
        <f ca="1">F133*'Res Predicted Monthly'!$AB$11</f>
        <v>0</v>
      </c>
      <c r="Q133" s="188">
        <f>G133*'Res Predicted Monthly'!$AB$12</f>
        <v>154835272.15132558</v>
      </c>
      <c r="R133" s="188">
        <f>H133*'Res Predicted Monthly'!$AB$13</f>
        <v>3702152.17603915</v>
      </c>
      <c r="S133" s="188">
        <f>I133*'Res Predicted Monthly'!$AB$14</f>
        <v>70054115.695287749</v>
      </c>
      <c r="T133" s="188">
        <f>J133*'Res Predicted Monthly'!$AB$15</f>
        <v>0</v>
      </c>
      <c r="U133" s="188">
        <f ca="1">K133*'Res Predicted Monthly'!$AB$16</f>
        <v>0</v>
      </c>
      <c r="V133" s="188">
        <f ca="1">L133*'Res Predicted Monthly'!$AB$17</f>
        <v>0</v>
      </c>
      <c r="W133" s="178">
        <f ca="1">SUM(N133:V133)</f>
        <v>110399792.14847291</v>
      </c>
    </row>
    <row r="134" spans="1:23" x14ac:dyDescent="0.2">
      <c r="A134" s="8"/>
      <c r="E134" s="177"/>
      <c r="F134" s="177"/>
      <c r="G134" s="291"/>
      <c r="I134" s="21"/>
      <c r="J134" s="21"/>
      <c r="K134" s="21"/>
      <c r="L134" s="21"/>
      <c r="N134" s="11"/>
      <c r="O134" s="11"/>
      <c r="P134" s="11"/>
      <c r="Q134" s="11"/>
      <c r="R134" s="11"/>
      <c r="S134" s="11"/>
      <c r="T134" s="11"/>
      <c r="U134" s="11"/>
      <c r="V134" s="11"/>
      <c r="W134" s="18"/>
    </row>
    <row r="135" spans="1:23" x14ac:dyDescent="0.2">
      <c r="A135" s="8"/>
      <c r="E135" s="177"/>
      <c r="F135" s="177"/>
      <c r="G135" s="291"/>
      <c r="I135" s="21"/>
      <c r="J135" s="21"/>
      <c r="K135" s="21"/>
      <c r="L135" s="21"/>
      <c r="N135" s="11"/>
      <c r="O135" s="11"/>
      <c r="P135" s="11"/>
      <c r="Q135" s="11"/>
      <c r="R135" s="11"/>
      <c r="S135" s="11"/>
      <c r="T135" s="11"/>
      <c r="U135" s="11"/>
      <c r="V135" s="11"/>
      <c r="W135" s="18"/>
    </row>
    <row r="136" spans="1:23" x14ac:dyDescent="0.2">
      <c r="A136" s="8"/>
      <c r="E136" s="177"/>
      <c r="F136" s="177"/>
      <c r="G136" s="291"/>
      <c r="I136" s="21"/>
      <c r="J136" s="21"/>
      <c r="K136" s="21"/>
      <c r="L136" s="21"/>
      <c r="N136" s="11"/>
      <c r="O136" s="11"/>
      <c r="P136" s="11"/>
      <c r="Q136" s="11"/>
      <c r="R136" s="11"/>
      <c r="S136" s="11"/>
      <c r="T136" s="11"/>
      <c r="U136" s="11"/>
      <c r="V136" s="11"/>
      <c r="W136" s="18"/>
    </row>
    <row r="137" spans="1:23" x14ac:dyDescent="0.2">
      <c r="A137" s="8"/>
      <c r="E137" s="177"/>
      <c r="F137" s="177"/>
      <c r="G137" s="291"/>
      <c r="I137" s="21"/>
      <c r="J137" s="21"/>
      <c r="K137" s="21"/>
      <c r="L137" s="21"/>
      <c r="N137" s="11"/>
      <c r="O137" s="11"/>
      <c r="P137" s="11"/>
      <c r="Q137" s="11"/>
      <c r="R137" s="11"/>
      <c r="S137" s="11"/>
      <c r="T137" s="11"/>
      <c r="U137" s="11"/>
      <c r="V137" s="11"/>
      <c r="W137" s="18"/>
    </row>
    <row r="138" spans="1:23" x14ac:dyDescent="0.2">
      <c r="A138" s="8"/>
      <c r="E138" s="177"/>
      <c r="F138" s="177"/>
      <c r="G138" s="291"/>
      <c r="I138" s="21"/>
      <c r="J138" s="21"/>
      <c r="K138" s="21"/>
      <c r="L138" s="21"/>
      <c r="N138" s="11"/>
      <c r="O138" s="11"/>
      <c r="P138" s="11"/>
      <c r="Q138" s="11"/>
      <c r="R138" s="11"/>
      <c r="S138" s="11"/>
      <c r="T138" s="11"/>
      <c r="U138" s="11"/>
      <c r="V138" s="11"/>
      <c r="W138" s="18"/>
    </row>
    <row r="139" spans="1:23" x14ac:dyDescent="0.2">
      <c r="A139" s="8"/>
      <c r="E139" s="177"/>
      <c r="F139" s="177"/>
      <c r="G139" s="291"/>
      <c r="I139" s="21"/>
      <c r="J139" s="21"/>
      <c r="K139" s="21"/>
      <c r="L139" s="21"/>
      <c r="N139" s="11"/>
      <c r="O139" s="11"/>
      <c r="P139" s="11"/>
      <c r="Q139" s="11"/>
      <c r="R139" s="11"/>
      <c r="S139" s="11"/>
      <c r="T139" s="11"/>
      <c r="U139" s="11"/>
      <c r="V139" s="11"/>
      <c r="W139" s="18"/>
    </row>
    <row r="140" spans="1:23" x14ac:dyDescent="0.2">
      <c r="A140" s="8"/>
      <c r="E140" s="177"/>
      <c r="F140" s="177"/>
      <c r="G140" s="291"/>
      <c r="I140" s="21"/>
      <c r="J140" s="21"/>
      <c r="K140" s="21"/>
      <c r="L140" s="21"/>
      <c r="N140" s="11"/>
      <c r="O140" s="11"/>
      <c r="P140" s="11"/>
      <c r="Q140" s="11"/>
      <c r="R140" s="11"/>
      <c r="S140" s="11"/>
      <c r="T140" s="11"/>
      <c r="U140" s="11"/>
      <c r="V140" s="11"/>
      <c r="W140" s="18"/>
    </row>
    <row r="141" spans="1:23" x14ac:dyDescent="0.2">
      <c r="A141" s="8"/>
      <c r="E141" s="177"/>
      <c r="F141" s="177"/>
      <c r="G141" s="291"/>
      <c r="I141" s="21"/>
      <c r="J141" s="21"/>
      <c r="K141" s="21"/>
      <c r="L141" s="21"/>
      <c r="N141" s="11"/>
      <c r="O141" s="11"/>
      <c r="P141" s="11"/>
      <c r="Q141" s="11"/>
      <c r="R141" s="11"/>
      <c r="S141" s="11"/>
      <c r="T141" s="11"/>
      <c r="U141" s="11"/>
      <c r="V141" s="11"/>
      <c r="W141" s="18"/>
    </row>
    <row r="142" spans="1:23" x14ac:dyDescent="0.2">
      <c r="A142" s="8"/>
      <c r="E142" s="177"/>
      <c r="F142" s="177"/>
      <c r="G142" s="291"/>
      <c r="I142" s="21"/>
      <c r="J142" s="21"/>
      <c r="K142" s="21"/>
      <c r="L142" s="21"/>
      <c r="N142" s="11"/>
      <c r="O142" s="11"/>
      <c r="P142" s="11"/>
      <c r="Q142" s="11"/>
      <c r="R142" s="11"/>
      <c r="S142" s="11"/>
      <c r="T142" s="11"/>
      <c r="U142" s="11"/>
      <c r="V142" s="11"/>
      <c r="W142" s="18"/>
    </row>
    <row r="143" spans="1:23" x14ac:dyDescent="0.2">
      <c r="A143" s="8"/>
      <c r="E143" s="177"/>
      <c r="F143" s="177"/>
      <c r="G143" s="291"/>
      <c r="I143" s="21"/>
      <c r="J143" s="21"/>
      <c r="K143" s="21"/>
      <c r="L143" s="21"/>
      <c r="N143" s="11"/>
      <c r="O143" s="11"/>
      <c r="P143" s="11"/>
      <c r="Q143" s="11"/>
      <c r="R143" s="11"/>
      <c r="S143" s="11"/>
      <c r="T143" s="11"/>
      <c r="U143" s="11"/>
      <c r="V143" s="11"/>
      <c r="W143" s="18"/>
    </row>
    <row r="144" spans="1:23" x14ac:dyDescent="0.2">
      <c r="A144" s="8"/>
      <c r="E144" s="177"/>
      <c r="F144" s="177"/>
      <c r="G144" s="291"/>
      <c r="I144" s="21"/>
      <c r="J144" s="21"/>
      <c r="K144" s="21"/>
      <c r="L144" s="21"/>
      <c r="N144" s="11"/>
      <c r="O144" s="11"/>
      <c r="P144" s="11"/>
      <c r="Q144" s="11"/>
      <c r="R144" s="11"/>
      <c r="S144" s="11"/>
      <c r="T144" s="11"/>
      <c r="U144" s="11"/>
      <c r="V144" s="11"/>
      <c r="W144" s="18"/>
    </row>
    <row r="145" spans="1:23" x14ac:dyDescent="0.2">
      <c r="A145" s="8"/>
      <c r="E145" s="177"/>
      <c r="F145" s="177"/>
      <c r="G145" s="291"/>
      <c r="I145" s="21"/>
      <c r="J145" s="21"/>
      <c r="K145" s="21"/>
      <c r="L145" s="21"/>
      <c r="N145" s="11"/>
      <c r="O145" s="11"/>
      <c r="P145" s="11"/>
      <c r="Q145" s="11"/>
      <c r="R145" s="11"/>
      <c r="S145" s="11"/>
      <c r="T145" s="11"/>
      <c r="U145" s="11"/>
      <c r="V145" s="11"/>
      <c r="W145" s="18"/>
    </row>
    <row r="194" spans="1:23" x14ac:dyDescent="0.2">
      <c r="A194" s="8"/>
      <c r="E194" s="21"/>
      <c r="F194" s="21"/>
      <c r="G194" s="11"/>
      <c r="I194" s="21"/>
      <c r="J194" s="21"/>
      <c r="K194" s="21"/>
      <c r="L194" s="21"/>
      <c r="Q194" s="20"/>
      <c r="S194" s="20"/>
      <c r="T194" s="20"/>
      <c r="U194" s="20"/>
      <c r="V194" s="20"/>
      <c r="W194" s="18"/>
    </row>
    <row r="196" spans="1:23" x14ac:dyDescent="0.2">
      <c r="G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x14ac:dyDescent="0.2">
      <c r="G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x14ac:dyDescent="0.2">
      <c r="G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x14ac:dyDescent="0.2">
      <c r="G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x14ac:dyDescent="0.2">
      <c r="G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x14ac:dyDescent="0.2">
      <c r="G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x14ac:dyDescent="0.2">
      <c r="G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x14ac:dyDescent="0.2">
      <c r="G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5" spans="1:23" x14ac:dyDescent="0.2">
      <c r="N205" s="19"/>
      <c r="O205" s="19"/>
      <c r="P205" s="19"/>
      <c r="Q205" s="19"/>
      <c r="R205" s="19"/>
      <c r="S205" s="19"/>
      <c r="T205" s="19"/>
      <c r="U205" s="19"/>
      <c r="V205" s="19"/>
      <c r="W205" s="19"/>
    </row>
  </sheetData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5"/>
  <dimension ref="A1:W204"/>
  <sheetViews>
    <sheetView workbookViewId="0">
      <pane ySplit="1" topLeftCell="A105" activePane="bottomLeft" state="frozen"/>
      <selection activeCell="M13" sqref="M13"/>
      <selection pane="bottomLeft" activeCell="G121" sqref="G121"/>
    </sheetView>
  </sheetViews>
  <sheetFormatPr defaultColWidth="9.33203125" defaultRowHeight="12.75" x14ac:dyDescent="0.2"/>
  <cols>
    <col min="1" max="1" width="10.33203125" bestFit="1" customWidth="1"/>
    <col min="2" max="3" width="9.5" bestFit="1" customWidth="1"/>
    <col min="4" max="4" width="17.5" customWidth="1"/>
    <col min="5" max="6" width="9.5" bestFit="1" customWidth="1"/>
    <col min="7" max="7" width="12.1640625" style="11" customWidth="1"/>
    <col min="8" max="8" width="10.6640625" customWidth="1"/>
    <col min="9" max="9" width="11.33203125" bestFit="1" customWidth="1"/>
    <col min="10" max="10" width="9.5" bestFit="1" customWidth="1"/>
    <col min="12" max="12" width="14.83203125" bestFit="1" customWidth="1"/>
    <col min="13" max="14" width="12.83203125" bestFit="1" customWidth="1"/>
    <col min="15" max="15" width="13.83203125" bestFit="1" customWidth="1"/>
    <col min="16" max="16" width="12.83203125" bestFit="1" customWidth="1"/>
    <col min="17" max="18" width="12.5" customWidth="1"/>
    <col min="19" max="19" width="14.33203125" bestFit="1" customWidth="1"/>
    <col min="21" max="21" width="13.83203125" bestFit="1" customWidth="1"/>
    <col min="22" max="22" width="14.83203125" bestFit="1" customWidth="1"/>
  </cols>
  <sheetData>
    <row r="1" spans="1:19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Data'!J1</f>
        <v>GS_lt_50_NoCDM</v>
      </c>
      <c r="E1" s="181" t="str">
        <f>'Monthly Data'!BJ1</f>
        <v>HDD14</v>
      </c>
      <c r="F1" s="181" t="str">
        <f>'Monthly Data'!BK1</f>
        <v>CDD14</v>
      </c>
      <c r="G1" s="182" t="str">
        <f>'Monthly Data'!CV1</f>
        <v>COVID_AM</v>
      </c>
      <c r="H1" s="181" t="str">
        <f>'Monthly Data'!CS1</f>
        <v>Month Days</v>
      </c>
      <c r="I1" s="180" t="str">
        <f>'Monthly Data'!AO1</f>
        <v>OEA_GDP</v>
      </c>
      <c r="J1" s="181" t="str">
        <f>'Monthly Data'!BT1</f>
        <v>Mar</v>
      </c>
      <c r="L1" s="181" t="s">
        <v>65</v>
      </c>
      <c r="M1" s="181" t="str">
        <f t="shared" ref="M1:R1" si="0">E1</f>
        <v>HDD14</v>
      </c>
      <c r="N1" s="181" t="str">
        <f t="shared" si="0"/>
        <v>CDD14</v>
      </c>
      <c r="O1" s="181" t="str">
        <f t="shared" si="0"/>
        <v>COVID_AM</v>
      </c>
      <c r="P1" s="181" t="str">
        <f t="shared" si="0"/>
        <v>Month Days</v>
      </c>
      <c r="Q1" s="181" t="str">
        <f t="shared" si="0"/>
        <v>OEA_GDP</v>
      </c>
      <c r="R1" s="181" t="str">
        <f t="shared" si="0"/>
        <v>Mar</v>
      </c>
      <c r="S1" s="171" t="s">
        <v>373</v>
      </c>
    </row>
    <row r="2" spans="1:19" x14ac:dyDescent="0.2">
      <c r="A2" s="8">
        <f>'Monthly Data'!A2</f>
        <v>42736</v>
      </c>
      <c r="B2">
        <f>YEAR(A2)</f>
        <v>2017</v>
      </c>
      <c r="C2">
        <f>MONTH(A2)</f>
        <v>1</v>
      </c>
      <c r="D2" s="18">
        <f>'Monthly Data'!J2</f>
        <v>34683049.001843154</v>
      </c>
      <c r="E2" s="21">
        <f ca="1">Weather!BQ34</f>
        <v>566.30416666666667</v>
      </c>
      <c r="F2" s="21">
        <f ca="1">Weather!BR34</f>
        <v>0</v>
      </c>
      <c r="G2" s="211">
        <f>'Monthly Data'!CV2</f>
        <v>0</v>
      </c>
      <c r="H2" s="7">
        <f>'Monthly Data'!CS2</f>
        <v>31</v>
      </c>
      <c r="I2" s="19">
        <f>'Monthly Data'!AO2</f>
        <v>756670</v>
      </c>
      <c r="J2" s="19">
        <f>'Monthly Data'!BT2</f>
        <v>0</v>
      </c>
      <c r="L2" s="11">
        <f>'GS&lt;50 Predicted Monthly'!$X$8</f>
        <v>-13592432.544671699</v>
      </c>
      <c r="M2" s="11">
        <f ca="1">E2*'GS&lt;50 Predicted Monthly'!$X$9</f>
        <v>7823922.1603318686</v>
      </c>
      <c r="N2" s="11">
        <f ca="1">F2*'GS&lt;50 Predicted Monthly'!$X$10</f>
        <v>0</v>
      </c>
      <c r="O2" s="11">
        <f>G2*'GS&lt;50 Predicted Monthly'!$X$11</f>
        <v>0</v>
      </c>
      <c r="P2" s="11">
        <f>H2*'GS&lt;50 Predicted Monthly'!$X$12</f>
        <v>20753533.272940867</v>
      </c>
      <c r="Q2" s="11">
        <f>I2*'GS&lt;50 Predicted Monthly'!$X$13</f>
        <v>19746829.39868528</v>
      </c>
      <c r="R2" s="11">
        <f>J2*'GS&lt;50 Predicted Monthly'!$X$14</f>
        <v>0</v>
      </c>
      <c r="S2" s="13">
        <f ca="1">SUM(L2:R2)</f>
        <v>34731852.287286311</v>
      </c>
    </row>
    <row r="3" spans="1:19" x14ac:dyDescent="0.2">
      <c r="A3" s="8">
        <f>'Monthly Data'!A3</f>
        <v>42767</v>
      </c>
      <c r="B3">
        <f>YEAR(A3)</f>
        <v>2017</v>
      </c>
      <c r="C3">
        <f>MONTH(A3)</f>
        <v>2</v>
      </c>
      <c r="D3" s="18">
        <f>'Monthly Data'!J3</f>
        <v>31630788.735422239</v>
      </c>
      <c r="E3" s="21">
        <f ca="1">Weather!BQ35</f>
        <v>483.54541666666665</v>
      </c>
      <c r="F3" s="21">
        <f ca="1">Weather!BR35</f>
        <v>0</v>
      </c>
      <c r="G3" s="211">
        <f>'Monthly Data'!CV3</f>
        <v>0</v>
      </c>
      <c r="H3" s="7">
        <f>'Monthly Data'!CS3</f>
        <v>28</v>
      </c>
      <c r="I3" s="19">
        <f>'Monthly Data'!AO3</f>
        <v>756670</v>
      </c>
      <c r="J3" s="19">
        <f>'Monthly Data'!BT3</f>
        <v>0</v>
      </c>
      <c r="L3" s="11">
        <f>'GS&lt;50 Predicted Monthly'!$X$8</f>
        <v>-13592432.544671699</v>
      </c>
      <c r="M3" s="11">
        <f ca="1">E3*'GS&lt;50 Predicted Monthly'!$X$9</f>
        <v>6680547.1752993288</v>
      </c>
      <c r="N3" s="11">
        <f ca="1">F3*'GS&lt;50 Predicted Monthly'!$X$10</f>
        <v>0</v>
      </c>
      <c r="O3" s="11">
        <f>G3*'GS&lt;50 Predicted Monthly'!$X$11</f>
        <v>0</v>
      </c>
      <c r="P3" s="11">
        <f>H3*'GS&lt;50 Predicted Monthly'!$X$12</f>
        <v>18745126.827172395</v>
      </c>
      <c r="Q3" s="11">
        <f>I3*'GS&lt;50 Predicted Monthly'!$X$13</f>
        <v>19746829.39868528</v>
      </c>
      <c r="R3" s="11">
        <f>J3*'GS&lt;50 Predicted Monthly'!$X$14</f>
        <v>0</v>
      </c>
      <c r="S3" s="13">
        <f t="shared" ref="S3:S66" ca="1" si="1">SUM(L3:R3)</f>
        <v>31580070.856485303</v>
      </c>
    </row>
    <row r="4" spans="1:19" x14ac:dyDescent="0.2">
      <c r="A4" s="8">
        <f>'Monthly Data'!A4</f>
        <v>42795</v>
      </c>
      <c r="B4">
        <f>YEAR(A4)</f>
        <v>2017</v>
      </c>
      <c r="C4">
        <f>MONTH(A4)</f>
        <v>3</v>
      </c>
      <c r="D4" s="18">
        <f>'Monthly Data'!J4</f>
        <v>33721872.46900133</v>
      </c>
      <c r="E4" s="21">
        <f ca="1">Weather!BQ36</f>
        <v>393.96333333333331</v>
      </c>
      <c r="F4" s="21">
        <f ca="1">Weather!BR36</f>
        <v>0</v>
      </c>
      <c r="G4" s="211">
        <f>'Monthly Data'!CV4</f>
        <v>0</v>
      </c>
      <c r="H4" s="7">
        <f>'Monthly Data'!CS4</f>
        <v>31</v>
      </c>
      <c r="I4" s="19">
        <f>'Monthly Data'!AO4</f>
        <v>756670</v>
      </c>
      <c r="J4" s="19">
        <f>'Monthly Data'!BT4</f>
        <v>1</v>
      </c>
      <c r="L4" s="11">
        <f>'GS&lt;50 Predicted Monthly'!$X$8</f>
        <v>-13592432.544671699</v>
      </c>
      <c r="M4" s="11">
        <f ca="1">E4*'GS&lt;50 Predicted Monthly'!$X$9</f>
        <v>5442902.6580678122</v>
      </c>
      <c r="N4" s="11">
        <f ca="1">F4*'GS&lt;50 Predicted Monthly'!$X$10</f>
        <v>0</v>
      </c>
      <c r="O4" s="11">
        <f>G4*'GS&lt;50 Predicted Monthly'!$X$11</f>
        <v>0</v>
      </c>
      <c r="P4" s="11">
        <f>H4*'GS&lt;50 Predicted Monthly'!$X$12</f>
        <v>20753533.272940867</v>
      </c>
      <c r="Q4" s="11">
        <f>I4*'GS&lt;50 Predicted Monthly'!$X$13</f>
        <v>19746829.39868528</v>
      </c>
      <c r="R4" s="11">
        <f>J4*'GS&lt;50 Predicted Monthly'!$X$14</f>
        <v>522033.18159628101</v>
      </c>
      <c r="S4" s="13">
        <f t="shared" ca="1" si="1"/>
        <v>32872865.966618538</v>
      </c>
    </row>
    <row r="5" spans="1:19" x14ac:dyDescent="0.2">
      <c r="A5" s="8">
        <f>'Monthly Data'!A5</f>
        <v>42826</v>
      </c>
      <c r="B5">
        <f>YEAR(A5)</f>
        <v>2017</v>
      </c>
      <c r="C5">
        <f>MONTH(A5)</f>
        <v>4</v>
      </c>
      <c r="D5" s="18">
        <f>'Monthly Data'!J5</f>
        <v>29000476.202580415</v>
      </c>
      <c r="E5" s="21">
        <f ca="1">Weather!BQ37</f>
        <v>226.60145833333337</v>
      </c>
      <c r="F5" s="21">
        <f ca="1">Weather!BR37</f>
        <v>6.5650000000000031</v>
      </c>
      <c r="G5" s="211">
        <f>'Monthly Data'!CV5</f>
        <v>0</v>
      </c>
      <c r="H5" s="7">
        <f>'Monthly Data'!CS5</f>
        <v>30</v>
      </c>
      <c r="I5" s="19">
        <f>'Monthly Data'!AO5</f>
        <v>764676</v>
      </c>
      <c r="J5" s="19">
        <f>'Monthly Data'!BT5</f>
        <v>0</v>
      </c>
      <c r="L5" s="11">
        <f>'GS&lt;50 Predicted Monthly'!$X$8</f>
        <v>-13592432.544671699</v>
      </c>
      <c r="M5" s="11">
        <f ca="1">E5*'GS&lt;50 Predicted Monthly'!$X$9</f>
        <v>3130671.2466080841</v>
      </c>
      <c r="N5" s="11">
        <f ca="1">F5*'GS&lt;50 Predicted Monthly'!$X$10</f>
        <v>282599.24442214705</v>
      </c>
      <c r="O5" s="11">
        <f>G5*'GS&lt;50 Predicted Monthly'!$X$11</f>
        <v>0</v>
      </c>
      <c r="P5" s="11">
        <f>H5*'GS&lt;50 Predicted Monthly'!$X$12</f>
        <v>20084064.457684711</v>
      </c>
      <c r="Q5" s="11">
        <f>I5*'GS&lt;50 Predicted Monthly'!$X$13</f>
        <v>19955762.111976247</v>
      </c>
      <c r="R5" s="11">
        <f>J5*'GS&lt;50 Predicted Monthly'!$X$14</f>
        <v>0</v>
      </c>
      <c r="S5" s="13">
        <f t="shared" ca="1" si="1"/>
        <v>29860664.51601949</v>
      </c>
    </row>
    <row r="6" spans="1:19" x14ac:dyDescent="0.2">
      <c r="A6" s="8">
        <f>'Monthly Data'!A6</f>
        <v>42856</v>
      </c>
      <c r="B6">
        <f t="shared" ref="B6:B69" si="2">YEAR(A6)</f>
        <v>2017</v>
      </c>
      <c r="C6">
        <f t="shared" ref="C6:C69" si="3">MONTH(A6)</f>
        <v>5</v>
      </c>
      <c r="D6" s="18">
        <f>'Monthly Data'!J6</f>
        <v>30141065.936159503</v>
      </c>
      <c r="E6" s="21">
        <f ca="1">Weather!BQ38</f>
        <v>65.335833333333326</v>
      </c>
      <c r="F6" s="21">
        <f ca="1">Weather!BR38</f>
        <v>59.300416666666649</v>
      </c>
      <c r="G6" s="211">
        <f>'Monthly Data'!CV6</f>
        <v>0</v>
      </c>
      <c r="H6" s="7">
        <f>'Monthly Data'!CS6</f>
        <v>31</v>
      </c>
      <c r="I6" s="19">
        <f>'Monthly Data'!AO6</f>
        <v>764676</v>
      </c>
      <c r="J6" s="19">
        <f>'Monthly Data'!BT6</f>
        <v>0</v>
      </c>
      <c r="L6" s="11">
        <f>'GS&lt;50 Predicted Monthly'!$X$8</f>
        <v>-13592432.544671699</v>
      </c>
      <c r="M6" s="11">
        <f ca="1">E6*'GS&lt;50 Predicted Monthly'!$X$9</f>
        <v>902664.15889061301</v>
      </c>
      <c r="N6" s="11">
        <f ca="1">F6*'GS&lt;50 Predicted Monthly'!$X$10</f>
        <v>2552666.0996067757</v>
      </c>
      <c r="O6" s="11">
        <f>G6*'GS&lt;50 Predicted Monthly'!$X$11</f>
        <v>0</v>
      </c>
      <c r="P6" s="11">
        <f>H6*'GS&lt;50 Predicted Monthly'!$X$12</f>
        <v>20753533.272940867</v>
      </c>
      <c r="Q6" s="11">
        <f>I6*'GS&lt;50 Predicted Monthly'!$X$13</f>
        <v>19955762.111976247</v>
      </c>
      <c r="R6" s="11">
        <f>J6*'GS&lt;50 Predicted Monthly'!$X$14</f>
        <v>0</v>
      </c>
      <c r="S6" s="13">
        <f t="shared" ca="1" si="1"/>
        <v>30572193.098742802</v>
      </c>
    </row>
    <row r="7" spans="1:19" x14ac:dyDescent="0.2">
      <c r="A7" s="8">
        <f>'Monthly Data'!A7</f>
        <v>42887</v>
      </c>
      <c r="B7">
        <f t="shared" si="2"/>
        <v>2017</v>
      </c>
      <c r="C7">
        <f t="shared" si="3"/>
        <v>6</v>
      </c>
      <c r="D7" s="18">
        <f>'Monthly Data'!J7</f>
        <v>32275893.669738587</v>
      </c>
      <c r="E7" s="21">
        <f ca="1">Weather!BQ39</f>
        <v>3.0447916666666672</v>
      </c>
      <c r="F7" s="21">
        <f ca="1">Weather!BR39</f>
        <v>157.17000000000002</v>
      </c>
      <c r="G7" s="211">
        <f>'Monthly Data'!CV7</f>
        <v>0</v>
      </c>
      <c r="H7" s="7">
        <f>'Monthly Data'!CS7</f>
        <v>30</v>
      </c>
      <c r="I7" s="19">
        <f>'Monthly Data'!AO7</f>
        <v>764676</v>
      </c>
      <c r="J7" s="19">
        <f>'Monthly Data'!BT7</f>
        <v>0</v>
      </c>
      <c r="L7" s="11">
        <f>'GS&lt;50 Predicted Monthly'!$X$8</f>
        <v>-13592432.544671699</v>
      </c>
      <c r="M7" s="11">
        <f ca="1">E7*'GS&lt;50 Predicted Monthly'!$X$9</f>
        <v>42066.109339522445</v>
      </c>
      <c r="N7" s="11">
        <f ca="1">F7*'GS&lt;50 Predicted Monthly'!$X$10</f>
        <v>6765593.7922054585</v>
      </c>
      <c r="O7" s="11">
        <f>G7*'GS&lt;50 Predicted Monthly'!$X$11</f>
        <v>0</v>
      </c>
      <c r="P7" s="11">
        <f>H7*'GS&lt;50 Predicted Monthly'!$X$12</f>
        <v>20084064.457684711</v>
      </c>
      <c r="Q7" s="11">
        <f>I7*'GS&lt;50 Predicted Monthly'!$X$13</f>
        <v>19955762.111976247</v>
      </c>
      <c r="R7" s="11">
        <f>J7*'GS&lt;50 Predicted Monthly'!$X$14</f>
        <v>0</v>
      </c>
      <c r="S7" s="13">
        <f t="shared" ca="1" si="1"/>
        <v>33255053.926534239</v>
      </c>
    </row>
    <row r="8" spans="1:19" x14ac:dyDescent="0.2">
      <c r="A8" s="8">
        <f>'Monthly Data'!A8</f>
        <v>42917</v>
      </c>
      <c r="B8">
        <f t="shared" si="2"/>
        <v>2017</v>
      </c>
      <c r="C8">
        <f t="shared" si="3"/>
        <v>7</v>
      </c>
      <c r="D8" s="18">
        <f>'Monthly Data'!J8</f>
        <v>35056085.403317675</v>
      </c>
      <c r="E8" s="21">
        <f ca="1">Weather!BQ40</f>
        <v>0</v>
      </c>
      <c r="F8" s="21">
        <f ca="1">Weather!BR40</f>
        <v>231.27145833333333</v>
      </c>
      <c r="G8" s="211">
        <f>'Monthly Data'!CV8</f>
        <v>0</v>
      </c>
      <c r="H8" s="7">
        <f>'Monthly Data'!CS8</f>
        <v>31</v>
      </c>
      <c r="I8" s="19">
        <f>'Monthly Data'!AO8</f>
        <v>765009</v>
      </c>
      <c r="J8" s="19">
        <f>'Monthly Data'!BT8</f>
        <v>0</v>
      </c>
      <c r="L8" s="11">
        <f>'GS&lt;50 Predicted Monthly'!$X$8</f>
        <v>-13592432.544671699</v>
      </c>
      <c r="M8" s="11">
        <f ca="1">E8*'GS&lt;50 Predicted Monthly'!$X$9</f>
        <v>0</v>
      </c>
      <c r="N8" s="11">
        <f ca="1">F8*'GS&lt;50 Predicted Monthly'!$X$10</f>
        <v>9955390.6140758619</v>
      </c>
      <c r="O8" s="11">
        <f>G8*'GS&lt;50 Predicted Monthly'!$X$11</f>
        <v>0</v>
      </c>
      <c r="P8" s="11">
        <f>H8*'GS&lt;50 Predicted Monthly'!$X$12</f>
        <v>20753533.272940867</v>
      </c>
      <c r="Q8" s="11">
        <f>I8*'GS&lt;50 Predicted Monthly'!$X$13</f>
        <v>19964452.418437138</v>
      </c>
      <c r="R8" s="11">
        <f>J8*'GS&lt;50 Predicted Monthly'!$X$14</f>
        <v>0</v>
      </c>
      <c r="S8" s="13">
        <f t="shared" ca="1" si="1"/>
        <v>37080943.760782167</v>
      </c>
    </row>
    <row r="9" spans="1:19" x14ac:dyDescent="0.2">
      <c r="A9" s="8">
        <f>'Monthly Data'!A9</f>
        <v>42948</v>
      </c>
      <c r="B9">
        <f t="shared" si="2"/>
        <v>2017</v>
      </c>
      <c r="C9">
        <f t="shared" si="3"/>
        <v>8</v>
      </c>
      <c r="D9" s="18">
        <f>'Monthly Data'!J9</f>
        <v>33724240.136896759</v>
      </c>
      <c r="E9" s="21">
        <f ca="1">Weather!BQ41</f>
        <v>0.27875000000000066</v>
      </c>
      <c r="F9" s="21">
        <f ca="1">Weather!BR41</f>
        <v>196.13625000000002</v>
      </c>
      <c r="G9" s="211">
        <f>'Monthly Data'!CV9</f>
        <v>0</v>
      </c>
      <c r="H9" s="7">
        <f>'Monthly Data'!CS9</f>
        <v>31</v>
      </c>
      <c r="I9" s="19">
        <f>'Monthly Data'!AO9</f>
        <v>765009</v>
      </c>
      <c r="J9" s="19">
        <f>'Monthly Data'!BT9</f>
        <v>0</v>
      </c>
      <c r="L9" s="11">
        <f>'GS&lt;50 Predicted Monthly'!$X$8</f>
        <v>-13592432.544671699</v>
      </c>
      <c r="M9" s="11">
        <f ca="1">E9*'GS&lt;50 Predicted Monthly'!$X$9</f>
        <v>3851.1429556128055</v>
      </c>
      <c r="N9" s="11">
        <f ca="1">F9*'GS&lt;50 Predicted Monthly'!$X$10</f>
        <v>8442948.3707225155</v>
      </c>
      <c r="O9" s="11">
        <f>G9*'GS&lt;50 Predicted Monthly'!$X$11</f>
        <v>0</v>
      </c>
      <c r="P9" s="11">
        <f>H9*'GS&lt;50 Predicted Monthly'!$X$12</f>
        <v>20753533.272940867</v>
      </c>
      <c r="Q9" s="11">
        <f>I9*'GS&lt;50 Predicted Monthly'!$X$13</f>
        <v>19964452.418437138</v>
      </c>
      <c r="R9" s="11">
        <f>J9*'GS&lt;50 Predicted Monthly'!$X$14</f>
        <v>0</v>
      </c>
      <c r="S9" s="13">
        <f t="shared" ca="1" si="1"/>
        <v>35572352.660384431</v>
      </c>
    </row>
    <row r="10" spans="1:19" x14ac:dyDescent="0.2">
      <c r="A10" s="8">
        <f>'Monthly Data'!A10</f>
        <v>42979</v>
      </c>
      <c r="B10">
        <f t="shared" si="2"/>
        <v>2017</v>
      </c>
      <c r="C10">
        <f t="shared" si="3"/>
        <v>9</v>
      </c>
      <c r="D10" s="18">
        <f>'Monthly Data'!J10</f>
        <v>31894077.870475851</v>
      </c>
      <c r="E10" s="21">
        <f ca="1">Weather!BQ42</f>
        <v>11.319999999999997</v>
      </c>
      <c r="F10" s="21">
        <f ca="1">Weather!BR42</f>
        <v>104.19854166666664</v>
      </c>
      <c r="G10" s="211">
        <f>'Monthly Data'!CV10</f>
        <v>0</v>
      </c>
      <c r="H10" s="7">
        <f>'Monthly Data'!CS10</f>
        <v>30</v>
      </c>
      <c r="I10" s="19">
        <f>'Monthly Data'!AO10</f>
        <v>765009</v>
      </c>
      <c r="J10" s="19">
        <f>'Monthly Data'!BT10</f>
        <v>0</v>
      </c>
      <c r="L10" s="11">
        <f>'GS&lt;50 Predicted Monthly'!$X$8</f>
        <v>-13592432.544671699</v>
      </c>
      <c r="M10" s="11">
        <f ca="1">E10*'GS&lt;50 Predicted Monthly'!$X$9</f>
        <v>156394.39733645503</v>
      </c>
      <c r="N10" s="11">
        <f ca="1">F10*'GS&lt;50 Predicted Monthly'!$X$10</f>
        <v>4485366.2063807445</v>
      </c>
      <c r="O10" s="11">
        <f>G10*'GS&lt;50 Predicted Monthly'!$X$11</f>
        <v>0</v>
      </c>
      <c r="P10" s="11">
        <f>H10*'GS&lt;50 Predicted Monthly'!$X$12</f>
        <v>20084064.457684711</v>
      </c>
      <c r="Q10" s="11">
        <f>I10*'GS&lt;50 Predicted Monthly'!$X$13</f>
        <v>19964452.418437138</v>
      </c>
      <c r="R10" s="11">
        <f>J10*'GS&lt;50 Predicted Monthly'!$X$14</f>
        <v>0</v>
      </c>
      <c r="S10" s="13">
        <f t="shared" ca="1" si="1"/>
        <v>31097844.93516735</v>
      </c>
    </row>
    <row r="11" spans="1:19" x14ac:dyDescent="0.2">
      <c r="A11" s="8">
        <f>'Monthly Data'!A11</f>
        <v>43009</v>
      </c>
      <c r="B11">
        <f t="shared" si="2"/>
        <v>2017</v>
      </c>
      <c r="C11">
        <f t="shared" si="3"/>
        <v>10</v>
      </c>
      <c r="D11" s="18">
        <f>'Monthly Data'!J11</f>
        <v>30146026.604054935</v>
      </c>
      <c r="E11" s="21">
        <f ca="1">Weather!BQ43</f>
        <v>126.12583333333332</v>
      </c>
      <c r="F11" s="21">
        <f ca="1">Weather!BR43</f>
        <v>24.703125000000007</v>
      </c>
      <c r="G11" s="211">
        <f>'Monthly Data'!CV11</f>
        <v>0</v>
      </c>
      <c r="H11" s="7">
        <f>'Monthly Data'!CS11</f>
        <v>31</v>
      </c>
      <c r="I11" s="19">
        <f>'Monthly Data'!AO11</f>
        <v>771506</v>
      </c>
      <c r="J11" s="19">
        <f>'Monthly Data'!BT11</f>
        <v>0</v>
      </c>
      <c r="L11" s="11">
        <f>'GS&lt;50 Predicted Monthly'!$X$8</f>
        <v>-13592432.544671699</v>
      </c>
      <c r="M11" s="11">
        <f ca="1">E11*'GS&lt;50 Predicted Monthly'!$X$9</f>
        <v>1742524.177802548</v>
      </c>
      <c r="N11" s="11">
        <f ca="1">F11*'GS&lt;50 Predicted Monthly'!$X$10</f>
        <v>1063379.201807441</v>
      </c>
      <c r="O11" s="11">
        <f>G11*'GS&lt;50 Predicted Monthly'!$X$11</f>
        <v>0</v>
      </c>
      <c r="P11" s="11">
        <f>H11*'GS&lt;50 Predicted Monthly'!$X$12</f>
        <v>20753533.272940867</v>
      </c>
      <c r="Q11" s="11">
        <f>I11*'GS&lt;50 Predicted Monthly'!$X$13</f>
        <v>20134004.733981904</v>
      </c>
      <c r="R11" s="11">
        <f>J11*'GS&lt;50 Predicted Monthly'!$X$14</f>
        <v>0</v>
      </c>
      <c r="S11" s="13">
        <f t="shared" ca="1" si="1"/>
        <v>30101008.841861062</v>
      </c>
    </row>
    <row r="12" spans="1:19" x14ac:dyDescent="0.2">
      <c r="A12" s="8">
        <f>'Monthly Data'!A12</f>
        <v>43040</v>
      </c>
      <c r="B12">
        <f t="shared" si="2"/>
        <v>2017</v>
      </c>
      <c r="C12">
        <f t="shared" si="3"/>
        <v>11</v>
      </c>
      <c r="D12" s="18">
        <f>'Monthly Data'!J12</f>
        <v>31440394.337634023</v>
      </c>
      <c r="E12" s="21">
        <f ca="1">Weather!BQ44</f>
        <v>312.40687500000001</v>
      </c>
      <c r="F12" s="21">
        <f ca="1">Weather!BR44</f>
        <v>1.6454166666666665</v>
      </c>
      <c r="G12" s="211">
        <f>'Monthly Data'!CV12</f>
        <v>0</v>
      </c>
      <c r="H12" s="7">
        <f>'Monthly Data'!CS12</f>
        <v>30</v>
      </c>
      <c r="I12" s="19">
        <f>'Monthly Data'!AO12</f>
        <v>771506</v>
      </c>
      <c r="J12" s="19">
        <f>'Monthly Data'!BT12</f>
        <v>0</v>
      </c>
      <c r="L12" s="11">
        <f>'GS&lt;50 Predicted Monthly'!$X$8</f>
        <v>-13592432.544671699</v>
      </c>
      <c r="M12" s="11">
        <f ca="1">E12*'GS&lt;50 Predicted Monthly'!$X$9</f>
        <v>4316138.2455291748</v>
      </c>
      <c r="N12" s="11">
        <f ca="1">F12*'GS&lt;50 Predicted Monthly'!$X$10</f>
        <v>70829.170869704118</v>
      </c>
      <c r="O12" s="11">
        <f>G12*'GS&lt;50 Predicted Monthly'!$X$11</f>
        <v>0</v>
      </c>
      <c r="P12" s="11">
        <f>H12*'GS&lt;50 Predicted Monthly'!$X$12</f>
        <v>20084064.457684711</v>
      </c>
      <c r="Q12" s="11">
        <f>I12*'GS&lt;50 Predicted Monthly'!$X$13</f>
        <v>20134004.733981904</v>
      </c>
      <c r="R12" s="11">
        <f>J12*'GS&lt;50 Predicted Monthly'!$X$14</f>
        <v>0</v>
      </c>
      <c r="S12" s="13">
        <f t="shared" ca="1" si="1"/>
        <v>31012604.063393794</v>
      </c>
    </row>
    <row r="13" spans="1:19" x14ac:dyDescent="0.2">
      <c r="A13" s="8">
        <f>'Monthly Data'!A13</f>
        <v>43070</v>
      </c>
      <c r="B13">
        <f t="shared" si="2"/>
        <v>2017</v>
      </c>
      <c r="C13">
        <f t="shared" si="3"/>
        <v>12</v>
      </c>
      <c r="D13" s="18">
        <f>'Monthly Data'!J13</f>
        <v>34201747.071213111</v>
      </c>
      <c r="E13" s="21">
        <f ca="1">Weather!BQ45</f>
        <v>473.52499999999998</v>
      </c>
      <c r="F13" s="21">
        <f ca="1">Weather!BR45</f>
        <v>0</v>
      </c>
      <c r="G13" s="211">
        <f>'Monthly Data'!CV13</f>
        <v>0</v>
      </c>
      <c r="H13" s="7">
        <f>'Monthly Data'!CS13</f>
        <v>31</v>
      </c>
      <c r="I13" s="19">
        <f>'Monthly Data'!AO13</f>
        <v>771506</v>
      </c>
      <c r="J13" s="19">
        <f>'Monthly Data'!BT13</f>
        <v>0</v>
      </c>
      <c r="L13" s="11">
        <f>'GS&lt;50 Predicted Monthly'!$X$8</f>
        <v>-13592432.544671699</v>
      </c>
      <c r="M13" s="11">
        <f ca="1">E13*'GS&lt;50 Predicted Monthly'!$X$9</f>
        <v>6542107.5087230466</v>
      </c>
      <c r="N13" s="11">
        <f ca="1">F13*'GS&lt;50 Predicted Monthly'!$X$10</f>
        <v>0</v>
      </c>
      <c r="O13" s="11">
        <f>G13*'GS&lt;50 Predicted Monthly'!$X$11</f>
        <v>0</v>
      </c>
      <c r="P13" s="11">
        <f>H13*'GS&lt;50 Predicted Monthly'!$X$12</f>
        <v>20753533.272940867</v>
      </c>
      <c r="Q13" s="11">
        <f>I13*'GS&lt;50 Predicted Monthly'!$X$13</f>
        <v>20134004.733981904</v>
      </c>
      <c r="R13" s="11">
        <f>J13*'GS&lt;50 Predicted Monthly'!$X$14</f>
        <v>0</v>
      </c>
      <c r="S13" s="13">
        <f t="shared" ca="1" si="1"/>
        <v>33837212.970974118</v>
      </c>
    </row>
    <row r="14" spans="1:19" x14ac:dyDescent="0.2">
      <c r="A14" s="8">
        <f>'Monthly Data'!A14</f>
        <v>43101</v>
      </c>
      <c r="B14">
        <f t="shared" si="2"/>
        <v>2018</v>
      </c>
      <c r="C14">
        <f t="shared" si="3"/>
        <v>1</v>
      </c>
      <c r="D14" s="18">
        <f>'Monthly Data'!J14</f>
        <v>37147855.281969562</v>
      </c>
      <c r="E14" s="21">
        <f t="shared" ref="E14:F33" ca="1" si="4">E2</f>
        <v>566.30416666666667</v>
      </c>
      <c r="F14" s="21">
        <f t="shared" ca="1" si="4"/>
        <v>0</v>
      </c>
      <c r="G14" s="211">
        <f>'Monthly Data'!CV14</f>
        <v>0</v>
      </c>
      <c r="H14" s="7">
        <f>'Monthly Data'!CS14</f>
        <v>31</v>
      </c>
      <c r="I14" s="19">
        <f>'Monthly Data'!AO14</f>
        <v>779694</v>
      </c>
      <c r="J14" s="19">
        <f>'Monthly Data'!BT14</f>
        <v>0</v>
      </c>
      <c r="L14" s="11">
        <f>'GS&lt;50 Predicted Monthly'!$X$8</f>
        <v>-13592432.544671699</v>
      </c>
      <c r="M14" s="11">
        <f ca="1">E14*'GS&lt;50 Predicted Monthly'!$X$9</f>
        <v>7823922.1603318686</v>
      </c>
      <c r="N14" s="11">
        <f ca="1">F14*'GS&lt;50 Predicted Monthly'!$X$10</f>
        <v>0</v>
      </c>
      <c r="O14" s="11">
        <f>G14*'GS&lt;50 Predicted Monthly'!$X$11</f>
        <v>0</v>
      </c>
      <c r="P14" s="11">
        <f>H14*'GS&lt;50 Predicted Monthly'!$X$12</f>
        <v>20753533.272940867</v>
      </c>
      <c r="Q14" s="11">
        <f>I14*'GS&lt;50 Predicted Monthly'!$X$13</f>
        <v>20347687.104257498</v>
      </c>
      <c r="R14" s="11">
        <f>J14*'GS&lt;50 Predicted Monthly'!$X$14</f>
        <v>0</v>
      </c>
      <c r="S14" s="13">
        <f t="shared" ca="1" si="1"/>
        <v>35332709.992858529</v>
      </c>
    </row>
    <row r="15" spans="1:19" x14ac:dyDescent="0.2">
      <c r="A15" s="8">
        <f>'Monthly Data'!A15</f>
        <v>43132</v>
      </c>
      <c r="B15">
        <f t="shared" si="2"/>
        <v>2018</v>
      </c>
      <c r="C15">
        <f t="shared" si="3"/>
        <v>2</v>
      </c>
      <c r="D15" s="18">
        <f>'Monthly Data'!J15</f>
        <v>32130532.581361752</v>
      </c>
      <c r="E15" s="21">
        <f t="shared" ca="1" si="4"/>
        <v>483.54541666666665</v>
      </c>
      <c r="F15" s="21">
        <f t="shared" ca="1" si="4"/>
        <v>0</v>
      </c>
      <c r="G15" s="211">
        <f>'Monthly Data'!CV15</f>
        <v>0</v>
      </c>
      <c r="H15" s="7">
        <f>'Monthly Data'!CS15</f>
        <v>28</v>
      </c>
      <c r="I15" s="19">
        <f>'Monthly Data'!AO15</f>
        <v>779694</v>
      </c>
      <c r="J15" s="19">
        <f>'Monthly Data'!BT15</f>
        <v>0</v>
      </c>
      <c r="L15" s="11">
        <f>'GS&lt;50 Predicted Monthly'!$X$8</f>
        <v>-13592432.544671699</v>
      </c>
      <c r="M15" s="11">
        <f ca="1">E15*'GS&lt;50 Predicted Monthly'!$X$9</f>
        <v>6680547.1752993288</v>
      </c>
      <c r="N15" s="11">
        <f ca="1">F15*'GS&lt;50 Predicted Monthly'!$X$10</f>
        <v>0</v>
      </c>
      <c r="O15" s="11">
        <f>G15*'GS&lt;50 Predicted Monthly'!$X$11</f>
        <v>0</v>
      </c>
      <c r="P15" s="11">
        <f>H15*'GS&lt;50 Predicted Monthly'!$X$12</f>
        <v>18745126.827172395</v>
      </c>
      <c r="Q15" s="11">
        <f>I15*'GS&lt;50 Predicted Monthly'!$X$13</f>
        <v>20347687.104257498</v>
      </c>
      <c r="R15" s="11">
        <f>J15*'GS&lt;50 Predicted Monthly'!$X$14</f>
        <v>0</v>
      </c>
      <c r="S15" s="13">
        <f t="shared" ca="1" si="1"/>
        <v>32180928.562057521</v>
      </c>
    </row>
    <row r="16" spans="1:19" x14ac:dyDescent="0.2">
      <c r="A16" s="8">
        <f>'Monthly Data'!A16</f>
        <v>43160</v>
      </c>
      <c r="B16">
        <f t="shared" si="2"/>
        <v>2018</v>
      </c>
      <c r="C16">
        <f t="shared" si="3"/>
        <v>3</v>
      </c>
      <c r="D16" s="18">
        <f>'Monthly Data'!J16</f>
        <v>34082211.880753942</v>
      </c>
      <c r="E16" s="21">
        <f t="shared" ca="1" si="4"/>
        <v>393.96333333333331</v>
      </c>
      <c r="F16" s="21">
        <f t="shared" ca="1" si="4"/>
        <v>0</v>
      </c>
      <c r="G16" s="211">
        <f>'Monthly Data'!CV16</f>
        <v>0</v>
      </c>
      <c r="H16" s="7">
        <f>'Monthly Data'!CS16</f>
        <v>31</v>
      </c>
      <c r="I16" s="19">
        <f>'Monthly Data'!AO16</f>
        <v>779694</v>
      </c>
      <c r="J16" s="19">
        <f>'Monthly Data'!BT16</f>
        <v>1</v>
      </c>
      <c r="L16" s="11">
        <f>'GS&lt;50 Predicted Monthly'!$X$8</f>
        <v>-13592432.544671699</v>
      </c>
      <c r="M16" s="11">
        <f ca="1">E16*'GS&lt;50 Predicted Monthly'!$X$9</f>
        <v>5442902.6580678122</v>
      </c>
      <c r="N16" s="11">
        <f ca="1">F16*'GS&lt;50 Predicted Monthly'!$X$10</f>
        <v>0</v>
      </c>
      <c r="O16" s="11">
        <f>G16*'GS&lt;50 Predicted Monthly'!$X$11</f>
        <v>0</v>
      </c>
      <c r="P16" s="11">
        <f>H16*'GS&lt;50 Predicted Monthly'!$X$12</f>
        <v>20753533.272940867</v>
      </c>
      <c r="Q16" s="11">
        <f>I16*'GS&lt;50 Predicted Monthly'!$X$13</f>
        <v>20347687.104257498</v>
      </c>
      <c r="R16" s="11">
        <f>J16*'GS&lt;50 Predicted Monthly'!$X$14</f>
        <v>522033.18159628101</v>
      </c>
      <c r="S16" s="13">
        <f t="shared" ca="1" si="1"/>
        <v>33473723.672190756</v>
      </c>
    </row>
    <row r="17" spans="1:19" x14ac:dyDescent="0.2">
      <c r="A17" s="8">
        <f>'Monthly Data'!A17</f>
        <v>43191</v>
      </c>
      <c r="B17">
        <f t="shared" si="2"/>
        <v>2018</v>
      </c>
      <c r="C17">
        <f t="shared" si="3"/>
        <v>4</v>
      </c>
      <c r="D17" s="18">
        <f>'Monthly Data'!J17</f>
        <v>31578780.180146135</v>
      </c>
      <c r="E17" s="21">
        <f t="shared" ca="1" si="4"/>
        <v>226.60145833333337</v>
      </c>
      <c r="F17" s="21">
        <f t="shared" ca="1" si="4"/>
        <v>6.5650000000000031</v>
      </c>
      <c r="G17" s="211">
        <f>'Monthly Data'!CV17</f>
        <v>0</v>
      </c>
      <c r="H17" s="7">
        <f>'Monthly Data'!CS17</f>
        <v>30</v>
      </c>
      <c r="I17" s="19">
        <f>'Monthly Data'!AO17</f>
        <v>785185</v>
      </c>
      <c r="J17" s="19">
        <f>'Monthly Data'!BT17</f>
        <v>0</v>
      </c>
      <c r="L17" s="11">
        <f>'GS&lt;50 Predicted Monthly'!$X$8</f>
        <v>-13592432.544671699</v>
      </c>
      <c r="M17" s="11">
        <f ca="1">E17*'GS&lt;50 Predicted Monthly'!$X$9</f>
        <v>3130671.2466080841</v>
      </c>
      <c r="N17" s="11">
        <f ca="1">F17*'GS&lt;50 Predicted Monthly'!$X$10</f>
        <v>282599.24442214705</v>
      </c>
      <c r="O17" s="11">
        <f>G17*'GS&lt;50 Predicted Monthly'!$X$11</f>
        <v>0</v>
      </c>
      <c r="P17" s="11">
        <f>H17*'GS&lt;50 Predicted Monthly'!$X$12</f>
        <v>20084064.457684711</v>
      </c>
      <c r="Q17" s="11">
        <f>I17*'GS&lt;50 Predicted Monthly'!$X$13</f>
        <v>20490985.821304798</v>
      </c>
      <c r="R17" s="11">
        <f>J17*'GS&lt;50 Predicted Monthly'!$X$14</f>
        <v>0</v>
      </c>
      <c r="S17" s="13">
        <f t="shared" ca="1" si="1"/>
        <v>30395888.22534804</v>
      </c>
    </row>
    <row r="18" spans="1:19" x14ac:dyDescent="0.2">
      <c r="A18" s="8">
        <f>'Monthly Data'!A18</f>
        <v>43221</v>
      </c>
      <c r="B18">
        <f t="shared" si="2"/>
        <v>2018</v>
      </c>
      <c r="C18">
        <f t="shared" si="3"/>
        <v>5</v>
      </c>
      <c r="D18" s="18">
        <f>'Monthly Data'!J18</f>
        <v>32437913.479538325</v>
      </c>
      <c r="E18" s="21">
        <f t="shared" ca="1" si="4"/>
        <v>65.335833333333326</v>
      </c>
      <c r="F18" s="21">
        <f t="shared" ca="1" si="4"/>
        <v>59.300416666666649</v>
      </c>
      <c r="G18" s="211">
        <f>'Monthly Data'!CV18</f>
        <v>0</v>
      </c>
      <c r="H18" s="7">
        <f>'Monthly Data'!CS18</f>
        <v>31</v>
      </c>
      <c r="I18" s="19">
        <f>'Monthly Data'!AO18</f>
        <v>785185</v>
      </c>
      <c r="J18" s="19">
        <f>'Monthly Data'!BT18</f>
        <v>0</v>
      </c>
      <c r="L18" s="11">
        <f>'GS&lt;50 Predicted Monthly'!$X$8</f>
        <v>-13592432.544671699</v>
      </c>
      <c r="M18" s="11">
        <f ca="1">E18*'GS&lt;50 Predicted Monthly'!$X$9</f>
        <v>902664.15889061301</v>
      </c>
      <c r="N18" s="11">
        <f ca="1">F18*'GS&lt;50 Predicted Monthly'!$X$10</f>
        <v>2552666.0996067757</v>
      </c>
      <c r="O18" s="11">
        <f>G18*'GS&lt;50 Predicted Monthly'!$X$11</f>
        <v>0</v>
      </c>
      <c r="P18" s="11">
        <f>H18*'GS&lt;50 Predicted Monthly'!$X$12</f>
        <v>20753533.272940867</v>
      </c>
      <c r="Q18" s="11">
        <f>I18*'GS&lt;50 Predicted Monthly'!$X$13</f>
        <v>20490985.821304798</v>
      </c>
      <c r="R18" s="11">
        <f>J18*'GS&lt;50 Predicted Monthly'!$X$14</f>
        <v>0</v>
      </c>
      <c r="S18" s="13">
        <f t="shared" ca="1" si="1"/>
        <v>31107416.808071353</v>
      </c>
    </row>
    <row r="19" spans="1:19" x14ac:dyDescent="0.2">
      <c r="A19" s="8">
        <f>'Monthly Data'!A19</f>
        <v>43252</v>
      </c>
      <c r="B19">
        <f t="shared" si="2"/>
        <v>2018</v>
      </c>
      <c r="C19">
        <f t="shared" si="3"/>
        <v>6</v>
      </c>
      <c r="D19" s="18">
        <f>'Monthly Data'!J19</f>
        <v>33981626.778930515</v>
      </c>
      <c r="E19" s="21">
        <f t="shared" ca="1" si="4"/>
        <v>3.0447916666666672</v>
      </c>
      <c r="F19" s="21">
        <f t="shared" ca="1" si="4"/>
        <v>157.17000000000002</v>
      </c>
      <c r="G19" s="211">
        <f>'Monthly Data'!CV19</f>
        <v>0</v>
      </c>
      <c r="H19" s="7">
        <f>'Monthly Data'!CS19</f>
        <v>30</v>
      </c>
      <c r="I19" s="19">
        <f>'Monthly Data'!AO19</f>
        <v>785185</v>
      </c>
      <c r="J19" s="19">
        <f>'Monthly Data'!BT19</f>
        <v>0</v>
      </c>
      <c r="L19" s="11">
        <f>'GS&lt;50 Predicted Monthly'!$X$8</f>
        <v>-13592432.544671699</v>
      </c>
      <c r="M19" s="11">
        <f ca="1">E19*'GS&lt;50 Predicted Monthly'!$X$9</f>
        <v>42066.109339522445</v>
      </c>
      <c r="N19" s="11">
        <f ca="1">F19*'GS&lt;50 Predicted Monthly'!$X$10</f>
        <v>6765593.7922054585</v>
      </c>
      <c r="O19" s="11">
        <f>G19*'GS&lt;50 Predicted Monthly'!$X$11</f>
        <v>0</v>
      </c>
      <c r="P19" s="11">
        <f>H19*'GS&lt;50 Predicted Monthly'!$X$12</f>
        <v>20084064.457684711</v>
      </c>
      <c r="Q19" s="11">
        <f>I19*'GS&lt;50 Predicted Monthly'!$X$13</f>
        <v>20490985.821304798</v>
      </c>
      <c r="R19" s="11">
        <f>J19*'GS&lt;50 Predicted Monthly'!$X$14</f>
        <v>0</v>
      </c>
      <c r="S19" s="13">
        <f t="shared" ca="1" si="1"/>
        <v>33790277.63586279</v>
      </c>
    </row>
    <row r="20" spans="1:19" x14ac:dyDescent="0.2">
      <c r="A20" s="8">
        <f>'Monthly Data'!A20</f>
        <v>43282</v>
      </c>
      <c r="B20">
        <f t="shared" si="2"/>
        <v>2018</v>
      </c>
      <c r="C20">
        <f t="shared" si="3"/>
        <v>7</v>
      </c>
      <c r="D20" s="18">
        <f>'Monthly Data'!J20</f>
        <v>37340418.078322709</v>
      </c>
      <c r="E20" s="21">
        <f t="shared" ca="1" si="4"/>
        <v>0</v>
      </c>
      <c r="F20" s="21">
        <f t="shared" ca="1" si="4"/>
        <v>231.27145833333333</v>
      </c>
      <c r="G20" s="211">
        <f>'Monthly Data'!CV20</f>
        <v>0</v>
      </c>
      <c r="H20" s="7">
        <f>'Monthly Data'!CS20</f>
        <v>31</v>
      </c>
      <c r="I20" s="19">
        <f>'Monthly Data'!AO20</f>
        <v>794512</v>
      </c>
      <c r="J20" s="19">
        <f>'Monthly Data'!BT20</f>
        <v>0</v>
      </c>
      <c r="L20" s="11">
        <f>'GS&lt;50 Predicted Monthly'!$X$8</f>
        <v>-13592432.544671699</v>
      </c>
      <c r="M20" s="11">
        <f ca="1">E20*'GS&lt;50 Predicted Monthly'!$X$9</f>
        <v>0</v>
      </c>
      <c r="N20" s="11">
        <f ca="1">F20*'GS&lt;50 Predicted Monthly'!$X$10</f>
        <v>9955390.6140758619</v>
      </c>
      <c r="O20" s="11">
        <f>G20*'GS&lt;50 Predicted Monthly'!$X$11</f>
        <v>0</v>
      </c>
      <c r="P20" s="11">
        <f>H20*'GS&lt;50 Predicted Monthly'!$X$12</f>
        <v>20753533.272940867</v>
      </c>
      <c r="Q20" s="11">
        <f>I20*'GS&lt;50 Predicted Monthly'!$X$13</f>
        <v>20734392.693258937</v>
      </c>
      <c r="R20" s="11">
        <f>J20*'GS&lt;50 Predicted Monthly'!$X$14</f>
        <v>0</v>
      </c>
      <c r="S20" s="13">
        <f t="shared" ca="1" si="1"/>
        <v>37850884.03560397</v>
      </c>
    </row>
    <row r="21" spans="1:19" x14ac:dyDescent="0.2">
      <c r="A21" s="8">
        <f>'Monthly Data'!A21</f>
        <v>43313</v>
      </c>
      <c r="B21">
        <f t="shared" si="2"/>
        <v>2018</v>
      </c>
      <c r="C21">
        <f t="shared" si="3"/>
        <v>8</v>
      </c>
      <c r="D21" s="18">
        <f>'Monthly Data'!J21</f>
        <v>37258199.377714895</v>
      </c>
      <c r="E21" s="21">
        <f t="shared" ca="1" si="4"/>
        <v>0.27875000000000066</v>
      </c>
      <c r="F21" s="21">
        <f t="shared" ca="1" si="4"/>
        <v>196.13625000000002</v>
      </c>
      <c r="G21" s="211">
        <f>'Monthly Data'!CV21</f>
        <v>0</v>
      </c>
      <c r="H21" s="7">
        <f>'Monthly Data'!CS21</f>
        <v>31</v>
      </c>
      <c r="I21" s="19">
        <f>'Monthly Data'!AO21</f>
        <v>794512</v>
      </c>
      <c r="J21" s="19">
        <f>'Monthly Data'!BT21</f>
        <v>0</v>
      </c>
      <c r="L21" s="11">
        <f>'GS&lt;50 Predicted Monthly'!$X$8</f>
        <v>-13592432.544671699</v>
      </c>
      <c r="M21" s="11">
        <f ca="1">E21*'GS&lt;50 Predicted Monthly'!$X$9</f>
        <v>3851.1429556128055</v>
      </c>
      <c r="N21" s="11">
        <f ca="1">F21*'GS&lt;50 Predicted Monthly'!$X$10</f>
        <v>8442948.3707225155</v>
      </c>
      <c r="O21" s="11">
        <f>G21*'GS&lt;50 Predicted Monthly'!$X$11</f>
        <v>0</v>
      </c>
      <c r="P21" s="11">
        <f>H21*'GS&lt;50 Predicted Monthly'!$X$12</f>
        <v>20753533.272940867</v>
      </c>
      <c r="Q21" s="11">
        <f>I21*'GS&lt;50 Predicted Monthly'!$X$13</f>
        <v>20734392.693258937</v>
      </c>
      <c r="R21" s="11">
        <f>J21*'GS&lt;50 Predicted Monthly'!$X$14</f>
        <v>0</v>
      </c>
      <c r="S21" s="13">
        <f t="shared" ca="1" si="1"/>
        <v>36342292.935206234</v>
      </c>
    </row>
    <row r="22" spans="1:19" x14ac:dyDescent="0.2">
      <c r="A22" s="8">
        <f>'Monthly Data'!A22</f>
        <v>43344</v>
      </c>
      <c r="B22">
        <f t="shared" si="2"/>
        <v>2018</v>
      </c>
      <c r="C22">
        <f t="shared" si="3"/>
        <v>9</v>
      </c>
      <c r="D22" s="18">
        <f>'Monthly Data'!J22</f>
        <v>32457955.677107088</v>
      </c>
      <c r="E22" s="21">
        <f t="shared" ca="1" si="4"/>
        <v>11.319999999999997</v>
      </c>
      <c r="F22" s="21">
        <f t="shared" ca="1" si="4"/>
        <v>104.19854166666664</v>
      </c>
      <c r="G22" s="211">
        <f>'Monthly Data'!CV22</f>
        <v>0</v>
      </c>
      <c r="H22" s="7">
        <f>'Monthly Data'!CS22</f>
        <v>30</v>
      </c>
      <c r="I22" s="19">
        <f>'Monthly Data'!AO22</f>
        <v>794512</v>
      </c>
      <c r="J22" s="19">
        <f>'Monthly Data'!BT22</f>
        <v>0</v>
      </c>
      <c r="L22" s="11">
        <f>'GS&lt;50 Predicted Monthly'!$X$8</f>
        <v>-13592432.544671699</v>
      </c>
      <c r="M22" s="11">
        <f ca="1">E22*'GS&lt;50 Predicted Monthly'!$X$9</f>
        <v>156394.39733645503</v>
      </c>
      <c r="N22" s="11">
        <f ca="1">F22*'GS&lt;50 Predicted Monthly'!$X$10</f>
        <v>4485366.2063807445</v>
      </c>
      <c r="O22" s="11">
        <f>G22*'GS&lt;50 Predicted Monthly'!$X$11</f>
        <v>0</v>
      </c>
      <c r="P22" s="11">
        <f>H22*'GS&lt;50 Predicted Monthly'!$X$12</f>
        <v>20084064.457684711</v>
      </c>
      <c r="Q22" s="11">
        <f>I22*'GS&lt;50 Predicted Monthly'!$X$13</f>
        <v>20734392.693258937</v>
      </c>
      <c r="R22" s="11">
        <f>J22*'GS&lt;50 Predicted Monthly'!$X$14</f>
        <v>0</v>
      </c>
      <c r="S22" s="13">
        <f t="shared" ca="1" si="1"/>
        <v>31867785.209989149</v>
      </c>
    </row>
    <row r="23" spans="1:19" x14ac:dyDescent="0.2">
      <c r="A23" s="8">
        <f>'Monthly Data'!A23</f>
        <v>43374</v>
      </c>
      <c r="B23">
        <f t="shared" si="2"/>
        <v>2018</v>
      </c>
      <c r="C23">
        <f t="shared" si="3"/>
        <v>10</v>
      </c>
      <c r="D23" s="18">
        <f>'Monthly Data'!J23</f>
        <v>30886290.976499278</v>
      </c>
      <c r="E23" s="21">
        <f t="shared" ca="1" si="4"/>
        <v>126.12583333333332</v>
      </c>
      <c r="F23" s="21">
        <f t="shared" ca="1" si="4"/>
        <v>24.703125000000007</v>
      </c>
      <c r="G23" s="211">
        <f>'Monthly Data'!CV23</f>
        <v>0</v>
      </c>
      <c r="H23" s="7">
        <f>'Monthly Data'!CS23</f>
        <v>31</v>
      </c>
      <c r="I23" s="19">
        <f>'Monthly Data'!AO23</f>
        <v>799922</v>
      </c>
      <c r="J23" s="19">
        <f>'Monthly Data'!BT23</f>
        <v>0</v>
      </c>
      <c r="L23" s="11">
        <f>'GS&lt;50 Predicted Monthly'!$X$8</f>
        <v>-13592432.544671699</v>
      </c>
      <c r="M23" s="11">
        <f ca="1">E23*'GS&lt;50 Predicted Monthly'!$X$9</f>
        <v>1742524.177802548</v>
      </c>
      <c r="N23" s="11">
        <f ca="1">F23*'GS&lt;50 Predicted Monthly'!$X$10</f>
        <v>1063379.201807441</v>
      </c>
      <c r="O23" s="11">
        <f>G23*'GS&lt;50 Predicted Monthly'!$X$11</f>
        <v>0</v>
      </c>
      <c r="P23" s="11">
        <f>H23*'GS&lt;50 Predicted Monthly'!$X$12</f>
        <v>20753533.272940867</v>
      </c>
      <c r="Q23" s="11">
        <f>I23*'GS&lt;50 Predicted Monthly'!$X$13</f>
        <v>20875577.551977914</v>
      </c>
      <c r="R23" s="11">
        <f>J23*'GS&lt;50 Predicted Monthly'!$X$14</f>
        <v>0</v>
      </c>
      <c r="S23" s="13">
        <f t="shared" ca="1" si="1"/>
        <v>30842581.659857072</v>
      </c>
    </row>
    <row r="24" spans="1:19" x14ac:dyDescent="0.2">
      <c r="A24" s="8">
        <f>'Monthly Data'!A24</f>
        <v>43405</v>
      </c>
      <c r="B24">
        <f t="shared" si="2"/>
        <v>2018</v>
      </c>
      <c r="C24">
        <f t="shared" si="3"/>
        <v>11</v>
      </c>
      <c r="D24" s="18">
        <f>'Monthly Data'!J24</f>
        <v>33064714.275891468</v>
      </c>
      <c r="E24" s="21">
        <f t="shared" ca="1" si="4"/>
        <v>312.40687500000001</v>
      </c>
      <c r="F24" s="21">
        <f t="shared" ca="1" si="4"/>
        <v>1.6454166666666665</v>
      </c>
      <c r="G24" s="211">
        <f>'Monthly Data'!CV24</f>
        <v>0</v>
      </c>
      <c r="H24" s="7">
        <f>'Monthly Data'!CS24</f>
        <v>30</v>
      </c>
      <c r="I24" s="19">
        <f>'Monthly Data'!AO24</f>
        <v>799922</v>
      </c>
      <c r="J24" s="19">
        <f>'Monthly Data'!BT24</f>
        <v>0</v>
      </c>
      <c r="L24" s="11">
        <f>'GS&lt;50 Predicted Monthly'!$X$8</f>
        <v>-13592432.544671699</v>
      </c>
      <c r="M24" s="11">
        <f ca="1">E24*'GS&lt;50 Predicted Monthly'!$X$9</f>
        <v>4316138.2455291748</v>
      </c>
      <c r="N24" s="11">
        <f ca="1">F24*'GS&lt;50 Predicted Monthly'!$X$10</f>
        <v>70829.170869704118</v>
      </c>
      <c r="O24" s="11">
        <f>G24*'GS&lt;50 Predicted Monthly'!$X$11</f>
        <v>0</v>
      </c>
      <c r="P24" s="11">
        <f>H24*'GS&lt;50 Predicted Monthly'!$X$12</f>
        <v>20084064.457684711</v>
      </c>
      <c r="Q24" s="11">
        <f>I24*'GS&lt;50 Predicted Monthly'!$X$13</f>
        <v>20875577.551977914</v>
      </c>
      <c r="R24" s="11">
        <f>J24*'GS&lt;50 Predicted Monthly'!$X$14</f>
        <v>0</v>
      </c>
      <c r="S24" s="13">
        <f t="shared" ca="1" si="1"/>
        <v>31754176.881389804</v>
      </c>
    </row>
    <row r="25" spans="1:19" x14ac:dyDescent="0.2">
      <c r="A25" s="8">
        <f>'Monthly Data'!A25</f>
        <v>43435</v>
      </c>
      <c r="B25">
        <f t="shared" si="2"/>
        <v>2018</v>
      </c>
      <c r="C25">
        <f t="shared" si="3"/>
        <v>12</v>
      </c>
      <c r="D25" s="18">
        <f>'Monthly Data'!J25</f>
        <v>33697422.575283661</v>
      </c>
      <c r="E25" s="21">
        <f t="shared" ca="1" si="4"/>
        <v>473.52499999999998</v>
      </c>
      <c r="F25" s="21">
        <f t="shared" ca="1" si="4"/>
        <v>0</v>
      </c>
      <c r="G25" s="211">
        <f>'Monthly Data'!CV25</f>
        <v>0</v>
      </c>
      <c r="H25" s="7">
        <f>'Monthly Data'!CS25</f>
        <v>31</v>
      </c>
      <c r="I25" s="19">
        <f>'Monthly Data'!AO25</f>
        <v>799922</v>
      </c>
      <c r="J25" s="19">
        <f>'Monthly Data'!BT25</f>
        <v>0</v>
      </c>
      <c r="L25" s="11">
        <f>'GS&lt;50 Predicted Monthly'!$X$8</f>
        <v>-13592432.544671699</v>
      </c>
      <c r="M25" s="11">
        <f ca="1">E25*'GS&lt;50 Predicted Monthly'!$X$9</f>
        <v>6542107.5087230466</v>
      </c>
      <c r="N25" s="11">
        <f ca="1">F25*'GS&lt;50 Predicted Monthly'!$X$10</f>
        <v>0</v>
      </c>
      <c r="O25" s="11">
        <f>G25*'GS&lt;50 Predicted Monthly'!$X$11</f>
        <v>0</v>
      </c>
      <c r="P25" s="11">
        <f>H25*'GS&lt;50 Predicted Monthly'!$X$12</f>
        <v>20753533.272940867</v>
      </c>
      <c r="Q25" s="11">
        <f>I25*'GS&lt;50 Predicted Monthly'!$X$13</f>
        <v>20875577.551977914</v>
      </c>
      <c r="R25" s="11">
        <f>J25*'GS&lt;50 Predicted Monthly'!$X$14</f>
        <v>0</v>
      </c>
      <c r="S25" s="13">
        <f t="shared" ca="1" si="1"/>
        <v>34578785.788970128</v>
      </c>
    </row>
    <row r="26" spans="1:19" x14ac:dyDescent="0.2">
      <c r="A26" s="8">
        <f>'Monthly Data'!A26</f>
        <v>43466</v>
      </c>
      <c r="B26">
        <f t="shared" si="2"/>
        <v>2019</v>
      </c>
      <c r="C26">
        <f t="shared" si="3"/>
        <v>1</v>
      </c>
      <c r="D26" s="18">
        <f>'Monthly Data'!J26</f>
        <v>36829480.752867945</v>
      </c>
      <c r="E26" s="21">
        <f t="shared" ca="1" si="4"/>
        <v>566.30416666666667</v>
      </c>
      <c r="F26" s="21">
        <f t="shared" ca="1" si="4"/>
        <v>0</v>
      </c>
      <c r="G26" s="211">
        <f>'Monthly Data'!CV26</f>
        <v>0</v>
      </c>
      <c r="H26" s="7">
        <f>'Monthly Data'!CS26</f>
        <v>31</v>
      </c>
      <c r="I26" s="19">
        <f>'Monthly Data'!AO26</f>
        <v>800743</v>
      </c>
      <c r="J26" s="19">
        <f>'Monthly Data'!BT26</f>
        <v>0</v>
      </c>
      <c r="L26" s="11">
        <f>'GS&lt;50 Predicted Monthly'!$X$8</f>
        <v>-13592432.544671699</v>
      </c>
      <c r="M26" s="11">
        <f ca="1">E26*'GS&lt;50 Predicted Monthly'!$X$9</f>
        <v>7823922.1603318686</v>
      </c>
      <c r="N26" s="11">
        <f ca="1">F26*'GS&lt;50 Predicted Monthly'!$X$10</f>
        <v>0</v>
      </c>
      <c r="O26" s="11">
        <f>G26*'GS&lt;50 Predicted Monthly'!$X$11</f>
        <v>0</v>
      </c>
      <c r="P26" s="11">
        <f>H26*'GS&lt;50 Predicted Monthly'!$X$12</f>
        <v>20753533.272940867</v>
      </c>
      <c r="Q26" s="11">
        <f>I26*'GS&lt;50 Predicted Monthly'!$X$13</f>
        <v>20897003.202441551</v>
      </c>
      <c r="R26" s="11">
        <f>J26*'GS&lt;50 Predicted Monthly'!$X$14</f>
        <v>0</v>
      </c>
      <c r="S26" s="13">
        <f t="shared" ca="1" si="1"/>
        <v>35882026.091042586</v>
      </c>
    </row>
    <row r="27" spans="1:19" x14ac:dyDescent="0.2">
      <c r="A27" s="8">
        <f>'Monthly Data'!A27</f>
        <v>43497</v>
      </c>
      <c r="B27">
        <f t="shared" si="2"/>
        <v>2019</v>
      </c>
      <c r="C27">
        <f t="shared" si="3"/>
        <v>2</v>
      </c>
      <c r="D27" s="18">
        <f>'Monthly Data'!J27</f>
        <v>33366900.493147276</v>
      </c>
      <c r="E27" s="21">
        <f t="shared" ca="1" si="4"/>
        <v>483.54541666666665</v>
      </c>
      <c r="F27" s="21">
        <f t="shared" ca="1" si="4"/>
        <v>0</v>
      </c>
      <c r="G27" s="211">
        <f>'Monthly Data'!CV27</f>
        <v>0</v>
      </c>
      <c r="H27" s="7">
        <f>'Monthly Data'!CS27</f>
        <v>28</v>
      </c>
      <c r="I27" s="19">
        <f>'Monthly Data'!AO27</f>
        <v>800743</v>
      </c>
      <c r="J27" s="19">
        <f>'Monthly Data'!BT27</f>
        <v>0</v>
      </c>
      <c r="L27" s="11">
        <f>'GS&lt;50 Predicted Monthly'!$X$8</f>
        <v>-13592432.544671699</v>
      </c>
      <c r="M27" s="11">
        <f ca="1">E27*'GS&lt;50 Predicted Monthly'!$X$9</f>
        <v>6680547.1752993288</v>
      </c>
      <c r="N27" s="11">
        <f ca="1">F27*'GS&lt;50 Predicted Monthly'!$X$10</f>
        <v>0</v>
      </c>
      <c r="O27" s="11">
        <f>G27*'GS&lt;50 Predicted Monthly'!$X$11</f>
        <v>0</v>
      </c>
      <c r="P27" s="11">
        <f>H27*'GS&lt;50 Predicted Monthly'!$X$12</f>
        <v>18745126.827172395</v>
      </c>
      <c r="Q27" s="11">
        <f>I27*'GS&lt;50 Predicted Monthly'!$X$13</f>
        <v>20897003.202441551</v>
      </c>
      <c r="R27" s="11">
        <f>J27*'GS&lt;50 Predicted Monthly'!$X$14</f>
        <v>0</v>
      </c>
      <c r="S27" s="13">
        <f t="shared" ca="1" si="1"/>
        <v>32730244.660241574</v>
      </c>
    </row>
    <row r="28" spans="1:19" x14ac:dyDescent="0.2">
      <c r="A28" s="8">
        <f>'Monthly Data'!A28</f>
        <v>43525</v>
      </c>
      <c r="B28">
        <f t="shared" si="2"/>
        <v>2019</v>
      </c>
      <c r="C28">
        <f t="shared" si="3"/>
        <v>3</v>
      </c>
      <c r="D28" s="18">
        <f>'Monthly Data'!J28</f>
        <v>34872336.488189504</v>
      </c>
      <c r="E28" s="21">
        <f t="shared" ca="1" si="4"/>
        <v>393.96333333333331</v>
      </c>
      <c r="F28" s="21">
        <f t="shared" ca="1" si="4"/>
        <v>0</v>
      </c>
      <c r="G28" s="211">
        <f>'Monthly Data'!CV28</f>
        <v>0</v>
      </c>
      <c r="H28" s="7">
        <f>'Monthly Data'!CS28</f>
        <v>31</v>
      </c>
      <c r="I28" s="19">
        <f>'Monthly Data'!AO28</f>
        <v>800743</v>
      </c>
      <c r="J28" s="19">
        <f>'Monthly Data'!BT28</f>
        <v>1</v>
      </c>
      <c r="L28" s="11">
        <f>'GS&lt;50 Predicted Monthly'!$X$8</f>
        <v>-13592432.544671699</v>
      </c>
      <c r="M28" s="11">
        <f ca="1">E28*'GS&lt;50 Predicted Monthly'!$X$9</f>
        <v>5442902.6580678122</v>
      </c>
      <c r="N28" s="11">
        <f ca="1">F28*'GS&lt;50 Predicted Monthly'!$X$10</f>
        <v>0</v>
      </c>
      <c r="O28" s="11">
        <f>G28*'GS&lt;50 Predicted Monthly'!$X$11</f>
        <v>0</v>
      </c>
      <c r="P28" s="11">
        <f>H28*'GS&lt;50 Predicted Monthly'!$X$12</f>
        <v>20753533.272940867</v>
      </c>
      <c r="Q28" s="11">
        <f>I28*'GS&lt;50 Predicted Monthly'!$X$13</f>
        <v>20897003.202441551</v>
      </c>
      <c r="R28" s="11">
        <f>J28*'GS&lt;50 Predicted Monthly'!$X$14</f>
        <v>522033.18159628101</v>
      </c>
      <c r="S28" s="13">
        <f t="shared" ca="1" si="1"/>
        <v>34023039.770374812</v>
      </c>
    </row>
    <row r="29" spans="1:19" x14ac:dyDescent="0.2">
      <c r="A29" s="8">
        <f>'Monthly Data'!A29</f>
        <v>43556</v>
      </c>
      <c r="B29">
        <f t="shared" si="2"/>
        <v>2019</v>
      </c>
      <c r="C29">
        <f t="shared" si="3"/>
        <v>4</v>
      </c>
      <c r="D29" s="18">
        <f>'Monthly Data'!J29</f>
        <v>30563948.842154223</v>
      </c>
      <c r="E29" s="21">
        <f t="shared" ca="1" si="4"/>
        <v>226.60145833333337</v>
      </c>
      <c r="F29" s="21">
        <f t="shared" ca="1" si="4"/>
        <v>6.5650000000000031</v>
      </c>
      <c r="G29" s="211">
        <f>'Monthly Data'!CV29</f>
        <v>0</v>
      </c>
      <c r="H29" s="7">
        <f>'Monthly Data'!CS29</f>
        <v>30</v>
      </c>
      <c r="I29" s="19">
        <f>'Monthly Data'!AO29</f>
        <v>806729</v>
      </c>
      <c r="J29" s="19">
        <f>'Monthly Data'!BT29</f>
        <v>0</v>
      </c>
      <c r="L29" s="11">
        <f>'GS&lt;50 Predicted Monthly'!$X$8</f>
        <v>-13592432.544671699</v>
      </c>
      <c r="M29" s="11">
        <f ca="1">E29*'GS&lt;50 Predicted Monthly'!$X$9</f>
        <v>3130671.2466080841</v>
      </c>
      <c r="N29" s="11">
        <f ca="1">F29*'GS&lt;50 Predicted Monthly'!$X$10</f>
        <v>282599.24442214705</v>
      </c>
      <c r="O29" s="11">
        <f>G29*'GS&lt;50 Predicted Monthly'!$X$11</f>
        <v>0</v>
      </c>
      <c r="P29" s="11">
        <f>H29*'GS&lt;50 Predicted Monthly'!$X$12</f>
        <v>20084064.457684711</v>
      </c>
      <c r="Q29" s="11">
        <f>I29*'GS&lt;50 Predicted Monthly'!$X$13</f>
        <v>21053219.94260639</v>
      </c>
      <c r="R29" s="11">
        <f>J29*'GS&lt;50 Predicted Monthly'!$X$14</f>
        <v>0</v>
      </c>
      <c r="S29" s="13">
        <f t="shared" ca="1" si="1"/>
        <v>30958122.346649632</v>
      </c>
    </row>
    <row r="30" spans="1:19" x14ac:dyDescent="0.2">
      <c r="A30" s="8">
        <f>'Monthly Data'!A30</f>
        <v>43586</v>
      </c>
      <c r="B30">
        <f t="shared" si="2"/>
        <v>2019</v>
      </c>
      <c r="C30">
        <f t="shared" si="3"/>
        <v>5</v>
      </c>
      <c r="D30" s="18">
        <f>'Monthly Data'!J30</f>
        <v>30439981.506023146</v>
      </c>
      <c r="E30" s="21">
        <f t="shared" ca="1" si="4"/>
        <v>65.335833333333326</v>
      </c>
      <c r="F30" s="21">
        <f t="shared" ca="1" si="4"/>
        <v>59.300416666666649</v>
      </c>
      <c r="G30" s="211">
        <f>'Monthly Data'!CV30</f>
        <v>0</v>
      </c>
      <c r="H30" s="7">
        <f>'Monthly Data'!CS30</f>
        <v>31</v>
      </c>
      <c r="I30" s="19">
        <f>'Monthly Data'!AO30</f>
        <v>806729</v>
      </c>
      <c r="J30" s="19">
        <f>'Monthly Data'!BT30</f>
        <v>0</v>
      </c>
      <c r="L30" s="11">
        <f>'GS&lt;50 Predicted Monthly'!$X$8</f>
        <v>-13592432.544671699</v>
      </c>
      <c r="M30" s="11">
        <f ca="1">E30*'GS&lt;50 Predicted Monthly'!$X$9</f>
        <v>902664.15889061301</v>
      </c>
      <c r="N30" s="11">
        <f ca="1">F30*'GS&lt;50 Predicted Monthly'!$X$10</f>
        <v>2552666.0996067757</v>
      </c>
      <c r="O30" s="11">
        <f>G30*'GS&lt;50 Predicted Monthly'!$X$11</f>
        <v>0</v>
      </c>
      <c r="P30" s="11">
        <f>H30*'GS&lt;50 Predicted Monthly'!$X$12</f>
        <v>20753533.272940867</v>
      </c>
      <c r="Q30" s="11">
        <f>I30*'GS&lt;50 Predicted Monthly'!$X$13</f>
        <v>21053219.94260639</v>
      </c>
      <c r="R30" s="11">
        <f>J30*'GS&lt;50 Predicted Monthly'!$X$14</f>
        <v>0</v>
      </c>
      <c r="S30" s="13">
        <f t="shared" ca="1" si="1"/>
        <v>31669650.929372944</v>
      </c>
    </row>
    <row r="31" spans="1:19" x14ac:dyDescent="0.2">
      <c r="A31" s="8">
        <f>'Monthly Data'!A31</f>
        <v>43617</v>
      </c>
      <c r="B31">
        <f t="shared" si="2"/>
        <v>2019</v>
      </c>
      <c r="C31">
        <f t="shared" si="3"/>
        <v>6</v>
      </c>
      <c r="D31" s="18">
        <f>'Monthly Data'!J31</f>
        <v>31958460.559302475</v>
      </c>
      <c r="E31" s="21">
        <f t="shared" ca="1" si="4"/>
        <v>3.0447916666666672</v>
      </c>
      <c r="F31" s="21">
        <f t="shared" ca="1" si="4"/>
        <v>157.17000000000002</v>
      </c>
      <c r="G31" s="211">
        <f>'Monthly Data'!CV31</f>
        <v>0</v>
      </c>
      <c r="H31" s="7">
        <f>'Monthly Data'!CS31</f>
        <v>30</v>
      </c>
      <c r="I31" s="19">
        <f>'Monthly Data'!AO31</f>
        <v>806729</v>
      </c>
      <c r="J31" s="19">
        <f>'Monthly Data'!BT31</f>
        <v>0</v>
      </c>
      <c r="L31" s="11">
        <f>'GS&lt;50 Predicted Monthly'!$X$8</f>
        <v>-13592432.544671699</v>
      </c>
      <c r="M31" s="11">
        <f ca="1">E31*'GS&lt;50 Predicted Monthly'!$X$9</f>
        <v>42066.109339522445</v>
      </c>
      <c r="N31" s="11">
        <f ca="1">F31*'GS&lt;50 Predicted Monthly'!$X$10</f>
        <v>6765593.7922054585</v>
      </c>
      <c r="O31" s="11">
        <f>G31*'GS&lt;50 Predicted Monthly'!$X$11</f>
        <v>0</v>
      </c>
      <c r="P31" s="11">
        <f>H31*'GS&lt;50 Predicted Monthly'!$X$12</f>
        <v>20084064.457684711</v>
      </c>
      <c r="Q31" s="11">
        <f>I31*'GS&lt;50 Predicted Monthly'!$X$13</f>
        <v>21053219.94260639</v>
      </c>
      <c r="R31" s="11">
        <f>J31*'GS&lt;50 Predicted Monthly'!$X$14</f>
        <v>0</v>
      </c>
      <c r="S31" s="13">
        <f t="shared" ca="1" si="1"/>
        <v>34352511.757164381</v>
      </c>
    </row>
    <row r="32" spans="1:19" x14ac:dyDescent="0.2">
      <c r="A32" s="8">
        <f>'Monthly Data'!A32</f>
        <v>43647</v>
      </c>
      <c r="B32">
        <f t="shared" si="2"/>
        <v>2019</v>
      </c>
      <c r="C32">
        <f t="shared" si="3"/>
        <v>7</v>
      </c>
      <c r="D32" s="18">
        <f>'Monthly Data'!J32</f>
        <v>39000790.891762398</v>
      </c>
      <c r="E32" s="21">
        <f t="shared" ca="1" si="4"/>
        <v>0</v>
      </c>
      <c r="F32" s="21">
        <f t="shared" ca="1" si="4"/>
        <v>231.27145833333333</v>
      </c>
      <c r="G32" s="211">
        <f>'Monthly Data'!CV32</f>
        <v>0</v>
      </c>
      <c r="H32" s="7">
        <f>'Monthly Data'!CS32</f>
        <v>31</v>
      </c>
      <c r="I32" s="19">
        <f>'Monthly Data'!AO32</f>
        <v>810697</v>
      </c>
      <c r="J32" s="19">
        <f>'Monthly Data'!BT32</f>
        <v>0</v>
      </c>
      <c r="L32" s="11">
        <f>'GS&lt;50 Predicted Monthly'!$X$8</f>
        <v>-13592432.544671699</v>
      </c>
      <c r="M32" s="11">
        <f ca="1">E32*'GS&lt;50 Predicted Monthly'!$X$9</f>
        <v>0</v>
      </c>
      <c r="N32" s="11">
        <f ca="1">F32*'GS&lt;50 Predicted Monthly'!$X$10</f>
        <v>9955390.6140758619</v>
      </c>
      <c r="O32" s="11">
        <f>G32*'GS&lt;50 Predicted Monthly'!$X$11</f>
        <v>0</v>
      </c>
      <c r="P32" s="11">
        <f>H32*'GS&lt;50 Predicted Monthly'!$X$12</f>
        <v>20753533.272940867</v>
      </c>
      <c r="Q32" s="11">
        <f>I32*'GS&lt;50 Predicted Monthly'!$X$13</f>
        <v>21156772.903677907</v>
      </c>
      <c r="R32" s="11">
        <f>J32*'GS&lt;50 Predicted Monthly'!$X$14</f>
        <v>0</v>
      </c>
      <c r="S32" s="13">
        <f t="shared" ca="1" si="1"/>
        <v>38273264.24602294</v>
      </c>
    </row>
    <row r="33" spans="1:19" x14ac:dyDescent="0.2">
      <c r="A33" s="8">
        <f>'Monthly Data'!A33</f>
        <v>43678</v>
      </c>
      <c r="B33">
        <f t="shared" si="2"/>
        <v>2019</v>
      </c>
      <c r="C33">
        <f t="shared" si="3"/>
        <v>8</v>
      </c>
      <c r="D33" s="18">
        <f>'Monthly Data'!J33</f>
        <v>36320178.532291718</v>
      </c>
      <c r="E33" s="21">
        <f t="shared" ca="1" si="4"/>
        <v>0.27875000000000066</v>
      </c>
      <c r="F33" s="21">
        <f t="shared" ca="1" si="4"/>
        <v>196.13625000000002</v>
      </c>
      <c r="G33" s="211">
        <f>'Monthly Data'!CV33</f>
        <v>0</v>
      </c>
      <c r="H33" s="7">
        <f>'Monthly Data'!CS33</f>
        <v>31</v>
      </c>
      <c r="I33" s="19">
        <f>'Monthly Data'!AO33</f>
        <v>810697</v>
      </c>
      <c r="J33" s="19">
        <f>'Monthly Data'!BT33</f>
        <v>0</v>
      </c>
      <c r="L33" s="11">
        <f>'GS&lt;50 Predicted Monthly'!$X$8</f>
        <v>-13592432.544671699</v>
      </c>
      <c r="M33" s="11">
        <f ca="1">E33*'GS&lt;50 Predicted Monthly'!$X$9</f>
        <v>3851.1429556128055</v>
      </c>
      <c r="N33" s="11">
        <f ca="1">F33*'GS&lt;50 Predicted Monthly'!$X$10</f>
        <v>8442948.3707225155</v>
      </c>
      <c r="O33" s="11">
        <f>G33*'GS&lt;50 Predicted Monthly'!$X$11</f>
        <v>0</v>
      </c>
      <c r="P33" s="11">
        <f>H33*'GS&lt;50 Predicted Monthly'!$X$12</f>
        <v>20753533.272940867</v>
      </c>
      <c r="Q33" s="11">
        <f>I33*'GS&lt;50 Predicted Monthly'!$X$13</f>
        <v>21156772.903677907</v>
      </c>
      <c r="R33" s="11">
        <f>J33*'GS&lt;50 Predicted Monthly'!$X$14</f>
        <v>0</v>
      </c>
      <c r="S33" s="13">
        <f t="shared" ca="1" si="1"/>
        <v>36764673.145625204</v>
      </c>
    </row>
    <row r="34" spans="1:19" x14ac:dyDescent="0.2">
      <c r="A34" s="8">
        <f>'Monthly Data'!A34</f>
        <v>43709</v>
      </c>
      <c r="B34">
        <f t="shared" si="2"/>
        <v>2019</v>
      </c>
      <c r="C34">
        <f t="shared" si="3"/>
        <v>9</v>
      </c>
      <c r="D34" s="18">
        <f>'Monthly Data'!J34</f>
        <v>31962336.608666547</v>
      </c>
      <c r="E34" s="21">
        <f t="shared" ref="E34:F53" ca="1" si="5">E22</f>
        <v>11.319999999999997</v>
      </c>
      <c r="F34" s="21">
        <f t="shared" ca="1" si="5"/>
        <v>104.19854166666664</v>
      </c>
      <c r="G34" s="211">
        <f>'Monthly Data'!CV34</f>
        <v>0</v>
      </c>
      <c r="H34" s="7">
        <f>'Monthly Data'!CS34</f>
        <v>30</v>
      </c>
      <c r="I34" s="19">
        <f>'Monthly Data'!AO34</f>
        <v>810697</v>
      </c>
      <c r="J34" s="19">
        <f>'Monthly Data'!BT34</f>
        <v>0</v>
      </c>
      <c r="L34" s="11">
        <f>'GS&lt;50 Predicted Monthly'!$X$8</f>
        <v>-13592432.544671699</v>
      </c>
      <c r="M34" s="11">
        <f ca="1">E34*'GS&lt;50 Predicted Monthly'!$X$9</f>
        <v>156394.39733645503</v>
      </c>
      <c r="N34" s="11">
        <f ca="1">F34*'GS&lt;50 Predicted Monthly'!$X$10</f>
        <v>4485366.2063807445</v>
      </c>
      <c r="O34" s="11">
        <f>G34*'GS&lt;50 Predicted Monthly'!$X$11</f>
        <v>0</v>
      </c>
      <c r="P34" s="11">
        <f>H34*'GS&lt;50 Predicted Monthly'!$X$12</f>
        <v>20084064.457684711</v>
      </c>
      <c r="Q34" s="11">
        <f>I34*'GS&lt;50 Predicted Monthly'!$X$13</f>
        <v>21156772.903677907</v>
      </c>
      <c r="R34" s="11">
        <f>J34*'GS&lt;50 Predicted Monthly'!$X$14</f>
        <v>0</v>
      </c>
      <c r="S34" s="13">
        <f t="shared" ca="1" si="1"/>
        <v>32290165.420408119</v>
      </c>
    </row>
    <row r="35" spans="1:19" x14ac:dyDescent="0.2">
      <c r="A35" s="8">
        <f>'Monthly Data'!A35</f>
        <v>43739</v>
      </c>
      <c r="B35">
        <f t="shared" si="2"/>
        <v>2019</v>
      </c>
      <c r="C35">
        <f t="shared" si="3"/>
        <v>10</v>
      </c>
      <c r="D35" s="18">
        <f>'Monthly Data'!J35</f>
        <v>30759281.251047574</v>
      </c>
      <c r="E35" s="21">
        <f t="shared" ca="1" si="5"/>
        <v>126.12583333333332</v>
      </c>
      <c r="F35" s="21">
        <f t="shared" ca="1" si="5"/>
        <v>24.703125000000007</v>
      </c>
      <c r="G35" s="211">
        <f>'Monthly Data'!CV35</f>
        <v>0</v>
      </c>
      <c r="H35" s="7">
        <f>'Monthly Data'!CS35</f>
        <v>31</v>
      </c>
      <c r="I35" s="19">
        <f>'Monthly Data'!AO35</f>
        <v>812164</v>
      </c>
      <c r="J35" s="19">
        <f>'Monthly Data'!BT35</f>
        <v>0</v>
      </c>
      <c r="L35" s="11">
        <f>'GS&lt;50 Predicted Monthly'!$X$8</f>
        <v>-13592432.544671699</v>
      </c>
      <c r="M35" s="11">
        <f ca="1">E35*'GS&lt;50 Predicted Monthly'!$X$9</f>
        <v>1742524.177802548</v>
      </c>
      <c r="N35" s="11">
        <f ca="1">F35*'GS&lt;50 Predicted Monthly'!$X$10</f>
        <v>1063379.201807441</v>
      </c>
      <c r="O35" s="11">
        <f>G35*'GS&lt;50 Predicted Monthly'!$X$11</f>
        <v>0</v>
      </c>
      <c r="P35" s="11">
        <f>H35*'GS&lt;50 Predicted Monthly'!$X$12</f>
        <v>20753533.272940867</v>
      </c>
      <c r="Q35" s="11">
        <f>I35*'GS&lt;50 Predicted Monthly'!$X$13</f>
        <v>21195057.226735342</v>
      </c>
      <c r="R35" s="11">
        <f>J35*'GS&lt;50 Predicted Monthly'!$X$14</f>
        <v>0</v>
      </c>
      <c r="S35" s="13">
        <f t="shared" ca="1" si="1"/>
        <v>31162061.3346145</v>
      </c>
    </row>
    <row r="36" spans="1:19" x14ac:dyDescent="0.2">
      <c r="A36" s="8">
        <f>'Monthly Data'!A36</f>
        <v>43770</v>
      </c>
      <c r="B36">
        <f t="shared" si="2"/>
        <v>2019</v>
      </c>
      <c r="C36">
        <f t="shared" si="3"/>
        <v>11</v>
      </c>
      <c r="D36" s="18">
        <f>'Monthly Data'!J36</f>
        <v>33141456.629586298</v>
      </c>
      <c r="E36" s="21">
        <f t="shared" ca="1" si="5"/>
        <v>312.40687500000001</v>
      </c>
      <c r="F36" s="21">
        <f t="shared" ca="1" si="5"/>
        <v>1.6454166666666665</v>
      </c>
      <c r="G36" s="211">
        <f>'Monthly Data'!CV36</f>
        <v>0</v>
      </c>
      <c r="H36" s="7">
        <f>'Monthly Data'!CS36</f>
        <v>30</v>
      </c>
      <c r="I36" s="19">
        <f>'Monthly Data'!AO36</f>
        <v>812164</v>
      </c>
      <c r="J36" s="19">
        <f>'Monthly Data'!BT36</f>
        <v>0</v>
      </c>
      <c r="L36" s="11">
        <f>'GS&lt;50 Predicted Monthly'!$X$8</f>
        <v>-13592432.544671699</v>
      </c>
      <c r="M36" s="11">
        <f ca="1">E36*'GS&lt;50 Predicted Monthly'!$X$9</f>
        <v>4316138.2455291748</v>
      </c>
      <c r="N36" s="11">
        <f ca="1">F36*'GS&lt;50 Predicted Monthly'!$X$10</f>
        <v>70829.170869704118</v>
      </c>
      <c r="O36" s="11">
        <f>G36*'GS&lt;50 Predicted Monthly'!$X$11</f>
        <v>0</v>
      </c>
      <c r="P36" s="11">
        <f>H36*'GS&lt;50 Predicted Monthly'!$X$12</f>
        <v>20084064.457684711</v>
      </c>
      <c r="Q36" s="11">
        <f>I36*'GS&lt;50 Predicted Monthly'!$X$13</f>
        <v>21195057.226735342</v>
      </c>
      <c r="R36" s="11">
        <f>J36*'GS&lt;50 Predicted Monthly'!$X$14</f>
        <v>0</v>
      </c>
      <c r="S36" s="13">
        <f t="shared" ca="1" si="1"/>
        <v>32073656.556147233</v>
      </c>
    </row>
    <row r="37" spans="1:19" x14ac:dyDescent="0.2">
      <c r="A37" s="8">
        <f>'Monthly Data'!A37</f>
        <v>43800</v>
      </c>
      <c r="B37">
        <f t="shared" si="2"/>
        <v>2019</v>
      </c>
      <c r="C37">
        <f t="shared" si="3"/>
        <v>12</v>
      </c>
      <c r="D37" s="18">
        <f>'Monthly Data'!J37</f>
        <v>34727182.032087423</v>
      </c>
      <c r="E37" s="21">
        <f t="shared" ca="1" si="5"/>
        <v>473.52499999999998</v>
      </c>
      <c r="F37" s="21">
        <f t="shared" ca="1" si="5"/>
        <v>0</v>
      </c>
      <c r="G37" s="211">
        <f>'Monthly Data'!CV37</f>
        <v>0</v>
      </c>
      <c r="H37" s="7">
        <f>'Monthly Data'!CS37</f>
        <v>31</v>
      </c>
      <c r="I37" s="19">
        <f>'Monthly Data'!AO37</f>
        <v>812164</v>
      </c>
      <c r="J37" s="19">
        <f>'Monthly Data'!BT37</f>
        <v>0</v>
      </c>
      <c r="L37" s="11">
        <f>'GS&lt;50 Predicted Monthly'!$X$8</f>
        <v>-13592432.544671699</v>
      </c>
      <c r="M37" s="11">
        <f ca="1">E37*'GS&lt;50 Predicted Monthly'!$X$9</f>
        <v>6542107.5087230466</v>
      </c>
      <c r="N37" s="11">
        <f ca="1">F37*'GS&lt;50 Predicted Monthly'!$X$10</f>
        <v>0</v>
      </c>
      <c r="O37" s="11">
        <f>G37*'GS&lt;50 Predicted Monthly'!$X$11</f>
        <v>0</v>
      </c>
      <c r="P37" s="11">
        <f>H37*'GS&lt;50 Predicted Monthly'!$X$12</f>
        <v>20753533.272940867</v>
      </c>
      <c r="Q37" s="11">
        <f>I37*'GS&lt;50 Predicted Monthly'!$X$13</f>
        <v>21195057.226735342</v>
      </c>
      <c r="R37" s="11">
        <f>J37*'GS&lt;50 Predicted Monthly'!$X$14</f>
        <v>0</v>
      </c>
      <c r="S37" s="13">
        <f t="shared" ca="1" si="1"/>
        <v>34898265.463727556</v>
      </c>
    </row>
    <row r="38" spans="1:19" x14ac:dyDescent="0.2">
      <c r="A38" s="8">
        <f>'Monthly Data'!A38</f>
        <v>43831</v>
      </c>
      <c r="B38">
        <f t="shared" si="2"/>
        <v>2020</v>
      </c>
      <c r="C38">
        <f t="shared" si="3"/>
        <v>1</v>
      </c>
      <c r="D38" s="18">
        <f>'Monthly Data'!J38</f>
        <v>35587534.780226827</v>
      </c>
      <c r="E38" s="21">
        <f t="shared" ca="1" si="5"/>
        <v>566.30416666666667</v>
      </c>
      <c r="F38" s="21">
        <f t="shared" ca="1" si="5"/>
        <v>0</v>
      </c>
      <c r="G38" s="211">
        <f>'Monthly Data'!CV38</f>
        <v>0</v>
      </c>
      <c r="H38" s="7">
        <f>'Monthly Data'!CS38</f>
        <v>31</v>
      </c>
      <c r="I38" s="19">
        <f>'Monthly Data'!AO38</f>
        <v>801246</v>
      </c>
      <c r="J38" s="19">
        <f>'Monthly Data'!BT38</f>
        <v>0</v>
      </c>
      <c r="L38" s="11">
        <f>'GS&lt;50 Predicted Monthly'!$X$8</f>
        <v>-13592432.544671699</v>
      </c>
      <c r="M38" s="11">
        <f ca="1">E38*'GS&lt;50 Predicted Monthly'!$X$9</f>
        <v>7823922.1603318686</v>
      </c>
      <c r="N38" s="11">
        <f ca="1">F38*'GS&lt;50 Predicted Monthly'!$X$10</f>
        <v>0</v>
      </c>
      <c r="O38" s="11">
        <f>G38*'GS&lt;50 Predicted Monthly'!$X$11</f>
        <v>0</v>
      </c>
      <c r="P38" s="11">
        <f>H38*'GS&lt;50 Predicted Monthly'!$X$12</f>
        <v>20753533.272940867</v>
      </c>
      <c r="Q38" s="11">
        <f>I38*'GS&lt;50 Predicted Monthly'!$X$13</f>
        <v>20910130.001690283</v>
      </c>
      <c r="R38" s="11">
        <f>J38*'GS&lt;50 Predicted Monthly'!$X$14</f>
        <v>0</v>
      </c>
      <c r="S38" s="13">
        <f t="shared" ca="1" si="1"/>
        <v>35895152.890291318</v>
      </c>
    </row>
    <row r="39" spans="1:19" x14ac:dyDescent="0.2">
      <c r="A39" s="8">
        <f>'Monthly Data'!A39</f>
        <v>43862</v>
      </c>
      <c r="B39">
        <f t="shared" si="2"/>
        <v>2020</v>
      </c>
      <c r="C39">
        <f t="shared" si="3"/>
        <v>2</v>
      </c>
      <c r="D39" s="18">
        <f>'Monthly Data'!J39</f>
        <v>33755956.937224291</v>
      </c>
      <c r="E39" s="21">
        <f t="shared" ca="1" si="5"/>
        <v>483.54541666666665</v>
      </c>
      <c r="F39" s="21">
        <f t="shared" ca="1" si="5"/>
        <v>0</v>
      </c>
      <c r="G39" s="211">
        <f>'Monthly Data'!CV39</f>
        <v>0</v>
      </c>
      <c r="H39" s="7">
        <f>'Monthly Data'!CS39</f>
        <v>29</v>
      </c>
      <c r="I39" s="19">
        <f>'Monthly Data'!AO39</f>
        <v>801246</v>
      </c>
      <c r="J39" s="19">
        <f>'Monthly Data'!BT39</f>
        <v>0</v>
      </c>
      <c r="L39" s="11">
        <f>'GS&lt;50 Predicted Monthly'!$X$8</f>
        <v>-13592432.544671699</v>
      </c>
      <c r="M39" s="11">
        <f ca="1">E39*'GS&lt;50 Predicted Monthly'!$X$9</f>
        <v>6680547.1752993288</v>
      </c>
      <c r="N39" s="11">
        <f ca="1">F39*'GS&lt;50 Predicted Monthly'!$X$10</f>
        <v>0</v>
      </c>
      <c r="O39" s="11">
        <f>G39*'GS&lt;50 Predicted Monthly'!$X$11</f>
        <v>0</v>
      </c>
      <c r="P39" s="11">
        <f>H39*'GS&lt;50 Predicted Monthly'!$X$12</f>
        <v>19414595.642428551</v>
      </c>
      <c r="Q39" s="11">
        <f>I39*'GS&lt;50 Predicted Monthly'!$X$13</f>
        <v>20910130.001690283</v>
      </c>
      <c r="R39" s="11">
        <f>J39*'GS&lt;50 Predicted Monthly'!$X$14</f>
        <v>0</v>
      </c>
      <c r="S39" s="13">
        <f t="shared" ca="1" si="1"/>
        <v>33412840.274746463</v>
      </c>
    </row>
    <row r="40" spans="1:19" x14ac:dyDescent="0.2">
      <c r="A40" s="8">
        <f>'Monthly Data'!A40</f>
        <v>43891</v>
      </c>
      <c r="B40">
        <f t="shared" si="2"/>
        <v>2020</v>
      </c>
      <c r="C40">
        <f t="shared" si="3"/>
        <v>3</v>
      </c>
      <c r="D40" s="18">
        <f>'Monthly Data'!J40</f>
        <v>31961407.074373361</v>
      </c>
      <c r="E40" s="21">
        <f t="shared" ca="1" si="5"/>
        <v>393.96333333333331</v>
      </c>
      <c r="F40" s="21">
        <f t="shared" ca="1" si="5"/>
        <v>0</v>
      </c>
      <c r="G40" s="211">
        <f>'Monthly Data'!CV40</f>
        <v>0.5</v>
      </c>
      <c r="H40" s="7">
        <f>'Monthly Data'!CS40</f>
        <v>31</v>
      </c>
      <c r="I40" s="19">
        <f>'Monthly Data'!AO40</f>
        <v>801246</v>
      </c>
      <c r="J40" s="19">
        <f>'Monthly Data'!BT40</f>
        <v>1</v>
      </c>
      <c r="L40" s="11">
        <f>'GS&lt;50 Predicted Monthly'!$X$8</f>
        <v>-13592432.544671699</v>
      </c>
      <c r="M40" s="11">
        <f ca="1">E40*'GS&lt;50 Predicted Monthly'!$X$9</f>
        <v>5442902.6580678122</v>
      </c>
      <c r="N40" s="11">
        <f ca="1">F40*'GS&lt;50 Predicted Monthly'!$X$10</f>
        <v>0</v>
      </c>
      <c r="O40" s="11">
        <f>G40*'GS&lt;50 Predicted Monthly'!$X$11</f>
        <v>-1045181.63332577</v>
      </c>
      <c r="P40" s="11">
        <f>H40*'GS&lt;50 Predicted Monthly'!$X$12</f>
        <v>20753533.272940867</v>
      </c>
      <c r="Q40" s="11">
        <f>I40*'GS&lt;50 Predicted Monthly'!$X$13</f>
        <v>20910130.001690283</v>
      </c>
      <c r="R40" s="11">
        <f>J40*'GS&lt;50 Predicted Monthly'!$X$14</f>
        <v>522033.18159628101</v>
      </c>
      <c r="S40" s="13">
        <f t="shared" ca="1" si="1"/>
        <v>32990984.936297774</v>
      </c>
    </row>
    <row r="41" spans="1:19" x14ac:dyDescent="0.2">
      <c r="A41" s="8">
        <f>'Monthly Data'!A41</f>
        <v>43922</v>
      </c>
      <c r="B41">
        <f t="shared" si="2"/>
        <v>2020</v>
      </c>
      <c r="C41">
        <f t="shared" si="3"/>
        <v>4</v>
      </c>
      <c r="D41" s="18">
        <f>'Monthly Data'!J41</f>
        <v>26435861.898934826</v>
      </c>
      <c r="E41" s="21">
        <f t="shared" ca="1" si="5"/>
        <v>226.60145833333337</v>
      </c>
      <c r="F41" s="21">
        <f t="shared" ca="1" si="5"/>
        <v>6.5650000000000031</v>
      </c>
      <c r="G41" s="211">
        <f>'Monthly Data'!CV41</f>
        <v>1</v>
      </c>
      <c r="H41" s="7">
        <f>'Monthly Data'!CS41</f>
        <v>30</v>
      </c>
      <c r="I41" s="19">
        <f>'Monthly Data'!AO41</f>
        <v>705711</v>
      </c>
      <c r="J41" s="19">
        <f>'Monthly Data'!BT41</f>
        <v>0</v>
      </c>
      <c r="L41" s="11">
        <f>'GS&lt;50 Predicted Monthly'!$X$8</f>
        <v>-13592432.544671699</v>
      </c>
      <c r="M41" s="11">
        <f ca="1">E41*'GS&lt;50 Predicted Monthly'!$X$9</f>
        <v>3130671.2466080841</v>
      </c>
      <c r="N41" s="11">
        <f ca="1">F41*'GS&lt;50 Predicted Monthly'!$X$10</f>
        <v>282599.24442214705</v>
      </c>
      <c r="O41" s="11">
        <f>G41*'GS&lt;50 Predicted Monthly'!$X$11</f>
        <v>-2090363.2666515401</v>
      </c>
      <c r="P41" s="11">
        <f>H41*'GS&lt;50 Predicted Monthly'!$X$12</f>
        <v>20084064.457684711</v>
      </c>
      <c r="Q41" s="11">
        <f>I41*'GS&lt;50 Predicted Monthly'!$X$13</f>
        <v>18416951.540005006</v>
      </c>
      <c r="R41" s="11">
        <f>J41*'GS&lt;50 Predicted Monthly'!$X$14</f>
        <v>0</v>
      </c>
      <c r="S41" s="13">
        <f t="shared" ca="1" si="1"/>
        <v>26231490.677396707</v>
      </c>
    </row>
    <row r="42" spans="1:19" x14ac:dyDescent="0.2">
      <c r="A42" s="8">
        <f>'Monthly Data'!A42</f>
        <v>43952</v>
      </c>
      <c r="B42">
        <f t="shared" si="2"/>
        <v>2020</v>
      </c>
      <c r="C42">
        <f t="shared" si="3"/>
        <v>5</v>
      </c>
      <c r="D42" s="18">
        <f>'Monthly Data'!J42</f>
        <v>27588460.479361489</v>
      </c>
      <c r="E42" s="21">
        <f t="shared" ca="1" si="5"/>
        <v>65.335833333333326</v>
      </c>
      <c r="F42" s="21">
        <f t="shared" ca="1" si="5"/>
        <v>59.300416666666649</v>
      </c>
      <c r="G42" s="211">
        <f>'Monthly Data'!CV42</f>
        <v>1</v>
      </c>
      <c r="H42" s="7">
        <f>'Monthly Data'!CS42</f>
        <v>31</v>
      </c>
      <c r="I42" s="19">
        <f>'Monthly Data'!AO42</f>
        <v>705711</v>
      </c>
      <c r="J42" s="19">
        <f>'Monthly Data'!BT42</f>
        <v>0</v>
      </c>
      <c r="L42" s="11">
        <f>'GS&lt;50 Predicted Monthly'!$X$8</f>
        <v>-13592432.544671699</v>
      </c>
      <c r="M42" s="11">
        <f ca="1">E42*'GS&lt;50 Predicted Monthly'!$X$9</f>
        <v>902664.15889061301</v>
      </c>
      <c r="N42" s="11">
        <f ca="1">F42*'GS&lt;50 Predicted Monthly'!$X$10</f>
        <v>2552666.0996067757</v>
      </c>
      <c r="O42" s="11">
        <f>G42*'GS&lt;50 Predicted Monthly'!$X$11</f>
        <v>-2090363.2666515401</v>
      </c>
      <c r="P42" s="11">
        <f>H42*'GS&lt;50 Predicted Monthly'!$X$12</f>
        <v>20753533.272940867</v>
      </c>
      <c r="Q42" s="11">
        <f>I42*'GS&lt;50 Predicted Monthly'!$X$13</f>
        <v>18416951.540005006</v>
      </c>
      <c r="R42" s="11">
        <f>J42*'GS&lt;50 Predicted Monthly'!$X$14</f>
        <v>0</v>
      </c>
      <c r="S42" s="13">
        <f t="shared" ca="1" si="1"/>
        <v>26943019.260120019</v>
      </c>
    </row>
    <row r="43" spans="1:19" x14ac:dyDescent="0.2">
      <c r="A43" s="8">
        <f>'Monthly Data'!A43</f>
        <v>43983</v>
      </c>
      <c r="B43">
        <f t="shared" si="2"/>
        <v>2020</v>
      </c>
      <c r="C43">
        <f t="shared" si="3"/>
        <v>6</v>
      </c>
      <c r="D43" s="18">
        <f>'Monthly Data'!J43</f>
        <v>32012058.677479155</v>
      </c>
      <c r="E43" s="21">
        <f t="shared" ca="1" si="5"/>
        <v>3.0447916666666672</v>
      </c>
      <c r="F43" s="21">
        <f t="shared" ca="1" si="5"/>
        <v>157.17000000000002</v>
      </c>
      <c r="G43" s="211">
        <f>'Monthly Data'!CV43</f>
        <v>0.5</v>
      </c>
      <c r="H43" s="7">
        <f>'Monthly Data'!CS43</f>
        <v>30</v>
      </c>
      <c r="I43" s="19">
        <f>'Monthly Data'!AO43</f>
        <v>705711</v>
      </c>
      <c r="J43" s="19">
        <f>'Monthly Data'!BT43</f>
        <v>0</v>
      </c>
      <c r="L43" s="11">
        <f>'GS&lt;50 Predicted Monthly'!$X$8</f>
        <v>-13592432.544671699</v>
      </c>
      <c r="M43" s="11">
        <f ca="1">E43*'GS&lt;50 Predicted Monthly'!$X$9</f>
        <v>42066.109339522445</v>
      </c>
      <c r="N43" s="11">
        <f ca="1">F43*'GS&lt;50 Predicted Monthly'!$X$10</f>
        <v>6765593.7922054585</v>
      </c>
      <c r="O43" s="11">
        <f>G43*'GS&lt;50 Predicted Monthly'!$X$11</f>
        <v>-1045181.63332577</v>
      </c>
      <c r="P43" s="11">
        <f>H43*'GS&lt;50 Predicted Monthly'!$X$12</f>
        <v>20084064.457684711</v>
      </c>
      <c r="Q43" s="11">
        <f>I43*'GS&lt;50 Predicted Monthly'!$X$13</f>
        <v>18416951.540005006</v>
      </c>
      <c r="R43" s="11">
        <f>J43*'GS&lt;50 Predicted Monthly'!$X$14</f>
        <v>0</v>
      </c>
      <c r="S43" s="13">
        <f t="shared" ca="1" si="1"/>
        <v>30671061.721237227</v>
      </c>
    </row>
    <row r="44" spans="1:19" x14ac:dyDescent="0.2">
      <c r="A44" s="8">
        <f>'Monthly Data'!A44</f>
        <v>44013</v>
      </c>
      <c r="B44">
        <f t="shared" si="2"/>
        <v>2020</v>
      </c>
      <c r="C44">
        <f t="shared" si="3"/>
        <v>7</v>
      </c>
      <c r="D44" s="18">
        <f>'Monthly Data'!J44</f>
        <v>38745453.377998121</v>
      </c>
      <c r="E44" s="21">
        <f t="shared" ca="1" si="5"/>
        <v>0</v>
      </c>
      <c r="F44" s="21">
        <f t="shared" ca="1" si="5"/>
        <v>231.27145833333333</v>
      </c>
      <c r="G44" s="211">
        <f>'Monthly Data'!CV44</f>
        <v>0.5</v>
      </c>
      <c r="H44" s="7">
        <f>'Monthly Data'!CS44</f>
        <v>31</v>
      </c>
      <c r="I44" s="19">
        <f>'Monthly Data'!AO44</f>
        <v>778294</v>
      </c>
      <c r="J44" s="19">
        <f>'Monthly Data'!BT44</f>
        <v>0</v>
      </c>
      <c r="L44" s="11">
        <f>'GS&lt;50 Predicted Monthly'!$X$8</f>
        <v>-13592432.544671699</v>
      </c>
      <c r="M44" s="11">
        <f ca="1">E44*'GS&lt;50 Predicted Monthly'!$X$9</f>
        <v>0</v>
      </c>
      <c r="N44" s="11">
        <f ca="1">F44*'GS&lt;50 Predicted Monthly'!$X$10</f>
        <v>9955390.6140758619</v>
      </c>
      <c r="O44" s="11">
        <f>G44*'GS&lt;50 Predicted Monthly'!$X$11</f>
        <v>-1045181.63332577</v>
      </c>
      <c r="P44" s="11">
        <f>H44*'GS&lt;50 Predicted Monthly'!$X$12</f>
        <v>20753533.272940867</v>
      </c>
      <c r="Q44" s="11">
        <f>I44*'GS&lt;50 Predicted Monthly'!$X$13</f>
        <v>20311151.281298798</v>
      </c>
      <c r="R44" s="11">
        <f>J44*'GS&lt;50 Predicted Monthly'!$X$14</f>
        <v>0</v>
      </c>
      <c r="S44" s="13">
        <f t="shared" ca="1" si="1"/>
        <v>36382460.99031806</v>
      </c>
    </row>
    <row r="45" spans="1:19" x14ac:dyDescent="0.2">
      <c r="A45" s="8">
        <f>'Monthly Data'!A45</f>
        <v>44044</v>
      </c>
      <c r="B45">
        <f t="shared" si="2"/>
        <v>2020</v>
      </c>
      <c r="C45">
        <f t="shared" si="3"/>
        <v>8</v>
      </c>
      <c r="D45" s="18">
        <f>'Monthly Data'!J45</f>
        <v>35336767.432149887</v>
      </c>
      <c r="E45" s="21">
        <f t="shared" ca="1" si="5"/>
        <v>0.27875000000000066</v>
      </c>
      <c r="F45" s="21">
        <f t="shared" ca="1" si="5"/>
        <v>196.13625000000002</v>
      </c>
      <c r="G45" s="211">
        <f>'Monthly Data'!CV45</f>
        <v>0.5</v>
      </c>
      <c r="H45" s="7">
        <f>'Monthly Data'!CS45</f>
        <v>31</v>
      </c>
      <c r="I45" s="19">
        <f>'Monthly Data'!AO45</f>
        <v>778294</v>
      </c>
      <c r="J45" s="19">
        <f>'Monthly Data'!BT45</f>
        <v>0</v>
      </c>
      <c r="L45" s="11">
        <f>'GS&lt;50 Predicted Monthly'!$X$8</f>
        <v>-13592432.544671699</v>
      </c>
      <c r="M45" s="11">
        <f ca="1">E45*'GS&lt;50 Predicted Monthly'!$X$9</f>
        <v>3851.1429556128055</v>
      </c>
      <c r="N45" s="11">
        <f ca="1">F45*'GS&lt;50 Predicted Monthly'!$X$10</f>
        <v>8442948.3707225155</v>
      </c>
      <c r="O45" s="11">
        <f>G45*'GS&lt;50 Predicted Monthly'!$X$11</f>
        <v>-1045181.63332577</v>
      </c>
      <c r="P45" s="11">
        <f>H45*'GS&lt;50 Predicted Monthly'!$X$12</f>
        <v>20753533.272940867</v>
      </c>
      <c r="Q45" s="11">
        <f>I45*'GS&lt;50 Predicted Monthly'!$X$13</f>
        <v>20311151.281298798</v>
      </c>
      <c r="R45" s="11">
        <f>J45*'GS&lt;50 Predicted Monthly'!$X$14</f>
        <v>0</v>
      </c>
      <c r="S45" s="13">
        <f t="shared" ca="1" si="1"/>
        <v>34873869.889920324</v>
      </c>
    </row>
    <row r="46" spans="1:19" x14ac:dyDescent="0.2">
      <c r="A46" s="8">
        <f>'Monthly Data'!A46</f>
        <v>44075</v>
      </c>
      <c r="B46">
        <f t="shared" si="2"/>
        <v>2020</v>
      </c>
      <c r="C46">
        <f t="shared" si="3"/>
        <v>9</v>
      </c>
      <c r="D46" s="18">
        <f>'Monthly Data'!J46</f>
        <v>30064424.989130653</v>
      </c>
      <c r="E46" s="21">
        <f t="shared" ca="1" si="5"/>
        <v>11.319999999999997</v>
      </c>
      <c r="F46" s="21">
        <f t="shared" ca="1" si="5"/>
        <v>104.19854166666664</v>
      </c>
      <c r="G46" s="211">
        <f>'Monthly Data'!CV46</f>
        <v>0.5</v>
      </c>
      <c r="H46" s="7">
        <f>'Monthly Data'!CS46</f>
        <v>30</v>
      </c>
      <c r="I46" s="19">
        <f>'Monthly Data'!AO46</f>
        <v>778294</v>
      </c>
      <c r="J46" s="19">
        <f>'Monthly Data'!BT46</f>
        <v>0</v>
      </c>
      <c r="L46" s="11">
        <f>'GS&lt;50 Predicted Monthly'!$X$8</f>
        <v>-13592432.544671699</v>
      </c>
      <c r="M46" s="11">
        <f ca="1">E46*'GS&lt;50 Predicted Monthly'!$X$9</f>
        <v>156394.39733645503</v>
      </c>
      <c r="N46" s="11">
        <f ca="1">F46*'GS&lt;50 Predicted Monthly'!$X$10</f>
        <v>4485366.2063807445</v>
      </c>
      <c r="O46" s="11">
        <f>G46*'GS&lt;50 Predicted Monthly'!$X$11</f>
        <v>-1045181.63332577</v>
      </c>
      <c r="P46" s="11">
        <f>H46*'GS&lt;50 Predicted Monthly'!$X$12</f>
        <v>20084064.457684711</v>
      </c>
      <c r="Q46" s="11">
        <f>I46*'GS&lt;50 Predicted Monthly'!$X$13</f>
        <v>20311151.281298798</v>
      </c>
      <c r="R46" s="11">
        <f>J46*'GS&lt;50 Predicted Monthly'!$X$14</f>
        <v>0</v>
      </c>
      <c r="S46" s="13">
        <f t="shared" ca="1" si="1"/>
        <v>30399362.164703239</v>
      </c>
    </row>
    <row r="47" spans="1:19" x14ac:dyDescent="0.2">
      <c r="A47" s="8">
        <f>'Monthly Data'!A47</f>
        <v>44105</v>
      </c>
      <c r="B47">
        <f t="shared" si="2"/>
        <v>2020</v>
      </c>
      <c r="C47">
        <f t="shared" si="3"/>
        <v>10</v>
      </c>
      <c r="D47" s="18">
        <f>'Monthly Data'!J47</f>
        <v>29507060.335061818</v>
      </c>
      <c r="E47" s="21">
        <f t="shared" ca="1" si="5"/>
        <v>126.12583333333332</v>
      </c>
      <c r="F47" s="21">
        <f t="shared" ca="1" si="5"/>
        <v>24.703125000000007</v>
      </c>
      <c r="G47" s="211">
        <f>'Monthly Data'!CV47</f>
        <v>0.5</v>
      </c>
      <c r="H47" s="7">
        <f>'Monthly Data'!CS47</f>
        <v>31</v>
      </c>
      <c r="I47" s="19">
        <f>'Monthly Data'!AO47</f>
        <v>797313</v>
      </c>
      <c r="J47" s="19">
        <f>'Monthly Data'!BT47</f>
        <v>0</v>
      </c>
      <c r="L47" s="11">
        <f>'GS&lt;50 Predicted Monthly'!$X$8</f>
        <v>-13592432.544671699</v>
      </c>
      <c r="M47" s="11">
        <f ca="1">E47*'GS&lt;50 Predicted Monthly'!$X$9</f>
        <v>1742524.177802548</v>
      </c>
      <c r="N47" s="11">
        <f ca="1">F47*'GS&lt;50 Predicted Monthly'!$X$10</f>
        <v>1063379.201807441</v>
      </c>
      <c r="O47" s="11">
        <f>G47*'GS&lt;50 Predicted Monthly'!$X$11</f>
        <v>-1045181.63332577</v>
      </c>
      <c r="P47" s="11">
        <f>H47*'GS&lt;50 Predicted Monthly'!$X$12</f>
        <v>20753533.272940867</v>
      </c>
      <c r="Q47" s="11">
        <f>I47*'GS&lt;50 Predicted Monthly'!$X$13</f>
        <v>20807490.436192736</v>
      </c>
      <c r="R47" s="11">
        <f>J47*'GS&lt;50 Predicted Monthly'!$X$14</f>
        <v>0</v>
      </c>
      <c r="S47" s="13">
        <f t="shared" ca="1" si="1"/>
        <v>29729312.91074612</v>
      </c>
    </row>
    <row r="48" spans="1:19" x14ac:dyDescent="0.2">
      <c r="A48" s="8">
        <f>'Monthly Data'!A48</f>
        <v>44136</v>
      </c>
      <c r="B48">
        <f t="shared" si="2"/>
        <v>2020</v>
      </c>
      <c r="C48">
        <f t="shared" si="3"/>
        <v>11</v>
      </c>
      <c r="D48" s="18">
        <f>'Monthly Data'!J48</f>
        <v>30257073.560644682</v>
      </c>
      <c r="E48" s="21">
        <f t="shared" ca="1" si="5"/>
        <v>312.40687500000001</v>
      </c>
      <c r="F48" s="21">
        <f t="shared" ca="1" si="5"/>
        <v>1.6454166666666665</v>
      </c>
      <c r="G48" s="211">
        <f>'Monthly Data'!CV48</f>
        <v>0.5</v>
      </c>
      <c r="H48" s="7">
        <f>'Monthly Data'!CS48</f>
        <v>30</v>
      </c>
      <c r="I48" s="19">
        <f>'Monthly Data'!AO48</f>
        <v>797313</v>
      </c>
      <c r="J48" s="19">
        <f>'Monthly Data'!BT48</f>
        <v>0</v>
      </c>
      <c r="L48" s="11">
        <f>'GS&lt;50 Predicted Monthly'!$X$8</f>
        <v>-13592432.544671699</v>
      </c>
      <c r="M48" s="11">
        <f ca="1">E48*'GS&lt;50 Predicted Monthly'!$X$9</f>
        <v>4316138.2455291748</v>
      </c>
      <c r="N48" s="11">
        <f ca="1">F48*'GS&lt;50 Predicted Monthly'!$X$10</f>
        <v>70829.170869704118</v>
      </c>
      <c r="O48" s="11">
        <f>G48*'GS&lt;50 Predicted Monthly'!$X$11</f>
        <v>-1045181.63332577</v>
      </c>
      <c r="P48" s="11">
        <f>H48*'GS&lt;50 Predicted Monthly'!$X$12</f>
        <v>20084064.457684711</v>
      </c>
      <c r="Q48" s="11">
        <f>I48*'GS&lt;50 Predicted Monthly'!$X$13</f>
        <v>20807490.436192736</v>
      </c>
      <c r="R48" s="11">
        <f>J48*'GS&lt;50 Predicted Monthly'!$X$14</f>
        <v>0</v>
      </c>
      <c r="S48" s="13">
        <f t="shared" ca="1" si="1"/>
        <v>30640908.132278856</v>
      </c>
    </row>
    <row r="49" spans="1:19" x14ac:dyDescent="0.2">
      <c r="A49" s="8">
        <f>'Monthly Data'!A49</f>
        <v>44166</v>
      </c>
      <c r="B49">
        <f t="shared" si="2"/>
        <v>2020</v>
      </c>
      <c r="C49">
        <f t="shared" si="3"/>
        <v>12</v>
      </c>
      <c r="D49" s="18">
        <f>'Monthly Data'!J49</f>
        <v>33353346.81291895</v>
      </c>
      <c r="E49" s="21">
        <f t="shared" ca="1" si="5"/>
        <v>473.52499999999998</v>
      </c>
      <c r="F49" s="21">
        <f t="shared" ca="1" si="5"/>
        <v>0</v>
      </c>
      <c r="G49" s="211">
        <f>'Monthly Data'!CV49</f>
        <v>0.5</v>
      </c>
      <c r="H49" s="7">
        <f>'Monthly Data'!CS49</f>
        <v>31</v>
      </c>
      <c r="I49" s="19">
        <f>'Monthly Data'!AO49</f>
        <v>797313</v>
      </c>
      <c r="J49" s="19">
        <f>'Monthly Data'!BT49</f>
        <v>0</v>
      </c>
      <c r="L49" s="11">
        <f>'GS&lt;50 Predicted Monthly'!$X$8</f>
        <v>-13592432.544671699</v>
      </c>
      <c r="M49" s="11">
        <f ca="1">E49*'GS&lt;50 Predicted Monthly'!$X$9</f>
        <v>6542107.5087230466</v>
      </c>
      <c r="N49" s="11">
        <f ca="1">F49*'GS&lt;50 Predicted Monthly'!$X$10</f>
        <v>0</v>
      </c>
      <c r="O49" s="11">
        <f>G49*'GS&lt;50 Predicted Monthly'!$X$11</f>
        <v>-1045181.63332577</v>
      </c>
      <c r="P49" s="11">
        <f>H49*'GS&lt;50 Predicted Monthly'!$X$12</f>
        <v>20753533.272940867</v>
      </c>
      <c r="Q49" s="11">
        <f>I49*'GS&lt;50 Predicted Monthly'!$X$13</f>
        <v>20807490.436192736</v>
      </c>
      <c r="R49" s="11">
        <f>J49*'GS&lt;50 Predicted Monthly'!$X$14</f>
        <v>0</v>
      </c>
      <c r="S49" s="13">
        <f t="shared" ca="1" si="1"/>
        <v>33465517.039859179</v>
      </c>
    </row>
    <row r="50" spans="1:19" x14ac:dyDescent="0.2">
      <c r="A50" s="8">
        <f>'Monthly Data'!A50</f>
        <v>44197</v>
      </c>
      <c r="B50">
        <f t="shared" si="2"/>
        <v>2021</v>
      </c>
      <c r="C50">
        <f t="shared" si="3"/>
        <v>1</v>
      </c>
      <c r="D50" s="18">
        <f>'Monthly Data'!J50</f>
        <v>33188670.928305969</v>
      </c>
      <c r="E50" s="21">
        <f t="shared" ca="1" si="5"/>
        <v>566.30416666666667</v>
      </c>
      <c r="F50" s="21">
        <f t="shared" ca="1" si="5"/>
        <v>0</v>
      </c>
      <c r="G50" s="211">
        <f>'Monthly Data'!CV50</f>
        <v>0.5</v>
      </c>
      <c r="H50" s="7">
        <f>'Monthly Data'!CS50</f>
        <v>31</v>
      </c>
      <c r="I50" s="19">
        <f>'Monthly Data'!AO50</f>
        <v>809994</v>
      </c>
      <c r="J50" s="19">
        <f>'Monthly Data'!BT50</f>
        <v>0</v>
      </c>
      <c r="L50" s="11">
        <f>'GS&lt;50 Predicted Monthly'!$X$8</f>
        <v>-13592432.544671699</v>
      </c>
      <c r="M50" s="11">
        <f ca="1">E50*'GS&lt;50 Predicted Monthly'!$X$9</f>
        <v>7823922.1603318686</v>
      </c>
      <c r="N50" s="11">
        <f ca="1">F50*'GS&lt;50 Predicted Monthly'!$X$10</f>
        <v>0</v>
      </c>
      <c r="O50" s="11">
        <f>G50*'GS&lt;50 Predicted Monthly'!$X$11</f>
        <v>-1045181.63332577</v>
      </c>
      <c r="P50" s="11">
        <f>H50*'GS&lt;50 Predicted Monthly'!$X$12</f>
        <v>20753533.272940867</v>
      </c>
      <c r="Q50" s="11">
        <f>I50*'GS&lt;50 Predicted Monthly'!$X$13</f>
        <v>21138426.701149359</v>
      </c>
      <c r="R50" s="11">
        <f>J50*'GS&lt;50 Predicted Monthly'!$X$14</f>
        <v>0</v>
      </c>
      <c r="S50" s="13">
        <f t="shared" ca="1" si="1"/>
        <v>35078267.956424624</v>
      </c>
    </row>
    <row r="51" spans="1:19" x14ac:dyDescent="0.2">
      <c r="A51" s="8">
        <f>'Monthly Data'!A51</f>
        <v>44228</v>
      </c>
      <c r="B51">
        <f t="shared" si="2"/>
        <v>2021</v>
      </c>
      <c r="C51">
        <f t="shared" si="3"/>
        <v>2</v>
      </c>
      <c r="D51" s="18">
        <f>'Monthly Data'!J51</f>
        <v>32029961.907204423</v>
      </c>
      <c r="E51" s="21">
        <f t="shared" ca="1" si="5"/>
        <v>483.54541666666665</v>
      </c>
      <c r="F51" s="21">
        <f t="shared" ca="1" si="5"/>
        <v>0</v>
      </c>
      <c r="G51" s="211">
        <f>'Monthly Data'!CV51</f>
        <v>0.5</v>
      </c>
      <c r="H51" s="7">
        <f>'Monthly Data'!CS51</f>
        <v>28</v>
      </c>
      <c r="I51" s="19">
        <f>'Monthly Data'!AO51</f>
        <v>809994</v>
      </c>
      <c r="J51" s="19">
        <f>'Monthly Data'!BT51</f>
        <v>0</v>
      </c>
      <c r="L51" s="11">
        <f>'GS&lt;50 Predicted Monthly'!$X$8</f>
        <v>-13592432.544671699</v>
      </c>
      <c r="M51" s="11">
        <f ca="1">E51*'GS&lt;50 Predicted Monthly'!$X$9</f>
        <v>6680547.1752993288</v>
      </c>
      <c r="N51" s="11">
        <f ca="1">F51*'GS&lt;50 Predicted Monthly'!$X$10</f>
        <v>0</v>
      </c>
      <c r="O51" s="11">
        <f>G51*'GS&lt;50 Predicted Monthly'!$X$11</f>
        <v>-1045181.63332577</v>
      </c>
      <c r="P51" s="11">
        <f>H51*'GS&lt;50 Predicted Monthly'!$X$12</f>
        <v>18745126.827172395</v>
      </c>
      <c r="Q51" s="11">
        <f>I51*'GS&lt;50 Predicted Monthly'!$X$13</f>
        <v>21138426.701149359</v>
      </c>
      <c r="R51" s="11">
        <f>J51*'GS&lt;50 Predicted Monthly'!$X$14</f>
        <v>0</v>
      </c>
      <c r="S51" s="13">
        <f t="shared" ca="1" si="1"/>
        <v>31926486.525623612</v>
      </c>
    </row>
    <row r="52" spans="1:19" x14ac:dyDescent="0.2">
      <c r="A52" s="8">
        <f>'Monthly Data'!A52</f>
        <v>44256</v>
      </c>
      <c r="B52">
        <f t="shared" si="2"/>
        <v>2021</v>
      </c>
      <c r="C52">
        <f t="shared" si="3"/>
        <v>3</v>
      </c>
      <c r="D52" s="18">
        <f>'Monthly Data'!J52</f>
        <v>32767606.297940973</v>
      </c>
      <c r="E52" s="21">
        <f t="shared" ca="1" si="5"/>
        <v>393.96333333333331</v>
      </c>
      <c r="F52" s="21">
        <f t="shared" ca="1" si="5"/>
        <v>0</v>
      </c>
      <c r="G52" s="211">
        <f>'Monthly Data'!CV52</f>
        <v>0.5</v>
      </c>
      <c r="H52" s="7">
        <f>'Monthly Data'!CS52</f>
        <v>31</v>
      </c>
      <c r="I52" s="19">
        <f>'Monthly Data'!AO52</f>
        <v>809994</v>
      </c>
      <c r="J52" s="19">
        <f>'Monthly Data'!BT52</f>
        <v>1</v>
      </c>
      <c r="L52" s="11">
        <f>'GS&lt;50 Predicted Monthly'!$X$8</f>
        <v>-13592432.544671699</v>
      </c>
      <c r="M52" s="11">
        <f ca="1">E52*'GS&lt;50 Predicted Monthly'!$X$9</f>
        <v>5442902.6580678122</v>
      </c>
      <c r="N52" s="11">
        <f ca="1">F52*'GS&lt;50 Predicted Monthly'!$X$10</f>
        <v>0</v>
      </c>
      <c r="O52" s="11">
        <f>G52*'GS&lt;50 Predicted Monthly'!$X$11</f>
        <v>-1045181.63332577</v>
      </c>
      <c r="P52" s="11">
        <f>H52*'GS&lt;50 Predicted Monthly'!$X$12</f>
        <v>20753533.272940867</v>
      </c>
      <c r="Q52" s="11">
        <f>I52*'GS&lt;50 Predicted Monthly'!$X$13</f>
        <v>21138426.701149359</v>
      </c>
      <c r="R52" s="11">
        <f>J52*'GS&lt;50 Predicted Monthly'!$X$14</f>
        <v>522033.18159628101</v>
      </c>
      <c r="S52" s="13">
        <f t="shared" ca="1" si="1"/>
        <v>33219281.63575685</v>
      </c>
    </row>
    <row r="53" spans="1:19" x14ac:dyDescent="0.2">
      <c r="A53" s="8">
        <f>'Monthly Data'!A53</f>
        <v>44287</v>
      </c>
      <c r="B53">
        <f t="shared" si="2"/>
        <v>2021</v>
      </c>
      <c r="C53">
        <f t="shared" si="3"/>
        <v>4</v>
      </c>
      <c r="D53" s="18">
        <f>'Monthly Data'!J53</f>
        <v>28526897.993398827</v>
      </c>
      <c r="E53" s="21">
        <f t="shared" ca="1" si="5"/>
        <v>226.60145833333337</v>
      </c>
      <c r="F53" s="21">
        <f t="shared" ca="1" si="5"/>
        <v>6.5650000000000031</v>
      </c>
      <c r="G53" s="211">
        <f>'Monthly Data'!CV53</f>
        <v>0.5</v>
      </c>
      <c r="H53" s="7">
        <f>'Monthly Data'!CS53</f>
        <v>30</v>
      </c>
      <c r="I53" s="19">
        <f>'Monthly Data'!AO53</f>
        <v>803585</v>
      </c>
      <c r="J53" s="19">
        <f>'Monthly Data'!BT53</f>
        <v>0</v>
      </c>
      <c r="L53" s="11">
        <f>'GS&lt;50 Predicted Monthly'!$X$8</f>
        <v>-13592432.544671699</v>
      </c>
      <c r="M53" s="11">
        <f ca="1">E53*'GS&lt;50 Predicted Monthly'!$X$9</f>
        <v>3130671.2466080841</v>
      </c>
      <c r="N53" s="11">
        <f ca="1">F53*'GS&lt;50 Predicted Monthly'!$X$10</f>
        <v>282599.24442214705</v>
      </c>
      <c r="O53" s="11">
        <f>G53*'GS&lt;50 Predicted Monthly'!$X$11</f>
        <v>-1045181.63332577</v>
      </c>
      <c r="P53" s="11">
        <f>H53*'GS&lt;50 Predicted Monthly'!$X$12</f>
        <v>20084064.457684711</v>
      </c>
      <c r="Q53" s="11">
        <f>I53*'GS&lt;50 Predicted Monthly'!$X$13</f>
        <v>20971170.92304771</v>
      </c>
      <c r="R53" s="11">
        <f>J53*'GS&lt;50 Predicted Monthly'!$X$14</f>
        <v>0</v>
      </c>
      <c r="S53" s="13">
        <f t="shared" ca="1" si="1"/>
        <v>29830891.693765182</v>
      </c>
    </row>
    <row r="54" spans="1:19" x14ac:dyDescent="0.2">
      <c r="A54" s="8">
        <f>'Monthly Data'!A54</f>
        <v>44317</v>
      </c>
      <c r="B54">
        <f t="shared" si="2"/>
        <v>2021</v>
      </c>
      <c r="C54">
        <f t="shared" si="3"/>
        <v>5</v>
      </c>
      <c r="D54" s="18">
        <f>'Monthly Data'!J54</f>
        <v>29460273.547266677</v>
      </c>
      <c r="E54" s="21">
        <f t="shared" ref="E54:F73" ca="1" si="6">E42</f>
        <v>65.335833333333326</v>
      </c>
      <c r="F54" s="21">
        <f t="shared" ca="1" si="6"/>
        <v>59.300416666666649</v>
      </c>
      <c r="G54" s="211">
        <f>'Monthly Data'!CV54</f>
        <v>0.5</v>
      </c>
      <c r="H54" s="7">
        <f>'Monthly Data'!CS54</f>
        <v>31</v>
      </c>
      <c r="I54" s="19">
        <f>'Monthly Data'!AO54</f>
        <v>803585</v>
      </c>
      <c r="J54" s="19">
        <f>'Monthly Data'!BT54</f>
        <v>0</v>
      </c>
      <c r="L54" s="11">
        <f>'GS&lt;50 Predicted Monthly'!$X$8</f>
        <v>-13592432.544671699</v>
      </c>
      <c r="M54" s="11">
        <f ca="1">E54*'GS&lt;50 Predicted Monthly'!$X$9</f>
        <v>902664.15889061301</v>
      </c>
      <c r="N54" s="11">
        <f ca="1">F54*'GS&lt;50 Predicted Monthly'!$X$10</f>
        <v>2552666.0996067757</v>
      </c>
      <c r="O54" s="11">
        <f>G54*'GS&lt;50 Predicted Monthly'!$X$11</f>
        <v>-1045181.63332577</v>
      </c>
      <c r="P54" s="11">
        <f>H54*'GS&lt;50 Predicted Monthly'!$X$12</f>
        <v>20753533.272940867</v>
      </c>
      <c r="Q54" s="11">
        <f>I54*'GS&lt;50 Predicted Monthly'!$X$13</f>
        <v>20971170.92304771</v>
      </c>
      <c r="R54" s="11">
        <f>J54*'GS&lt;50 Predicted Monthly'!$X$14</f>
        <v>0</v>
      </c>
      <c r="S54" s="13">
        <f t="shared" ca="1" si="1"/>
        <v>30542420.276488494</v>
      </c>
    </row>
    <row r="55" spans="1:19" x14ac:dyDescent="0.2">
      <c r="A55" s="8">
        <f>'Monthly Data'!A55</f>
        <v>44348</v>
      </c>
      <c r="B55">
        <f t="shared" si="2"/>
        <v>2021</v>
      </c>
      <c r="C55">
        <f t="shared" si="3"/>
        <v>6</v>
      </c>
      <c r="D55" s="18">
        <f>'Monthly Data'!J55</f>
        <v>33741581.231269225</v>
      </c>
      <c r="E55" s="21">
        <f t="shared" ca="1" si="6"/>
        <v>3.0447916666666672</v>
      </c>
      <c r="F55" s="21">
        <f t="shared" ca="1" si="6"/>
        <v>157.17000000000002</v>
      </c>
      <c r="G55" s="211">
        <f>'Monthly Data'!CV55</f>
        <v>0.5</v>
      </c>
      <c r="H55" s="7">
        <f>'Monthly Data'!CS55</f>
        <v>30</v>
      </c>
      <c r="I55" s="19">
        <f>'Monthly Data'!AO55</f>
        <v>803585</v>
      </c>
      <c r="J55" s="19">
        <f>'Monthly Data'!BT55</f>
        <v>0</v>
      </c>
      <c r="L55" s="11">
        <f>'GS&lt;50 Predicted Monthly'!$X$8</f>
        <v>-13592432.544671699</v>
      </c>
      <c r="M55" s="11">
        <f ca="1">E55*'GS&lt;50 Predicted Monthly'!$X$9</f>
        <v>42066.109339522445</v>
      </c>
      <c r="N55" s="11">
        <f ca="1">F55*'GS&lt;50 Predicted Monthly'!$X$10</f>
        <v>6765593.7922054585</v>
      </c>
      <c r="O55" s="11">
        <f>G55*'GS&lt;50 Predicted Monthly'!$X$11</f>
        <v>-1045181.63332577</v>
      </c>
      <c r="P55" s="11">
        <f>H55*'GS&lt;50 Predicted Monthly'!$X$12</f>
        <v>20084064.457684711</v>
      </c>
      <c r="Q55" s="11">
        <f>I55*'GS&lt;50 Predicted Monthly'!$X$13</f>
        <v>20971170.92304771</v>
      </c>
      <c r="R55" s="11">
        <f>J55*'GS&lt;50 Predicted Monthly'!$X$14</f>
        <v>0</v>
      </c>
      <c r="S55" s="13">
        <f t="shared" ca="1" si="1"/>
        <v>33225281.104279932</v>
      </c>
    </row>
    <row r="56" spans="1:19" x14ac:dyDescent="0.2">
      <c r="A56" s="8">
        <f>'Monthly Data'!A56</f>
        <v>44378</v>
      </c>
      <c r="B56">
        <f t="shared" si="2"/>
        <v>2021</v>
      </c>
      <c r="C56">
        <f t="shared" si="3"/>
        <v>7</v>
      </c>
      <c r="D56" s="18">
        <f>'Monthly Data'!J56</f>
        <v>35821107.582326174</v>
      </c>
      <c r="E56" s="21">
        <f t="shared" ca="1" si="6"/>
        <v>0</v>
      </c>
      <c r="F56" s="21">
        <f t="shared" ca="1" si="6"/>
        <v>231.27145833333333</v>
      </c>
      <c r="G56" s="211">
        <f>'Monthly Data'!CV56</f>
        <v>0.5</v>
      </c>
      <c r="H56" s="7">
        <f>'Monthly Data'!CS56</f>
        <v>31</v>
      </c>
      <c r="I56" s="19">
        <f>'Monthly Data'!AO56</f>
        <v>821006</v>
      </c>
      <c r="J56" s="19">
        <f>'Monthly Data'!BT56</f>
        <v>0</v>
      </c>
      <c r="L56" s="11">
        <f>'GS&lt;50 Predicted Monthly'!$X$8</f>
        <v>-13592432.544671699</v>
      </c>
      <c r="M56" s="11">
        <f ca="1">E56*'GS&lt;50 Predicted Monthly'!$X$9</f>
        <v>0</v>
      </c>
      <c r="N56" s="11">
        <f ca="1">F56*'GS&lt;50 Predicted Monthly'!$X$10</f>
        <v>9955390.6140758619</v>
      </c>
      <c r="O56" s="11">
        <f>G56*'GS&lt;50 Predicted Monthly'!$X$11</f>
        <v>-1045181.63332577</v>
      </c>
      <c r="P56" s="11">
        <f>H56*'GS&lt;50 Predicted Monthly'!$X$12</f>
        <v>20753533.272940867</v>
      </c>
      <c r="Q56" s="11">
        <f>I56*'GS&lt;50 Predicted Monthly'!$X$13</f>
        <v>21425807.045735933</v>
      </c>
      <c r="R56" s="11">
        <f>J56*'GS&lt;50 Predicted Monthly'!$X$14</f>
        <v>0</v>
      </c>
      <c r="S56" s="13">
        <f t="shared" ca="1" si="1"/>
        <v>37497116.754755192</v>
      </c>
    </row>
    <row r="57" spans="1:19" x14ac:dyDescent="0.2">
      <c r="A57" s="8">
        <f>'Monthly Data'!A57</f>
        <v>44409</v>
      </c>
      <c r="B57">
        <f t="shared" si="2"/>
        <v>2021</v>
      </c>
      <c r="C57">
        <f t="shared" si="3"/>
        <v>8</v>
      </c>
      <c r="D57" s="18">
        <f>'Monthly Data'!J57</f>
        <v>38356548.084514029</v>
      </c>
      <c r="E57" s="21">
        <f t="shared" ca="1" si="6"/>
        <v>0.27875000000000066</v>
      </c>
      <c r="F57" s="21">
        <f t="shared" ca="1" si="6"/>
        <v>196.13625000000002</v>
      </c>
      <c r="G57" s="211">
        <f>'Monthly Data'!CV57</f>
        <v>0.5</v>
      </c>
      <c r="H57" s="7">
        <f>'Monthly Data'!CS57</f>
        <v>31</v>
      </c>
      <c r="I57" s="19">
        <f>'Monthly Data'!AO57</f>
        <v>821006</v>
      </c>
      <c r="J57" s="19">
        <f>'Monthly Data'!BT57</f>
        <v>0</v>
      </c>
      <c r="L57" s="11">
        <f>'GS&lt;50 Predicted Monthly'!$X$8</f>
        <v>-13592432.544671699</v>
      </c>
      <c r="M57" s="11">
        <f ca="1">E57*'GS&lt;50 Predicted Monthly'!$X$9</f>
        <v>3851.1429556128055</v>
      </c>
      <c r="N57" s="11">
        <f ca="1">F57*'GS&lt;50 Predicted Monthly'!$X$10</f>
        <v>8442948.3707225155</v>
      </c>
      <c r="O57" s="11">
        <f>G57*'GS&lt;50 Predicted Monthly'!$X$11</f>
        <v>-1045181.63332577</v>
      </c>
      <c r="P57" s="11">
        <f>H57*'GS&lt;50 Predicted Monthly'!$X$12</f>
        <v>20753533.272940867</v>
      </c>
      <c r="Q57" s="11">
        <f>I57*'GS&lt;50 Predicted Monthly'!$X$13</f>
        <v>21425807.045735933</v>
      </c>
      <c r="R57" s="11">
        <f>J57*'GS&lt;50 Predicted Monthly'!$X$14</f>
        <v>0</v>
      </c>
      <c r="S57" s="13">
        <f t="shared" ca="1" si="1"/>
        <v>35988525.654357456</v>
      </c>
    </row>
    <row r="58" spans="1:19" x14ac:dyDescent="0.2">
      <c r="A58" s="8">
        <f>'Monthly Data'!A58</f>
        <v>44440</v>
      </c>
      <c r="B58">
        <f t="shared" si="2"/>
        <v>2021</v>
      </c>
      <c r="C58">
        <f t="shared" si="3"/>
        <v>9</v>
      </c>
      <c r="D58" s="18">
        <f>'Monthly Data'!J58</f>
        <v>31815550.085094079</v>
      </c>
      <c r="E58" s="21">
        <f t="shared" ca="1" si="6"/>
        <v>11.319999999999997</v>
      </c>
      <c r="F58" s="21">
        <f t="shared" ca="1" si="6"/>
        <v>104.19854166666664</v>
      </c>
      <c r="G58" s="211">
        <f>'Monthly Data'!CV58</f>
        <v>0.5</v>
      </c>
      <c r="H58" s="7">
        <f>'Monthly Data'!CS58</f>
        <v>30</v>
      </c>
      <c r="I58" s="19">
        <f>'Monthly Data'!AO58</f>
        <v>821006</v>
      </c>
      <c r="J58" s="19">
        <f>'Monthly Data'!BT58</f>
        <v>0</v>
      </c>
      <c r="L58" s="11">
        <f>'GS&lt;50 Predicted Monthly'!$X$8</f>
        <v>-13592432.544671699</v>
      </c>
      <c r="M58" s="11">
        <f ca="1">E58*'GS&lt;50 Predicted Monthly'!$X$9</f>
        <v>156394.39733645503</v>
      </c>
      <c r="N58" s="11">
        <f ca="1">F58*'GS&lt;50 Predicted Monthly'!$X$10</f>
        <v>4485366.2063807445</v>
      </c>
      <c r="O58" s="11">
        <f>G58*'GS&lt;50 Predicted Monthly'!$X$11</f>
        <v>-1045181.63332577</v>
      </c>
      <c r="P58" s="11">
        <f>H58*'GS&lt;50 Predicted Monthly'!$X$12</f>
        <v>20084064.457684711</v>
      </c>
      <c r="Q58" s="11">
        <f>I58*'GS&lt;50 Predicted Monthly'!$X$13</f>
        <v>21425807.045735933</v>
      </c>
      <c r="R58" s="11">
        <f>J58*'GS&lt;50 Predicted Monthly'!$X$14</f>
        <v>0</v>
      </c>
      <c r="S58" s="13">
        <f t="shared" ca="1" si="1"/>
        <v>31514017.929140374</v>
      </c>
    </row>
    <row r="59" spans="1:19" x14ac:dyDescent="0.2">
      <c r="A59" s="8">
        <f>'Monthly Data'!A59</f>
        <v>44470</v>
      </c>
      <c r="B59">
        <f t="shared" si="2"/>
        <v>2021</v>
      </c>
      <c r="C59">
        <f t="shared" si="3"/>
        <v>10</v>
      </c>
      <c r="D59" s="18">
        <f>'Monthly Data'!J59</f>
        <v>30918107.462813132</v>
      </c>
      <c r="E59" s="21">
        <f t="shared" ca="1" si="6"/>
        <v>126.12583333333332</v>
      </c>
      <c r="F59" s="21">
        <f t="shared" ca="1" si="6"/>
        <v>24.703125000000007</v>
      </c>
      <c r="G59" s="211">
        <f>'Monthly Data'!CV59</f>
        <v>0.5</v>
      </c>
      <c r="H59" s="7">
        <f>'Monthly Data'!CS59</f>
        <v>31</v>
      </c>
      <c r="I59" s="19">
        <f>'Monthly Data'!AO59</f>
        <v>840399</v>
      </c>
      <c r="J59" s="19">
        <f>'Monthly Data'!BT59</f>
        <v>0</v>
      </c>
      <c r="L59" s="11">
        <f>'GS&lt;50 Predicted Monthly'!$X$8</f>
        <v>-13592432.544671699</v>
      </c>
      <c r="M59" s="11">
        <f ca="1">E59*'GS&lt;50 Predicted Monthly'!$X$9</f>
        <v>1742524.177802548</v>
      </c>
      <c r="N59" s="11">
        <f ca="1">F59*'GS&lt;50 Predicted Monthly'!$X$10</f>
        <v>1063379.201807441</v>
      </c>
      <c r="O59" s="11">
        <f>G59*'GS&lt;50 Predicted Monthly'!$X$11</f>
        <v>-1045181.63332577</v>
      </c>
      <c r="P59" s="11">
        <f>H59*'GS&lt;50 Predicted Monthly'!$X$12</f>
        <v>20753533.272940867</v>
      </c>
      <c r="Q59" s="11">
        <f>I59*'GS&lt;50 Predicted Monthly'!$X$13</f>
        <v>21931906.484763123</v>
      </c>
      <c r="R59" s="11">
        <f>J59*'GS&lt;50 Predicted Monthly'!$X$14</f>
        <v>0</v>
      </c>
      <c r="S59" s="13">
        <f t="shared" ca="1" si="1"/>
        <v>30853728.959316507</v>
      </c>
    </row>
    <row r="60" spans="1:19" x14ac:dyDescent="0.2">
      <c r="A60" s="8">
        <f>'Monthly Data'!A60</f>
        <v>44501</v>
      </c>
      <c r="B60">
        <f t="shared" si="2"/>
        <v>2021</v>
      </c>
      <c r="C60">
        <f t="shared" si="3"/>
        <v>11</v>
      </c>
      <c r="D60" s="18">
        <f>'Monthly Data'!J60</f>
        <v>31869917.672068384</v>
      </c>
      <c r="E60" s="21">
        <f t="shared" ca="1" si="6"/>
        <v>312.40687500000001</v>
      </c>
      <c r="F60" s="21">
        <f t="shared" ca="1" si="6"/>
        <v>1.6454166666666665</v>
      </c>
      <c r="G60" s="211">
        <f>'Monthly Data'!CV60</f>
        <v>0.5</v>
      </c>
      <c r="H60" s="7">
        <f>'Monthly Data'!CS60</f>
        <v>30</v>
      </c>
      <c r="I60" s="19">
        <f>'Monthly Data'!AO60</f>
        <v>840399</v>
      </c>
      <c r="J60" s="19">
        <f>'Monthly Data'!BT60</f>
        <v>0</v>
      </c>
      <c r="L60" s="11">
        <f>'GS&lt;50 Predicted Monthly'!$X$8</f>
        <v>-13592432.544671699</v>
      </c>
      <c r="M60" s="11">
        <f ca="1">E60*'GS&lt;50 Predicted Monthly'!$X$9</f>
        <v>4316138.2455291748</v>
      </c>
      <c r="N60" s="11">
        <f ca="1">F60*'GS&lt;50 Predicted Monthly'!$X$10</f>
        <v>70829.170869704118</v>
      </c>
      <c r="O60" s="11">
        <f>G60*'GS&lt;50 Predicted Monthly'!$X$11</f>
        <v>-1045181.63332577</v>
      </c>
      <c r="P60" s="11">
        <f>H60*'GS&lt;50 Predicted Monthly'!$X$12</f>
        <v>20084064.457684711</v>
      </c>
      <c r="Q60" s="11">
        <f>I60*'GS&lt;50 Predicted Monthly'!$X$13</f>
        <v>21931906.484763123</v>
      </c>
      <c r="R60" s="11">
        <f>J60*'GS&lt;50 Predicted Monthly'!$X$14</f>
        <v>0</v>
      </c>
      <c r="S60" s="13">
        <f t="shared" ca="1" si="1"/>
        <v>31765324.180849243</v>
      </c>
    </row>
    <row r="61" spans="1:19" x14ac:dyDescent="0.2">
      <c r="A61" s="8">
        <f>'Monthly Data'!A61</f>
        <v>44531</v>
      </c>
      <c r="B61">
        <f t="shared" si="2"/>
        <v>2021</v>
      </c>
      <c r="C61">
        <f t="shared" si="3"/>
        <v>12</v>
      </c>
      <c r="D61" s="18">
        <f>'Monthly Data'!J61</f>
        <v>33904688.36236053</v>
      </c>
      <c r="E61" s="21">
        <f t="shared" ca="1" si="6"/>
        <v>473.52499999999998</v>
      </c>
      <c r="F61" s="21">
        <f t="shared" ca="1" si="6"/>
        <v>0</v>
      </c>
      <c r="G61" s="211">
        <f>'Monthly Data'!CV61</f>
        <v>0.5</v>
      </c>
      <c r="H61" s="7">
        <f>'Monthly Data'!CS61</f>
        <v>31</v>
      </c>
      <c r="I61" s="19">
        <f>'Monthly Data'!AO61</f>
        <v>840399</v>
      </c>
      <c r="J61" s="19">
        <f>'Monthly Data'!BT61</f>
        <v>0</v>
      </c>
      <c r="L61" s="11">
        <f>'GS&lt;50 Predicted Monthly'!$X$8</f>
        <v>-13592432.544671699</v>
      </c>
      <c r="M61" s="11">
        <f ca="1">E61*'GS&lt;50 Predicted Monthly'!$X$9</f>
        <v>6542107.5087230466</v>
      </c>
      <c r="N61" s="11">
        <f ca="1">F61*'GS&lt;50 Predicted Monthly'!$X$10</f>
        <v>0</v>
      </c>
      <c r="O61" s="11">
        <f>G61*'GS&lt;50 Predicted Monthly'!$X$11</f>
        <v>-1045181.63332577</v>
      </c>
      <c r="P61" s="11">
        <f>H61*'GS&lt;50 Predicted Monthly'!$X$12</f>
        <v>20753533.272940867</v>
      </c>
      <c r="Q61" s="11">
        <f>I61*'GS&lt;50 Predicted Monthly'!$X$13</f>
        <v>21931906.484763123</v>
      </c>
      <c r="R61" s="11">
        <f>J61*'GS&lt;50 Predicted Monthly'!$X$14</f>
        <v>0</v>
      </c>
      <c r="S61" s="13">
        <f t="shared" ca="1" si="1"/>
        <v>34589933.08842957</v>
      </c>
    </row>
    <row r="62" spans="1:19" x14ac:dyDescent="0.2">
      <c r="A62" s="8">
        <f>'Monthly Data'!A62</f>
        <v>44562</v>
      </c>
      <c r="B62">
        <f t="shared" si="2"/>
        <v>2022</v>
      </c>
      <c r="C62">
        <f t="shared" si="3"/>
        <v>1</v>
      </c>
      <c r="D62" s="18">
        <f>'Monthly Data'!J62</f>
        <v>37072199.286133692</v>
      </c>
      <c r="E62" s="21">
        <f t="shared" ca="1" si="6"/>
        <v>566.30416666666667</v>
      </c>
      <c r="F62" s="21">
        <f t="shared" ca="1" si="6"/>
        <v>0</v>
      </c>
      <c r="G62" s="211">
        <f>'Monthly Data'!CV62</f>
        <v>0.25</v>
      </c>
      <c r="H62" s="7">
        <f>'Monthly Data'!CS62</f>
        <v>31</v>
      </c>
      <c r="I62" s="19">
        <f>'Monthly Data'!AO62</f>
        <v>847546</v>
      </c>
      <c r="J62" s="19">
        <f>'Monthly Data'!BT62</f>
        <v>0</v>
      </c>
      <c r="L62" s="11">
        <f>'GS&lt;50 Predicted Monthly'!$X$8</f>
        <v>-13592432.544671699</v>
      </c>
      <c r="M62" s="11">
        <f ca="1">E62*'GS&lt;50 Predicted Monthly'!$X$9</f>
        <v>7823922.1603318686</v>
      </c>
      <c r="N62" s="11">
        <f ca="1">F62*'GS&lt;50 Predicted Monthly'!$X$10</f>
        <v>0</v>
      </c>
      <c r="O62" s="11">
        <f>G62*'GS&lt;50 Predicted Monthly'!$X$11</f>
        <v>-522590.81666288502</v>
      </c>
      <c r="P62" s="11">
        <f>H62*'GS&lt;50 Predicted Monthly'!$X$12</f>
        <v>20753533.272940867</v>
      </c>
      <c r="Q62" s="11">
        <f>I62*'GS&lt;50 Predicted Monthly'!$X$13</f>
        <v>22118421.860967286</v>
      </c>
      <c r="R62" s="11">
        <f>J62*'GS&lt;50 Predicted Monthly'!$X$14</f>
        <v>0</v>
      </c>
      <c r="S62" s="13">
        <f t="shared" ca="1" si="1"/>
        <v>36580853.932905436</v>
      </c>
    </row>
    <row r="63" spans="1:19" x14ac:dyDescent="0.2">
      <c r="A63" s="8">
        <f>'Monthly Data'!A63</f>
        <v>44593</v>
      </c>
      <c r="B63">
        <f t="shared" si="2"/>
        <v>2022</v>
      </c>
      <c r="C63">
        <f t="shared" si="3"/>
        <v>2</v>
      </c>
      <c r="D63" s="18">
        <f>'Monthly Data'!J63</f>
        <v>34106025.220729686</v>
      </c>
      <c r="E63" s="21">
        <f t="shared" ca="1" si="6"/>
        <v>483.54541666666665</v>
      </c>
      <c r="F63" s="21">
        <f t="shared" ca="1" si="6"/>
        <v>0</v>
      </c>
      <c r="G63" s="211">
        <f>'Monthly Data'!CV63</f>
        <v>0.25</v>
      </c>
      <c r="H63" s="7">
        <f>'Monthly Data'!CS63</f>
        <v>28</v>
      </c>
      <c r="I63" s="19">
        <f>'Monthly Data'!AO63</f>
        <v>847546</v>
      </c>
      <c r="J63" s="19">
        <f>'Monthly Data'!BT63</f>
        <v>0</v>
      </c>
      <c r="L63" s="11">
        <f>'GS&lt;50 Predicted Monthly'!$X$8</f>
        <v>-13592432.544671699</v>
      </c>
      <c r="M63" s="11">
        <f ca="1">E63*'GS&lt;50 Predicted Monthly'!$X$9</f>
        <v>6680547.1752993288</v>
      </c>
      <c r="N63" s="11">
        <f ca="1">F63*'GS&lt;50 Predicted Monthly'!$X$10</f>
        <v>0</v>
      </c>
      <c r="O63" s="11">
        <f>G63*'GS&lt;50 Predicted Monthly'!$X$11</f>
        <v>-522590.81666288502</v>
      </c>
      <c r="P63" s="11">
        <f>H63*'GS&lt;50 Predicted Monthly'!$X$12</f>
        <v>18745126.827172395</v>
      </c>
      <c r="Q63" s="11">
        <f>I63*'GS&lt;50 Predicted Monthly'!$X$13</f>
        <v>22118421.860967286</v>
      </c>
      <c r="R63" s="11">
        <f>J63*'GS&lt;50 Predicted Monthly'!$X$14</f>
        <v>0</v>
      </c>
      <c r="S63" s="13">
        <f t="shared" ca="1" si="1"/>
        <v>33429072.502104424</v>
      </c>
    </row>
    <row r="64" spans="1:19" x14ac:dyDescent="0.2">
      <c r="A64" s="8">
        <f>'Monthly Data'!A64</f>
        <v>44621</v>
      </c>
      <c r="B64">
        <f t="shared" si="2"/>
        <v>2022</v>
      </c>
      <c r="C64">
        <f t="shared" si="3"/>
        <v>3</v>
      </c>
      <c r="D64" s="18">
        <f>'Monthly Data'!J64</f>
        <v>35656141.74767568</v>
      </c>
      <c r="E64" s="21">
        <f t="shared" ca="1" si="6"/>
        <v>393.96333333333331</v>
      </c>
      <c r="F64" s="21">
        <f t="shared" ca="1" si="6"/>
        <v>0</v>
      </c>
      <c r="G64" s="211">
        <f>'Monthly Data'!CV64</f>
        <v>0.25</v>
      </c>
      <c r="H64" s="7">
        <f>'Monthly Data'!CS64</f>
        <v>31</v>
      </c>
      <c r="I64" s="19">
        <f>'Monthly Data'!AO64</f>
        <v>847546</v>
      </c>
      <c r="J64" s="19">
        <f>'Monthly Data'!BT64</f>
        <v>1</v>
      </c>
      <c r="L64" s="11">
        <f>'GS&lt;50 Predicted Monthly'!$X$8</f>
        <v>-13592432.544671699</v>
      </c>
      <c r="M64" s="11">
        <f ca="1">E64*'GS&lt;50 Predicted Monthly'!$X$9</f>
        <v>5442902.6580678122</v>
      </c>
      <c r="N64" s="11">
        <f ca="1">F64*'GS&lt;50 Predicted Monthly'!$X$10</f>
        <v>0</v>
      </c>
      <c r="O64" s="11">
        <f>G64*'GS&lt;50 Predicted Monthly'!$X$11</f>
        <v>-522590.81666288502</v>
      </c>
      <c r="P64" s="11">
        <f>H64*'GS&lt;50 Predicted Monthly'!$X$12</f>
        <v>20753533.272940867</v>
      </c>
      <c r="Q64" s="11">
        <f>I64*'GS&lt;50 Predicted Monthly'!$X$13</f>
        <v>22118421.860967286</v>
      </c>
      <c r="R64" s="11">
        <f>J64*'GS&lt;50 Predicted Monthly'!$X$14</f>
        <v>522033.18159628101</v>
      </c>
      <c r="S64" s="13">
        <f t="shared" ca="1" si="1"/>
        <v>34721867.612237662</v>
      </c>
    </row>
    <row r="65" spans="1:19" x14ac:dyDescent="0.2">
      <c r="A65" s="8">
        <f>'Monthly Data'!A65</f>
        <v>44652</v>
      </c>
      <c r="B65">
        <f t="shared" si="2"/>
        <v>2022</v>
      </c>
      <c r="C65">
        <f t="shared" si="3"/>
        <v>4</v>
      </c>
      <c r="D65" s="18">
        <f>'Monthly Data'!J65</f>
        <v>31746429.201593272</v>
      </c>
      <c r="E65" s="21">
        <f t="shared" ca="1" si="6"/>
        <v>226.60145833333337</v>
      </c>
      <c r="F65" s="21">
        <f t="shared" ca="1" si="6"/>
        <v>6.5650000000000031</v>
      </c>
      <c r="G65" s="211">
        <f>'Monthly Data'!CV65</f>
        <v>0.25</v>
      </c>
      <c r="H65" s="7">
        <f>'Monthly Data'!CS65</f>
        <v>30</v>
      </c>
      <c r="I65" s="19">
        <f>'Monthly Data'!AO65</f>
        <v>854755</v>
      </c>
      <c r="J65" s="19">
        <f>'Monthly Data'!BT65</f>
        <v>0</v>
      </c>
      <c r="L65" s="11">
        <f>'GS&lt;50 Predicted Monthly'!$X$8</f>
        <v>-13592432.544671699</v>
      </c>
      <c r="M65" s="11">
        <f ca="1">E65*'GS&lt;50 Predicted Monthly'!$X$9</f>
        <v>3130671.2466080841</v>
      </c>
      <c r="N65" s="11">
        <f ca="1">F65*'GS&lt;50 Predicted Monthly'!$X$10</f>
        <v>282599.24442214705</v>
      </c>
      <c r="O65" s="11">
        <f>G65*'GS&lt;50 Predicted Monthly'!$X$11</f>
        <v>-522590.81666288502</v>
      </c>
      <c r="P65" s="11">
        <f>H65*'GS&lt;50 Predicted Monthly'!$X$12</f>
        <v>20084064.457684711</v>
      </c>
      <c r="Q65" s="11">
        <f>I65*'GS&lt;50 Predicted Monthly'!$X$13</f>
        <v>22306555.252188191</v>
      </c>
      <c r="R65" s="11">
        <f>J65*'GS&lt;50 Predicted Monthly'!$X$14</f>
        <v>0</v>
      </c>
      <c r="S65" s="13">
        <f t="shared" ca="1" si="1"/>
        <v>31688866.839568548</v>
      </c>
    </row>
    <row r="66" spans="1:19" x14ac:dyDescent="0.2">
      <c r="A66" s="8">
        <f>'Monthly Data'!A66</f>
        <v>44682</v>
      </c>
      <c r="B66">
        <f t="shared" si="2"/>
        <v>2022</v>
      </c>
      <c r="C66">
        <f t="shared" si="3"/>
        <v>5</v>
      </c>
      <c r="D66" s="18">
        <f>'Monthly Data'!J66</f>
        <v>32818195.351553965</v>
      </c>
      <c r="E66" s="21">
        <f t="shared" ca="1" si="6"/>
        <v>65.335833333333326</v>
      </c>
      <c r="F66" s="21">
        <f t="shared" ca="1" si="6"/>
        <v>59.300416666666649</v>
      </c>
      <c r="G66" s="211">
        <f>'Monthly Data'!CV66</f>
        <v>0.25</v>
      </c>
      <c r="H66" s="7">
        <f>'Monthly Data'!CS66</f>
        <v>31</v>
      </c>
      <c r="I66" s="19">
        <f>'Monthly Data'!AO66</f>
        <v>854755</v>
      </c>
      <c r="J66" s="19">
        <f>'Monthly Data'!BT66</f>
        <v>0</v>
      </c>
      <c r="L66" s="11">
        <f>'GS&lt;50 Predicted Monthly'!$X$8</f>
        <v>-13592432.544671699</v>
      </c>
      <c r="M66" s="11">
        <f ca="1">E66*'GS&lt;50 Predicted Monthly'!$X$9</f>
        <v>902664.15889061301</v>
      </c>
      <c r="N66" s="11">
        <f ca="1">F66*'GS&lt;50 Predicted Monthly'!$X$10</f>
        <v>2552666.0996067757</v>
      </c>
      <c r="O66" s="11">
        <f>G66*'GS&lt;50 Predicted Monthly'!$X$11</f>
        <v>-522590.81666288502</v>
      </c>
      <c r="P66" s="11">
        <f>H66*'GS&lt;50 Predicted Monthly'!$X$12</f>
        <v>20753533.272940867</v>
      </c>
      <c r="Q66" s="11">
        <f>I66*'GS&lt;50 Predicted Monthly'!$X$13</f>
        <v>22306555.252188191</v>
      </c>
      <c r="R66" s="11">
        <f>J66*'GS&lt;50 Predicted Monthly'!$X$14</f>
        <v>0</v>
      </c>
      <c r="S66" s="13">
        <f t="shared" ca="1" si="1"/>
        <v>32400395.42229186</v>
      </c>
    </row>
    <row r="67" spans="1:19" x14ac:dyDescent="0.2">
      <c r="A67" s="8">
        <f>'Monthly Data'!A67</f>
        <v>44713</v>
      </c>
      <c r="B67">
        <f t="shared" si="2"/>
        <v>2022</v>
      </c>
      <c r="C67">
        <f t="shared" si="3"/>
        <v>6</v>
      </c>
      <c r="D67" s="18">
        <f>'Monthly Data'!J67</f>
        <v>35352197.196220562</v>
      </c>
      <c r="E67" s="21">
        <f t="shared" ca="1" si="6"/>
        <v>3.0447916666666672</v>
      </c>
      <c r="F67" s="21">
        <f t="shared" ca="1" si="6"/>
        <v>157.17000000000002</v>
      </c>
      <c r="G67" s="211">
        <f>'Monthly Data'!CV67</f>
        <v>0.25</v>
      </c>
      <c r="H67" s="7">
        <f>'Monthly Data'!CS67</f>
        <v>30</v>
      </c>
      <c r="I67" s="19">
        <f>'Monthly Data'!AO67</f>
        <v>854755</v>
      </c>
      <c r="J67" s="19">
        <f>'Monthly Data'!BT67</f>
        <v>0</v>
      </c>
      <c r="L67" s="11">
        <f>'GS&lt;50 Predicted Monthly'!$X$8</f>
        <v>-13592432.544671699</v>
      </c>
      <c r="M67" s="11">
        <f ca="1">E67*'GS&lt;50 Predicted Monthly'!$X$9</f>
        <v>42066.109339522445</v>
      </c>
      <c r="N67" s="11">
        <f ca="1">F67*'GS&lt;50 Predicted Monthly'!$X$10</f>
        <v>6765593.7922054585</v>
      </c>
      <c r="O67" s="11">
        <f>G67*'GS&lt;50 Predicted Monthly'!$X$11</f>
        <v>-522590.81666288502</v>
      </c>
      <c r="P67" s="11">
        <f>H67*'GS&lt;50 Predicted Monthly'!$X$12</f>
        <v>20084064.457684711</v>
      </c>
      <c r="Q67" s="11">
        <f>I67*'GS&lt;50 Predicted Monthly'!$X$13</f>
        <v>22306555.252188191</v>
      </c>
      <c r="R67" s="11">
        <f>J67*'GS&lt;50 Predicted Monthly'!$X$14</f>
        <v>0</v>
      </c>
      <c r="S67" s="13">
        <f t="shared" ref="S67:S130" ca="1" si="7">SUM(L67:R67)</f>
        <v>35083256.250083297</v>
      </c>
    </row>
    <row r="68" spans="1:19" x14ac:dyDescent="0.2">
      <c r="A68" s="8">
        <f>'Monthly Data'!A68</f>
        <v>44743</v>
      </c>
      <c r="B68">
        <f t="shared" si="2"/>
        <v>2022</v>
      </c>
      <c r="C68">
        <f t="shared" si="3"/>
        <v>7</v>
      </c>
      <c r="D68" s="18">
        <f>'Monthly Data'!J68</f>
        <v>38896081.999405652</v>
      </c>
      <c r="E68" s="21">
        <f t="shared" ca="1" si="6"/>
        <v>0</v>
      </c>
      <c r="F68" s="21">
        <f t="shared" ca="1" si="6"/>
        <v>231.27145833333333</v>
      </c>
      <c r="G68" s="211">
        <f>'Monthly Data'!CV68</f>
        <v>0.25</v>
      </c>
      <c r="H68" s="7">
        <f>'Monthly Data'!CS68</f>
        <v>31</v>
      </c>
      <c r="I68" s="19">
        <f>'Monthly Data'!AO68</f>
        <v>856819</v>
      </c>
      <c r="J68" s="19">
        <f>'Monthly Data'!BT68</f>
        <v>0</v>
      </c>
      <c r="L68" s="11">
        <f>'GS&lt;50 Predicted Monthly'!$X$8</f>
        <v>-13592432.544671699</v>
      </c>
      <c r="M68" s="11">
        <f ca="1">E68*'GS&lt;50 Predicted Monthly'!$X$9</f>
        <v>0</v>
      </c>
      <c r="N68" s="11">
        <f ca="1">F68*'GS&lt;50 Predicted Monthly'!$X$10</f>
        <v>9955390.6140758619</v>
      </c>
      <c r="O68" s="11">
        <f>G68*'GS&lt;50 Predicted Monthly'!$X$11</f>
        <v>-522590.81666288502</v>
      </c>
      <c r="P68" s="11">
        <f>H68*'GS&lt;50 Predicted Monthly'!$X$12</f>
        <v>20753533.272940867</v>
      </c>
      <c r="Q68" s="11">
        <f>I68*'GS&lt;50 Predicted Monthly'!$X$13</f>
        <v>22360419.494035874</v>
      </c>
      <c r="R68" s="11">
        <f>J68*'GS&lt;50 Predicted Monthly'!$X$14</f>
        <v>0</v>
      </c>
      <c r="S68" s="13">
        <f t="shared" ca="1" si="7"/>
        <v>38954320.019718021</v>
      </c>
    </row>
    <row r="69" spans="1:19" x14ac:dyDescent="0.2">
      <c r="A69" s="8">
        <f>'Monthly Data'!A69</f>
        <v>44774</v>
      </c>
      <c r="B69">
        <f t="shared" si="2"/>
        <v>2022</v>
      </c>
      <c r="C69">
        <f t="shared" si="3"/>
        <v>8</v>
      </c>
      <c r="D69" s="18">
        <f>'Monthly Data'!J69</f>
        <v>38840185.92272944</v>
      </c>
      <c r="E69" s="21">
        <f t="shared" ca="1" si="6"/>
        <v>0.27875000000000066</v>
      </c>
      <c r="F69" s="21">
        <f t="shared" ca="1" si="6"/>
        <v>196.13625000000002</v>
      </c>
      <c r="G69" s="211">
        <f>'Monthly Data'!CV69</f>
        <v>0.25</v>
      </c>
      <c r="H69" s="7">
        <f>'Monthly Data'!CS69</f>
        <v>31</v>
      </c>
      <c r="I69" s="19">
        <f>'Monthly Data'!AO69</f>
        <v>856819</v>
      </c>
      <c r="J69" s="19">
        <f>'Monthly Data'!BT69</f>
        <v>0</v>
      </c>
      <c r="L69" s="11">
        <f>'GS&lt;50 Predicted Monthly'!$X$8</f>
        <v>-13592432.544671699</v>
      </c>
      <c r="M69" s="11">
        <f ca="1">E69*'GS&lt;50 Predicted Monthly'!$X$9</f>
        <v>3851.1429556128055</v>
      </c>
      <c r="N69" s="11">
        <f ca="1">F69*'GS&lt;50 Predicted Monthly'!$X$10</f>
        <v>8442948.3707225155</v>
      </c>
      <c r="O69" s="11">
        <f>G69*'GS&lt;50 Predicted Monthly'!$X$11</f>
        <v>-522590.81666288502</v>
      </c>
      <c r="P69" s="11">
        <f>H69*'GS&lt;50 Predicted Monthly'!$X$12</f>
        <v>20753533.272940867</v>
      </c>
      <c r="Q69" s="11">
        <f>I69*'GS&lt;50 Predicted Monthly'!$X$13</f>
        <v>22360419.494035874</v>
      </c>
      <c r="R69" s="11">
        <f>J69*'GS&lt;50 Predicted Monthly'!$X$14</f>
        <v>0</v>
      </c>
      <c r="S69" s="13">
        <f t="shared" ca="1" si="7"/>
        <v>37445728.919320285</v>
      </c>
    </row>
    <row r="70" spans="1:19" x14ac:dyDescent="0.2">
      <c r="A70" s="8">
        <f>'Monthly Data'!A70</f>
        <v>44805</v>
      </c>
      <c r="B70">
        <f t="shared" ref="B70:B78" si="8">YEAR(A70)</f>
        <v>2022</v>
      </c>
      <c r="C70">
        <f t="shared" ref="C70:C78" si="9">MONTH(A70)</f>
        <v>9</v>
      </c>
      <c r="D70" s="18">
        <f>'Monthly Data'!J70</f>
        <v>33654327.730507731</v>
      </c>
      <c r="E70" s="21">
        <f t="shared" ca="1" si="6"/>
        <v>11.319999999999997</v>
      </c>
      <c r="F70" s="21">
        <f t="shared" ca="1" si="6"/>
        <v>104.19854166666664</v>
      </c>
      <c r="G70" s="211">
        <f>'Monthly Data'!CV70</f>
        <v>0.25</v>
      </c>
      <c r="H70" s="7">
        <f>'Monthly Data'!CS70</f>
        <v>30</v>
      </c>
      <c r="I70" s="19">
        <f>'Monthly Data'!AO70</f>
        <v>856819</v>
      </c>
      <c r="J70" s="19">
        <f>'Monthly Data'!BT70</f>
        <v>0</v>
      </c>
      <c r="L70" s="11">
        <f>'GS&lt;50 Predicted Monthly'!$X$8</f>
        <v>-13592432.544671699</v>
      </c>
      <c r="M70" s="11">
        <f ca="1">E70*'GS&lt;50 Predicted Monthly'!$X$9</f>
        <v>156394.39733645503</v>
      </c>
      <c r="N70" s="11">
        <f ca="1">F70*'GS&lt;50 Predicted Monthly'!$X$10</f>
        <v>4485366.2063807445</v>
      </c>
      <c r="O70" s="11">
        <f>G70*'GS&lt;50 Predicted Monthly'!$X$11</f>
        <v>-522590.81666288502</v>
      </c>
      <c r="P70" s="11">
        <f>H70*'GS&lt;50 Predicted Monthly'!$X$12</f>
        <v>20084064.457684711</v>
      </c>
      <c r="Q70" s="11">
        <f>I70*'GS&lt;50 Predicted Monthly'!$X$13</f>
        <v>22360419.494035874</v>
      </c>
      <c r="R70" s="11">
        <f>J70*'GS&lt;50 Predicted Monthly'!$X$14</f>
        <v>0</v>
      </c>
      <c r="S70" s="13">
        <f t="shared" ca="1" si="7"/>
        <v>32971221.1941032</v>
      </c>
    </row>
    <row r="71" spans="1:19" x14ac:dyDescent="0.2">
      <c r="A71" s="8">
        <f>'Monthly Data'!A71</f>
        <v>44835</v>
      </c>
      <c r="B71">
        <f t="shared" si="8"/>
        <v>2022</v>
      </c>
      <c r="C71">
        <f t="shared" si="9"/>
        <v>10</v>
      </c>
      <c r="D71" s="18">
        <f>'Monthly Data'!J71</f>
        <v>31415307.367699027</v>
      </c>
      <c r="E71" s="21">
        <f t="shared" ca="1" si="6"/>
        <v>126.12583333333332</v>
      </c>
      <c r="F71" s="21">
        <f t="shared" ca="1" si="6"/>
        <v>24.703125000000007</v>
      </c>
      <c r="G71" s="211">
        <f>'Monthly Data'!CV71</f>
        <v>0.25</v>
      </c>
      <c r="H71" s="7">
        <f>'Monthly Data'!CS71</f>
        <v>31</v>
      </c>
      <c r="I71" s="19">
        <f>'Monthly Data'!AO71</f>
        <v>856887</v>
      </c>
      <c r="J71" s="19">
        <f>'Monthly Data'!BT71</f>
        <v>0</v>
      </c>
      <c r="L71" s="11">
        <f>'GS&lt;50 Predicted Monthly'!$X$8</f>
        <v>-13592432.544671699</v>
      </c>
      <c r="M71" s="11">
        <f ca="1">E71*'GS&lt;50 Predicted Monthly'!$X$9</f>
        <v>1742524.177802548</v>
      </c>
      <c r="N71" s="11">
        <f ca="1">F71*'GS&lt;50 Predicted Monthly'!$X$10</f>
        <v>1063379.201807441</v>
      </c>
      <c r="O71" s="11">
        <f>G71*'GS&lt;50 Predicted Monthly'!$X$11</f>
        <v>-522590.81666288502</v>
      </c>
      <c r="P71" s="11">
        <f>H71*'GS&lt;50 Predicted Monthly'!$X$12</f>
        <v>20753533.272940867</v>
      </c>
      <c r="Q71" s="11">
        <f>I71*'GS&lt;50 Predicted Monthly'!$X$13</f>
        <v>22362194.09115101</v>
      </c>
      <c r="R71" s="11">
        <f>J71*'GS&lt;50 Predicted Monthly'!$X$14</f>
        <v>0</v>
      </c>
      <c r="S71" s="13">
        <f t="shared" ca="1" si="7"/>
        <v>31806607.382367283</v>
      </c>
    </row>
    <row r="72" spans="1:19" x14ac:dyDescent="0.2">
      <c r="A72" s="8">
        <f>'Monthly Data'!A72</f>
        <v>44866</v>
      </c>
      <c r="B72">
        <f t="shared" si="8"/>
        <v>2022</v>
      </c>
      <c r="C72">
        <f t="shared" si="9"/>
        <v>11</v>
      </c>
      <c r="D72" s="18">
        <f>'Monthly Data'!J72</f>
        <v>33054898.399967819</v>
      </c>
      <c r="E72" s="21">
        <f t="shared" ca="1" si="6"/>
        <v>312.40687500000001</v>
      </c>
      <c r="F72" s="21">
        <f t="shared" ca="1" si="6"/>
        <v>1.6454166666666665</v>
      </c>
      <c r="G72" s="211">
        <f>'Monthly Data'!CV72</f>
        <v>0.25</v>
      </c>
      <c r="H72" s="7">
        <f>'Monthly Data'!CS72</f>
        <v>30</v>
      </c>
      <c r="I72" s="19">
        <f>'Monthly Data'!AO72</f>
        <v>856887</v>
      </c>
      <c r="J72" s="19">
        <f>'Monthly Data'!BT72</f>
        <v>0</v>
      </c>
      <c r="L72" s="11">
        <f>'GS&lt;50 Predicted Monthly'!$X$8</f>
        <v>-13592432.544671699</v>
      </c>
      <c r="M72" s="11">
        <f ca="1">E72*'GS&lt;50 Predicted Monthly'!$X$9</f>
        <v>4316138.2455291748</v>
      </c>
      <c r="N72" s="11">
        <f ca="1">F72*'GS&lt;50 Predicted Monthly'!$X$10</f>
        <v>70829.170869704118</v>
      </c>
      <c r="O72" s="11">
        <f>G72*'GS&lt;50 Predicted Monthly'!$X$11</f>
        <v>-522590.81666288502</v>
      </c>
      <c r="P72" s="11">
        <f>H72*'GS&lt;50 Predicted Monthly'!$X$12</f>
        <v>20084064.457684711</v>
      </c>
      <c r="Q72" s="11">
        <f>I72*'GS&lt;50 Predicted Monthly'!$X$13</f>
        <v>22362194.09115101</v>
      </c>
      <c r="R72" s="11">
        <f>J72*'GS&lt;50 Predicted Monthly'!$X$14</f>
        <v>0</v>
      </c>
      <c r="S72" s="13">
        <f t="shared" ca="1" si="7"/>
        <v>32718202.603900015</v>
      </c>
    </row>
    <row r="73" spans="1:19" x14ac:dyDescent="0.2">
      <c r="A73" s="8">
        <f>'Monthly Data'!A73</f>
        <v>44896</v>
      </c>
      <c r="B73">
        <f t="shared" si="8"/>
        <v>2022</v>
      </c>
      <c r="C73">
        <f t="shared" si="9"/>
        <v>12</v>
      </c>
      <c r="D73" s="18">
        <f>'Monthly Data'!J73</f>
        <v>36113207.191137917</v>
      </c>
      <c r="E73" s="21">
        <f t="shared" ca="1" si="6"/>
        <v>473.52499999999998</v>
      </c>
      <c r="F73" s="21">
        <f t="shared" ca="1" si="6"/>
        <v>0</v>
      </c>
      <c r="G73" s="211">
        <f>'Monthly Data'!CV73</f>
        <v>0.25</v>
      </c>
      <c r="H73" s="7">
        <f>'Monthly Data'!CS73</f>
        <v>31</v>
      </c>
      <c r="I73" s="19">
        <f>'Monthly Data'!AO73</f>
        <v>856887</v>
      </c>
      <c r="J73" s="19">
        <f>'Monthly Data'!BT73</f>
        <v>0</v>
      </c>
      <c r="L73" s="11">
        <f>'GS&lt;50 Predicted Monthly'!$X$8</f>
        <v>-13592432.544671699</v>
      </c>
      <c r="M73" s="11">
        <f ca="1">E73*'GS&lt;50 Predicted Monthly'!$X$9</f>
        <v>6542107.5087230466</v>
      </c>
      <c r="N73" s="11">
        <f ca="1">F73*'GS&lt;50 Predicted Monthly'!$X$10</f>
        <v>0</v>
      </c>
      <c r="O73" s="11">
        <f>G73*'GS&lt;50 Predicted Monthly'!$X$11</f>
        <v>-522590.81666288502</v>
      </c>
      <c r="P73" s="11">
        <f>H73*'GS&lt;50 Predicted Monthly'!$X$12</f>
        <v>20753533.272940867</v>
      </c>
      <c r="Q73" s="11">
        <f>I73*'GS&lt;50 Predicted Monthly'!$X$13</f>
        <v>22362194.09115101</v>
      </c>
      <c r="R73" s="11">
        <f>J73*'GS&lt;50 Predicted Monthly'!$X$14</f>
        <v>0</v>
      </c>
      <c r="S73" s="13">
        <f t="shared" ca="1" si="7"/>
        <v>35542811.511480339</v>
      </c>
    </row>
    <row r="74" spans="1:19" x14ac:dyDescent="0.2">
      <c r="A74" s="8">
        <f>'Monthly Data'!A74</f>
        <v>44927</v>
      </c>
      <c r="B74">
        <f t="shared" si="8"/>
        <v>2023</v>
      </c>
      <c r="C74">
        <f t="shared" si="9"/>
        <v>1</v>
      </c>
      <c r="D74" s="18">
        <f>'Monthly Data'!J74</f>
        <v>36644302.910595365</v>
      </c>
      <c r="E74" s="21">
        <f t="shared" ref="E74:F93" ca="1" si="10">E62</f>
        <v>566.30416666666667</v>
      </c>
      <c r="F74" s="21">
        <f t="shared" ca="1" si="10"/>
        <v>0</v>
      </c>
      <c r="G74" s="211">
        <f>'Monthly Data'!CV74</f>
        <v>0</v>
      </c>
      <c r="H74" s="7">
        <f>'Monthly Data'!CS74</f>
        <v>31</v>
      </c>
      <c r="I74" s="19">
        <f>'Monthly Data'!AO74</f>
        <v>867096</v>
      </c>
      <c r="J74" s="19">
        <f>'Monthly Data'!BT74</f>
        <v>0</v>
      </c>
      <c r="L74" s="11">
        <f>'GS&lt;50 Predicted Monthly'!$X$8</f>
        <v>-13592432.544671699</v>
      </c>
      <c r="M74" s="11">
        <f ca="1">E74*'GS&lt;50 Predicted Monthly'!$X$9</f>
        <v>7823922.1603318686</v>
      </c>
      <c r="N74" s="11">
        <f ca="1">F74*'GS&lt;50 Predicted Monthly'!$X$10</f>
        <v>0</v>
      </c>
      <c r="O74" s="11">
        <f>G74*'GS&lt;50 Predicted Monthly'!$X$11</f>
        <v>0</v>
      </c>
      <c r="P74" s="11">
        <f>H74*'GS&lt;50 Predicted Monthly'!$X$12</f>
        <v>20753533.272940867</v>
      </c>
      <c r="Q74" s="11">
        <f>I74*'GS&lt;50 Predicted Monthly'!$X$13</f>
        <v>22628618.531569127</v>
      </c>
      <c r="R74" s="11">
        <f>J74*'GS&lt;50 Predicted Monthly'!$X$14</f>
        <v>0</v>
      </c>
      <c r="S74" s="13">
        <f t="shared" ca="1" si="7"/>
        <v>37613641.420170158</v>
      </c>
    </row>
    <row r="75" spans="1:19" x14ac:dyDescent="0.2">
      <c r="A75" s="8">
        <f>'Monthly Data'!A75</f>
        <v>44958</v>
      </c>
      <c r="B75">
        <f t="shared" si="8"/>
        <v>2023</v>
      </c>
      <c r="C75">
        <f t="shared" si="9"/>
        <v>2</v>
      </c>
      <c r="D75" s="18">
        <f>'Monthly Data'!J75</f>
        <v>33697550.512014888</v>
      </c>
      <c r="E75" s="21">
        <f t="shared" ca="1" si="10"/>
        <v>483.54541666666665</v>
      </c>
      <c r="F75" s="21">
        <f t="shared" ca="1" si="10"/>
        <v>0</v>
      </c>
      <c r="G75" s="211">
        <f>'Monthly Data'!CV75</f>
        <v>0</v>
      </c>
      <c r="H75" s="7">
        <f>'Monthly Data'!CS75</f>
        <v>28</v>
      </c>
      <c r="I75" s="19">
        <f>'Monthly Data'!AO75</f>
        <v>867096</v>
      </c>
      <c r="J75" s="19">
        <f>'Monthly Data'!BT75</f>
        <v>0</v>
      </c>
      <c r="L75" s="11">
        <f>'GS&lt;50 Predicted Monthly'!$X$8</f>
        <v>-13592432.544671699</v>
      </c>
      <c r="M75" s="11">
        <f ca="1">E75*'GS&lt;50 Predicted Monthly'!$X$9</f>
        <v>6680547.1752993288</v>
      </c>
      <c r="N75" s="11">
        <f ca="1">F75*'GS&lt;50 Predicted Monthly'!$X$10</f>
        <v>0</v>
      </c>
      <c r="O75" s="11">
        <f>G75*'GS&lt;50 Predicted Monthly'!$X$11</f>
        <v>0</v>
      </c>
      <c r="P75" s="11">
        <f>H75*'GS&lt;50 Predicted Monthly'!$X$12</f>
        <v>18745126.827172395</v>
      </c>
      <c r="Q75" s="11">
        <f>I75*'GS&lt;50 Predicted Monthly'!$X$13</f>
        <v>22628618.531569127</v>
      </c>
      <c r="R75" s="11">
        <f>J75*'GS&lt;50 Predicted Monthly'!$X$14</f>
        <v>0</v>
      </c>
      <c r="S75" s="13">
        <f t="shared" ca="1" si="7"/>
        <v>34461859.989369154</v>
      </c>
    </row>
    <row r="76" spans="1:19" x14ac:dyDescent="0.2">
      <c r="A76" s="8">
        <f>'Monthly Data'!A76</f>
        <v>44986</v>
      </c>
      <c r="B76">
        <f t="shared" si="8"/>
        <v>2023</v>
      </c>
      <c r="C76">
        <f t="shared" si="9"/>
        <v>3</v>
      </c>
      <c r="D76" s="18">
        <f>'Monthly Data'!J76</f>
        <v>36355592.281842805</v>
      </c>
      <c r="E76" s="21">
        <f t="shared" ca="1" si="10"/>
        <v>393.96333333333331</v>
      </c>
      <c r="F76" s="21">
        <f t="shared" ca="1" si="10"/>
        <v>0</v>
      </c>
      <c r="G76" s="211">
        <f>'Monthly Data'!CV76</f>
        <v>0</v>
      </c>
      <c r="H76" s="7">
        <f>'Monthly Data'!CS76</f>
        <v>31</v>
      </c>
      <c r="I76" s="19">
        <f>'Monthly Data'!AO76</f>
        <v>867096</v>
      </c>
      <c r="J76" s="19">
        <f>'Monthly Data'!BT76</f>
        <v>1</v>
      </c>
      <c r="L76" s="11">
        <f>'GS&lt;50 Predicted Monthly'!$X$8</f>
        <v>-13592432.544671699</v>
      </c>
      <c r="M76" s="11">
        <f ca="1">E76*'GS&lt;50 Predicted Monthly'!$X$9</f>
        <v>5442902.6580678122</v>
      </c>
      <c r="N76" s="11">
        <f ca="1">F76*'GS&lt;50 Predicted Monthly'!$X$10</f>
        <v>0</v>
      </c>
      <c r="O76" s="11">
        <f>G76*'GS&lt;50 Predicted Monthly'!$X$11</f>
        <v>0</v>
      </c>
      <c r="P76" s="11">
        <f>H76*'GS&lt;50 Predicted Monthly'!$X$12</f>
        <v>20753533.272940867</v>
      </c>
      <c r="Q76" s="11">
        <f>I76*'GS&lt;50 Predicted Monthly'!$X$13</f>
        <v>22628618.531569127</v>
      </c>
      <c r="R76" s="11">
        <f>J76*'GS&lt;50 Predicted Monthly'!$X$14</f>
        <v>522033.18159628101</v>
      </c>
      <c r="S76" s="13">
        <f t="shared" ca="1" si="7"/>
        <v>35754655.099502385</v>
      </c>
    </row>
    <row r="77" spans="1:19" x14ac:dyDescent="0.2">
      <c r="A77" s="8">
        <f>'Monthly Data'!A77</f>
        <v>45017</v>
      </c>
      <c r="B77">
        <f t="shared" si="8"/>
        <v>2023</v>
      </c>
      <c r="C77">
        <f t="shared" si="9"/>
        <v>4</v>
      </c>
      <c r="D77" s="18">
        <f>'Monthly Data'!J77</f>
        <v>31973002.845864329</v>
      </c>
      <c r="E77" s="21">
        <f t="shared" ca="1" si="10"/>
        <v>226.60145833333337</v>
      </c>
      <c r="F77" s="21">
        <f t="shared" ca="1" si="10"/>
        <v>6.5650000000000031</v>
      </c>
      <c r="G77" s="211">
        <f>'Monthly Data'!CV77</f>
        <v>0</v>
      </c>
      <c r="H77" s="7">
        <f>'Monthly Data'!CS77</f>
        <v>30</v>
      </c>
      <c r="I77" s="19">
        <f>'Monthly Data'!AO77</f>
        <v>873385</v>
      </c>
      <c r="J77" s="19">
        <f>'Monthly Data'!BT77</f>
        <v>0</v>
      </c>
      <c r="L77" s="11">
        <f>'GS&lt;50 Predicted Monthly'!$X$8</f>
        <v>-13592432.544671699</v>
      </c>
      <c r="M77" s="11">
        <f ca="1">E77*'GS&lt;50 Predicted Monthly'!$X$9</f>
        <v>3130671.2466080841</v>
      </c>
      <c r="N77" s="11">
        <f ca="1">F77*'GS&lt;50 Predicted Monthly'!$X$10</f>
        <v>282599.24442214705</v>
      </c>
      <c r="O77" s="11">
        <f>G77*'GS&lt;50 Predicted Monthly'!$X$11</f>
        <v>0</v>
      </c>
      <c r="P77" s="11">
        <f>H77*'GS&lt;50 Predicted Monthly'!$X$12</f>
        <v>20084064.457684711</v>
      </c>
      <c r="Q77" s="11">
        <f>I77*'GS&lt;50 Predicted Monthly'!$X$13</f>
        <v>22792742.667702887</v>
      </c>
      <c r="R77" s="11">
        <f>J77*'GS&lt;50 Predicted Monthly'!$X$14</f>
        <v>0</v>
      </c>
      <c r="S77" s="13">
        <f t="shared" ca="1" si="7"/>
        <v>32697645.07174613</v>
      </c>
    </row>
    <row r="78" spans="1:19" x14ac:dyDescent="0.2">
      <c r="A78" s="8">
        <f>'Monthly Data'!A78</f>
        <v>45047</v>
      </c>
      <c r="B78">
        <f t="shared" si="8"/>
        <v>2023</v>
      </c>
      <c r="C78">
        <f t="shared" si="9"/>
        <v>5</v>
      </c>
      <c r="D78" s="18">
        <f>'Monthly Data'!J78</f>
        <v>33099271.600468054</v>
      </c>
      <c r="E78" s="21">
        <f t="shared" ca="1" si="10"/>
        <v>65.335833333333326</v>
      </c>
      <c r="F78" s="21">
        <f t="shared" ca="1" si="10"/>
        <v>59.300416666666649</v>
      </c>
      <c r="G78" s="211">
        <f>'Monthly Data'!CV78</f>
        <v>0</v>
      </c>
      <c r="H78" s="7">
        <f>'Monthly Data'!CS78</f>
        <v>31</v>
      </c>
      <c r="I78" s="19">
        <f>'Monthly Data'!AO78</f>
        <v>873385</v>
      </c>
      <c r="J78" s="19">
        <f>'Monthly Data'!BT78</f>
        <v>0</v>
      </c>
      <c r="L78" s="11">
        <f>'GS&lt;50 Predicted Monthly'!$X$8</f>
        <v>-13592432.544671699</v>
      </c>
      <c r="M78" s="11">
        <f ca="1">E78*'GS&lt;50 Predicted Monthly'!$X$9</f>
        <v>902664.15889061301</v>
      </c>
      <c r="N78" s="11">
        <f ca="1">F78*'GS&lt;50 Predicted Monthly'!$X$10</f>
        <v>2552666.0996067757</v>
      </c>
      <c r="O78" s="11">
        <f>G78*'GS&lt;50 Predicted Monthly'!$X$11</f>
        <v>0</v>
      </c>
      <c r="P78" s="11">
        <f>H78*'GS&lt;50 Predicted Monthly'!$X$12</f>
        <v>20753533.272940867</v>
      </c>
      <c r="Q78" s="11">
        <f>I78*'GS&lt;50 Predicted Monthly'!$X$13</f>
        <v>22792742.667702887</v>
      </c>
      <c r="R78" s="11">
        <f>J78*'GS&lt;50 Predicted Monthly'!$X$14</f>
        <v>0</v>
      </c>
      <c r="S78" s="13">
        <f t="shared" ca="1" si="7"/>
        <v>33409173.654469442</v>
      </c>
    </row>
    <row r="79" spans="1:19" x14ac:dyDescent="0.2">
      <c r="A79" s="8">
        <f>'Monthly Data'!A79</f>
        <v>45078</v>
      </c>
      <c r="B79">
        <f t="shared" ref="B79:B126" si="11">YEAR(A79)</f>
        <v>2023</v>
      </c>
      <c r="C79">
        <f t="shared" ref="C79:C126" si="12">MONTH(A79)</f>
        <v>6</v>
      </c>
      <c r="D79" s="18">
        <f>'Monthly Data'!J79</f>
        <v>34472273.31071417</v>
      </c>
      <c r="E79" s="21">
        <f t="shared" ca="1" si="10"/>
        <v>3.0447916666666672</v>
      </c>
      <c r="F79" s="21">
        <f t="shared" ca="1" si="10"/>
        <v>157.17000000000002</v>
      </c>
      <c r="G79" s="211">
        <f>'Monthly Data'!CV79</f>
        <v>0</v>
      </c>
      <c r="H79" s="7">
        <f>'Monthly Data'!CS79</f>
        <v>30</v>
      </c>
      <c r="I79" s="19">
        <f>'Monthly Data'!AO79</f>
        <v>873385</v>
      </c>
      <c r="J79" s="19">
        <f>'Monthly Data'!BT79</f>
        <v>0</v>
      </c>
      <c r="L79" s="11">
        <f>'GS&lt;50 Predicted Monthly'!$X$8</f>
        <v>-13592432.544671699</v>
      </c>
      <c r="M79" s="11">
        <f ca="1">E79*'GS&lt;50 Predicted Monthly'!$X$9</f>
        <v>42066.109339522445</v>
      </c>
      <c r="N79" s="11">
        <f ca="1">F79*'GS&lt;50 Predicted Monthly'!$X$10</f>
        <v>6765593.7922054585</v>
      </c>
      <c r="O79" s="11">
        <f>G79*'GS&lt;50 Predicted Monthly'!$X$11</f>
        <v>0</v>
      </c>
      <c r="P79" s="11">
        <f>H79*'GS&lt;50 Predicted Monthly'!$X$12</f>
        <v>20084064.457684711</v>
      </c>
      <c r="Q79" s="11">
        <f>I79*'GS&lt;50 Predicted Monthly'!$X$13</f>
        <v>22792742.667702887</v>
      </c>
      <c r="R79" s="11">
        <f>J79*'GS&lt;50 Predicted Monthly'!$X$14</f>
        <v>0</v>
      </c>
      <c r="S79" s="13">
        <f t="shared" ca="1" si="7"/>
        <v>36092034.482260883</v>
      </c>
    </row>
    <row r="80" spans="1:19" x14ac:dyDescent="0.2">
      <c r="A80" s="8">
        <f>'Monthly Data'!A80</f>
        <v>45108</v>
      </c>
      <c r="B80">
        <f t="shared" si="11"/>
        <v>2023</v>
      </c>
      <c r="C80">
        <f t="shared" si="12"/>
        <v>7</v>
      </c>
      <c r="D80" s="18">
        <f>'Monthly Data'!J80</f>
        <v>38328544.836939998</v>
      </c>
      <c r="E80" s="21">
        <f t="shared" ca="1" si="10"/>
        <v>0</v>
      </c>
      <c r="F80" s="21">
        <f t="shared" ca="1" si="10"/>
        <v>231.27145833333333</v>
      </c>
      <c r="G80" s="211">
        <f>'Monthly Data'!CV80</f>
        <v>0</v>
      </c>
      <c r="H80" s="7">
        <f>'Monthly Data'!CS80</f>
        <v>31</v>
      </c>
      <c r="I80" s="19">
        <f>'Monthly Data'!AO80</f>
        <v>876964</v>
      </c>
      <c r="J80" s="19">
        <f>'Monthly Data'!BT80</f>
        <v>0</v>
      </c>
      <c r="L80" s="11">
        <f>'GS&lt;50 Predicted Monthly'!$X$8</f>
        <v>-13592432.544671699</v>
      </c>
      <c r="M80" s="11">
        <f ca="1">E80*'GS&lt;50 Predicted Monthly'!$X$9</f>
        <v>0</v>
      </c>
      <c r="N80" s="11">
        <f ca="1">F80*'GS&lt;50 Predicted Monthly'!$X$10</f>
        <v>9955390.6140758619</v>
      </c>
      <c r="O80" s="11">
        <f>G80*'GS&lt;50 Predicted Monthly'!$X$11</f>
        <v>0</v>
      </c>
      <c r="P80" s="11">
        <f>H80*'GS&lt;50 Predicted Monthly'!$X$12</f>
        <v>20753533.272940867</v>
      </c>
      <c r="Q80" s="11">
        <f>I80*'GS&lt;50 Predicted Monthly'!$X$13</f>
        <v>22886143.889395162</v>
      </c>
      <c r="R80" s="11">
        <f>J80*'GS&lt;50 Predicted Monthly'!$X$14</f>
        <v>0</v>
      </c>
      <c r="S80" s="13">
        <f t="shared" ca="1" si="7"/>
        <v>40002635.231740192</v>
      </c>
    </row>
    <row r="81" spans="1:19" x14ac:dyDescent="0.2">
      <c r="A81" s="8">
        <f>'Monthly Data'!A81</f>
        <v>45139</v>
      </c>
      <c r="B81">
        <f t="shared" si="11"/>
        <v>2023</v>
      </c>
      <c r="C81">
        <f t="shared" si="12"/>
        <v>8</v>
      </c>
      <c r="D81" s="18">
        <f>'Monthly Data'!J81</f>
        <v>36428584.860646717</v>
      </c>
      <c r="E81" s="21">
        <f t="shared" ca="1" si="10"/>
        <v>0.27875000000000066</v>
      </c>
      <c r="F81" s="21">
        <f t="shared" ca="1" si="10"/>
        <v>196.13625000000002</v>
      </c>
      <c r="G81" s="211">
        <f>'Monthly Data'!CV81</f>
        <v>0</v>
      </c>
      <c r="H81" s="7">
        <f>'Monthly Data'!CS81</f>
        <v>31</v>
      </c>
      <c r="I81" s="19">
        <f>'Monthly Data'!AO81</f>
        <v>876964</v>
      </c>
      <c r="J81" s="19">
        <f>'Monthly Data'!BT81</f>
        <v>0</v>
      </c>
      <c r="L81" s="11">
        <f>'GS&lt;50 Predicted Monthly'!$X$8</f>
        <v>-13592432.544671699</v>
      </c>
      <c r="M81" s="11">
        <f ca="1">E81*'GS&lt;50 Predicted Monthly'!$X$9</f>
        <v>3851.1429556128055</v>
      </c>
      <c r="N81" s="11">
        <f ca="1">F81*'GS&lt;50 Predicted Monthly'!$X$10</f>
        <v>8442948.3707225155</v>
      </c>
      <c r="O81" s="11">
        <f>G81*'GS&lt;50 Predicted Monthly'!$X$11</f>
        <v>0</v>
      </c>
      <c r="P81" s="11">
        <f>H81*'GS&lt;50 Predicted Monthly'!$X$12</f>
        <v>20753533.272940867</v>
      </c>
      <c r="Q81" s="11">
        <f>I81*'GS&lt;50 Predicted Monthly'!$X$13</f>
        <v>22886143.889395162</v>
      </c>
      <c r="R81" s="11">
        <f>J81*'GS&lt;50 Predicted Monthly'!$X$14</f>
        <v>0</v>
      </c>
      <c r="S81" s="13">
        <f t="shared" ca="1" si="7"/>
        <v>38494044.131342456</v>
      </c>
    </row>
    <row r="82" spans="1:19" x14ac:dyDescent="0.2">
      <c r="A82" s="8">
        <f>'Monthly Data'!A82</f>
        <v>45170</v>
      </c>
      <c r="B82">
        <f t="shared" si="11"/>
        <v>2023</v>
      </c>
      <c r="C82">
        <f t="shared" si="12"/>
        <v>9</v>
      </c>
      <c r="D82" s="18">
        <f>'Monthly Data'!J82</f>
        <v>33579765.16547174</v>
      </c>
      <c r="E82" s="21">
        <f t="shared" ca="1" si="10"/>
        <v>11.319999999999997</v>
      </c>
      <c r="F82" s="21">
        <f t="shared" ca="1" si="10"/>
        <v>104.19854166666664</v>
      </c>
      <c r="G82" s="211">
        <f>'Monthly Data'!CV82</f>
        <v>0</v>
      </c>
      <c r="H82" s="7">
        <f>'Monthly Data'!CS82</f>
        <v>30</v>
      </c>
      <c r="I82" s="19">
        <f>'Monthly Data'!AO82</f>
        <v>876964</v>
      </c>
      <c r="J82" s="19">
        <f>'Monthly Data'!BT82</f>
        <v>0</v>
      </c>
      <c r="L82" s="11">
        <f>'GS&lt;50 Predicted Monthly'!$X$8</f>
        <v>-13592432.544671699</v>
      </c>
      <c r="M82" s="11">
        <f ca="1">E82*'GS&lt;50 Predicted Monthly'!$X$9</f>
        <v>156394.39733645503</v>
      </c>
      <c r="N82" s="11">
        <f ca="1">F82*'GS&lt;50 Predicted Monthly'!$X$10</f>
        <v>4485366.2063807445</v>
      </c>
      <c r="O82" s="11">
        <f>G82*'GS&lt;50 Predicted Monthly'!$X$11</f>
        <v>0</v>
      </c>
      <c r="P82" s="11">
        <f>H82*'GS&lt;50 Predicted Monthly'!$X$12</f>
        <v>20084064.457684711</v>
      </c>
      <c r="Q82" s="11">
        <f>I82*'GS&lt;50 Predicted Monthly'!$X$13</f>
        <v>22886143.889395162</v>
      </c>
      <c r="R82" s="11">
        <f>J82*'GS&lt;50 Predicted Monthly'!$X$14</f>
        <v>0</v>
      </c>
      <c r="S82" s="13">
        <f t="shared" ca="1" si="7"/>
        <v>34019536.406125374</v>
      </c>
    </row>
    <row r="83" spans="1:19" x14ac:dyDescent="0.2">
      <c r="A83" s="8">
        <f>'Monthly Data'!A83</f>
        <v>45200</v>
      </c>
      <c r="B83">
        <f t="shared" si="11"/>
        <v>2023</v>
      </c>
      <c r="C83">
        <f t="shared" si="12"/>
        <v>10</v>
      </c>
      <c r="D83" s="18">
        <f>'Monthly Data'!J83</f>
        <v>32793920.29388446</v>
      </c>
      <c r="E83" s="21">
        <f t="shared" ca="1" si="10"/>
        <v>126.12583333333332</v>
      </c>
      <c r="F83" s="21">
        <f t="shared" ca="1" si="10"/>
        <v>24.703125000000007</v>
      </c>
      <c r="G83" s="211">
        <f>'Monthly Data'!CV83</f>
        <v>0</v>
      </c>
      <c r="H83" s="7">
        <f>'Monthly Data'!CS83</f>
        <v>31</v>
      </c>
      <c r="I83" s="19">
        <f>'Monthly Data'!AO83</f>
        <v>880255</v>
      </c>
      <c r="J83" s="19">
        <f>'Monthly Data'!BT83</f>
        <v>0</v>
      </c>
      <c r="L83" s="11">
        <f>'GS&lt;50 Predicted Monthly'!$X$8</f>
        <v>-13592432.544671699</v>
      </c>
      <c r="M83" s="11">
        <f ca="1">E83*'GS&lt;50 Predicted Monthly'!$X$9</f>
        <v>1742524.177802548</v>
      </c>
      <c r="N83" s="11">
        <f ca="1">F83*'GS&lt;50 Predicted Monthly'!$X$10</f>
        <v>1063379.201807441</v>
      </c>
      <c r="O83" s="11">
        <f>G83*'GS&lt;50 Predicted Monthly'!$X$11</f>
        <v>0</v>
      </c>
      <c r="P83" s="11">
        <f>H83*'GS&lt;50 Predicted Monthly'!$X$12</f>
        <v>20753533.272940867</v>
      </c>
      <c r="Q83" s="11">
        <f>I83*'GS&lt;50 Predicted Monthly'!$X$13</f>
        <v>22972029.170364507</v>
      </c>
      <c r="R83" s="11">
        <f>J83*'GS&lt;50 Predicted Monthly'!$X$14</f>
        <v>0</v>
      </c>
      <c r="S83" s="13">
        <f t="shared" ca="1" si="7"/>
        <v>32939033.278243661</v>
      </c>
    </row>
    <row r="84" spans="1:19" x14ac:dyDescent="0.2">
      <c r="A84" s="8">
        <f>'Monthly Data'!A84</f>
        <v>45231</v>
      </c>
      <c r="B84">
        <f t="shared" si="11"/>
        <v>2023</v>
      </c>
      <c r="C84">
        <f t="shared" si="12"/>
        <v>11</v>
      </c>
      <c r="D84" s="18">
        <f>'Monthly Data'!J84</f>
        <v>33988995.077233881</v>
      </c>
      <c r="E84" s="21">
        <f t="shared" ca="1" si="10"/>
        <v>312.40687500000001</v>
      </c>
      <c r="F84" s="21">
        <f t="shared" ca="1" si="10"/>
        <v>1.6454166666666665</v>
      </c>
      <c r="G84" s="211">
        <f>'Monthly Data'!CV84</f>
        <v>0</v>
      </c>
      <c r="H84" s="7">
        <f>'Monthly Data'!CS84</f>
        <v>30</v>
      </c>
      <c r="I84" s="19">
        <f>'Monthly Data'!AO84</f>
        <v>880255</v>
      </c>
      <c r="J84" s="19">
        <f>'Monthly Data'!BT84</f>
        <v>0</v>
      </c>
      <c r="L84" s="11">
        <f>'GS&lt;50 Predicted Monthly'!$X$8</f>
        <v>-13592432.544671699</v>
      </c>
      <c r="M84" s="11">
        <f ca="1">E84*'GS&lt;50 Predicted Monthly'!$X$9</f>
        <v>4316138.2455291748</v>
      </c>
      <c r="N84" s="11">
        <f ca="1">F84*'GS&lt;50 Predicted Monthly'!$X$10</f>
        <v>70829.170869704118</v>
      </c>
      <c r="O84" s="11">
        <f>G84*'GS&lt;50 Predicted Monthly'!$X$11</f>
        <v>0</v>
      </c>
      <c r="P84" s="11">
        <f>H84*'GS&lt;50 Predicted Monthly'!$X$12</f>
        <v>20084064.457684711</v>
      </c>
      <c r="Q84" s="11">
        <f>I84*'GS&lt;50 Predicted Monthly'!$X$13</f>
        <v>22972029.170364507</v>
      </c>
      <c r="R84" s="11">
        <f>J84*'GS&lt;50 Predicted Monthly'!$X$14</f>
        <v>0</v>
      </c>
      <c r="S84" s="13">
        <f t="shared" ca="1" si="7"/>
        <v>33850628.499776393</v>
      </c>
    </row>
    <row r="85" spans="1:19" x14ac:dyDescent="0.2">
      <c r="A85" s="8">
        <f>'Monthly Data'!A85</f>
        <v>45261</v>
      </c>
      <c r="B85">
        <f t="shared" si="11"/>
        <v>2023</v>
      </c>
      <c r="C85">
        <f t="shared" si="12"/>
        <v>12</v>
      </c>
      <c r="D85" s="18">
        <f>'Monthly Data'!J85</f>
        <v>35287478.129461206</v>
      </c>
      <c r="E85" s="21">
        <f t="shared" ca="1" si="10"/>
        <v>473.52499999999998</v>
      </c>
      <c r="F85" s="21">
        <f t="shared" ca="1" si="10"/>
        <v>0</v>
      </c>
      <c r="G85" s="211">
        <f>'Monthly Data'!CV85</f>
        <v>0</v>
      </c>
      <c r="H85" s="7">
        <f>'Monthly Data'!CS85</f>
        <v>31</v>
      </c>
      <c r="I85" s="19">
        <f>'Monthly Data'!AO85</f>
        <v>880255</v>
      </c>
      <c r="J85" s="19">
        <f>'Monthly Data'!BT85</f>
        <v>0</v>
      </c>
      <c r="L85" s="11">
        <f>'GS&lt;50 Predicted Monthly'!$X$8</f>
        <v>-13592432.544671699</v>
      </c>
      <c r="M85" s="11">
        <f ca="1">E85*'GS&lt;50 Predicted Monthly'!$X$9</f>
        <v>6542107.5087230466</v>
      </c>
      <c r="N85" s="11">
        <f ca="1">F85*'GS&lt;50 Predicted Monthly'!$X$10</f>
        <v>0</v>
      </c>
      <c r="O85" s="11">
        <f>G85*'GS&lt;50 Predicted Monthly'!$X$11</f>
        <v>0</v>
      </c>
      <c r="P85" s="11">
        <f>H85*'GS&lt;50 Predicted Monthly'!$X$12</f>
        <v>20753533.272940867</v>
      </c>
      <c r="Q85" s="11">
        <f>I85*'GS&lt;50 Predicted Monthly'!$X$13</f>
        <v>22972029.170364507</v>
      </c>
      <c r="R85" s="11">
        <f>J85*'GS&lt;50 Predicted Monthly'!$X$14</f>
        <v>0</v>
      </c>
      <c r="S85" s="13">
        <f t="shared" ca="1" si="7"/>
        <v>36675237.407356724</v>
      </c>
    </row>
    <row r="86" spans="1:19" x14ac:dyDescent="0.2">
      <c r="A86" s="8">
        <f>'Monthly Data'!A86</f>
        <v>45292</v>
      </c>
      <c r="B86">
        <f t="shared" si="11"/>
        <v>2024</v>
      </c>
      <c r="C86">
        <f t="shared" si="12"/>
        <v>1</v>
      </c>
      <c r="D86" s="18">
        <f>'Monthly Data'!J86</f>
        <v>38219875.681387417</v>
      </c>
      <c r="E86" s="21">
        <f t="shared" ca="1" si="10"/>
        <v>566.30416666666667</v>
      </c>
      <c r="F86" s="21">
        <f t="shared" ca="1" si="10"/>
        <v>0</v>
      </c>
      <c r="G86" s="211">
        <f>'Monthly Data'!CV86</f>
        <v>0</v>
      </c>
      <c r="H86" s="7">
        <f>'Monthly Data'!CS86</f>
        <v>31</v>
      </c>
      <c r="I86" s="19">
        <f>'Monthly Data'!AO86</f>
        <v>885802</v>
      </c>
      <c r="J86" s="19">
        <f>'Monthly Data'!BT86</f>
        <v>0</v>
      </c>
      <c r="L86" s="11">
        <f>'GS&lt;50 Predicted Monthly'!$X$8</f>
        <v>-13592432.544671699</v>
      </c>
      <c r="M86" s="11">
        <f ca="1">E86*'GS&lt;50 Predicted Monthly'!$X$9</f>
        <v>7823922.1603318686</v>
      </c>
      <c r="N86" s="11">
        <f ca="1">F86*'GS&lt;50 Predicted Monthly'!$X$10</f>
        <v>0</v>
      </c>
      <c r="O86" s="11">
        <f>G86*'GS&lt;50 Predicted Monthly'!$X$11</f>
        <v>0</v>
      </c>
      <c r="P86" s="11">
        <f>H86*'GS&lt;50 Predicted Monthly'!$X$12</f>
        <v>20753533.272940867</v>
      </c>
      <c r="Q86" s="11">
        <f>I86*'GS&lt;50 Predicted Monthly'!$X$13</f>
        <v>23116789.320330158</v>
      </c>
      <c r="R86" s="11">
        <f>J86*'GS&lt;50 Predicted Monthly'!$X$14</f>
        <v>0</v>
      </c>
      <c r="S86" s="13">
        <f t="shared" ca="1" si="7"/>
        <v>38101812.208931193</v>
      </c>
    </row>
    <row r="87" spans="1:19" x14ac:dyDescent="0.2">
      <c r="A87" s="8">
        <f>'Monthly Data'!A87</f>
        <v>45323</v>
      </c>
      <c r="B87">
        <f t="shared" si="11"/>
        <v>2024</v>
      </c>
      <c r="C87">
        <f t="shared" si="12"/>
        <v>2</v>
      </c>
      <c r="D87" s="18">
        <f>'Monthly Data'!J87</f>
        <v>34257979.157338955</v>
      </c>
      <c r="E87" s="21">
        <f t="shared" ca="1" si="10"/>
        <v>483.54541666666665</v>
      </c>
      <c r="F87" s="21">
        <f t="shared" ca="1" si="10"/>
        <v>0</v>
      </c>
      <c r="G87" s="211">
        <f>'Monthly Data'!CV87</f>
        <v>0</v>
      </c>
      <c r="H87" s="7">
        <f>'Monthly Data'!CS87</f>
        <v>29</v>
      </c>
      <c r="I87" s="19">
        <f>'Monthly Data'!AO87</f>
        <v>885802</v>
      </c>
      <c r="J87" s="19">
        <f>'Monthly Data'!BT87</f>
        <v>0</v>
      </c>
      <c r="L87" s="11">
        <f>'GS&lt;50 Predicted Monthly'!$X$8</f>
        <v>-13592432.544671699</v>
      </c>
      <c r="M87" s="11">
        <f ca="1">E87*'GS&lt;50 Predicted Monthly'!$X$9</f>
        <v>6680547.1752993288</v>
      </c>
      <c r="N87" s="11">
        <f ca="1">F87*'GS&lt;50 Predicted Monthly'!$X$10</f>
        <v>0</v>
      </c>
      <c r="O87" s="11">
        <f>G87*'GS&lt;50 Predicted Monthly'!$X$11</f>
        <v>0</v>
      </c>
      <c r="P87" s="11">
        <f>H87*'GS&lt;50 Predicted Monthly'!$X$12</f>
        <v>19414595.642428551</v>
      </c>
      <c r="Q87" s="11">
        <f>I87*'GS&lt;50 Predicted Monthly'!$X$13</f>
        <v>23116789.320330158</v>
      </c>
      <c r="R87" s="11">
        <f>J87*'GS&lt;50 Predicted Monthly'!$X$14</f>
        <v>0</v>
      </c>
      <c r="S87" s="13">
        <f t="shared" ca="1" si="7"/>
        <v>35619499.593386337</v>
      </c>
    </row>
    <row r="88" spans="1:19" x14ac:dyDescent="0.2">
      <c r="A88" s="8">
        <f>'Monthly Data'!A88</f>
        <v>45352</v>
      </c>
      <c r="B88">
        <f t="shared" si="11"/>
        <v>2024</v>
      </c>
      <c r="C88">
        <f t="shared" si="12"/>
        <v>3</v>
      </c>
      <c r="D88" s="18">
        <f>'Monthly Data'!J88</f>
        <v>34527361.185368188</v>
      </c>
      <c r="E88" s="21">
        <f t="shared" ca="1" si="10"/>
        <v>393.96333333333331</v>
      </c>
      <c r="F88" s="21">
        <f t="shared" ca="1" si="10"/>
        <v>0</v>
      </c>
      <c r="G88" s="211">
        <f>'Monthly Data'!CV88</f>
        <v>0</v>
      </c>
      <c r="H88" s="7">
        <f>'Monthly Data'!CS88</f>
        <v>31</v>
      </c>
      <c r="I88" s="19">
        <f>'Monthly Data'!AO88</f>
        <v>885802</v>
      </c>
      <c r="J88" s="19">
        <f>'Monthly Data'!BT88</f>
        <v>1</v>
      </c>
      <c r="L88" s="11">
        <f>'GS&lt;50 Predicted Monthly'!$X$8</f>
        <v>-13592432.544671699</v>
      </c>
      <c r="M88" s="11">
        <f ca="1">E88*'GS&lt;50 Predicted Monthly'!$X$9</f>
        <v>5442902.6580678122</v>
      </c>
      <c r="N88" s="11">
        <f ca="1">F88*'GS&lt;50 Predicted Monthly'!$X$10</f>
        <v>0</v>
      </c>
      <c r="O88" s="11">
        <f>G88*'GS&lt;50 Predicted Monthly'!$X$11</f>
        <v>0</v>
      </c>
      <c r="P88" s="11">
        <f>H88*'GS&lt;50 Predicted Monthly'!$X$12</f>
        <v>20753533.272940867</v>
      </c>
      <c r="Q88" s="11">
        <f>I88*'GS&lt;50 Predicted Monthly'!$X$13</f>
        <v>23116789.320330158</v>
      </c>
      <c r="R88" s="11">
        <f>J88*'GS&lt;50 Predicted Monthly'!$X$14</f>
        <v>522033.18159628101</v>
      </c>
      <c r="S88" s="13">
        <f t="shared" ca="1" si="7"/>
        <v>36242825.888263419</v>
      </c>
    </row>
    <row r="89" spans="1:19" x14ac:dyDescent="0.2">
      <c r="A89" s="8">
        <f>'Monthly Data'!A89</f>
        <v>45383</v>
      </c>
      <c r="B89">
        <f t="shared" si="11"/>
        <v>2024</v>
      </c>
      <c r="C89">
        <f t="shared" si="12"/>
        <v>4</v>
      </c>
      <c r="D89" s="18">
        <f>'Monthly Data'!J89</f>
        <v>31963168.830053426</v>
      </c>
      <c r="E89" s="21">
        <f t="shared" ca="1" si="10"/>
        <v>226.60145833333337</v>
      </c>
      <c r="F89" s="21">
        <f t="shared" ca="1" si="10"/>
        <v>6.5650000000000031</v>
      </c>
      <c r="G89" s="211">
        <f>'Monthly Data'!CV89</f>
        <v>0</v>
      </c>
      <c r="H89" s="7">
        <f>'Monthly Data'!CS89</f>
        <v>30</v>
      </c>
      <c r="I89" s="19">
        <f>'Monthly Data'!AO89</f>
        <v>888733</v>
      </c>
      <c r="J89" s="19">
        <f>'Monthly Data'!BT89</f>
        <v>0</v>
      </c>
      <c r="L89" s="11">
        <f>'GS&lt;50 Predicted Monthly'!$X$8</f>
        <v>-13592432.544671699</v>
      </c>
      <c r="M89" s="11">
        <f ca="1">E89*'GS&lt;50 Predicted Monthly'!$X$9</f>
        <v>3130671.2466080841</v>
      </c>
      <c r="N89" s="11">
        <f ca="1">F89*'GS&lt;50 Predicted Monthly'!$X$10</f>
        <v>282599.24442214705</v>
      </c>
      <c r="O89" s="11">
        <f>G89*'GS&lt;50 Predicted Monthly'!$X$11</f>
        <v>0</v>
      </c>
      <c r="P89" s="11">
        <f>H89*'GS&lt;50 Predicted Monthly'!$X$12</f>
        <v>20084064.457684711</v>
      </c>
      <c r="Q89" s="11">
        <f>I89*'GS&lt;50 Predicted Monthly'!$X$13</f>
        <v>23193279.675395835</v>
      </c>
      <c r="R89" s="11">
        <f>J89*'GS&lt;50 Predicted Monthly'!$X$14</f>
        <v>0</v>
      </c>
      <c r="S89" s="13">
        <f t="shared" ca="1" si="7"/>
        <v>33098182.079439078</v>
      </c>
    </row>
    <row r="90" spans="1:19" x14ac:dyDescent="0.2">
      <c r="A90" s="8">
        <f>'Monthly Data'!A90</f>
        <v>45413</v>
      </c>
      <c r="B90">
        <f t="shared" si="11"/>
        <v>2024</v>
      </c>
      <c r="C90">
        <f t="shared" si="12"/>
        <v>5</v>
      </c>
      <c r="D90" s="18">
        <f>'Monthly Data'!J90</f>
        <v>33702078.344445564</v>
      </c>
      <c r="E90" s="21">
        <f t="shared" ca="1" si="10"/>
        <v>65.335833333333326</v>
      </c>
      <c r="F90" s="21">
        <f t="shared" ca="1" si="10"/>
        <v>59.300416666666649</v>
      </c>
      <c r="G90" s="211">
        <f>'Monthly Data'!CV90</f>
        <v>0</v>
      </c>
      <c r="H90" s="7">
        <f>'Monthly Data'!CS90</f>
        <v>31</v>
      </c>
      <c r="I90" s="19">
        <f>'Monthly Data'!AO90</f>
        <v>888733</v>
      </c>
      <c r="J90" s="19">
        <f>'Monthly Data'!BT90</f>
        <v>0</v>
      </c>
      <c r="L90" s="11">
        <f>'GS&lt;50 Predicted Monthly'!$X$8</f>
        <v>-13592432.544671699</v>
      </c>
      <c r="M90" s="11">
        <f ca="1">E90*'GS&lt;50 Predicted Monthly'!$X$9</f>
        <v>902664.15889061301</v>
      </c>
      <c r="N90" s="11">
        <f ca="1">F90*'GS&lt;50 Predicted Monthly'!$X$10</f>
        <v>2552666.0996067757</v>
      </c>
      <c r="O90" s="11">
        <f>G90*'GS&lt;50 Predicted Monthly'!$X$11</f>
        <v>0</v>
      </c>
      <c r="P90" s="11">
        <f>H90*'GS&lt;50 Predicted Monthly'!$X$12</f>
        <v>20753533.272940867</v>
      </c>
      <c r="Q90" s="11">
        <f>I90*'GS&lt;50 Predicted Monthly'!$X$13</f>
        <v>23193279.675395835</v>
      </c>
      <c r="R90" s="11">
        <f>J90*'GS&lt;50 Predicted Monthly'!$X$14</f>
        <v>0</v>
      </c>
      <c r="S90" s="13">
        <f t="shared" ca="1" si="7"/>
        <v>33809710.662162393</v>
      </c>
    </row>
    <row r="91" spans="1:19" x14ac:dyDescent="0.2">
      <c r="A91" s="8">
        <f>'Monthly Data'!A91</f>
        <v>45444</v>
      </c>
      <c r="B91">
        <f t="shared" si="11"/>
        <v>2024</v>
      </c>
      <c r="C91">
        <f t="shared" si="12"/>
        <v>6</v>
      </c>
      <c r="D91" s="18">
        <f>'Monthly Data'!J91</f>
        <v>36390924.841228999</v>
      </c>
      <c r="E91" s="21">
        <f t="shared" ca="1" si="10"/>
        <v>3.0447916666666672</v>
      </c>
      <c r="F91" s="21">
        <f t="shared" ca="1" si="10"/>
        <v>157.17000000000002</v>
      </c>
      <c r="G91" s="211">
        <f>'Monthly Data'!CV91</f>
        <v>0</v>
      </c>
      <c r="H91" s="7">
        <f>'Monthly Data'!CS91</f>
        <v>30</v>
      </c>
      <c r="I91" s="19">
        <f>'Monthly Data'!AO91</f>
        <v>888733</v>
      </c>
      <c r="J91" s="19">
        <f>'Monthly Data'!BT91</f>
        <v>0</v>
      </c>
      <c r="L91" s="11">
        <f>'GS&lt;50 Predicted Monthly'!$X$8</f>
        <v>-13592432.544671699</v>
      </c>
      <c r="M91" s="11">
        <f ca="1">E91*'GS&lt;50 Predicted Monthly'!$X$9</f>
        <v>42066.109339522445</v>
      </c>
      <c r="N91" s="11">
        <f ca="1">F91*'GS&lt;50 Predicted Monthly'!$X$10</f>
        <v>6765593.7922054585</v>
      </c>
      <c r="O91" s="11">
        <f>G91*'GS&lt;50 Predicted Monthly'!$X$11</f>
        <v>0</v>
      </c>
      <c r="P91" s="11">
        <f>H91*'GS&lt;50 Predicted Monthly'!$X$12</f>
        <v>20084064.457684711</v>
      </c>
      <c r="Q91" s="11">
        <f>I91*'GS&lt;50 Predicted Monthly'!$X$13</f>
        <v>23193279.675395835</v>
      </c>
      <c r="R91" s="11">
        <f>J91*'GS&lt;50 Predicted Monthly'!$X$14</f>
        <v>0</v>
      </c>
      <c r="S91" s="13">
        <f t="shared" ca="1" si="7"/>
        <v>36492571.489953831</v>
      </c>
    </row>
    <row r="92" spans="1:19" x14ac:dyDescent="0.2">
      <c r="A92" s="8">
        <f>'Monthly Data'!A92</f>
        <v>45474</v>
      </c>
      <c r="B92">
        <f t="shared" si="11"/>
        <v>2024</v>
      </c>
      <c r="C92">
        <f t="shared" si="12"/>
        <v>7</v>
      </c>
      <c r="D92" s="18">
        <f>'Monthly Data'!J92</f>
        <v>40087127.052448839</v>
      </c>
      <c r="E92" s="21">
        <f t="shared" ca="1" si="10"/>
        <v>0</v>
      </c>
      <c r="F92" s="21">
        <f t="shared" ca="1" si="10"/>
        <v>231.27145833333333</v>
      </c>
      <c r="G92" s="211">
        <f>'Monthly Data'!CV92</f>
        <v>0</v>
      </c>
      <c r="H92" s="7">
        <f>'Monthly Data'!CS92</f>
        <v>31</v>
      </c>
      <c r="I92" s="19">
        <f>'Monthly Data'!AO92</f>
        <v>890079</v>
      </c>
      <c r="J92" s="19">
        <f>'Monthly Data'!BT92</f>
        <v>0</v>
      </c>
      <c r="L92" s="11">
        <f>'GS&lt;50 Predicted Monthly'!$X$8</f>
        <v>-13592432.544671699</v>
      </c>
      <c r="M92" s="11">
        <f ca="1">E92*'GS&lt;50 Predicted Monthly'!$X$9</f>
        <v>0</v>
      </c>
      <c r="N92" s="11">
        <f ca="1">F92*'GS&lt;50 Predicted Monthly'!$X$10</f>
        <v>9955390.6140758619</v>
      </c>
      <c r="O92" s="11">
        <f>G92*'GS&lt;50 Predicted Monthly'!$X$11</f>
        <v>0</v>
      </c>
      <c r="P92" s="11">
        <f>H92*'GS&lt;50 Predicted Monthly'!$X$12</f>
        <v>20753533.272940867</v>
      </c>
      <c r="Q92" s="11">
        <f>I92*'GS&lt;50 Predicted Monthly'!$X$13</f>
        <v>23228406.259468984</v>
      </c>
      <c r="R92" s="11">
        <f>J92*'GS&lt;50 Predicted Monthly'!$X$14</f>
        <v>0</v>
      </c>
      <c r="S92" s="13">
        <f t="shared" ca="1" si="7"/>
        <v>40344897.601814017</v>
      </c>
    </row>
    <row r="93" spans="1:19" x14ac:dyDescent="0.2">
      <c r="A93" s="8">
        <f>'Monthly Data'!A93</f>
        <v>45505</v>
      </c>
      <c r="B93">
        <f t="shared" si="11"/>
        <v>2024</v>
      </c>
      <c r="C93">
        <f t="shared" si="12"/>
        <v>8</v>
      </c>
      <c r="D93" s="18">
        <f>'Monthly Data'!J93</f>
        <v>38411450.880521774</v>
      </c>
      <c r="E93" s="21">
        <f t="shared" ca="1" si="10"/>
        <v>0.27875000000000066</v>
      </c>
      <c r="F93" s="21">
        <f t="shared" ca="1" si="10"/>
        <v>196.13625000000002</v>
      </c>
      <c r="G93" s="211">
        <f>'Monthly Data'!CV93</f>
        <v>0</v>
      </c>
      <c r="H93" s="7">
        <f>'Monthly Data'!CS93</f>
        <v>31</v>
      </c>
      <c r="I93" s="19">
        <f>'Monthly Data'!AO93</f>
        <v>890079</v>
      </c>
      <c r="J93" s="19">
        <f>'Monthly Data'!BT93</f>
        <v>0</v>
      </c>
      <c r="L93" s="11">
        <f>'GS&lt;50 Predicted Monthly'!$X$8</f>
        <v>-13592432.544671699</v>
      </c>
      <c r="M93" s="11">
        <f ca="1">E93*'GS&lt;50 Predicted Monthly'!$X$9</f>
        <v>3851.1429556128055</v>
      </c>
      <c r="N93" s="11">
        <f ca="1">F93*'GS&lt;50 Predicted Monthly'!$X$10</f>
        <v>8442948.3707225155</v>
      </c>
      <c r="O93" s="11">
        <f>G93*'GS&lt;50 Predicted Monthly'!$X$11</f>
        <v>0</v>
      </c>
      <c r="P93" s="11">
        <f>H93*'GS&lt;50 Predicted Monthly'!$X$12</f>
        <v>20753533.272940867</v>
      </c>
      <c r="Q93" s="11">
        <f>I93*'GS&lt;50 Predicted Monthly'!$X$13</f>
        <v>23228406.259468984</v>
      </c>
      <c r="R93" s="11">
        <f>J93*'GS&lt;50 Predicted Monthly'!$X$14</f>
        <v>0</v>
      </c>
      <c r="S93" s="13">
        <f t="shared" ca="1" si="7"/>
        <v>38836306.501416281</v>
      </c>
    </row>
    <row r="94" spans="1:19" x14ac:dyDescent="0.2">
      <c r="A94" s="8">
        <f>'Monthly Data'!A94</f>
        <v>45536</v>
      </c>
      <c r="B94">
        <f t="shared" si="11"/>
        <v>2024</v>
      </c>
      <c r="C94">
        <f t="shared" si="12"/>
        <v>9</v>
      </c>
      <c r="D94" s="18">
        <f>'Monthly Data'!J94</f>
        <v>34606193.578424111</v>
      </c>
      <c r="E94" s="21">
        <f t="shared" ref="E94:F113" ca="1" si="13">E82</f>
        <v>11.319999999999997</v>
      </c>
      <c r="F94" s="21">
        <f t="shared" ca="1" si="13"/>
        <v>104.19854166666664</v>
      </c>
      <c r="G94" s="211">
        <f>'Monthly Data'!CV94</f>
        <v>0</v>
      </c>
      <c r="H94" s="7">
        <f>'Monthly Data'!CS94</f>
        <v>30</v>
      </c>
      <c r="I94" s="19">
        <f>'Monthly Data'!AO94</f>
        <v>890079</v>
      </c>
      <c r="J94" s="19">
        <f>'Monthly Data'!BT94</f>
        <v>0</v>
      </c>
      <c r="L94" s="11">
        <f>'GS&lt;50 Predicted Monthly'!$X$8</f>
        <v>-13592432.544671699</v>
      </c>
      <c r="M94" s="11">
        <f ca="1">E94*'GS&lt;50 Predicted Monthly'!$X$9</f>
        <v>156394.39733645503</v>
      </c>
      <c r="N94" s="11">
        <f ca="1">F94*'GS&lt;50 Predicted Monthly'!$X$10</f>
        <v>4485366.2063807445</v>
      </c>
      <c r="O94" s="11">
        <f>G94*'GS&lt;50 Predicted Monthly'!$X$11</f>
        <v>0</v>
      </c>
      <c r="P94" s="11">
        <f>H94*'GS&lt;50 Predicted Monthly'!$X$12</f>
        <v>20084064.457684711</v>
      </c>
      <c r="Q94" s="11">
        <f>I94*'GS&lt;50 Predicted Monthly'!$X$13</f>
        <v>23228406.259468984</v>
      </c>
      <c r="R94" s="11">
        <f>J94*'GS&lt;50 Predicted Monthly'!$X$14</f>
        <v>0</v>
      </c>
      <c r="S94" s="13">
        <f t="shared" ca="1" si="7"/>
        <v>34361798.776199192</v>
      </c>
    </row>
    <row r="95" spans="1:19" x14ac:dyDescent="0.2">
      <c r="A95" s="8">
        <f>'Monthly Data'!A95</f>
        <v>45566</v>
      </c>
      <c r="B95">
        <f t="shared" si="11"/>
        <v>2024</v>
      </c>
      <c r="C95">
        <f t="shared" si="12"/>
        <v>10</v>
      </c>
      <c r="D95" s="18">
        <f>'Monthly Data'!J95</f>
        <v>32483265.88042035</v>
      </c>
      <c r="E95" s="21">
        <f t="shared" ca="1" si="13"/>
        <v>126.12583333333332</v>
      </c>
      <c r="F95" s="21">
        <f t="shared" ca="1" si="13"/>
        <v>24.703125000000007</v>
      </c>
      <c r="G95" s="211">
        <f>'Monthly Data'!CV95</f>
        <v>0</v>
      </c>
      <c r="H95" s="7">
        <f>'Monthly Data'!CS95</f>
        <v>31</v>
      </c>
      <c r="I95" s="19">
        <f>'Monthly Data'!AO95</f>
        <v>893201</v>
      </c>
      <c r="J95" s="19">
        <f>'Monthly Data'!BT95</f>
        <v>0</v>
      </c>
      <c r="L95" s="11">
        <f>'GS&lt;50 Predicted Monthly'!$X$8</f>
        <v>-13592432.544671699</v>
      </c>
      <c r="M95" s="11">
        <f ca="1">E95*'GS&lt;50 Predicted Monthly'!$X$9</f>
        <v>1742524.177802548</v>
      </c>
      <c r="N95" s="11">
        <f ca="1">F95*'GS&lt;50 Predicted Monthly'!$X$10</f>
        <v>1063379.201807441</v>
      </c>
      <c r="O95" s="11">
        <f>G95*'GS&lt;50 Predicted Monthly'!$X$11</f>
        <v>0</v>
      </c>
      <c r="P95" s="11">
        <f>H95*'GS&lt;50 Predicted Monthly'!$X$12</f>
        <v>20753533.272940867</v>
      </c>
      <c r="Q95" s="11">
        <f>I95*'GS&lt;50 Predicted Monthly'!$X$13</f>
        <v>23309881.144666884</v>
      </c>
      <c r="R95" s="11">
        <f>J95*'GS&lt;50 Predicted Monthly'!$X$14</f>
        <v>0</v>
      </c>
      <c r="S95" s="13">
        <f t="shared" ca="1" si="7"/>
        <v>33276885.252546042</v>
      </c>
    </row>
    <row r="96" spans="1:19" x14ac:dyDescent="0.2">
      <c r="A96" s="8">
        <f>'Monthly Data'!A96</f>
        <v>45597</v>
      </c>
      <c r="B96">
        <f t="shared" si="11"/>
        <v>2024</v>
      </c>
      <c r="C96">
        <f t="shared" si="12"/>
        <v>11</v>
      </c>
      <c r="D96" s="18">
        <f>'Monthly Data'!J96</f>
        <v>32809368.372306686</v>
      </c>
      <c r="E96" s="21">
        <f t="shared" ca="1" si="13"/>
        <v>312.40687500000001</v>
      </c>
      <c r="F96" s="21">
        <f t="shared" ca="1" si="13"/>
        <v>1.6454166666666665</v>
      </c>
      <c r="G96" s="211">
        <f>'Monthly Data'!CV96</f>
        <v>0</v>
      </c>
      <c r="H96" s="7">
        <f>'Monthly Data'!CS96</f>
        <v>30</v>
      </c>
      <c r="I96" s="19">
        <f>'Monthly Data'!AO96</f>
        <v>893201</v>
      </c>
      <c r="J96" s="19">
        <f>'Monthly Data'!BT96</f>
        <v>0</v>
      </c>
      <c r="L96" s="11">
        <f>'GS&lt;50 Predicted Monthly'!$X$8</f>
        <v>-13592432.544671699</v>
      </c>
      <c r="M96" s="11">
        <f ca="1">E96*'GS&lt;50 Predicted Monthly'!$X$9</f>
        <v>4316138.2455291748</v>
      </c>
      <c r="N96" s="11">
        <f ca="1">F96*'GS&lt;50 Predicted Monthly'!$X$10</f>
        <v>70829.170869704118</v>
      </c>
      <c r="O96" s="11">
        <f>G96*'GS&lt;50 Predicted Monthly'!$X$11</f>
        <v>0</v>
      </c>
      <c r="P96" s="11">
        <f>H96*'GS&lt;50 Predicted Monthly'!$X$12</f>
        <v>20084064.457684711</v>
      </c>
      <c r="Q96" s="11">
        <f>I96*'GS&lt;50 Predicted Monthly'!$X$13</f>
        <v>23309881.144666884</v>
      </c>
      <c r="R96" s="11">
        <f>J96*'GS&lt;50 Predicted Monthly'!$X$14</f>
        <v>0</v>
      </c>
      <c r="S96" s="13">
        <f t="shared" ca="1" si="7"/>
        <v>34188480.474078774</v>
      </c>
    </row>
    <row r="97" spans="1:23" x14ac:dyDescent="0.2">
      <c r="A97" s="8">
        <f>'Monthly Data'!A97</f>
        <v>45627</v>
      </c>
      <c r="B97">
        <f t="shared" si="11"/>
        <v>2024</v>
      </c>
      <c r="C97">
        <f t="shared" si="12"/>
        <v>12</v>
      </c>
      <c r="D97" s="18">
        <f>'Monthly Data'!J97</f>
        <v>36744901.690685332</v>
      </c>
      <c r="E97" s="21">
        <f t="shared" ca="1" si="13"/>
        <v>473.52499999999998</v>
      </c>
      <c r="F97" s="21">
        <f t="shared" ca="1" si="13"/>
        <v>0</v>
      </c>
      <c r="G97" s="211">
        <f>'Monthly Data'!CV97</f>
        <v>0</v>
      </c>
      <c r="H97" s="7">
        <f>'Monthly Data'!CS97</f>
        <v>31</v>
      </c>
      <c r="I97" s="19">
        <f>'Monthly Data'!AO97</f>
        <v>893201</v>
      </c>
      <c r="J97" s="19">
        <f>'Monthly Data'!BT97</f>
        <v>0</v>
      </c>
      <c r="L97" s="11">
        <f>'GS&lt;50 Predicted Monthly'!$X$8</f>
        <v>-13592432.544671699</v>
      </c>
      <c r="M97" s="11">
        <f ca="1">E97*'GS&lt;50 Predicted Monthly'!$X$9</f>
        <v>6542107.5087230466</v>
      </c>
      <c r="N97" s="11">
        <f ca="1">F97*'GS&lt;50 Predicted Monthly'!$X$10</f>
        <v>0</v>
      </c>
      <c r="O97" s="11">
        <f>G97*'GS&lt;50 Predicted Monthly'!$X$11</f>
        <v>0</v>
      </c>
      <c r="P97" s="11">
        <f>H97*'GS&lt;50 Predicted Monthly'!$X$12</f>
        <v>20753533.272940867</v>
      </c>
      <c r="Q97" s="11">
        <f>I97*'GS&lt;50 Predicted Monthly'!$X$13</f>
        <v>23309881.144666884</v>
      </c>
      <c r="R97" s="11">
        <f>J97*'GS&lt;50 Predicted Monthly'!$X$14</f>
        <v>0</v>
      </c>
      <c r="S97" s="13">
        <f t="shared" ca="1" si="7"/>
        <v>37013089.381659098</v>
      </c>
    </row>
    <row r="98" spans="1:23" x14ac:dyDescent="0.2">
      <c r="A98" s="8">
        <f>'Monthly Data'!A98</f>
        <v>45658</v>
      </c>
      <c r="B98">
        <f t="shared" ref="B98:B109" si="14">YEAR(A98)</f>
        <v>2025</v>
      </c>
      <c r="C98">
        <f t="shared" ref="C98:C109" si="15">MONTH(A98)</f>
        <v>1</v>
      </c>
      <c r="D98" s="18">
        <f>'Monthly Data'!J98</f>
        <v>40183559.338830374</v>
      </c>
      <c r="E98" s="21">
        <f t="shared" ca="1" si="13"/>
        <v>566.30416666666667</v>
      </c>
      <c r="F98" s="21">
        <f t="shared" ca="1" si="13"/>
        <v>0</v>
      </c>
      <c r="G98" s="211">
        <f>'Monthly Data'!CV98</f>
        <v>0</v>
      </c>
      <c r="H98" s="7">
        <f>'Monthly Data'!CS98</f>
        <v>31</v>
      </c>
      <c r="I98" s="19">
        <f>'Monthly Data'!AO98</f>
        <v>898185</v>
      </c>
      <c r="J98" s="19">
        <f>'Monthly Data'!BT98</f>
        <v>0</v>
      </c>
      <c r="L98" s="11">
        <f>'GS&lt;50 Predicted Monthly'!$X$8</f>
        <v>-13592432.544671699</v>
      </c>
      <c r="M98" s="11">
        <f ca="1">E98*'GS&lt;50 Predicted Monthly'!$X$9</f>
        <v>7823922.1603318686</v>
      </c>
      <c r="N98" s="11">
        <f ca="1">F98*'GS&lt;50 Predicted Monthly'!$X$10</f>
        <v>0</v>
      </c>
      <c r="O98" s="11">
        <f>G98*'GS&lt;50 Predicted Monthly'!$X$11</f>
        <v>0</v>
      </c>
      <c r="P98" s="11">
        <f>H98*'GS&lt;50 Predicted Monthly'!$X$12</f>
        <v>20753533.272940867</v>
      </c>
      <c r="Q98" s="11">
        <f>I98*'GS&lt;50 Predicted Monthly'!$X$13</f>
        <v>23439948.674399856</v>
      </c>
      <c r="R98" s="11">
        <f>J98*'GS&lt;50 Predicted Monthly'!$X$14</f>
        <v>0</v>
      </c>
      <c r="S98" s="13">
        <f t="shared" ref="S98:S109" ca="1" si="16">SUM(L98:R98)</f>
        <v>38424971.563000888</v>
      </c>
    </row>
    <row r="99" spans="1:23" x14ac:dyDescent="0.2">
      <c r="A99" s="8">
        <f>'Monthly Data'!A99</f>
        <v>45689</v>
      </c>
      <c r="B99">
        <f t="shared" si="14"/>
        <v>2025</v>
      </c>
      <c r="C99">
        <f t="shared" si="15"/>
        <v>2</v>
      </c>
      <c r="D99" s="18">
        <f>'Monthly Data'!J99</f>
        <v>36188686.913162045</v>
      </c>
      <c r="E99" s="21">
        <f t="shared" ca="1" si="13"/>
        <v>483.54541666666665</v>
      </c>
      <c r="F99" s="21">
        <f t="shared" ca="1" si="13"/>
        <v>0</v>
      </c>
      <c r="G99" s="211">
        <f>'Monthly Data'!CV99</f>
        <v>0</v>
      </c>
      <c r="H99" s="7">
        <f>'Monthly Data'!CS99</f>
        <v>28</v>
      </c>
      <c r="I99" s="19">
        <f>'Monthly Data'!AO99</f>
        <v>898185</v>
      </c>
      <c r="J99" s="19">
        <f>'Monthly Data'!BT99</f>
        <v>0</v>
      </c>
      <c r="L99" s="11">
        <f>'GS&lt;50 Predicted Monthly'!$X$8</f>
        <v>-13592432.544671699</v>
      </c>
      <c r="M99" s="11">
        <f ca="1">E99*'GS&lt;50 Predicted Monthly'!$X$9</f>
        <v>6680547.1752993288</v>
      </c>
      <c r="N99" s="11">
        <f ca="1">F99*'GS&lt;50 Predicted Monthly'!$X$10</f>
        <v>0</v>
      </c>
      <c r="O99" s="11">
        <f>G99*'GS&lt;50 Predicted Monthly'!$X$11</f>
        <v>0</v>
      </c>
      <c r="P99" s="11">
        <f>H99*'GS&lt;50 Predicted Monthly'!$X$12</f>
        <v>18745126.827172395</v>
      </c>
      <c r="Q99" s="11">
        <f>I99*'GS&lt;50 Predicted Monthly'!$X$13</f>
        <v>23439948.674399856</v>
      </c>
      <c r="R99" s="11">
        <f>J99*'GS&lt;50 Predicted Monthly'!$X$14</f>
        <v>0</v>
      </c>
      <c r="S99" s="13">
        <f t="shared" ca="1" si="16"/>
        <v>35273190.132199883</v>
      </c>
    </row>
    <row r="100" spans="1:23" x14ac:dyDescent="0.2">
      <c r="A100" s="8">
        <f>'Monthly Data'!A100</f>
        <v>45717</v>
      </c>
      <c r="B100">
        <f t="shared" si="14"/>
        <v>2025</v>
      </c>
      <c r="C100">
        <f t="shared" si="15"/>
        <v>3</v>
      </c>
      <c r="D100" s="18">
        <f>'Monthly Data'!J100</f>
        <v>36194100.339142725</v>
      </c>
      <c r="E100" s="21">
        <f t="shared" ca="1" si="13"/>
        <v>393.96333333333331</v>
      </c>
      <c r="F100" s="21">
        <f t="shared" ca="1" si="13"/>
        <v>0</v>
      </c>
      <c r="G100" s="211">
        <f>'Monthly Data'!CV100</f>
        <v>0</v>
      </c>
      <c r="H100" s="7">
        <f>'Monthly Data'!CS100</f>
        <v>31</v>
      </c>
      <c r="I100" s="19">
        <f>'Monthly Data'!AO100</f>
        <v>898185</v>
      </c>
      <c r="J100" s="19">
        <f>'Monthly Data'!BT100</f>
        <v>1</v>
      </c>
      <c r="L100" s="11">
        <f>'GS&lt;50 Predicted Monthly'!$X$8</f>
        <v>-13592432.544671699</v>
      </c>
      <c r="M100" s="11">
        <f ca="1">E100*'GS&lt;50 Predicted Monthly'!$X$9</f>
        <v>5442902.6580678122</v>
      </c>
      <c r="N100" s="11">
        <f ca="1">F100*'GS&lt;50 Predicted Monthly'!$X$10</f>
        <v>0</v>
      </c>
      <c r="O100" s="11">
        <f>G100*'GS&lt;50 Predicted Monthly'!$X$11</f>
        <v>0</v>
      </c>
      <c r="P100" s="11">
        <f>H100*'GS&lt;50 Predicted Monthly'!$X$12</f>
        <v>20753533.272940867</v>
      </c>
      <c r="Q100" s="11">
        <f>I100*'GS&lt;50 Predicted Monthly'!$X$13</f>
        <v>23439948.674399856</v>
      </c>
      <c r="R100" s="11">
        <f>J100*'GS&lt;50 Predicted Monthly'!$X$14</f>
        <v>522033.18159628101</v>
      </c>
      <c r="S100" s="13">
        <f t="shared" ca="1" si="16"/>
        <v>36565985.242333114</v>
      </c>
      <c r="V100" s="11"/>
      <c r="W100" s="22"/>
    </row>
    <row r="101" spans="1:23" x14ac:dyDescent="0.2">
      <c r="A101" s="8">
        <f>'Monthly Data'!A101</f>
        <v>45748</v>
      </c>
      <c r="B101">
        <f t="shared" si="14"/>
        <v>2025</v>
      </c>
      <c r="C101">
        <f t="shared" si="15"/>
        <v>4</v>
      </c>
      <c r="D101" s="18">
        <f>'Monthly Data'!J101</f>
        <v>33302287.632952996</v>
      </c>
      <c r="E101" s="21">
        <f t="shared" ca="1" si="13"/>
        <v>226.60145833333337</v>
      </c>
      <c r="F101" s="21">
        <f t="shared" ca="1" si="13"/>
        <v>6.5650000000000031</v>
      </c>
      <c r="G101" s="211">
        <f>'Monthly Data'!CV101</f>
        <v>0</v>
      </c>
      <c r="H101" s="7">
        <f>'Monthly Data'!CS101</f>
        <v>30</v>
      </c>
      <c r="I101" s="19">
        <f>'Monthly Data'!AO101</f>
        <v>895773</v>
      </c>
      <c r="J101" s="19">
        <f>'Monthly Data'!BT101</f>
        <v>0</v>
      </c>
      <c r="L101" s="11">
        <f>'GS&lt;50 Predicted Monthly'!$X$8</f>
        <v>-13592432.544671699</v>
      </c>
      <c r="M101" s="11">
        <f ca="1">E101*'GS&lt;50 Predicted Monthly'!$X$9</f>
        <v>3130671.2466080841</v>
      </c>
      <c r="N101" s="11">
        <f ca="1">F101*'GS&lt;50 Predicted Monthly'!$X$10</f>
        <v>282599.24442214705</v>
      </c>
      <c r="O101" s="11">
        <f>G101*'GS&lt;50 Predicted Monthly'!$X$11</f>
        <v>0</v>
      </c>
      <c r="P101" s="11">
        <f>H101*'GS&lt;50 Predicted Monthly'!$X$12</f>
        <v>20084064.457684711</v>
      </c>
      <c r="Q101" s="11">
        <f>I101*'GS&lt;50 Predicted Monthly'!$X$13</f>
        <v>23377002.670845296</v>
      </c>
      <c r="R101" s="11">
        <f>J101*'GS&lt;50 Predicted Monthly'!$X$14</f>
        <v>0</v>
      </c>
      <c r="S101" s="13">
        <f t="shared" ca="1" si="16"/>
        <v>33281905.074888539</v>
      </c>
      <c r="V101" s="11"/>
      <c r="W101" s="22"/>
    </row>
    <row r="102" spans="1:23" x14ac:dyDescent="0.2">
      <c r="A102" s="8">
        <f>'Monthly Data'!A102</f>
        <v>45778</v>
      </c>
      <c r="B102">
        <f t="shared" si="14"/>
        <v>2025</v>
      </c>
      <c r="C102">
        <f t="shared" si="15"/>
        <v>5</v>
      </c>
      <c r="D102" s="18">
        <f>'Monthly Data'!J102</f>
        <v>32819813.044337571</v>
      </c>
      <c r="E102" s="21">
        <f t="shared" ca="1" si="13"/>
        <v>65.335833333333326</v>
      </c>
      <c r="F102" s="21">
        <f t="shared" ca="1" si="13"/>
        <v>59.300416666666649</v>
      </c>
      <c r="G102" s="211">
        <f>'Monthly Data'!CV102</f>
        <v>0</v>
      </c>
      <c r="H102" s="7">
        <f>'Monthly Data'!CS102</f>
        <v>31</v>
      </c>
      <c r="I102" s="19">
        <f>'Monthly Data'!AO102</f>
        <v>895773</v>
      </c>
      <c r="J102" s="19">
        <f>'Monthly Data'!BT102</f>
        <v>0</v>
      </c>
      <c r="L102" s="11">
        <f>'GS&lt;50 Predicted Monthly'!$X$8</f>
        <v>-13592432.544671699</v>
      </c>
      <c r="M102" s="11">
        <f ca="1">E102*'GS&lt;50 Predicted Monthly'!$X$9</f>
        <v>902664.15889061301</v>
      </c>
      <c r="N102" s="11">
        <f ca="1">F102*'GS&lt;50 Predicted Monthly'!$X$10</f>
        <v>2552666.0996067757</v>
      </c>
      <c r="O102" s="11">
        <f>G102*'GS&lt;50 Predicted Monthly'!$X$11</f>
        <v>0</v>
      </c>
      <c r="P102" s="11">
        <f>H102*'GS&lt;50 Predicted Monthly'!$X$12</f>
        <v>20753533.272940867</v>
      </c>
      <c r="Q102" s="11">
        <f>I102*'GS&lt;50 Predicted Monthly'!$X$13</f>
        <v>23377002.670845296</v>
      </c>
      <c r="R102" s="11">
        <f>J102*'GS&lt;50 Predicted Monthly'!$X$14</f>
        <v>0</v>
      </c>
      <c r="S102" s="13">
        <f t="shared" ca="1" si="16"/>
        <v>33993433.657611847</v>
      </c>
      <c r="V102" s="11"/>
      <c r="W102" s="22"/>
    </row>
    <row r="103" spans="1:23" x14ac:dyDescent="0.2">
      <c r="A103" s="8">
        <f>'Monthly Data'!A103</f>
        <v>45809</v>
      </c>
      <c r="B103">
        <f t="shared" si="14"/>
        <v>2025</v>
      </c>
      <c r="C103">
        <f t="shared" si="15"/>
        <v>6</v>
      </c>
      <c r="D103" s="18">
        <f>'Monthly Data'!J103</f>
        <v>37612354.418116137</v>
      </c>
      <c r="E103" s="21">
        <f t="shared" ca="1" si="13"/>
        <v>3.0447916666666672</v>
      </c>
      <c r="F103" s="21">
        <f t="shared" ca="1" si="13"/>
        <v>157.17000000000002</v>
      </c>
      <c r="G103" s="211">
        <f>'Monthly Data'!CV103</f>
        <v>0</v>
      </c>
      <c r="H103" s="7">
        <f>'Monthly Data'!CS103</f>
        <v>30</v>
      </c>
      <c r="I103" s="19">
        <f>'Monthly Data'!AO103</f>
        <v>895773</v>
      </c>
      <c r="J103" s="19">
        <f>'Monthly Data'!BT103</f>
        <v>0</v>
      </c>
      <c r="L103" s="11">
        <f>'GS&lt;50 Predicted Monthly'!$X$8</f>
        <v>-13592432.544671699</v>
      </c>
      <c r="M103" s="11">
        <f ca="1">E103*'GS&lt;50 Predicted Monthly'!$X$9</f>
        <v>42066.109339522445</v>
      </c>
      <c r="N103" s="11">
        <f ca="1">F103*'GS&lt;50 Predicted Monthly'!$X$10</f>
        <v>6765593.7922054585</v>
      </c>
      <c r="O103" s="11">
        <f>G103*'GS&lt;50 Predicted Monthly'!$X$11</f>
        <v>0</v>
      </c>
      <c r="P103" s="11">
        <f>H103*'GS&lt;50 Predicted Monthly'!$X$12</f>
        <v>20084064.457684711</v>
      </c>
      <c r="Q103" s="11">
        <f>I103*'GS&lt;50 Predicted Monthly'!$X$13</f>
        <v>23377002.670845296</v>
      </c>
      <c r="R103" s="11">
        <f>J103*'GS&lt;50 Predicted Monthly'!$X$14</f>
        <v>0</v>
      </c>
      <c r="S103" s="13">
        <f t="shared" ca="1" si="16"/>
        <v>36676294.485403284</v>
      </c>
      <c r="V103" s="11"/>
      <c r="W103" s="22"/>
    </row>
    <row r="104" spans="1:23" x14ac:dyDescent="0.2">
      <c r="A104" s="8">
        <f>'Monthly Data'!A104</f>
        <v>45839</v>
      </c>
      <c r="B104">
        <f t="shared" si="14"/>
        <v>2025</v>
      </c>
      <c r="C104">
        <f t="shared" si="15"/>
        <v>7</v>
      </c>
      <c r="D104" s="18">
        <f>'Monthly Data'!J104</f>
        <v>42809598.246677913</v>
      </c>
      <c r="E104" s="21">
        <f t="shared" ca="1" si="13"/>
        <v>0</v>
      </c>
      <c r="F104" s="21">
        <f t="shared" ca="1" si="13"/>
        <v>231.27145833333333</v>
      </c>
      <c r="G104" s="211">
        <f>'Monthly Data'!CV104</f>
        <v>0</v>
      </c>
      <c r="H104" s="7">
        <f>'Monthly Data'!CS104</f>
        <v>31</v>
      </c>
      <c r="I104" s="19">
        <f>'Monthly Data'!AO104</f>
        <v>901842</v>
      </c>
      <c r="J104" s="19">
        <f>'Monthly Data'!BT104</f>
        <v>0</v>
      </c>
      <c r="L104" s="11">
        <f>'GS&lt;50 Predicted Monthly'!$X$8</f>
        <v>-13592432.544671699</v>
      </c>
      <c r="M104" s="11">
        <f ca="1">E104*'GS&lt;50 Predicted Monthly'!$X$9</f>
        <v>0</v>
      </c>
      <c r="N104" s="11">
        <f ca="1">F104*'GS&lt;50 Predicted Monthly'!$X$10</f>
        <v>9955390.6140758619</v>
      </c>
      <c r="O104" s="11">
        <f>G104*'GS&lt;50 Predicted Monthly'!$X$11</f>
        <v>0</v>
      </c>
      <c r="P104" s="11">
        <f>H104*'GS&lt;50 Predicted Monthly'!$X$12</f>
        <v>20753533.272940867</v>
      </c>
      <c r="Q104" s="11">
        <f>I104*'GS&lt;50 Predicted Monthly'!$X$13</f>
        <v>23535385.463371258</v>
      </c>
      <c r="R104" s="11">
        <f>J104*'GS&lt;50 Predicted Monthly'!$X$14</f>
        <v>0</v>
      </c>
      <c r="S104" s="13">
        <f t="shared" ca="1" si="16"/>
        <v>40651876.805716291</v>
      </c>
      <c r="V104" s="11"/>
      <c r="W104" s="22"/>
    </row>
    <row r="105" spans="1:23" x14ac:dyDescent="0.2">
      <c r="A105" s="8">
        <f>'Monthly Data'!A105</f>
        <v>45870</v>
      </c>
      <c r="B105">
        <f t="shared" si="14"/>
        <v>2025</v>
      </c>
      <c r="C105">
        <f t="shared" si="15"/>
        <v>8</v>
      </c>
      <c r="D105" s="18">
        <f>'Monthly Data'!J105</f>
        <v>39144829.233934194</v>
      </c>
      <c r="E105" s="21">
        <f t="shared" ca="1" si="13"/>
        <v>0.27875000000000066</v>
      </c>
      <c r="F105" s="21">
        <f t="shared" ca="1" si="13"/>
        <v>196.13625000000002</v>
      </c>
      <c r="G105" s="211">
        <f>'Monthly Data'!CV105</f>
        <v>0</v>
      </c>
      <c r="H105" s="7">
        <f>'Monthly Data'!CS105</f>
        <v>31</v>
      </c>
      <c r="I105" s="19">
        <f>'Monthly Data'!AO105</f>
        <v>901842</v>
      </c>
      <c r="J105" s="19">
        <f>'Monthly Data'!BT105</f>
        <v>0</v>
      </c>
      <c r="L105" s="11">
        <f>'GS&lt;50 Predicted Monthly'!$X$8</f>
        <v>-13592432.544671699</v>
      </c>
      <c r="M105" s="11">
        <f ca="1">E105*'GS&lt;50 Predicted Monthly'!$X$9</f>
        <v>3851.1429556128055</v>
      </c>
      <c r="N105" s="11">
        <f ca="1">F105*'GS&lt;50 Predicted Monthly'!$X$10</f>
        <v>8442948.3707225155</v>
      </c>
      <c r="O105" s="11">
        <f>G105*'GS&lt;50 Predicted Monthly'!$X$11</f>
        <v>0</v>
      </c>
      <c r="P105" s="11">
        <f>H105*'GS&lt;50 Predicted Monthly'!$X$12</f>
        <v>20753533.272940867</v>
      </c>
      <c r="Q105" s="11">
        <f>I105*'GS&lt;50 Predicted Monthly'!$X$13</f>
        <v>23535385.463371258</v>
      </c>
      <c r="R105" s="11">
        <f>J105*'GS&lt;50 Predicted Monthly'!$X$14</f>
        <v>0</v>
      </c>
      <c r="S105" s="13">
        <f t="shared" ca="1" si="16"/>
        <v>39143285.705318555</v>
      </c>
      <c r="V105" s="11"/>
      <c r="W105" s="22"/>
    </row>
    <row r="106" spans="1:23" x14ac:dyDescent="0.2">
      <c r="A106" s="8">
        <f>'Monthly Data'!A106</f>
        <v>45901</v>
      </c>
      <c r="B106">
        <f t="shared" si="14"/>
        <v>2025</v>
      </c>
      <c r="C106">
        <f t="shared" si="15"/>
        <v>9</v>
      </c>
      <c r="D106" s="18">
        <f>'Monthly Data'!J106</f>
        <v>34783887.287649468</v>
      </c>
      <c r="E106" s="21">
        <f t="shared" ca="1" si="13"/>
        <v>11.319999999999997</v>
      </c>
      <c r="F106" s="21">
        <f t="shared" ca="1" si="13"/>
        <v>104.19854166666664</v>
      </c>
      <c r="G106" s="211">
        <f>'Monthly Data'!CV106</f>
        <v>0</v>
      </c>
      <c r="H106" s="7">
        <f>'Monthly Data'!CS106</f>
        <v>30</v>
      </c>
      <c r="I106" s="19">
        <f>'Monthly Data'!AO106</f>
        <v>901842</v>
      </c>
      <c r="J106" s="19">
        <f>'Monthly Data'!BT106</f>
        <v>0</v>
      </c>
      <c r="L106" s="11">
        <f>'GS&lt;50 Predicted Monthly'!$X$8</f>
        <v>-13592432.544671699</v>
      </c>
      <c r="M106" s="11">
        <f ca="1">E106*'GS&lt;50 Predicted Monthly'!$X$9</f>
        <v>156394.39733645503</v>
      </c>
      <c r="N106" s="11">
        <f ca="1">F106*'GS&lt;50 Predicted Monthly'!$X$10</f>
        <v>4485366.2063807445</v>
      </c>
      <c r="O106" s="11">
        <f>G106*'GS&lt;50 Predicted Monthly'!$X$11</f>
        <v>0</v>
      </c>
      <c r="P106" s="11">
        <f>H106*'GS&lt;50 Predicted Monthly'!$X$12</f>
        <v>20084064.457684711</v>
      </c>
      <c r="Q106" s="11">
        <f>I106*'GS&lt;50 Predicted Monthly'!$X$13</f>
        <v>23535385.463371258</v>
      </c>
      <c r="R106" s="11">
        <f>J106*'GS&lt;50 Predicted Monthly'!$X$14</f>
        <v>0</v>
      </c>
      <c r="S106" s="13">
        <f t="shared" ca="1" si="16"/>
        <v>34668777.980101466</v>
      </c>
      <c r="V106" s="11"/>
      <c r="W106" s="22"/>
    </row>
    <row r="107" spans="1:23" x14ac:dyDescent="0.2">
      <c r="A107" s="8">
        <f>'Monthly Data'!A107</f>
        <v>45931</v>
      </c>
      <c r="B107">
        <f t="shared" si="14"/>
        <v>2025</v>
      </c>
      <c r="C107">
        <f t="shared" si="15"/>
        <v>10</v>
      </c>
      <c r="D107" s="18">
        <f>'Monthly Data'!J107</f>
        <v>33721107.220164739</v>
      </c>
      <c r="E107" s="21">
        <f t="shared" ca="1" si="13"/>
        <v>126.12583333333332</v>
      </c>
      <c r="F107" s="21">
        <f t="shared" ca="1" si="13"/>
        <v>24.703125000000007</v>
      </c>
      <c r="G107" s="211">
        <f>'Monthly Data'!CV107</f>
        <v>0</v>
      </c>
      <c r="H107" s="7">
        <f>'Monthly Data'!CS107</f>
        <v>31</v>
      </c>
      <c r="I107" s="19">
        <f>'Monthly Data'!AO107</f>
        <v>900059</v>
      </c>
      <c r="J107" s="19">
        <f>'Monthly Data'!BT107</f>
        <v>0</v>
      </c>
      <c r="L107" s="11">
        <f>'GS&lt;50 Predicted Monthly'!$X$8</f>
        <v>-13592432.544671699</v>
      </c>
      <c r="M107" s="11">
        <f ca="1">E107*'GS&lt;50 Predicted Monthly'!$X$9</f>
        <v>1742524.177802548</v>
      </c>
      <c r="N107" s="11">
        <f ca="1">F107*'GS&lt;50 Predicted Monthly'!$X$10</f>
        <v>1063379.201807441</v>
      </c>
      <c r="O107" s="11">
        <f>G107*'GS&lt;50 Predicted Monthly'!$X$11</f>
        <v>0</v>
      </c>
      <c r="P107" s="11">
        <f>H107*'GS&lt;50 Predicted Monthly'!$X$12</f>
        <v>20753533.272940867</v>
      </c>
      <c r="Q107" s="11">
        <f>I107*'GS&lt;50 Predicted Monthly'!$X$13</f>
        <v>23488854.483131714</v>
      </c>
      <c r="R107" s="11">
        <f>J107*'GS&lt;50 Predicted Monthly'!$X$14</f>
        <v>0</v>
      </c>
      <c r="S107" s="13">
        <f t="shared" ca="1" si="16"/>
        <v>33455858.591010869</v>
      </c>
      <c r="V107" s="11"/>
      <c r="W107" s="22"/>
    </row>
    <row r="108" spans="1:23" x14ac:dyDescent="0.2">
      <c r="A108" s="8">
        <f>'Monthly Data'!A108</f>
        <v>45962</v>
      </c>
      <c r="B108">
        <f t="shared" si="14"/>
        <v>2025</v>
      </c>
      <c r="C108">
        <f t="shared" si="15"/>
        <v>11</v>
      </c>
      <c r="D108" s="18">
        <f>'Monthly Data'!J108</f>
        <v>34683043.361470014</v>
      </c>
      <c r="E108" s="21">
        <f t="shared" ca="1" si="13"/>
        <v>312.40687500000001</v>
      </c>
      <c r="F108" s="21">
        <f t="shared" ca="1" si="13"/>
        <v>1.6454166666666665</v>
      </c>
      <c r="G108" s="211">
        <f>'Monthly Data'!CV108</f>
        <v>0</v>
      </c>
      <c r="H108" s="7">
        <f>'Monthly Data'!CS108</f>
        <v>30</v>
      </c>
      <c r="I108" s="19">
        <f>'Monthly Data'!AO108</f>
        <v>900059</v>
      </c>
      <c r="J108" s="19">
        <f>'Monthly Data'!BT108</f>
        <v>0</v>
      </c>
      <c r="L108" s="11">
        <f>'GS&lt;50 Predicted Monthly'!$X$8</f>
        <v>-13592432.544671699</v>
      </c>
      <c r="M108" s="11">
        <f ca="1">E108*'GS&lt;50 Predicted Monthly'!$X$9</f>
        <v>4316138.2455291748</v>
      </c>
      <c r="N108" s="11">
        <f ca="1">F108*'GS&lt;50 Predicted Monthly'!$X$10</f>
        <v>70829.170869704118</v>
      </c>
      <c r="O108" s="11">
        <f>G108*'GS&lt;50 Predicted Monthly'!$X$11</f>
        <v>0</v>
      </c>
      <c r="P108" s="11">
        <f>H108*'GS&lt;50 Predicted Monthly'!$X$12</f>
        <v>20084064.457684711</v>
      </c>
      <c r="Q108" s="11">
        <f>I108*'GS&lt;50 Predicted Monthly'!$X$13</f>
        <v>23488854.483131714</v>
      </c>
      <c r="R108" s="11">
        <f>J108*'GS&lt;50 Predicted Monthly'!$X$14</f>
        <v>0</v>
      </c>
      <c r="S108" s="13">
        <f t="shared" ca="1" si="16"/>
        <v>34367453.812543601</v>
      </c>
      <c r="V108" s="11"/>
      <c r="W108" s="22"/>
    </row>
    <row r="109" spans="1:23" x14ac:dyDescent="0.2">
      <c r="A109" s="8">
        <f>'Monthly Data'!A109</f>
        <v>45992</v>
      </c>
      <c r="B109">
        <f t="shared" si="14"/>
        <v>2025</v>
      </c>
      <c r="C109">
        <f t="shared" si="15"/>
        <v>12</v>
      </c>
      <c r="D109" s="18">
        <f>'Monthly Data'!J109</f>
        <v>38907834.05508209</v>
      </c>
      <c r="E109" s="21">
        <f t="shared" ca="1" si="13"/>
        <v>473.52499999999998</v>
      </c>
      <c r="F109" s="21">
        <f t="shared" ca="1" si="13"/>
        <v>0</v>
      </c>
      <c r="G109" s="211">
        <f>'Monthly Data'!CV109</f>
        <v>0</v>
      </c>
      <c r="H109" s="7">
        <f>'Monthly Data'!CS109</f>
        <v>31</v>
      </c>
      <c r="I109" s="19">
        <f>'Monthly Data'!AO109</f>
        <v>900059</v>
      </c>
      <c r="J109" s="19">
        <f>'Monthly Data'!BT109</f>
        <v>0</v>
      </c>
      <c r="L109" s="11">
        <f>'GS&lt;50 Predicted Monthly'!$X$8</f>
        <v>-13592432.544671699</v>
      </c>
      <c r="M109" s="11">
        <f ca="1">E109*'GS&lt;50 Predicted Monthly'!$X$9</f>
        <v>6542107.5087230466</v>
      </c>
      <c r="N109" s="11">
        <f ca="1">F109*'GS&lt;50 Predicted Monthly'!$X$10</f>
        <v>0</v>
      </c>
      <c r="O109" s="11">
        <f>G109*'GS&lt;50 Predicted Monthly'!$X$11</f>
        <v>0</v>
      </c>
      <c r="P109" s="11">
        <f>H109*'GS&lt;50 Predicted Monthly'!$X$12</f>
        <v>20753533.272940867</v>
      </c>
      <c r="Q109" s="11">
        <f>I109*'GS&lt;50 Predicted Monthly'!$X$13</f>
        <v>23488854.483131714</v>
      </c>
      <c r="R109" s="11">
        <f>J109*'GS&lt;50 Predicted Monthly'!$X$14</f>
        <v>0</v>
      </c>
      <c r="S109" s="13">
        <f t="shared" ca="1" si="16"/>
        <v>37192062.720123932</v>
      </c>
      <c r="V109" s="11"/>
      <c r="W109" s="22"/>
    </row>
    <row r="110" spans="1:23" x14ac:dyDescent="0.2">
      <c r="A110" s="506">
        <f t="shared" ref="A110:A133" si="17">EOMONTH(A109,0)+1</f>
        <v>46023</v>
      </c>
      <c r="B110" s="59">
        <f t="shared" si="11"/>
        <v>2026</v>
      </c>
      <c r="C110" s="59">
        <f t="shared" si="12"/>
        <v>1</v>
      </c>
      <c r="D110" s="178"/>
      <c r="E110" s="177">
        <f t="shared" ca="1" si="13"/>
        <v>566.30416666666667</v>
      </c>
      <c r="F110" s="177">
        <f t="shared" ca="1" si="13"/>
        <v>0</v>
      </c>
      <c r="G110" s="507">
        <f>'Monthly Data'!CV110</f>
        <v>0</v>
      </c>
      <c r="H110" s="176">
        <f t="shared" ref="H110:H133" si="18">H62</f>
        <v>31</v>
      </c>
      <c r="I110" s="508">
        <f>Economic!M124</f>
        <v>913903.23750000005</v>
      </c>
      <c r="J110" s="176">
        <f t="shared" ref="J110:J133" si="19">J62</f>
        <v>0</v>
      </c>
      <c r="K110" s="59"/>
      <c r="L110" s="188">
        <f>'GS&lt;50 Predicted Monthly'!$X$8</f>
        <v>-13592432.544671699</v>
      </c>
      <c r="M110" s="188">
        <f ca="1">E110*'GS&lt;50 Predicted Monthly'!$X$9</f>
        <v>7823922.1603318686</v>
      </c>
      <c r="N110" s="188">
        <f ca="1">F110*'GS&lt;50 Predicted Monthly'!$X$10</f>
        <v>0</v>
      </c>
      <c r="O110" s="188">
        <f>G110*'GS&lt;50 Predicted Monthly'!$X$11</f>
        <v>0</v>
      </c>
      <c r="P110" s="188">
        <f>H110*'GS&lt;50 Predicted Monthly'!$X$12</f>
        <v>20753533.272940867</v>
      </c>
      <c r="Q110" s="188">
        <f>I110*'GS&lt;50 Predicted Monthly'!$X$13</f>
        <v>23850147.776201855</v>
      </c>
      <c r="R110" s="188">
        <f>J110*'GS&lt;50 Predicted Monthly'!$X$14</f>
        <v>0</v>
      </c>
      <c r="S110" s="509">
        <f t="shared" ca="1" si="7"/>
        <v>38835170.664802894</v>
      </c>
      <c r="U110" s="18"/>
      <c r="V110" s="11"/>
      <c r="W110" s="22"/>
    </row>
    <row r="111" spans="1:23" x14ac:dyDescent="0.2">
      <c r="A111" s="506">
        <f t="shared" si="17"/>
        <v>46054</v>
      </c>
      <c r="B111" s="59">
        <f t="shared" si="11"/>
        <v>2026</v>
      </c>
      <c r="C111" s="59">
        <f t="shared" si="12"/>
        <v>2</v>
      </c>
      <c r="D111" s="178"/>
      <c r="E111" s="177">
        <f t="shared" ca="1" si="13"/>
        <v>483.54541666666665</v>
      </c>
      <c r="F111" s="177">
        <f t="shared" ca="1" si="13"/>
        <v>0</v>
      </c>
      <c r="G111" s="507">
        <f>'Monthly Data'!CV111</f>
        <v>0</v>
      </c>
      <c r="H111" s="176">
        <f t="shared" si="18"/>
        <v>28</v>
      </c>
      <c r="I111" s="508">
        <f>Economic!M125</f>
        <v>913903.23750000005</v>
      </c>
      <c r="J111" s="176">
        <f t="shared" si="19"/>
        <v>0</v>
      </c>
      <c r="K111" s="59"/>
      <c r="L111" s="188">
        <f>'GS&lt;50 Predicted Monthly'!$X$8</f>
        <v>-13592432.544671699</v>
      </c>
      <c r="M111" s="188">
        <f ca="1">E111*'GS&lt;50 Predicted Monthly'!$X$9</f>
        <v>6680547.1752993288</v>
      </c>
      <c r="N111" s="188">
        <f ca="1">F111*'GS&lt;50 Predicted Monthly'!$X$10</f>
        <v>0</v>
      </c>
      <c r="O111" s="188">
        <f>G111*'GS&lt;50 Predicted Monthly'!$X$11</f>
        <v>0</v>
      </c>
      <c r="P111" s="188">
        <f>H111*'GS&lt;50 Predicted Monthly'!$X$12</f>
        <v>18745126.827172395</v>
      </c>
      <c r="Q111" s="188">
        <f>I111*'GS&lt;50 Predicted Monthly'!$X$13</f>
        <v>23850147.776201855</v>
      </c>
      <c r="R111" s="188">
        <f>J111*'GS&lt;50 Predicted Monthly'!$X$14</f>
        <v>0</v>
      </c>
      <c r="S111" s="509">
        <f t="shared" ca="1" si="7"/>
        <v>35683389.234001875</v>
      </c>
      <c r="U111" s="18"/>
      <c r="V111" s="11"/>
      <c r="W111" s="22"/>
    </row>
    <row r="112" spans="1:23" x14ac:dyDescent="0.2">
      <c r="A112" s="506">
        <f t="shared" si="17"/>
        <v>46082</v>
      </c>
      <c r="B112" s="59">
        <f t="shared" si="11"/>
        <v>2026</v>
      </c>
      <c r="C112" s="59">
        <f t="shared" si="12"/>
        <v>3</v>
      </c>
      <c r="D112" s="178"/>
      <c r="E112" s="177">
        <f t="shared" ca="1" si="13"/>
        <v>393.96333333333331</v>
      </c>
      <c r="F112" s="177">
        <f t="shared" ca="1" si="13"/>
        <v>0</v>
      </c>
      <c r="G112" s="507">
        <f>'Monthly Data'!CV112</f>
        <v>0</v>
      </c>
      <c r="H112" s="176">
        <f t="shared" si="18"/>
        <v>31</v>
      </c>
      <c r="I112" s="508">
        <f>Economic!M126</f>
        <v>913903.23750000005</v>
      </c>
      <c r="J112" s="176">
        <f t="shared" si="19"/>
        <v>1</v>
      </c>
      <c r="K112" s="59"/>
      <c r="L112" s="188">
        <f>'GS&lt;50 Predicted Monthly'!$X$8</f>
        <v>-13592432.544671699</v>
      </c>
      <c r="M112" s="188">
        <f ca="1">E112*'GS&lt;50 Predicted Monthly'!$X$9</f>
        <v>5442902.6580678122</v>
      </c>
      <c r="N112" s="188">
        <f ca="1">F112*'GS&lt;50 Predicted Monthly'!$X$10</f>
        <v>0</v>
      </c>
      <c r="O112" s="188">
        <f>G112*'GS&lt;50 Predicted Monthly'!$X$11</f>
        <v>0</v>
      </c>
      <c r="P112" s="188">
        <f>H112*'GS&lt;50 Predicted Monthly'!$X$12</f>
        <v>20753533.272940867</v>
      </c>
      <c r="Q112" s="188">
        <f>I112*'GS&lt;50 Predicted Monthly'!$X$13</f>
        <v>23850147.776201855</v>
      </c>
      <c r="R112" s="188">
        <f>J112*'GS&lt;50 Predicted Monthly'!$X$14</f>
        <v>522033.18159628101</v>
      </c>
      <c r="S112" s="509">
        <f t="shared" ca="1" si="7"/>
        <v>36976184.344135113</v>
      </c>
      <c r="U112" s="18"/>
    </row>
    <row r="113" spans="1:22" x14ac:dyDescent="0.2">
      <c r="A113" s="506">
        <f t="shared" si="17"/>
        <v>46113</v>
      </c>
      <c r="B113" s="59">
        <f t="shared" si="11"/>
        <v>2026</v>
      </c>
      <c r="C113" s="59">
        <f t="shared" si="12"/>
        <v>4</v>
      </c>
      <c r="D113" s="178"/>
      <c r="E113" s="177">
        <f t="shared" ca="1" si="13"/>
        <v>226.60145833333337</v>
      </c>
      <c r="F113" s="177">
        <f t="shared" ca="1" si="13"/>
        <v>6.5650000000000031</v>
      </c>
      <c r="G113" s="507">
        <f>'Monthly Data'!CV113</f>
        <v>0</v>
      </c>
      <c r="H113" s="176">
        <f t="shared" si="18"/>
        <v>30</v>
      </c>
      <c r="I113" s="508">
        <f>Economic!M127</f>
        <v>911449.02750000008</v>
      </c>
      <c r="J113" s="176">
        <f t="shared" si="19"/>
        <v>0</v>
      </c>
      <c r="K113" s="59"/>
      <c r="L113" s="188">
        <f>'GS&lt;50 Predicted Monthly'!$X$8</f>
        <v>-13592432.544671699</v>
      </c>
      <c r="M113" s="188">
        <f ca="1">E113*'GS&lt;50 Predicted Monthly'!$X$9</f>
        <v>3130671.2466080841</v>
      </c>
      <c r="N113" s="188">
        <f ca="1">F113*'GS&lt;50 Predicted Monthly'!$X$10</f>
        <v>282599.24442214705</v>
      </c>
      <c r="O113" s="188">
        <f>G113*'GS&lt;50 Predicted Monthly'!$X$11</f>
        <v>0</v>
      </c>
      <c r="P113" s="188">
        <f>H113*'GS&lt;50 Predicted Monthly'!$X$12</f>
        <v>20084064.457684711</v>
      </c>
      <c r="Q113" s="188">
        <f>I113*'GS&lt;50 Predicted Monthly'!$X$13</f>
        <v>23786100.217585091</v>
      </c>
      <c r="R113" s="188">
        <f>J113*'GS&lt;50 Predicted Monthly'!$X$14</f>
        <v>0</v>
      </c>
      <c r="S113" s="509">
        <f t="shared" ca="1" si="7"/>
        <v>33691002.621628329</v>
      </c>
      <c r="U113" s="18"/>
      <c r="V113" s="11"/>
    </row>
    <row r="114" spans="1:22" x14ac:dyDescent="0.2">
      <c r="A114" s="506">
        <f t="shared" si="17"/>
        <v>46143</v>
      </c>
      <c r="B114" s="59">
        <f t="shared" si="11"/>
        <v>2026</v>
      </c>
      <c r="C114" s="59">
        <f t="shared" si="12"/>
        <v>5</v>
      </c>
      <c r="D114" s="178"/>
      <c r="E114" s="177">
        <f t="shared" ref="E114:F133" ca="1" si="20">E102</f>
        <v>65.335833333333326</v>
      </c>
      <c r="F114" s="177">
        <f t="shared" ca="1" si="20"/>
        <v>59.300416666666649</v>
      </c>
      <c r="G114" s="507">
        <f>'Monthly Data'!CV114</f>
        <v>0</v>
      </c>
      <c r="H114" s="176">
        <f t="shared" si="18"/>
        <v>31</v>
      </c>
      <c r="I114" s="508">
        <f>Economic!M128</f>
        <v>911449.02750000008</v>
      </c>
      <c r="J114" s="176">
        <f t="shared" si="19"/>
        <v>0</v>
      </c>
      <c r="K114" s="59"/>
      <c r="L114" s="188">
        <f>'GS&lt;50 Predicted Monthly'!$X$8</f>
        <v>-13592432.544671699</v>
      </c>
      <c r="M114" s="188">
        <f ca="1">E114*'GS&lt;50 Predicted Monthly'!$X$9</f>
        <v>902664.15889061301</v>
      </c>
      <c r="N114" s="188">
        <f ca="1">F114*'GS&lt;50 Predicted Monthly'!$X$10</f>
        <v>2552666.0996067757</v>
      </c>
      <c r="O114" s="188">
        <f>G114*'GS&lt;50 Predicted Monthly'!$X$11</f>
        <v>0</v>
      </c>
      <c r="P114" s="188">
        <f>H114*'GS&lt;50 Predicted Monthly'!$X$12</f>
        <v>20753533.272940867</v>
      </c>
      <c r="Q114" s="188">
        <f>I114*'GS&lt;50 Predicted Monthly'!$X$13</f>
        <v>23786100.217585091</v>
      </c>
      <c r="R114" s="188">
        <f>J114*'GS&lt;50 Predicted Monthly'!$X$14</f>
        <v>0</v>
      </c>
      <c r="S114" s="509">
        <f t="shared" ca="1" si="7"/>
        <v>34402531.204351649</v>
      </c>
      <c r="U114" s="18"/>
      <c r="V114" s="11"/>
    </row>
    <row r="115" spans="1:22" x14ac:dyDescent="0.2">
      <c r="A115" s="506">
        <f t="shared" si="17"/>
        <v>46174</v>
      </c>
      <c r="B115" s="59">
        <f t="shared" si="11"/>
        <v>2026</v>
      </c>
      <c r="C115" s="59">
        <f t="shared" si="12"/>
        <v>6</v>
      </c>
      <c r="D115" s="178"/>
      <c r="E115" s="177">
        <f t="shared" ca="1" si="20"/>
        <v>3.0447916666666672</v>
      </c>
      <c r="F115" s="177">
        <f t="shared" ca="1" si="20"/>
        <v>157.17000000000002</v>
      </c>
      <c r="G115" s="507">
        <f>'Monthly Data'!CV115</f>
        <v>0</v>
      </c>
      <c r="H115" s="176">
        <f t="shared" si="18"/>
        <v>30</v>
      </c>
      <c r="I115" s="508">
        <f>Economic!M129</f>
        <v>911449.02750000008</v>
      </c>
      <c r="J115" s="176">
        <f t="shared" si="19"/>
        <v>0</v>
      </c>
      <c r="K115" s="59"/>
      <c r="L115" s="188">
        <f>'GS&lt;50 Predicted Monthly'!$X$8</f>
        <v>-13592432.544671699</v>
      </c>
      <c r="M115" s="188">
        <f ca="1">E115*'GS&lt;50 Predicted Monthly'!$X$9</f>
        <v>42066.109339522445</v>
      </c>
      <c r="N115" s="188">
        <f ca="1">F115*'GS&lt;50 Predicted Monthly'!$X$10</f>
        <v>6765593.7922054585</v>
      </c>
      <c r="O115" s="188">
        <f>G115*'GS&lt;50 Predicted Monthly'!$X$11</f>
        <v>0</v>
      </c>
      <c r="P115" s="188">
        <f>H115*'GS&lt;50 Predicted Monthly'!$X$12</f>
        <v>20084064.457684711</v>
      </c>
      <c r="Q115" s="188">
        <f>I115*'GS&lt;50 Predicted Monthly'!$X$13</f>
        <v>23786100.217585091</v>
      </c>
      <c r="R115" s="188">
        <f>J115*'GS&lt;50 Predicted Monthly'!$X$14</f>
        <v>0</v>
      </c>
      <c r="S115" s="509">
        <f t="shared" ca="1" si="7"/>
        <v>37085392.032143086</v>
      </c>
      <c r="U115" s="18"/>
      <c r="V115" s="11"/>
    </row>
    <row r="116" spans="1:22" x14ac:dyDescent="0.2">
      <c r="A116" s="506">
        <f t="shared" si="17"/>
        <v>46204</v>
      </c>
      <c r="B116" s="59">
        <f t="shared" si="11"/>
        <v>2026</v>
      </c>
      <c r="C116" s="59">
        <f t="shared" si="12"/>
        <v>7</v>
      </c>
      <c r="D116" s="178"/>
      <c r="E116" s="177">
        <f t="shared" ca="1" si="20"/>
        <v>0</v>
      </c>
      <c r="F116" s="177">
        <f t="shared" ca="1" si="20"/>
        <v>231.27145833333333</v>
      </c>
      <c r="G116" s="507">
        <f>'Monthly Data'!CV116</f>
        <v>0</v>
      </c>
      <c r="H116" s="176">
        <f t="shared" si="18"/>
        <v>31</v>
      </c>
      <c r="I116" s="508">
        <f>Economic!M130</f>
        <v>917624.2350000001</v>
      </c>
      <c r="J116" s="176">
        <f t="shared" si="19"/>
        <v>0</v>
      </c>
      <c r="K116" s="59"/>
      <c r="L116" s="188">
        <f>'GS&lt;50 Predicted Monthly'!$X$8</f>
        <v>-13592432.544671699</v>
      </c>
      <c r="M116" s="188">
        <f ca="1">E116*'GS&lt;50 Predicted Monthly'!$X$9</f>
        <v>0</v>
      </c>
      <c r="N116" s="188">
        <f ca="1">F116*'GS&lt;50 Predicted Monthly'!$X$10</f>
        <v>9955390.6140758619</v>
      </c>
      <c r="O116" s="188">
        <f>G116*'GS&lt;50 Predicted Monthly'!$X$11</f>
        <v>0</v>
      </c>
      <c r="P116" s="188">
        <f>H116*'GS&lt;50 Predicted Monthly'!$X$12</f>
        <v>20753533.272940867</v>
      </c>
      <c r="Q116" s="188">
        <f>I116*'GS&lt;50 Predicted Monthly'!$X$13</f>
        <v>23947254.708980259</v>
      </c>
      <c r="R116" s="188">
        <f>J116*'GS&lt;50 Predicted Monthly'!$X$14</f>
        <v>0</v>
      </c>
      <c r="S116" s="509">
        <f t="shared" ca="1" si="7"/>
        <v>41063746.051325291</v>
      </c>
      <c r="V116" s="11"/>
    </row>
    <row r="117" spans="1:22" x14ac:dyDescent="0.2">
      <c r="A117" s="506">
        <f t="shared" si="17"/>
        <v>46235</v>
      </c>
      <c r="B117" s="59">
        <f t="shared" si="11"/>
        <v>2026</v>
      </c>
      <c r="C117" s="59">
        <f t="shared" si="12"/>
        <v>8</v>
      </c>
      <c r="D117" s="178"/>
      <c r="E117" s="177">
        <f t="shared" ca="1" si="20"/>
        <v>0.27875000000000066</v>
      </c>
      <c r="F117" s="177">
        <f t="shared" ca="1" si="20"/>
        <v>196.13625000000002</v>
      </c>
      <c r="G117" s="507">
        <f>'Monthly Data'!CV117</f>
        <v>0</v>
      </c>
      <c r="H117" s="176">
        <f t="shared" si="18"/>
        <v>31</v>
      </c>
      <c r="I117" s="508">
        <f>Economic!M131</f>
        <v>917624.2350000001</v>
      </c>
      <c r="J117" s="176">
        <f t="shared" si="19"/>
        <v>0</v>
      </c>
      <c r="K117" s="59"/>
      <c r="L117" s="188">
        <f>'GS&lt;50 Predicted Monthly'!$X$8</f>
        <v>-13592432.544671699</v>
      </c>
      <c r="M117" s="188">
        <f ca="1">E117*'GS&lt;50 Predicted Monthly'!$X$9</f>
        <v>3851.1429556128055</v>
      </c>
      <c r="N117" s="188">
        <f ca="1">F117*'GS&lt;50 Predicted Monthly'!$X$10</f>
        <v>8442948.3707225155</v>
      </c>
      <c r="O117" s="188">
        <f>G117*'GS&lt;50 Predicted Monthly'!$X$11</f>
        <v>0</v>
      </c>
      <c r="P117" s="188">
        <f>H117*'GS&lt;50 Predicted Monthly'!$X$12</f>
        <v>20753533.272940867</v>
      </c>
      <c r="Q117" s="188">
        <f>I117*'GS&lt;50 Predicted Monthly'!$X$13</f>
        <v>23947254.708980259</v>
      </c>
      <c r="R117" s="188">
        <f>J117*'GS&lt;50 Predicted Monthly'!$X$14</f>
        <v>0</v>
      </c>
      <c r="S117" s="509">
        <f t="shared" ca="1" si="7"/>
        <v>39555154.950927556</v>
      </c>
      <c r="V117" s="11"/>
    </row>
    <row r="118" spans="1:22" x14ac:dyDescent="0.2">
      <c r="A118" s="506">
        <f t="shared" si="17"/>
        <v>46266</v>
      </c>
      <c r="B118" s="59">
        <f t="shared" si="11"/>
        <v>2026</v>
      </c>
      <c r="C118" s="59">
        <f t="shared" si="12"/>
        <v>9</v>
      </c>
      <c r="D118" s="178"/>
      <c r="E118" s="177">
        <f t="shared" ca="1" si="20"/>
        <v>11.319999999999997</v>
      </c>
      <c r="F118" s="177">
        <f t="shared" ca="1" si="20"/>
        <v>104.19854166666664</v>
      </c>
      <c r="G118" s="507">
        <f>'Monthly Data'!CV118</f>
        <v>0</v>
      </c>
      <c r="H118" s="176">
        <f t="shared" si="18"/>
        <v>30</v>
      </c>
      <c r="I118" s="508">
        <f>Economic!M132</f>
        <v>917624.2350000001</v>
      </c>
      <c r="J118" s="176">
        <f t="shared" si="19"/>
        <v>0</v>
      </c>
      <c r="K118" s="59"/>
      <c r="L118" s="188">
        <f>'GS&lt;50 Predicted Monthly'!$X$8</f>
        <v>-13592432.544671699</v>
      </c>
      <c r="M118" s="188">
        <f ca="1">E118*'GS&lt;50 Predicted Monthly'!$X$9</f>
        <v>156394.39733645503</v>
      </c>
      <c r="N118" s="188">
        <f ca="1">F118*'GS&lt;50 Predicted Monthly'!$X$10</f>
        <v>4485366.2063807445</v>
      </c>
      <c r="O118" s="188">
        <f>G118*'GS&lt;50 Predicted Monthly'!$X$11</f>
        <v>0</v>
      </c>
      <c r="P118" s="188">
        <f>H118*'GS&lt;50 Predicted Monthly'!$X$12</f>
        <v>20084064.457684711</v>
      </c>
      <c r="Q118" s="188">
        <f>I118*'GS&lt;50 Predicted Monthly'!$X$13</f>
        <v>23947254.708980259</v>
      </c>
      <c r="R118" s="188">
        <f>J118*'GS&lt;50 Predicted Monthly'!$X$14</f>
        <v>0</v>
      </c>
      <c r="S118" s="509">
        <f t="shared" ca="1" si="7"/>
        <v>35080647.225710467</v>
      </c>
      <c r="V118" s="11"/>
    </row>
    <row r="119" spans="1:22" x14ac:dyDescent="0.2">
      <c r="A119" s="506">
        <f t="shared" si="17"/>
        <v>46296</v>
      </c>
      <c r="B119" s="59">
        <f t="shared" si="11"/>
        <v>2026</v>
      </c>
      <c r="C119" s="59">
        <f t="shared" si="12"/>
        <v>10</v>
      </c>
      <c r="D119" s="178"/>
      <c r="E119" s="177">
        <f t="shared" ca="1" si="20"/>
        <v>126.12583333333332</v>
      </c>
      <c r="F119" s="177">
        <f t="shared" ca="1" si="20"/>
        <v>24.703125000000007</v>
      </c>
      <c r="G119" s="507">
        <f>'Monthly Data'!CV119</f>
        <v>0</v>
      </c>
      <c r="H119" s="176">
        <f t="shared" si="18"/>
        <v>31</v>
      </c>
      <c r="I119" s="508">
        <f>Economic!M133</f>
        <v>915810.03250000009</v>
      </c>
      <c r="J119" s="176">
        <f t="shared" si="19"/>
        <v>0</v>
      </c>
      <c r="K119" s="59"/>
      <c r="L119" s="188">
        <f>'GS&lt;50 Predicted Monthly'!$X$8</f>
        <v>-13592432.544671699</v>
      </c>
      <c r="M119" s="188">
        <f ca="1">E119*'GS&lt;50 Predicted Monthly'!$X$9</f>
        <v>1742524.177802548</v>
      </c>
      <c r="N119" s="188">
        <f ca="1">F119*'GS&lt;50 Predicted Monthly'!$X$10</f>
        <v>1063379.201807441</v>
      </c>
      <c r="O119" s="188">
        <f>G119*'GS&lt;50 Predicted Monthly'!$X$11</f>
        <v>0</v>
      </c>
      <c r="P119" s="188">
        <f>H119*'GS&lt;50 Predicted Monthly'!$X$12</f>
        <v>20753533.272940867</v>
      </c>
      <c r="Q119" s="188">
        <f>I119*'GS&lt;50 Predicted Monthly'!$X$13</f>
        <v>23899909.436586522</v>
      </c>
      <c r="R119" s="188">
        <f>J119*'GS&lt;50 Predicted Monthly'!$X$14</f>
        <v>0</v>
      </c>
      <c r="S119" s="509">
        <f t="shared" ca="1" si="7"/>
        <v>33866913.544465676</v>
      </c>
      <c r="V119" s="11"/>
    </row>
    <row r="120" spans="1:22" x14ac:dyDescent="0.2">
      <c r="A120" s="506">
        <f t="shared" si="17"/>
        <v>46327</v>
      </c>
      <c r="B120" s="59">
        <f t="shared" si="11"/>
        <v>2026</v>
      </c>
      <c r="C120" s="59">
        <f t="shared" si="12"/>
        <v>11</v>
      </c>
      <c r="D120" s="178"/>
      <c r="E120" s="177">
        <f t="shared" ca="1" si="20"/>
        <v>312.40687500000001</v>
      </c>
      <c r="F120" s="177">
        <f t="shared" ca="1" si="20"/>
        <v>1.6454166666666665</v>
      </c>
      <c r="G120" s="507">
        <f>'Monthly Data'!CV120</f>
        <v>0</v>
      </c>
      <c r="H120" s="176">
        <f t="shared" si="18"/>
        <v>30</v>
      </c>
      <c r="I120" s="508">
        <f>Economic!M134</f>
        <v>915810.03250000009</v>
      </c>
      <c r="J120" s="176">
        <f t="shared" si="19"/>
        <v>0</v>
      </c>
      <c r="K120" s="59"/>
      <c r="L120" s="188">
        <f>'GS&lt;50 Predicted Monthly'!$X$8</f>
        <v>-13592432.544671699</v>
      </c>
      <c r="M120" s="188">
        <f ca="1">E120*'GS&lt;50 Predicted Monthly'!$X$9</f>
        <v>4316138.2455291748</v>
      </c>
      <c r="N120" s="188">
        <f ca="1">F120*'GS&lt;50 Predicted Monthly'!$X$10</f>
        <v>70829.170869704118</v>
      </c>
      <c r="O120" s="188">
        <f>G120*'GS&lt;50 Predicted Monthly'!$X$11</f>
        <v>0</v>
      </c>
      <c r="P120" s="188">
        <f>H120*'GS&lt;50 Predicted Monthly'!$X$12</f>
        <v>20084064.457684711</v>
      </c>
      <c r="Q120" s="188">
        <f>I120*'GS&lt;50 Predicted Monthly'!$X$13</f>
        <v>23899909.436586522</v>
      </c>
      <c r="R120" s="188">
        <f>J120*'GS&lt;50 Predicted Monthly'!$X$14</f>
        <v>0</v>
      </c>
      <c r="S120" s="509">
        <f t="shared" ca="1" si="7"/>
        <v>34778508.765998408</v>
      </c>
      <c r="V120" s="11"/>
    </row>
    <row r="121" spans="1:22" x14ac:dyDescent="0.2">
      <c r="A121" s="506">
        <f t="shared" si="17"/>
        <v>46357</v>
      </c>
      <c r="B121" s="59">
        <f t="shared" si="11"/>
        <v>2026</v>
      </c>
      <c r="C121" s="59">
        <f t="shared" si="12"/>
        <v>12</v>
      </c>
      <c r="D121" s="178"/>
      <c r="E121" s="177">
        <f t="shared" ca="1" si="20"/>
        <v>473.52499999999998</v>
      </c>
      <c r="F121" s="177">
        <f t="shared" ca="1" si="20"/>
        <v>0</v>
      </c>
      <c r="G121" s="507">
        <f>'Monthly Data'!CV121</f>
        <v>0</v>
      </c>
      <c r="H121" s="176">
        <f t="shared" si="18"/>
        <v>31</v>
      </c>
      <c r="I121" s="508">
        <f>Economic!M135</f>
        <v>915810.03250000009</v>
      </c>
      <c r="J121" s="176">
        <f t="shared" si="19"/>
        <v>0</v>
      </c>
      <c r="K121" s="59"/>
      <c r="L121" s="188">
        <f>'GS&lt;50 Predicted Monthly'!$X$8</f>
        <v>-13592432.544671699</v>
      </c>
      <c r="M121" s="188">
        <f ca="1">E121*'GS&lt;50 Predicted Monthly'!$X$9</f>
        <v>6542107.5087230466</v>
      </c>
      <c r="N121" s="188">
        <f ca="1">F121*'GS&lt;50 Predicted Monthly'!$X$10</f>
        <v>0</v>
      </c>
      <c r="O121" s="188">
        <f>G121*'GS&lt;50 Predicted Monthly'!$X$11</f>
        <v>0</v>
      </c>
      <c r="P121" s="188">
        <f>H121*'GS&lt;50 Predicted Monthly'!$X$12</f>
        <v>20753533.272940867</v>
      </c>
      <c r="Q121" s="188">
        <f>I121*'GS&lt;50 Predicted Monthly'!$X$13</f>
        <v>23899909.436586522</v>
      </c>
      <c r="R121" s="188">
        <f>J121*'GS&lt;50 Predicted Monthly'!$X$14</f>
        <v>0</v>
      </c>
      <c r="S121" s="509">
        <f t="shared" ca="1" si="7"/>
        <v>37603117.673578739</v>
      </c>
      <c r="V121" s="11"/>
    </row>
    <row r="122" spans="1:22" x14ac:dyDescent="0.2">
      <c r="A122" s="506">
        <f t="shared" si="17"/>
        <v>46388</v>
      </c>
      <c r="B122" s="59">
        <f t="shared" si="11"/>
        <v>2027</v>
      </c>
      <c r="C122" s="59">
        <f t="shared" si="12"/>
        <v>1</v>
      </c>
      <c r="D122" s="178"/>
      <c r="E122" s="177">
        <f t="shared" ca="1" si="20"/>
        <v>566.30416666666667</v>
      </c>
      <c r="F122" s="177">
        <f t="shared" ca="1" si="20"/>
        <v>0</v>
      </c>
      <c r="G122" s="507">
        <f>'Monthly Data'!CV122</f>
        <v>0</v>
      </c>
      <c r="H122" s="176">
        <f t="shared" si="18"/>
        <v>31</v>
      </c>
      <c r="I122" s="508">
        <f>Economic!M136</f>
        <v>929896.54415625008</v>
      </c>
      <c r="J122" s="176">
        <f t="shared" si="19"/>
        <v>0</v>
      </c>
      <c r="K122" s="59"/>
      <c r="L122" s="188">
        <f>'GS&lt;50 Predicted Monthly'!$X$8</f>
        <v>-13592432.544671699</v>
      </c>
      <c r="M122" s="188">
        <f ca="1">E122*'GS&lt;50 Predicted Monthly'!$X$9</f>
        <v>7823922.1603318686</v>
      </c>
      <c r="N122" s="188">
        <f ca="1">F122*'GS&lt;50 Predicted Monthly'!$X$10</f>
        <v>0</v>
      </c>
      <c r="O122" s="188">
        <f>G122*'GS&lt;50 Predicted Monthly'!$X$11</f>
        <v>0</v>
      </c>
      <c r="P122" s="188">
        <f>H122*'GS&lt;50 Predicted Monthly'!$X$12</f>
        <v>20753533.272940867</v>
      </c>
      <c r="Q122" s="188">
        <f>I122*'GS&lt;50 Predicted Monthly'!$X$13</f>
        <v>24267525.362285387</v>
      </c>
      <c r="R122" s="188">
        <f>J122*'GS&lt;50 Predicted Monthly'!$X$14</f>
        <v>0</v>
      </c>
      <c r="S122" s="509">
        <f t="shared" ca="1" si="7"/>
        <v>39252548.250886425</v>
      </c>
      <c r="V122" s="11"/>
    </row>
    <row r="123" spans="1:22" x14ac:dyDescent="0.2">
      <c r="A123" s="506">
        <f t="shared" si="17"/>
        <v>46419</v>
      </c>
      <c r="B123" s="59">
        <f t="shared" si="11"/>
        <v>2027</v>
      </c>
      <c r="C123" s="59">
        <f t="shared" si="12"/>
        <v>2</v>
      </c>
      <c r="D123" s="178"/>
      <c r="E123" s="177">
        <f t="shared" ca="1" si="20"/>
        <v>483.54541666666665</v>
      </c>
      <c r="F123" s="177">
        <f t="shared" ca="1" si="20"/>
        <v>0</v>
      </c>
      <c r="G123" s="507">
        <f>'Monthly Data'!CV123</f>
        <v>0</v>
      </c>
      <c r="H123" s="176">
        <f t="shared" si="18"/>
        <v>28</v>
      </c>
      <c r="I123" s="508">
        <f>Economic!M137</f>
        <v>929896.54415625008</v>
      </c>
      <c r="J123" s="176">
        <f t="shared" si="19"/>
        <v>0</v>
      </c>
      <c r="K123" s="59"/>
      <c r="L123" s="188">
        <f>'GS&lt;50 Predicted Monthly'!$X$8</f>
        <v>-13592432.544671699</v>
      </c>
      <c r="M123" s="188">
        <f ca="1">E123*'GS&lt;50 Predicted Monthly'!$X$9</f>
        <v>6680547.1752993288</v>
      </c>
      <c r="N123" s="188">
        <f ca="1">F123*'GS&lt;50 Predicted Monthly'!$X$10</f>
        <v>0</v>
      </c>
      <c r="O123" s="188">
        <f>G123*'GS&lt;50 Predicted Monthly'!$X$11</f>
        <v>0</v>
      </c>
      <c r="P123" s="188">
        <f>H123*'GS&lt;50 Predicted Monthly'!$X$12</f>
        <v>18745126.827172395</v>
      </c>
      <c r="Q123" s="188">
        <f>I123*'GS&lt;50 Predicted Monthly'!$X$13</f>
        <v>24267525.362285387</v>
      </c>
      <c r="R123" s="188">
        <f>J123*'GS&lt;50 Predicted Monthly'!$X$14</f>
        <v>0</v>
      </c>
      <c r="S123" s="509">
        <f t="shared" ca="1" si="7"/>
        <v>36100766.820085406</v>
      </c>
      <c r="V123" s="11"/>
    </row>
    <row r="124" spans="1:22" x14ac:dyDescent="0.2">
      <c r="A124" s="506">
        <f t="shared" si="17"/>
        <v>46447</v>
      </c>
      <c r="B124" s="59">
        <f t="shared" si="11"/>
        <v>2027</v>
      </c>
      <c r="C124" s="59">
        <f t="shared" si="12"/>
        <v>3</v>
      </c>
      <c r="D124" s="178"/>
      <c r="E124" s="177">
        <f t="shared" ca="1" si="20"/>
        <v>393.96333333333331</v>
      </c>
      <c r="F124" s="177">
        <f t="shared" ca="1" si="20"/>
        <v>0</v>
      </c>
      <c r="G124" s="507">
        <f>'Monthly Data'!CV124</f>
        <v>0</v>
      </c>
      <c r="H124" s="176">
        <f t="shared" si="18"/>
        <v>31</v>
      </c>
      <c r="I124" s="508">
        <f>Economic!M138</f>
        <v>929896.54415625008</v>
      </c>
      <c r="J124" s="176">
        <f t="shared" si="19"/>
        <v>1</v>
      </c>
      <c r="K124" s="59"/>
      <c r="L124" s="188">
        <f>'GS&lt;50 Predicted Monthly'!$X$8</f>
        <v>-13592432.544671699</v>
      </c>
      <c r="M124" s="188">
        <f ca="1">E124*'GS&lt;50 Predicted Monthly'!$X$9</f>
        <v>5442902.6580678122</v>
      </c>
      <c r="N124" s="188">
        <f ca="1">F124*'GS&lt;50 Predicted Monthly'!$X$10</f>
        <v>0</v>
      </c>
      <c r="O124" s="188">
        <f>G124*'GS&lt;50 Predicted Monthly'!$X$11</f>
        <v>0</v>
      </c>
      <c r="P124" s="188">
        <f>H124*'GS&lt;50 Predicted Monthly'!$X$12</f>
        <v>20753533.272940867</v>
      </c>
      <c r="Q124" s="188">
        <f>I124*'GS&lt;50 Predicted Monthly'!$X$13</f>
        <v>24267525.362285387</v>
      </c>
      <c r="R124" s="188">
        <f>J124*'GS&lt;50 Predicted Monthly'!$X$14</f>
        <v>522033.18159628101</v>
      </c>
      <c r="S124" s="509">
        <f t="shared" ca="1" si="7"/>
        <v>37393561.930218644</v>
      </c>
      <c r="V124" s="11"/>
    </row>
    <row r="125" spans="1:22" x14ac:dyDescent="0.2">
      <c r="A125" s="506">
        <f t="shared" si="17"/>
        <v>46478</v>
      </c>
      <c r="B125" s="59">
        <f t="shared" si="11"/>
        <v>2027</v>
      </c>
      <c r="C125" s="59">
        <f t="shared" si="12"/>
        <v>4</v>
      </c>
      <c r="D125" s="178"/>
      <c r="E125" s="177">
        <f t="shared" ca="1" si="20"/>
        <v>226.60145833333337</v>
      </c>
      <c r="F125" s="177">
        <f t="shared" ca="1" si="20"/>
        <v>6.5650000000000031</v>
      </c>
      <c r="G125" s="507">
        <f>'Monthly Data'!CV125</f>
        <v>0</v>
      </c>
      <c r="H125" s="176">
        <f t="shared" si="18"/>
        <v>30</v>
      </c>
      <c r="I125" s="508">
        <f>Economic!M139</f>
        <v>927399.38548125012</v>
      </c>
      <c r="J125" s="176">
        <f t="shared" si="19"/>
        <v>0</v>
      </c>
      <c r="K125" s="59"/>
      <c r="L125" s="188">
        <f>'GS&lt;50 Predicted Monthly'!$X$8</f>
        <v>-13592432.544671699</v>
      </c>
      <c r="M125" s="188">
        <f ca="1">E125*'GS&lt;50 Predicted Monthly'!$X$9</f>
        <v>3130671.2466080841</v>
      </c>
      <c r="N125" s="188">
        <f ca="1">F125*'GS&lt;50 Predicted Monthly'!$X$10</f>
        <v>282599.24442214705</v>
      </c>
      <c r="O125" s="188">
        <f>G125*'GS&lt;50 Predicted Monthly'!$X$11</f>
        <v>0</v>
      </c>
      <c r="P125" s="188">
        <f>H125*'GS&lt;50 Predicted Monthly'!$X$12</f>
        <v>20084064.457684711</v>
      </c>
      <c r="Q125" s="188">
        <f>I125*'GS&lt;50 Predicted Monthly'!$X$13</f>
        <v>24202356.971392833</v>
      </c>
      <c r="R125" s="188">
        <f>J125*'GS&lt;50 Predicted Monthly'!$X$14</f>
        <v>0</v>
      </c>
      <c r="S125" s="509">
        <f t="shared" ca="1" si="7"/>
        <v>34107259.375436075</v>
      </c>
    </row>
    <row r="126" spans="1:22" x14ac:dyDescent="0.2">
      <c r="A126" s="506">
        <f t="shared" si="17"/>
        <v>46508</v>
      </c>
      <c r="B126" s="59">
        <f t="shared" si="11"/>
        <v>2027</v>
      </c>
      <c r="C126" s="59">
        <f t="shared" si="12"/>
        <v>5</v>
      </c>
      <c r="D126" s="178"/>
      <c r="E126" s="177">
        <f t="shared" ca="1" si="20"/>
        <v>65.335833333333326</v>
      </c>
      <c r="F126" s="177">
        <f t="shared" ca="1" si="20"/>
        <v>59.300416666666649</v>
      </c>
      <c r="G126" s="507">
        <f>'Monthly Data'!CV126</f>
        <v>0</v>
      </c>
      <c r="H126" s="176">
        <f t="shared" si="18"/>
        <v>31</v>
      </c>
      <c r="I126" s="508">
        <f>Economic!M140</f>
        <v>927399.38548125012</v>
      </c>
      <c r="J126" s="176">
        <f t="shared" si="19"/>
        <v>0</v>
      </c>
      <c r="K126" s="59"/>
      <c r="L126" s="188">
        <f>'GS&lt;50 Predicted Monthly'!$X$8</f>
        <v>-13592432.544671699</v>
      </c>
      <c r="M126" s="188">
        <f ca="1">E126*'GS&lt;50 Predicted Monthly'!$X$9</f>
        <v>902664.15889061301</v>
      </c>
      <c r="N126" s="188">
        <f ca="1">F126*'GS&lt;50 Predicted Monthly'!$X$10</f>
        <v>2552666.0996067757</v>
      </c>
      <c r="O126" s="188">
        <f>G126*'GS&lt;50 Predicted Monthly'!$X$11</f>
        <v>0</v>
      </c>
      <c r="P126" s="188">
        <f>H126*'GS&lt;50 Predicted Monthly'!$X$12</f>
        <v>20753533.272940867</v>
      </c>
      <c r="Q126" s="188">
        <f>I126*'GS&lt;50 Predicted Monthly'!$X$13</f>
        <v>24202356.971392833</v>
      </c>
      <c r="R126" s="188">
        <f>J126*'GS&lt;50 Predicted Monthly'!$X$14</f>
        <v>0</v>
      </c>
      <c r="S126" s="509">
        <f t="shared" ca="1" si="7"/>
        <v>34818787.958159387</v>
      </c>
    </row>
    <row r="127" spans="1:22" x14ac:dyDescent="0.2">
      <c r="A127" s="506">
        <f t="shared" si="17"/>
        <v>46539</v>
      </c>
      <c r="B127" s="59">
        <f t="shared" ref="B127:B133" si="21">YEAR(A127)</f>
        <v>2027</v>
      </c>
      <c r="C127" s="59">
        <f t="shared" ref="C127:C133" si="22">MONTH(A127)</f>
        <v>6</v>
      </c>
      <c r="D127" s="59"/>
      <c r="E127" s="177">
        <f t="shared" ca="1" si="20"/>
        <v>3.0447916666666672</v>
      </c>
      <c r="F127" s="177">
        <f t="shared" ca="1" si="20"/>
        <v>157.17000000000002</v>
      </c>
      <c r="G127" s="507">
        <f>'Monthly Data'!CV127</f>
        <v>0</v>
      </c>
      <c r="H127" s="176">
        <f t="shared" si="18"/>
        <v>30</v>
      </c>
      <c r="I127" s="508">
        <f>Economic!M141</f>
        <v>927399.38548125012</v>
      </c>
      <c r="J127" s="176">
        <f t="shared" si="19"/>
        <v>0</v>
      </c>
      <c r="K127" s="59"/>
      <c r="L127" s="188">
        <f>'GS&lt;50 Predicted Monthly'!$X$8</f>
        <v>-13592432.544671699</v>
      </c>
      <c r="M127" s="188">
        <f ca="1">E127*'GS&lt;50 Predicted Monthly'!$X$9</f>
        <v>42066.109339522445</v>
      </c>
      <c r="N127" s="188">
        <f ca="1">F127*'GS&lt;50 Predicted Monthly'!$X$10</f>
        <v>6765593.7922054585</v>
      </c>
      <c r="O127" s="188">
        <f>G127*'GS&lt;50 Predicted Monthly'!$X$11</f>
        <v>0</v>
      </c>
      <c r="P127" s="188">
        <f>H127*'GS&lt;50 Predicted Monthly'!$X$12</f>
        <v>20084064.457684711</v>
      </c>
      <c r="Q127" s="188">
        <f>I127*'GS&lt;50 Predicted Monthly'!$X$13</f>
        <v>24202356.971392833</v>
      </c>
      <c r="R127" s="188">
        <f>J127*'GS&lt;50 Predicted Monthly'!$X$14</f>
        <v>0</v>
      </c>
      <c r="S127" s="509">
        <f t="shared" ca="1" si="7"/>
        <v>37501648.785950825</v>
      </c>
    </row>
    <row r="128" spans="1:22" x14ac:dyDescent="0.2">
      <c r="A128" s="506">
        <f t="shared" si="17"/>
        <v>46569</v>
      </c>
      <c r="B128" s="59">
        <f t="shared" si="21"/>
        <v>2027</v>
      </c>
      <c r="C128" s="59">
        <f t="shared" si="22"/>
        <v>7</v>
      </c>
      <c r="D128" s="59"/>
      <c r="E128" s="177">
        <f t="shared" ca="1" si="20"/>
        <v>0</v>
      </c>
      <c r="F128" s="177">
        <f t="shared" ca="1" si="20"/>
        <v>231.27145833333333</v>
      </c>
      <c r="G128" s="507">
        <f>'Monthly Data'!CV128</f>
        <v>0</v>
      </c>
      <c r="H128" s="176">
        <f t="shared" si="18"/>
        <v>31</v>
      </c>
      <c r="I128" s="508">
        <f>Economic!M142</f>
        <v>933682.65911250014</v>
      </c>
      <c r="J128" s="176">
        <f t="shared" si="19"/>
        <v>0</v>
      </c>
      <c r="K128" s="59"/>
      <c r="L128" s="188">
        <f>'GS&lt;50 Predicted Monthly'!$X$8</f>
        <v>-13592432.544671699</v>
      </c>
      <c r="M128" s="188">
        <f ca="1">E128*'GS&lt;50 Predicted Monthly'!$X$9</f>
        <v>0</v>
      </c>
      <c r="N128" s="188">
        <f ca="1">F128*'GS&lt;50 Predicted Monthly'!$X$10</f>
        <v>9955390.6140758619</v>
      </c>
      <c r="O128" s="188">
        <f>G128*'GS&lt;50 Predicted Monthly'!$X$11</f>
        <v>0</v>
      </c>
      <c r="P128" s="188">
        <f>H128*'GS&lt;50 Predicted Monthly'!$X$12</f>
        <v>20753533.272940867</v>
      </c>
      <c r="Q128" s="188">
        <f>I128*'GS&lt;50 Predicted Monthly'!$X$13</f>
        <v>24366331.666387416</v>
      </c>
      <c r="R128" s="188">
        <f>J128*'GS&lt;50 Predicted Monthly'!$X$14</f>
        <v>0</v>
      </c>
      <c r="S128" s="509">
        <f t="shared" ca="1" si="7"/>
        <v>41482823.008732446</v>
      </c>
    </row>
    <row r="129" spans="1:19" x14ac:dyDescent="0.2">
      <c r="A129" s="506">
        <f t="shared" si="17"/>
        <v>46600</v>
      </c>
      <c r="B129" s="59">
        <f t="shared" si="21"/>
        <v>2027</v>
      </c>
      <c r="C129" s="59">
        <f t="shared" si="22"/>
        <v>8</v>
      </c>
      <c r="D129" s="59"/>
      <c r="E129" s="177">
        <f t="shared" ca="1" si="20"/>
        <v>0.27875000000000066</v>
      </c>
      <c r="F129" s="177">
        <f t="shared" ca="1" si="20"/>
        <v>196.13625000000002</v>
      </c>
      <c r="G129" s="507">
        <f>'Monthly Data'!CV129</f>
        <v>0</v>
      </c>
      <c r="H129" s="176">
        <f t="shared" si="18"/>
        <v>31</v>
      </c>
      <c r="I129" s="508">
        <f>Economic!M143</f>
        <v>933682.65911250014</v>
      </c>
      <c r="J129" s="176">
        <f t="shared" si="19"/>
        <v>0</v>
      </c>
      <c r="K129" s="59"/>
      <c r="L129" s="188">
        <f>'GS&lt;50 Predicted Monthly'!$X$8</f>
        <v>-13592432.544671699</v>
      </c>
      <c r="M129" s="188">
        <f ca="1">E129*'GS&lt;50 Predicted Monthly'!$X$9</f>
        <v>3851.1429556128055</v>
      </c>
      <c r="N129" s="188">
        <f ca="1">F129*'GS&lt;50 Predicted Monthly'!$X$10</f>
        <v>8442948.3707225155</v>
      </c>
      <c r="O129" s="188">
        <f>G129*'GS&lt;50 Predicted Monthly'!$X$11</f>
        <v>0</v>
      </c>
      <c r="P129" s="188">
        <f>H129*'GS&lt;50 Predicted Monthly'!$X$12</f>
        <v>20753533.272940867</v>
      </c>
      <c r="Q129" s="188">
        <f>I129*'GS&lt;50 Predicted Monthly'!$X$13</f>
        <v>24366331.666387416</v>
      </c>
      <c r="R129" s="188">
        <f>J129*'GS&lt;50 Predicted Monthly'!$X$14</f>
        <v>0</v>
      </c>
      <c r="S129" s="509">
        <f t="shared" ca="1" si="7"/>
        <v>39974231.90833471</v>
      </c>
    </row>
    <row r="130" spans="1:19" x14ac:dyDescent="0.2">
      <c r="A130" s="506">
        <f t="shared" si="17"/>
        <v>46631</v>
      </c>
      <c r="B130" s="59">
        <f t="shared" si="21"/>
        <v>2027</v>
      </c>
      <c r="C130" s="59">
        <f t="shared" si="22"/>
        <v>9</v>
      </c>
      <c r="D130" s="59"/>
      <c r="E130" s="177">
        <f t="shared" ca="1" si="20"/>
        <v>11.319999999999997</v>
      </c>
      <c r="F130" s="177">
        <f t="shared" ca="1" si="20"/>
        <v>104.19854166666664</v>
      </c>
      <c r="G130" s="507">
        <f>'Monthly Data'!CV130</f>
        <v>0</v>
      </c>
      <c r="H130" s="176">
        <f t="shared" si="18"/>
        <v>30</v>
      </c>
      <c r="I130" s="508">
        <f>Economic!M144</f>
        <v>933682.65911250014</v>
      </c>
      <c r="J130" s="176">
        <f t="shared" si="19"/>
        <v>0</v>
      </c>
      <c r="K130" s="59"/>
      <c r="L130" s="188">
        <f>'GS&lt;50 Predicted Monthly'!$X$8</f>
        <v>-13592432.544671699</v>
      </c>
      <c r="M130" s="188">
        <f ca="1">E130*'GS&lt;50 Predicted Monthly'!$X$9</f>
        <v>156394.39733645503</v>
      </c>
      <c r="N130" s="188">
        <f ca="1">F130*'GS&lt;50 Predicted Monthly'!$X$10</f>
        <v>4485366.2063807445</v>
      </c>
      <c r="O130" s="188">
        <f>G130*'GS&lt;50 Predicted Monthly'!$X$11</f>
        <v>0</v>
      </c>
      <c r="P130" s="188">
        <f>H130*'GS&lt;50 Predicted Monthly'!$X$12</f>
        <v>20084064.457684711</v>
      </c>
      <c r="Q130" s="188">
        <f>I130*'GS&lt;50 Predicted Monthly'!$X$13</f>
        <v>24366331.666387416</v>
      </c>
      <c r="R130" s="188">
        <f>J130*'GS&lt;50 Predicted Monthly'!$X$14</f>
        <v>0</v>
      </c>
      <c r="S130" s="509">
        <f t="shared" ca="1" si="7"/>
        <v>35499724.183117628</v>
      </c>
    </row>
    <row r="131" spans="1:19" x14ac:dyDescent="0.2">
      <c r="A131" s="506">
        <f t="shared" si="17"/>
        <v>46661</v>
      </c>
      <c r="B131" s="59">
        <f t="shared" si="21"/>
        <v>2027</v>
      </c>
      <c r="C131" s="59">
        <f t="shared" si="22"/>
        <v>10</v>
      </c>
      <c r="D131" s="59"/>
      <c r="E131" s="177">
        <f t="shared" ca="1" si="20"/>
        <v>126.12583333333332</v>
      </c>
      <c r="F131" s="177">
        <f t="shared" ca="1" si="20"/>
        <v>24.703125000000007</v>
      </c>
      <c r="G131" s="507">
        <f>'Monthly Data'!CV131</f>
        <v>0</v>
      </c>
      <c r="H131" s="176">
        <f t="shared" si="18"/>
        <v>31</v>
      </c>
      <c r="I131" s="508">
        <f>Economic!M145</f>
        <v>931836.7080687501</v>
      </c>
      <c r="J131" s="176">
        <f t="shared" si="19"/>
        <v>0</v>
      </c>
      <c r="K131" s="59"/>
      <c r="L131" s="188">
        <f>'GS&lt;50 Predicted Monthly'!$X$8</f>
        <v>-13592432.544671699</v>
      </c>
      <c r="M131" s="188">
        <f ca="1">E131*'GS&lt;50 Predicted Monthly'!$X$9</f>
        <v>1742524.177802548</v>
      </c>
      <c r="N131" s="188">
        <f ca="1">F131*'GS&lt;50 Predicted Monthly'!$X$10</f>
        <v>1063379.201807441</v>
      </c>
      <c r="O131" s="188">
        <f>G131*'GS&lt;50 Predicted Monthly'!$X$11</f>
        <v>0</v>
      </c>
      <c r="P131" s="188">
        <f>H131*'GS&lt;50 Predicted Monthly'!$X$12</f>
        <v>20753533.272940867</v>
      </c>
      <c r="Q131" s="188">
        <f>I131*'GS&lt;50 Predicted Monthly'!$X$13</f>
        <v>24318157.851726789</v>
      </c>
      <c r="R131" s="188">
        <f>J131*'GS&lt;50 Predicted Monthly'!$X$14</f>
        <v>0</v>
      </c>
      <c r="S131" s="509">
        <f ca="1">SUM(L131:R131)</f>
        <v>34285161.959605947</v>
      </c>
    </row>
    <row r="132" spans="1:19" x14ac:dyDescent="0.2">
      <c r="A132" s="506">
        <f t="shared" si="17"/>
        <v>46692</v>
      </c>
      <c r="B132" s="59">
        <f t="shared" si="21"/>
        <v>2027</v>
      </c>
      <c r="C132" s="59">
        <f t="shared" si="22"/>
        <v>11</v>
      </c>
      <c r="D132" s="59"/>
      <c r="E132" s="177">
        <f t="shared" ca="1" si="20"/>
        <v>312.40687500000001</v>
      </c>
      <c r="F132" s="177">
        <f t="shared" ca="1" si="20"/>
        <v>1.6454166666666665</v>
      </c>
      <c r="G132" s="507">
        <f>'Monthly Data'!CV132</f>
        <v>0</v>
      </c>
      <c r="H132" s="176">
        <f t="shared" si="18"/>
        <v>30</v>
      </c>
      <c r="I132" s="508">
        <f>Economic!M146</f>
        <v>931836.7080687501</v>
      </c>
      <c r="J132" s="176">
        <f t="shared" si="19"/>
        <v>0</v>
      </c>
      <c r="K132" s="59"/>
      <c r="L132" s="188">
        <f>'GS&lt;50 Predicted Monthly'!$X$8</f>
        <v>-13592432.544671699</v>
      </c>
      <c r="M132" s="188">
        <f ca="1">E132*'GS&lt;50 Predicted Monthly'!$X$9</f>
        <v>4316138.2455291748</v>
      </c>
      <c r="N132" s="188">
        <f ca="1">F132*'GS&lt;50 Predicted Monthly'!$X$10</f>
        <v>70829.170869704118</v>
      </c>
      <c r="O132" s="188">
        <f>G132*'GS&lt;50 Predicted Monthly'!$X$11</f>
        <v>0</v>
      </c>
      <c r="P132" s="188">
        <f>H132*'GS&lt;50 Predicted Monthly'!$X$12</f>
        <v>20084064.457684711</v>
      </c>
      <c r="Q132" s="188">
        <f>I132*'GS&lt;50 Predicted Monthly'!$X$13</f>
        <v>24318157.851726789</v>
      </c>
      <c r="R132" s="188">
        <f>J132*'GS&lt;50 Predicted Monthly'!$X$14</f>
        <v>0</v>
      </c>
      <c r="S132" s="509">
        <f ca="1">SUM(L132:R132)</f>
        <v>35196757.181138679</v>
      </c>
    </row>
    <row r="133" spans="1:19" x14ac:dyDescent="0.2">
      <c r="A133" s="506">
        <f t="shared" si="17"/>
        <v>46722</v>
      </c>
      <c r="B133" s="59">
        <f t="shared" si="21"/>
        <v>2027</v>
      </c>
      <c r="C133" s="59">
        <f t="shared" si="22"/>
        <v>12</v>
      </c>
      <c r="D133" s="59"/>
      <c r="E133" s="177">
        <f t="shared" ca="1" si="20"/>
        <v>473.52499999999998</v>
      </c>
      <c r="F133" s="177">
        <f t="shared" ca="1" si="20"/>
        <v>0</v>
      </c>
      <c r="G133" s="507">
        <f>'Monthly Data'!CV133</f>
        <v>0</v>
      </c>
      <c r="H133" s="176">
        <f t="shared" si="18"/>
        <v>31</v>
      </c>
      <c r="I133" s="508">
        <f>Economic!M147</f>
        <v>931836.7080687501</v>
      </c>
      <c r="J133" s="176">
        <f t="shared" si="19"/>
        <v>0</v>
      </c>
      <c r="K133" s="59"/>
      <c r="L133" s="188">
        <f>'GS&lt;50 Predicted Monthly'!$X$8</f>
        <v>-13592432.544671699</v>
      </c>
      <c r="M133" s="188">
        <f ca="1">E133*'GS&lt;50 Predicted Monthly'!$X$9</f>
        <v>6542107.5087230466</v>
      </c>
      <c r="N133" s="188">
        <f ca="1">F133*'GS&lt;50 Predicted Monthly'!$X$10</f>
        <v>0</v>
      </c>
      <c r="O133" s="188">
        <f>G133*'GS&lt;50 Predicted Monthly'!$X$11</f>
        <v>0</v>
      </c>
      <c r="P133" s="188">
        <f>H133*'GS&lt;50 Predicted Monthly'!$X$12</f>
        <v>20753533.272940867</v>
      </c>
      <c r="Q133" s="188">
        <f>I133*'GS&lt;50 Predicted Monthly'!$X$13</f>
        <v>24318157.851726789</v>
      </c>
      <c r="R133" s="188">
        <f>J133*'GS&lt;50 Predicted Monthly'!$X$14</f>
        <v>0</v>
      </c>
      <c r="S133" s="509">
        <f ca="1">SUM(L133:R133)</f>
        <v>38021366.088719003</v>
      </c>
    </row>
    <row r="134" spans="1:19" x14ac:dyDescent="0.2">
      <c r="A134" s="8"/>
      <c r="E134" s="177"/>
      <c r="F134" s="177"/>
      <c r="G134" s="210"/>
      <c r="H134" s="177"/>
      <c r="I134" s="177"/>
      <c r="L134" s="11"/>
      <c r="M134" s="11"/>
      <c r="N134" s="11"/>
      <c r="O134" s="11"/>
      <c r="P134" s="11"/>
      <c r="Q134" s="11"/>
      <c r="R134" s="11"/>
      <c r="S134" s="13"/>
    </row>
    <row r="135" spans="1:19" x14ac:dyDescent="0.2">
      <c r="A135" s="8"/>
      <c r="E135" s="177"/>
      <c r="F135" s="177"/>
      <c r="G135" s="210"/>
      <c r="H135" s="177"/>
      <c r="I135" s="177"/>
      <c r="L135" s="11"/>
      <c r="M135" s="11"/>
      <c r="N135" s="11"/>
      <c r="O135" s="11"/>
      <c r="P135" s="11"/>
      <c r="Q135" s="11"/>
      <c r="R135" s="11"/>
      <c r="S135" s="13"/>
    </row>
    <row r="136" spans="1:19" x14ac:dyDescent="0.2">
      <c r="A136" s="8"/>
      <c r="E136" s="177"/>
      <c r="F136" s="177"/>
      <c r="G136" s="210"/>
      <c r="H136" s="177"/>
      <c r="I136" s="177"/>
      <c r="L136" s="11"/>
      <c r="M136" s="11"/>
      <c r="N136" s="11"/>
      <c r="O136" s="11"/>
      <c r="P136" s="11"/>
      <c r="Q136" s="11"/>
      <c r="R136" s="11"/>
      <c r="S136" s="13"/>
    </row>
    <row r="137" spans="1:19" x14ac:dyDescent="0.2">
      <c r="A137" s="8"/>
      <c r="E137" s="177"/>
      <c r="F137" s="177"/>
      <c r="G137" s="210"/>
      <c r="H137" s="177"/>
      <c r="I137" s="177"/>
      <c r="L137" s="11"/>
      <c r="M137" s="11"/>
      <c r="N137" s="11"/>
      <c r="O137" s="11"/>
      <c r="P137" s="11"/>
      <c r="Q137" s="11"/>
      <c r="R137" s="11"/>
      <c r="S137" s="13"/>
    </row>
    <row r="138" spans="1:19" x14ac:dyDescent="0.2">
      <c r="A138" s="8"/>
      <c r="E138" s="177"/>
      <c r="F138" s="177"/>
      <c r="G138" s="210"/>
      <c r="H138" s="177"/>
      <c r="I138" s="177"/>
      <c r="L138" s="11"/>
      <c r="M138" s="11"/>
      <c r="N138" s="11"/>
      <c r="O138" s="11"/>
      <c r="P138" s="11"/>
      <c r="Q138" s="11"/>
      <c r="R138" s="11"/>
      <c r="S138" s="13"/>
    </row>
    <row r="139" spans="1:19" x14ac:dyDescent="0.2">
      <c r="A139" s="8"/>
      <c r="E139" s="177"/>
      <c r="F139" s="177"/>
      <c r="G139" s="210"/>
      <c r="H139" s="177"/>
      <c r="I139" s="177"/>
      <c r="L139" s="11"/>
      <c r="M139" s="11"/>
      <c r="N139" s="11"/>
      <c r="O139" s="11"/>
      <c r="P139" s="11"/>
      <c r="Q139" s="11"/>
      <c r="R139" s="11"/>
      <c r="S139" s="13"/>
    </row>
    <row r="140" spans="1:19" x14ac:dyDescent="0.2">
      <c r="A140" s="8"/>
      <c r="E140" s="177"/>
      <c r="F140" s="177"/>
      <c r="G140" s="210"/>
      <c r="H140" s="177"/>
      <c r="I140" s="177"/>
      <c r="L140" s="11"/>
      <c r="M140" s="11"/>
      <c r="N140" s="11"/>
      <c r="O140" s="11"/>
      <c r="P140" s="11"/>
      <c r="Q140" s="11"/>
      <c r="R140" s="11"/>
      <c r="S140" s="13"/>
    </row>
    <row r="141" spans="1:19" x14ac:dyDescent="0.2">
      <c r="A141" s="8"/>
      <c r="E141" s="177"/>
      <c r="F141" s="177"/>
      <c r="G141" s="210"/>
      <c r="H141" s="177"/>
      <c r="I141" s="177"/>
      <c r="L141" s="11"/>
      <c r="M141" s="11"/>
      <c r="N141" s="11"/>
      <c r="O141" s="11"/>
      <c r="P141" s="11"/>
      <c r="Q141" s="11"/>
      <c r="R141" s="11"/>
      <c r="S141" s="13"/>
    </row>
    <row r="142" spans="1:19" x14ac:dyDescent="0.2">
      <c r="A142" s="8"/>
      <c r="E142" s="177"/>
      <c r="F142" s="177"/>
      <c r="G142" s="210"/>
      <c r="H142" s="177"/>
      <c r="I142" s="177"/>
      <c r="L142" s="11"/>
      <c r="M142" s="11"/>
      <c r="N142" s="11"/>
      <c r="O142" s="11"/>
      <c r="P142" s="11"/>
      <c r="Q142" s="11"/>
      <c r="R142" s="11"/>
      <c r="S142" s="13"/>
    </row>
    <row r="143" spans="1:19" x14ac:dyDescent="0.2">
      <c r="A143" s="8"/>
      <c r="E143" s="177"/>
      <c r="F143" s="177"/>
      <c r="G143" s="210"/>
      <c r="H143" s="177"/>
      <c r="I143" s="177"/>
      <c r="L143" s="11"/>
      <c r="M143" s="11"/>
      <c r="N143" s="11"/>
      <c r="O143" s="11"/>
      <c r="P143" s="11"/>
      <c r="Q143" s="11"/>
      <c r="R143" s="11"/>
      <c r="S143" s="13"/>
    </row>
    <row r="144" spans="1:19" x14ac:dyDescent="0.2">
      <c r="A144" s="8"/>
      <c r="E144" s="177"/>
      <c r="F144" s="177"/>
      <c r="G144" s="210"/>
      <c r="H144" s="177"/>
      <c r="I144" s="177"/>
      <c r="L144" s="11"/>
      <c r="M144" s="11"/>
      <c r="N144" s="11"/>
      <c r="O144" s="11"/>
      <c r="P144" s="11"/>
      <c r="Q144" s="11"/>
      <c r="R144" s="11"/>
      <c r="S144" s="13"/>
    </row>
    <row r="145" spans="1:22" x14ac:dyDescent="0.2">
      <c r="A145" s="8"/>
      <c r="E145" s="177"/>
      <c r="F145" s="177"/>
      <c r="G145" s="210"/>
      <c r="H145" s="177"/>
      <c r="I145" s="177"/>
      <c r="L145" s="11"/>
      <c r="M145" s="11"/>
      <c r="N145" s="11"/>
      <c r="O145" s="11"/>
      <c r="P145" s="11"/>
      <c r="Q145" s="11"/>
      <c r="R145" s="11"/>
      <c r="S145" s="13"/>
    </row>
    <row r="148" spans="1:22" x14ac:dyDescent="0.2">
      <c r="U148" s="7"/>
      <c r="V148" s="11"/>
    </row>
    <row r="149" spans="1:22" x14ac:dyDescent="0.2">
      <c r="U149" s="7"/>
      <c r="V149" s="11"/>
    </row>
    <row r="150" spans="1:22" x14ac:dyDescent="0.2">
      <c r="U150" s="7"/>
      <c r="V150" s="7"/>
    </row>
    <row r="194" spans="7:19" x14ac:dyDescent="0.2">
      <c r="G194" s="178"/>
    </row>
    <row r="195" spans="7:19" x14ac:dyDescent="0.2">
      <c r="H195" s="11"/>
      <c r="J195" s="11"/>
      <c r="K195" s="11"/>
      <c r="M195" s="11"/>
      <c r="N195" s="11"/>
      <c r="O195" s="11"/>
      <c r="P195" s="11"/>
      <c r="Q195" s="11"/>
      <c r="R195" s="11"/>
      <c r="S195" s="11"/>
    </row>
    <row r="196" spans="7:19" x14ac:dyDescent="0.2">
      <c r="H196" s="11"/>
      <c r="J196" s="11"/>
      <c r="K196" s="11"/>
      <c r="M196" s="11"/>
      <c r="N196" s="11"/>
      <c r="O196" s="11"/>
      <c r="P196" s="11"/>
      <c r="Q196" s="11"/>
      <c r="R196" s="11"/>
      <c r="S196" s="11"/>
    </row>
    <row r="197" spans="7:19" x14ac:dyDescent="0.2">
      <c r="H197" s="11"/>
      <c r="J197" s="11"/>
      <c r="K197" s="11"/>
      <c r="M197" s="11"/>
      <c r="N197" s="11"/>
      <c r="O197" s="11"/>
      <c r="P197" s="11"/>
      <c r="Q197" s="11"/>
      <c r="R197" s="11"/>
      <c r="S197" s="11"/>
    </row>
    <row r="198" spans="7:19" x14ac:dyDescent="0.2">
      <c r="H198" s="11"/>
      <c r="J198" s="11"/>
      <c r="K198" s="11"/>
      <c r="M198" s="11"/>
      <c r="N198" s="11"/>
      <c r="O198" s="11"/>
      <c r="P198" s="11"/>
      <c r="Q198" s="11"/>
      <c r="R198" s="11"/>
      <c r="S198" s="11"/>
    </row>
    <row r="199" spans="7:19" x14ac:dyDescent="0.2">
      <c r="H199" s="11"/>
      <c r="J199" s="11"/>
      <c r="K199" s="11"/>
      <c r="M199" s="11"/>
      <c r="N199" s="11"/>
      <c r="O199" s="11"/>
      <c r="P199" s="11"/>
      <c r="Q199" s="11"/>
      <c r="R199" s="11"/>
      <c r="S199" s="11"/>
    </row>
    <row r="200" spans="7:19" x14ac:dyDescent="0.2">
      <c r="H200" s="11"/>
      <c r="J200" s="11"/>
      <c r="K200" s="11"/>
      <c r="M200" s="11"/>
      <c r="N200" s="11"/>
      <c r="O200" s="11"/>
      <c r="P200" s="11"/>
      <c r="Q200" s="11"/>
      <c r="R200" s="11"/>
      <c r="S200" s="11"/>
    </row>
    <row r="201" spans="7:19" x14ac:dyDescent="0.2">
      <c r="H201" s="11"/>
      <c r="J201" s="11"/>
      <c r="K201" s="11"/>
      <c r="M201" s="11"/>
      <c r="N201" s="11"/>
      <c r="O201" s="11"/>
      <c r="P201" s="11"/>
      <c r="Q201" s="11"/>
      <c r="R201" s="11"/>
      <c r="S201" s="11"/>
    </row>
    <row r="202" spans="7:19" x14ac:dyDescent="0.2">
      <c r="H202" s="11"/>
      <c r="J202" s="11"/>
      <c r="K202" s="11"/>
      <c r="M202" s="11"/>
      <c r="N202" s="11"/>
      <c r="O202" s="11"/>
      <c r="P202" s="11"/>
      <c r="Q202" s="11"/>
      <c r="R202" s="11"/>
      <c r="S202" s="11"/>
    </row>
    <row r="203" spans="7:19" x14ac:dyDescent="0.2">
      <c r="G203"/>
    </row>
    <row r="204" spans="7:19" x14ac:dyDescent="0.2">
      <c r="G204"/>
      <c r="J204" s="19"/>
      <c r="K204" s="19"/>
      <c r="L204" s="19"/>
      <c r="M204" s="19"/>
      <c r="N204" s="19"/>
      <c r="O204" s="19"/>
      <c r="P204" s="19"/>
      <c r="Q204" s="19"/>
      <c r="R204" s="19"/>
      <c r="S204" s="19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9"/>
  <dimension ref="A1:X204"/>
  <sheetViews>
    <sheetView topLeftCell="A103" workbookViewId="0">
      <selection activeCell="S110" sqref="S110:T133"/>
    </sheetView>
  </sheetViews>
  <sheetFormatPr defaultColWidth="9.33203125" defaultRowHeight="12.75" x14ac:dyDescent="0.2"/>
  <cols>
    <col min="1" max="1" width="10.33203125" bestFit="1" customWidth="1"/>
    <col min="2" max="3" width="9.5" bestFit="1" customWidth="1"/>
    <col min="4" max="4" width="17.5" customWidth="1"/>
    <col min="5" max="9" width="9.5" bestFit="1" customWidth="1"/>
    <col min="10" max="10" width="9.5" customWidth="1"/>
    <col min="11" max="11" width="9.5" bestFit="1" customWidth="1"/>
    <col min="13" max="13" width="14.83203125" bestFit="1" customWidth="1"/>
    <col min="14" max="14" width="12.83203125" bestFit="1" customWidth="1"/>
    <col min="15" max="15" width="13.83203125" bestFit="1" customWidth="1"/>
    <col min="16" max="16" width="13.83203125" customWidth="1"/>
    <col min="17" max="17" width="13.83203125" bestFit="1" customWidth="1"/>
    <col min="18" max="20" width="12.5" customWidth="1"/>
    <col min="21" max="21" width="19.6640625" customWidth="1"/>
    <col min="22" max="22" width="13.83203125" bestFit="1" customWidth="1"/>
    <col min="23" max="23" width="12.5" bestFit="1" customWidth="1"/>
  </cols>
  <sheetData>
    <row r="1" spans="1:21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Data'!N1</f>
        <v>GS_gt_50_NoCDM</v>
      </c>
      <c r="E1" s="181" t="str">
        <f>'Monthly Data'!BJ1</f>
        <v>HDD14</v>
      </c>
      <c r="F1" s="181" t="str">
        <f>'Monthly Data'!BK1</f>
        <v>CDD14</v>
      </c>
      <c r="G1" s="182" t="str">
        <f>'Monthly Data'!CV1</f>
        <v>COVID_AM</v>
      </c>
      <c r="H1" s="181" t="str">
        <f>'Monthly Data'!CS1</f>
        <v>Month Days</v>
      </c>
      <c r="I1" s="180" t="str">
        <f>'Monthly Data'!AO1</f>
        <v>OEA_GDP</v>
      </c>
      <c r="J1" s="180" t="str">
        <f>'Monthly Data'!CF1</f>
        <v>Fall</v>
      </c>
      <c r="K1" s="180" t="str">
        <f>'Monthly Data'!BY1</f>
        <v>Aug</v>
      </c>
      <c r="M1" s="171" t="s">
        <v>65</v>
      </c>
      <c r="N1" s="181" t="str">
        <f t="shared" ref="N1:S1" si="0">E1</f>
        <v>HDD14</v>
      </c>
      <c r="O1" s="181" t="str">
        <f t="shared" si="0"/>
        <v>CDD14</v>
      </c>
      <c r="P1" s="181" t="str">
        <f t="shared" si="0"/>
        <v>COVID_AM</v>
      </c>
      <c r="Q1" s="181" t="str">
        <f t="shared" si="0"/>
        <v>Month Days</v>
      </c>
      <c r="R1" s="181" t="str">
        <f t="shared" si="0"/>
        <v>OEA_GDP</v>
      </c>
      <c r="S1" s="181" t="str">
        <f t="shared" si="0"/>
        <v>Fall</v>
      </c>
      <c r="T1" s="181" t="str">
        <f t="shared" ref="T1" si="1">K1</f>
        <v>Aug</v>
      </c>
      <c r="U1" s="171" t="s">
        <v>373</v>
      </c>
    </row>
    <row r="2" spans="1:21" x14ac:dyDescent="0.2">
      <c r="A2" s="8">
        <f>'Monthly Data'!A2</f>
        <v>42736</v>
      </c>
      <c r="B2">
        <f t="shared" ref="B2:B61" si="2">YEAR(A2)</f>
        <v>2017</v>
      </c>
      <c r="C2">
        <f t="shared" ref="C2:C61" si="3">MONTH(A2)</f>
        <v>1</v>
      </c>
      <c r="D2" s="18">
        <f>'Monthly Data'!N2</f>
        <v>115950733.09478092</v>
      </c>
      <c r="E2" s="21">
        <f ca="1">Weather!BQ34</f>
        <v>566.30416666666667</v>
      </c>
      <c r="F2" s="21">
        <f ca="1">Weather!BR34</f>
        <v>0</v>
      </c>
      <c r="G2" s="211">
        <f>'Monthly Data'!CV2</f>
        <v>0</v>
      </c>
      <c r="H2" s="7">
        <f>'Monthly Data'!CS2</f>
        <v>31</v>
      </c>
      <c r="I2" s="19">
        <f>'Monthly Data'!AO2</f>
        <v>756670</v>
      </c>
      <c r="J2" s="19">
        <f>'Monthly Data'!CF2</f>
        <v>0</v>
      </c>
      <c r="K2" s="19">
        <f>'Monthly Data'!BY2</f>
        <v>0</v>
      </c>
      <c r="M2" s="11">
        <f>'GS &gt; 50 Predicted Monthly'!$Z$10</f>
        <v>-1907163.1226077401</v>
      </c>
      <c r="N2" s="11">
        <f ca="1">E2*'GS &gt; 50 Predicted Monthly'!$Z$11</f>
        <v>12081080.030243821</v>
      </c>
      <c r="O2" s="11">
        <f ca="1">F2*'GS &gt; 50 Predicted Monthly'!$Z$12</f>
        <v>0</v>
      </c>
      <c r="P2" s="11">
        <f>G2*'GS &gt; 50 Predicted Monthly'!$Z$13</f>
        <v>0</v>
      </c>
      <c r="Q2" s="11">
        <f>H2*'GS &gt; 50 Predicted Monthly'!$Z$14</f>
        <v>79525500.842962876</v>
      </c>
      <c r="R2" s="11">
        <f>I2*'GS &gt; 50 Predicted Monthly'!$Z$15</f>
        <v>33389013.200482801</v>
      </c>
      <c r="S2" s="11">
        <f>J2*'GS &gt; 50 Predicted Monthly'!$Z$16</f>
        <v>0</v>
      </c>
      <c r="T2" s="11">
        <f>K2*'GS &gt; 50 Predicted Monthly'!$Z$17</f>
        <v>0</v>
      </c>
      <c r="U2" s="11">
        <f ca="1">SUM(M2:T2)</f>
        <v>123088430.95108175</v>
      </c>
    </row>
    <row r="3" spans="1:21" x14ac:dyDescent="0.2">
      <c r="A3" s="8">
        <f>'Monthly Data'!A3</f>
        <v>42767</v>
      </c>
      <c r="B3">
        <f t="shared" si="2"/>
        <v>2017</v>
      </c>
      <c r="C3">
        <f t="shared" si="3"/>
        <v>2</v>
      </c>
      <c r="D3" s="18">
        <f>'Monthly Data'!N3</f>
        <v>123340878.84075171</v>
      </c>
      <c r="E3" s="21">
        <f ca="1">Weather!BQ35</f>
        <v>483.54541666666665</v>
      </c>
      <c r="F3" s="21">
        <f ca="1">Weather!BR35</f>
        <v>0</v>
      </c>
      <c r="G3" s="211">
        <f>'Monthly Data'!CV3</f>
        <v>0</v>
      </c>
      <c r="H3" s="7">
        <f>'Monthly Data'!CS3</f>
        <v>28</v>
      </c>
      <c r="I3" s="19">
        <f>'Monthly Data'!AO3</f>
        <v>756670</v>
      </c>
      <c r="J3" s="19">
        <f>'Monthly Data'!CF3</f>
        <v>0</v>
      </c>
      <c r="K3" s="19">
        <f>'Monthly Data'!BY3</f>
        <v>0</v>
      </c>
      <c r="M3" s="11">
        <f>'GS &gt; 50 Predicted Monthly'!$Z$10</f>
        <v>-1907163.1226077401</v>
      </c>
      <c r="N3" s="11">
        <f ca="1">E3*'GS &gt; 50 Predicted Monthly'!$Z$11</f>
        <v>10315571.067387393</v>
      </c>
      <c r="O3" s="11">
        <f ca="1">F3*'GS &gt; 50 Predicted Monthly'!$Z$12</f>
        <v>0</v>
      </c>
      <c r="P3" s="11">
        <f>G3*'GS &gt; 50 Predicted Monthly'!$Z$13</f>
        <v>0</v>
      </c>
      <c r="Q3" s="11">
        <f>H3*'GS &gt; 50 Predicted Monthly'!$Z$14</f>
        <v>71829484.632353559</v>
      </c>
      <c r="R3" s="11">
        <f>I3*'GS &gt; 50 Predicted Monthly'!$Z$15</f>
        <v>33389013.200482801</v>
      </c>
      <c r="S3" s="11">
        <f>J3*'GS &gt; 50 Predicted Monthly'!$Z$16</f>
        <v>0</v>
      </c>
      <c r="T3" s="11">
        <f>K3*'GS &gt; 50 Predicted Monthly'!$Z$17</f>
        <v>0</v>
      </c>
      <c r="U3" s="11">
        <f t="shared" ref="U3:U66" ca="1" si="4">SUM(M3:T3)</f>
        <v>113626905.77761601</v>
      </c>
    </row>
    <row r="4" spans="1:21" x14ac:dyDescent="0.2">
      <c r="A4" s="8">
        <f>'Monthly Data'!A4</f>
        <v>42795</v>
      </c>
      <c r="B4">
        <f t="shared" si="2"/>
        <v>2017</v>
      </c>
      <c r="C4">
        <f t="shared" si="3"/>
        <v>3</v>
      </c>
      <c r="D4" s="18">
        <f>'Monthly Data'!N4</f>
        <v>126128064.58672249</v>
      </c>
      <c r="E4" s="21">
        <f ca="1">Weather!BQ36</f>
        <v>393.96333333333331</v>
      </c>
      <c r="F4" s="21">
        <f ca="1">Weather!BR36</f>
        <v>0</v>
      </c>
      <c r="G4" s="211">
        <f>'Monthly Data'!CV4</f>
        <v>0</v>
      </c>
      <c r="H4" s="7">
        <f>'Monthly Data'!CS4</f>
        <v>31</v>
      </c>
      <c r="I4" s="19">
        <f>'Monthly Data'!AO4</f>
        <v>756670</v>
      </c>
      <c r="J4" s="19">
        <f>'Monthly Data'!CF4</f>
        <v>0</v>
      </c>
      <c r="K4" s="19">
        <f>'Monthly Data'!BY4</f>
        <v>0</v>
      </c>
      <c r="M4" s="11">
        <f>'GS &gt; 50 Predicted Monthly'!$Z$10</f>
        <v>-1907163.1226077401</v>
      </c>
      <c r="N4" s="11">
        <f ca="1">E4*'GS &gt; 50 Predicted Monthly'!$Z$11</f>
        <v>8404498.5700822547</v>
      </c>
      <c r="O4" s="11">
        <f ca="1">F4*'GS &gt; 50 Predicted Monthly'!$Z$12</f>
        <v>0</v>
      </c>
      <c r="P4" s="11">
        <f>G4*'GS &gt; 50 Predicted Monthly'!$Z$13</f>
        <v>0</v>
      </c>
      <c r="Q4" s="11">
        <f>H4*'GS &gt; 50 Predicted Monthly'!$Z$14</f>
        <v>79525500.842962876</v>
      </c>
      <c r="R4" s="11">
        <f>I4*'GS &gt; 50 Predicted Monthly'!$Z$15</f>
        <v>33389013.200482801</v>
      </c>
      <c r="S4" s="11">
        <f>J4*'GS &gt; 50 Predicted Monthly'!$Z$16</f>
        <v>0</v>
      </c>
      <c r="T4" s="11">
        <f>K4*'GS &gt; 50 Predicted Monthly'!$Z$17</f>
        <v>0</v>
      </c>
      <c r="U4" s="11">
        <f t="shared" ca="1" si="4"/>
        <v>119411849.49092019</v>
      </c>
    </row>
    <row r="5" spans="1:21" x14ac:dyDescent="0.2">
      <c r="A5" s="8">
        <f>'Monthly Data'!A5</f>
        <v>42826</v>
      </c>
      <c r="B5">
        <f t="shared" si="2"/>
        <v>2017</v>
      </c>
      <c r="C5">
        <f t="shared" si="3"/>
        <v>4</v>
      </c>
      <c r="D5" s="18">
        <f>'Monthly Data'!N5</f>
        <v>112971341.33269329</v>
      </c>
      <c r="E5" s="21">
        <f ca="1">Weather!BQ37</f>
        <v>226.60145833333337</v>
      </c>
      <c r="F5" s="21">
        <f ca="1">Weather!BR37</f>
        <v>6.5650000000000031</v>
      </c>
      <c r="G5" s="211">
        <f>'Monthly Data'!CV5</f>
        <v>0</v>
      </c>
      <c r="H5" s="7">
        <f>'Monthly Data'!CS5</f>
        <v>30</v>
      </c>
      <c r="I5" s="19">
        <f>'Monthly Data'!AO5</f>
        <v>764676</v>
      </c>
      <c r="J5" s="19">
        <f>'Monthly Data'!CF5</f>
        <v>0</v>
      </c>
      <c r="K5" s="19">
        <f>'Monthly Data'!BY5</f>
        <v>0</v>
      </c>
      <c r="M5" s="11">
        <f>'GS &gt; 50 Predicted Monthly'!$Z$10</f>
        <v>-1907163.1226077401</v>
      </c>
      <c r="N5" s="11">
        <f ca="1">E5*'GS &gt; 50 Predicted Monthly'!$Z$11</f>
        <v>4834134.2236783141</v>
      </c>
      <c r="O5" s="11">
        <f ca="1">F5*'GS &gt; 50 Predicted Monthly'!$Z$12</f>
        <v>777698.14771157305</v>
      </c>
      <c r="P5" s="11">
        <f>G5*'GS &gt; 50 Predicted Monthly'!$Z$13</f>
        <v>0</v>
      </c>
      <c r="Q5" s="11">
        <f>H5*'GS &gt; 50 Predicted Monthly'!$Z$14</f>
        <v>76960162.106093109</v>
      </c>
      <c r="R5" s="11">
        <f>I5*'GS &gt; 50 Predicted Monthly'!$Z$15</f>
        <v>33742287.996210217</v>
      </c>
      <c r="S5" s="11">
        <f>J5*'GS &gt; 50 Predicted Monthly'!$Z$16</f>
        <v>0</v>
      </c>
      <c r="T5" s="11">
        <f>K5*'GS &gt; 50 Predicted Monthly'!$Z$17</f>
        <v>0</v>
      </c>
      <c r="U5" s="11">
        <f t="shared" ca="1" si="4"/>
        <v>114407119.35108547</v>
      </c>
    </row>
    <row r="6" spans="1:21" x14ac:dyDescent="0.2">
      <c r="A6" s="8">
        <f>'Monthly Data'!A6</f>
        <v>42856</v>
      </c>
      <c r="B6">
        <f t="shared" si="2"/>
        <v>2017</v>
      </c>
      <c r="C6">
        <f t="shared" si="3"/>
        <v>5</v>
      </c>
      <c r="D6" s="18">
        <f>'Monthly Data'!N6</f>
        <v>120807160.07866408</v>
      </c>
      <c r="E6" s="21">
        <f ca="1">Weather!BQ38</f>
        <v>65.335833333333326</v>
      </c>
      <c r="F6" s="21">
        <f ca="1">Weather!BR38</f>
        <v>59.300416666666649</v>
      </c>
      <c r="G6" s="211">
        <f>'Monthly Data'!CV6</f>
        <v>0</v>
      </c>
      <c r="H6" s="7">
        <f>'Monthly Data'!CS6</f>
        <v>31</v>
      </c>
      <c r="I6" s="19">
        <f>'Monthly Data'!AO6</f>
        <v>764676</v>
      </c>
      <c r="J6" s="19">
        <f>'Monthly Data'!CF6</f>
        <v>0</v>
      </c>
      <c r="K6" s="19">
        <f>'Monthly Data'!BY6</f>
        <v>0</v>
      </c>
      <c r="M6" s="11">
        <f>'GS &gt; 50 Predicted Monthly'!$Z$10</f>
        <v>-1907163.1226077401</v>
      </c>
      <c r="N6" s="11">
        <f ca="1">E6*'GS &gt; 50 Predicted Monthly'!$Z$11</f>
        <v>1393822.3975796374</v>
      </c>
      <c r="O6" s="11">
        <f ca="1">F6*'GS &gt; 50 Predicted Monthly'!$Z$12</f>
        <v>7024801.8583687926</v>
      </c>
      <c r="P6" s="11">
        <f>G6*'GS &gt; 50 Predicted Monthly'!$Z$13</f>
        <v>0</v>
      </c>
      <c r="Q6" s="11">
        <f>H6*'GS &gt; 50 Predicted Monthly'!$Z$14</f>
        <v>79525500.842962876</v>
      </c>
      <c r="R6" s="11">
        <f>I6*'GS &gt; 50 Predicted Monthly'!$Z$15</f>
        <v>33742287.996210217</v>
      </c>
      <c r="S6" s="11">
        <f>J6*'GS &gt; 50 Predicted Monthly'!$Z$16</f>
        <v>0</v>
      </c>
      <c r="T6" s="11">
        <f>K6*'GS &gt; 50 Predicted Monthly'!$Z$17</f>
        <v>0</v>
      </c>
      <c r="U6" s="11">
        <f t="shared" ca="1" si="4"/>
        <v>119779249.97251378</v>
      </c>
    </row>
    <row r="7" spans="1:21" x14ac:dyDescent="0.2">
      <c r="A7" s="8">
        <f>'Monthly Data'!A7</f>
        <v>42887</v>
      </c>
      <c r="B7">
        <f t="shared" si="2"/>
        <v>2017</v>
      </c>
      <c r="C7">
        <f t="shared" si="3"/>
        <v>6</v>
      </c>
      <c r="D7" s="18">
        <f>'Monthly Data'!N7</f>
        <v>128030519.82463486</v>
      </c>
      <c r="E7" s="21">
        <f ca="1">Weather!BQ39</f>
        <v>3.0447916666666672</v>
      </c>
      <c r="F7" s="21">
        <f ca="1">Weather!BR39</f>
        <v>157.17000000000002</v>
      </c>
      <c r="G7" s="211">
        <f>'Monthly Data'!CV7</f>
        <v>0</v>
      </c>
      <c r="H7" s="7">
        <f>'Monthly Data'!CS7</f>
        <v>30</v>
      </c>
      <c r="I7" s="19">
        <f>'Monthly Data'!AO7</f>
        <v>764676</v>
      </c>
      <c r="J7" s="19">
        <f>'Monthly Data'!CF7</f>
        <v>0</v>
      </c>
      <c r="K7" s="19">
        <f>'Monthly Data'!BY7</f>
        <v>0</v>
      </c>
      <c r="M7" s="11">
        <f>'GS &gt; 50 Predicted Monthly'!$Z$10</f>
        <v>-1907163.1226077401</v>
      </c>
      <c r="N7" s="11">
        <f ca="1">E7*'GS &gt; 50 Predicted Monthly'!$Z$11</f>
        <v>64955.149486073256</v>
      </c>
      <c r="O7" s="11">
        <f ca="1">F7*'GS &gt; 50 Predicted Monthly'!$Z$12</f>
        <v>18618555.655114681</v>
      </c>
      <c r="P7" s="11">
        <f>G7*'GS &gt; 50 Predicted Monthly'!$Z$13</f>
        <v>0</v>
      </c>
      <c r="Q7" s="11">
        <f>H7*'GS &gt; 50 Predicted Monthly'!$Z$14</f>
        <v>76960162.106093109</v>
      </c>
      <c r="R7" s="11">
        <f>I7*'GS &gt; 50 Predicted Monthly'!$Z$15</f>
        <v>33742287.996210217</v>
      </c>
      <c r="S7" s="11">
        <f>J7*'GS &gt; 50 Predicted Monthly'!$Z$16</f>
        <v>0</v>
      </c>
      <c r="T7" s="11">
        <f>K7*'GS &gt; 50 Predicted Monthly'!$Z$17</f>
        <v>0</v>
      </c>
      <c r="U7" s="11">
        <f t="shared" ca="1" si="4"/>
        <v>127478797.78429633</v>
      </c>
    </row>
    <row r="8" spans="1:21" x14ac:dyDescent="0.2">
      <c r="A8" s="8">
        <f>'Monthly Data'!A8</f>
        <v>42917</v>
      </c>
      <c r="B8">
        <f t="shared" si="2"/>
        <v>2017</v>
      </c>
      <c r="C8">
        <f t="shared" si="3"/>
        <v>7</v>
      </c>
      <c r="D8" s="18">
        <f>'Monthly Data'!N8</f>
        <v>133204977.57060567</v>
      </c>
      <c r="E8" s="21">
        <f ca="1">Weather!BQ40</f>
        <v>0</v>
      </c>
      <c r="F8" s="21">
        <f ca="1">Weather!BR40</f>
        <v>231.27145833333333</v>
      </c>
      <c r="G8" s="211">
        <f>'Monthly Data'!CV8</f>
        <v>0</v>
      </c>
      <c r="H8" s="7">
        <f>'Monthly Data'!CS8</f>
        <v>31</v>
      </c>
      <c r="I8" s="19">
        <f>'Monthly Data'!AO8</f>
        <v>765009</v>
      </c>
      <c r="J8" s="19">
        <f>'Monthly Data'!CF8</f>
        <v>0</v>
      </c>
      <c r="K8" s="19">
        <f>'Monthly Data'!BY8</f>
        <v>0</v>
      </c>
      <c r="M8" s="11">
        <f>'GS &gt; 50 Predicted Monthly'!$Z$10</f>
        <v>-1907163.1226077401</v>
      </c>
      <c r="N8" s="11">
        <f ca="1">E8*'GS &gt; 50 Predicted Monthly'!$Z$11</f>
        <v>0</v>
      </c>
      <c r="O8" s="11">
        <f ca="1">F8*'GS &gt; 50 Predicted Monthly'!$Z$12</f>
        <v>27396707.50409558</v>
      </c>
      <c r="P8" s="11">
        <f>G8*'GS &gt; 50 Predicted Monthly'!$Z$13</f>
        <v>0</v>
      </c>
      <c r="Q8" s="11">
        <f>H8*'GS &gt; 50 Predicted Monthly'!$Z$14</f>
        <v>79525500.842962876</v>
      </c>
      <c r="R8" s="11">
        <f>I8*'GS &gt; 50 Predicted Monthly'!$Z$15</f>
        <v>33756982.039050244</v>
      </c>
      <c r="S8" s="11">
        <f>J8*'GS &gt; 50 Predicted Monthly'!$Z$16</f>
        <v>0</v>
      </c>
      <c r="T8" s="11">
        <f>K8*'GS &gt; 50 Predicted Monthly'!$Z$17</f>
        <v>0</v>
      </c>
      <c r="U8" s="11">
        <f t="shared" ca="1" si="4"/>
        <v>138772027.26350096</v>
      </c>
    </row>
    <row r="9" spans="1:21" x14ac:dyDescent="0.2">
      <c r="A9" s="8">
        <f>'Monthly Data'!A9</f>
        <v>42948</v>
      </c>
      <c r="B9">
        <f t="shared" si="2"/>
        <v>2017</v>
      </c>
      <c r="C9">
        <f t="shared" si="3"/>
        <v>8</v>
      </c>
      <c r="D9" s="18">
        <f>'Monthly Data'!N9</f>
        <v>131492737.31657645</v>
      </c>
      <c r="E9" s="21">
        <f ca="1">Weather!BQ41</f>
        <v>0.27875000000000066</v>
      </c>
      <c r="F9" s="21">
        <f ca="1">Weather!BR41</f>
        <v>196.13625000000002</v>
      </c>
      <c r="G9" s="211">
        <f>'Monthly Data'!CV9</f>
        <v>0</v>
      </c>
      <c r="H9" s="7">
        <f>'Monthly Data'!CS9</f>
        <v>31</v>
      </c>
      <c r="I9" s="19">
        <f>'Monthly Data'!AO9</f>
        <v>765009</v>
      </c>
      <c r="J9" s="19">
        <f>'Monthly Data'!CF9</f>
        <v>0</v>
      </c>
      <c r="K9" s="19">
        <f>'Monthly Data'!BY9</f>
        <v>1</v>
      </c>
      <c r="M9" s="11">
        <f>'GS &gt; 50 Predicted Monthly'!$Z$10</f>
        <v>-1907163.1226077401</v>
      </c>
      <c r="N9" s="11">
        <f ca="1">E9*'GS &gt; 50 Predicted Monthly'!$Z$11</f>
        <v>5946.629491095875</v>
      </c>
      <c r="O9" s="11">
        <f ca="1">F9*'GS &gt; 50 Predicted Monthly'!$Z$12</f>
        <v>23234546.584020402</v>
      </c>
      <c r="P9" s="11">
        <f>G9*'GS &gt; 50 Predicted Monthly'!$Z$13</f>
        <v>0</v>
      </c>
      <c r="Q9" s="11">
        <f>H9*'GS &gt; 50 Predicted Monthly'!$Z$14</f>
        <v>79525500.842962876</v>
      </c>
      <c r="R9" s="11">
        <f>I9*'GS &gt; 50 Predicted Monthly'!$Z$15</f>
        <v>33756982.039050244</v>
      </c>
      <c r="S9" s="11">
        <f>J9*'GS &gt; 50 Predicted Monthly'!$Z$16</f>
        <v>0</v>
      </c>
      <c r="T9" s="11">
        <f>K9*'GS &gt; 50 Predicted Monthly'!$Z$17</f>
        <v>2800660.9376037801</v>
      </c>
      <c r="U9" s="11">
        <f t="shared" ca="1" si="4"/>
        <v>137416473.91052064</v>
      </c>
    </row>
    <row r="10" spans="1:21" x14ac:dyDescent="0.2">
      <c r="A10" s="8">
        <f>'Monthly Data'!A10</f>
        <v>42979</v>
      </c>
      <c r="B10">
        <f t="shared" si="2"/>
        <v>2017</v>
      </c>
      <c r="C10">
        <f t="shared" si="3"/>
        <v>9</v>
      </c>
      <c r="D10" s="18">
        <f>'Monthly Data'!N10</f>
        <v>125862189.06254724</v>
      </c>
      <c r="E10" s="21">
        <f ca="1">Weather!BQ42</f>
        <v>11.319999999999997</v>
      </c>
      <c r="F10" s="21">
        <f ca="1">Weather!BR42</f>
        <v>104.19854166666664</v>
      </c>
      <c r="G10" s="211">
        <f>'Monthly Data'!CV10</f>
        <v>0</v>
      </c>
      <c r="H10" s="7">
        <f>'Monthly Data'!CS10</f>
        <v>30</v>
      </c>
      <c r="I10" s="19">
        <f>'Monthly Data'!AO10</f>
        <v>765009</v>
      </c>
      <c r="J10" s="19">
        <f>'Monthly Data'!CF10</f>
        <v>1</v>
      </c>
      <c r="K10" s="19">
        <f>'Monthly Data'!BY10</f>
        <v>0</v>
      </c>
      <c r="M10" s="11">
        <f>'GS &gt; 50 Predicted Monthly'!$Z$10</f>
        <v>-1907163.1226077401</v>
      </c>
      <c r="N10" s="11">
        <f ca="1">E10*'GS &gt; 50 Predicted Monthly'!$Z$11</f>
        <v>241491.82363840402</v>
      </c>
      <c r="O10" s="11">
        <f ca="1">F10*'GS &gt; 50 Predicted Monthly'!$Z$12</f>
        <v>12343490.152081305</v>
      </c>
      <c r="P10" s="11">
        <f>G10*'GS &gt; 50 Predicted Monthly'!$Z$13</f>
        <v>0</v>
      </c>
      <c r="Q10" s="11">
        <f>H10*'GS &gt; 50 Predicted Monthly'!$Z$14</f>
        <v>76960162.106093109</v>
      </c>
      <c r="R10" s="11">
        <f>I10*'GS &gt; 50 Predicted Monthly'!$Z$15</f>
        <v>33756982.039050244</v>
      </c>
      <c r="S10" s="11">
        <f>J10*'GS &gt; 50 Predicted Monthly'!$Z$16</f>
        <v>3497669.1063549998</v>
      </c>
      <c r="T10" s="11">
        <f>K10*'GS &gt; 50 Predicted Monthly'!$Z$17</f>
        <v>0</v>
      </c>
      <c r="U10" s="11">
        <f t="shared" ca="1" si="4"/>
        <v>124892632.10461031</v>
      </c>
    </row>
    <row r="11" spans="1:21" x14ac:dyDescent="0.2">
      <c r="A11" s="8">
        <f>'Monthly Data'!A11</f>
        <v>43009</v>
      </c>
      <c r="B11">
        <f t="shared" si="2"/>
        <v>2017</v>
      </c>
      <c r="C11">
        <f t="shared" si="3"/>
        <v>10</v>
      </c>
      <c r="D11" s="18">
        <f>'Monthly Data'!N11</f>
        <v>120542924.80851802</v>
      </c>
      <c r="E11" s="21">
        <f ca="1">Weather!BQ43</f>
        <v>126.12583333333332</v>
      </c>
      <c r="F11" s="21">
        <f ca="1">Weather!BR43</f>
        <v>24.703125000000007</v>
      </c>
      <c r="G11" s="211">
        <f>'Monthly Data'!CV11</f>
        <v>0</v>
      </c>
      <c r="H11" s="7">
        <f>'Monthly Data'!CS11</f>
        <v>31</v>
      </c>
      <c r="I11" s="19">
        <f>'Monthly Data'!AO11</f>
        <v>771506</v>
      </c>
      <c r="J11" s="19">
        <f>'Monthly Data'!CF11</f>
        <v>1</v>
      </c>
      <c r="K11" s="19">
        <f>'Monthly Data'!BY11</f>
        <v>0</v>
      </c>
      <c r="M11" s="11">
        <f>'GS &gt; 50 Predicted Monthly'!$Z$10</f>
        <v>-1907163.1226077401</v>
      </c>
      <c r="N11" s="11">
        <f ca="1">E11*'GS &gt; 50 Predicted Monthly'!$Z$11</f>
        <v>2690667.6236378159</v>
      </c>
      <c r="O11" s="11">
        <f ca="1">F11*'GS &gt; 50 Predicted Monthly'!$Z$12</f>
        <v>2926363.2224200224</v>
      </c>
      <c r="P11" s="11">
        <f>G11*'GS &gt; 50 Predicted Monthly'!$Z$13</f>
        <v>0</v>
      </c>
      <c r="Q11" s="11">
        <f>H11*'GS &gt; 50 Predicted Monthly'!$Z$14</f>
        <v>79525500.842962876</v>
      </c>
      <c r="R11" s="11">
        <f>I11*'GS &gt; 50 Predicted Monthly'!$Z$15</f>
        <v>34043670.316322416</v>
      </c>
      <c r="S11" s="11">
        <f>J11*'GS &gt; 50 Predicted Monthly'!$Z$16</f>
        <v>3497669.1063549998</v>
      </c>
      <c r="T11" s="11">
        <f>K11*'GS &gt; 50 Predicted Monthly'!$Z$17</f>
        <v>0</v>
      </c>
      <c r="U11" s="11">
        <f t="shared" ca="1" si="4"/>
        <v>120776707.98909038</v>
      </c>
    </row>
    <row r="12" spans="1:21" x14ac:dyDescent="0.2">
      <c r="A12" s="8">
        <f>'Monthly Data'!A12</f>
        <v>43040</v>
      </c>
      <c r="B12">
        <f t="shared" si="2"/>
        <v>2017</v>
      </c>
      <c r="C12">
        <f t="shared" si="3"/>
        <v>11</v>
      </c>
      <c r="D12" s="18">
        <f>'Monthly Data'!N12</f>
        <v>118519529.55448882</v>
      </c>
      <c r="E12" s="21">
        <f ca="1">Weather!BQ44</f>
        <v>312.40687500000001</v>
      </c>
      <c r="F12" s="21">
        <f ca="1">Weather!BR44</f>
        <v>1.6454166666666665</v>
      </c>
      <c r="G12" s="211">
        <f>'Monthly Data'!CV12</f>
        <v>0</v>
      </c>
      <c r="H12" s="7">
        <f>'Monthly Data'!CS12</f>
        <v>30</v>
      </c>
      <c r="I12" s="19">
        <f>'Monthly Data'!AO12</f>
        <v>771506</v>
      </c>
      <c r="J12" s="19">
        <f>'Monthly Data'!CF12</f>
        <v>1</v>
      </c>
      <c r="K12" s="19">
        <f>'Monthly Data'!BY12</f>
        <v>0</v>
      </c>
      <c r="M12" s="11">
        <f>'GS &gt; 50 Predicted Monthly'!$Z$10</f>
        <v>-1907163.1226077401</v>
      </c>
      <c r="N12" s="11">
        <f ca="1">E12*'GS &gt; 50 Predicted Monthly'!$Z$11</f>
        <v>6664638.335770756</v>
      </c>
      <c r="O12" s="11">
        <f ca="1">F12*'GS &gt; 50 Predicted Monthly'!$Z$12</f>
        <v>194918.12549587458</v>
      </c>
      <c r="P12" s="11">
        <f>G12*'GS &gt; 50 Predicted Monthly'!$Z$13</f>
        <v>0</v>
      </c>
      <c r="Q12" s="11">
        <f>H12*'GS &gt; 50 Predicted Monthly'!$Z$14</f>
        <v>76960162.106093109</v>
      </c>
      <c r="R12" s="11">
        <f>I12*'GS &gt; 50 Predicted Monthly'!$Z$15</f>
        <v>34043670.316322416</v>
      </c>
      <c r="S12" s="11">
        <f>J12*'GS &gt; 50 Predicted Monthly'!$Z$16</f>
        <v>3497669.1063549998</v>
      </c>
      <c r="T12" s="11">
        <f>K12*'GS &gt; 50 Predicted Monthly'!$Z$17</f>
        <v>0</v>
      </c>
      <c r="U12" s="11">
        <f t="shared" ca="1" si="4"/>
        <v>119453894.86742941</v>
      </c>
    </row>
    <row r="13" spans="1:21" x14ac:dyDescent="0.2">
      <c r="A13" s="8">
        <f>'Monthly Data'!A13</f>
        <v>43070</v>
      </c>
      <c r="B13">
        <f t="shared" si="2"/>
        <v>2017</v>
      </c>
      <c r="C13">
        <f t="shared" si="3"/>
        <v>12</v>
      </c>
      <c r="D13" s="18">
        <f>'Monthly Data'!N13</f>
        <v>121951004.30045961</v>
      </c>
      <c r="E13" s="21">
        <f ca="1">Weather!BQ45</f>
        <v>473.52499999999998</v>
      </c>
      <c r="F13" s="21">
        <f ca="1">Weather!BR45</f>
        <v>0</v>
      </c>
      <c r="G13" s="211">
        <f>'Monthly Data'!CV13</f>
        <v>0</v>
      </c>
      <c r="H13" s="7">
        <f>'Monthly Data'!CS13</f>
        <v>31</v>
      </c>
      <c r="I13" s="19">
        <f>'Monthly Data'!AO13</f>
        <v>771506</v>
      </c>
      <c r="J13" s="19">
        <f>'Monthly Data'!CF13</f>
        <v>0</v>
      </c>
      <c r="K13" s="19">
        <f>'Monthly Data'!BY13</f>
        <v>0</v>
      </c>
      <c r="M13" s="11">
        <f>'GS &gt; 50 Predicted Monthly'!$Z$10</f>
        <v>-1907163.1226077401</v>
      </c>
      <c r="N13" s="11">
        <f ca="1">E13*'GS &gt; 50 Predicted Monthly'!$Z$11</f>
        <v>10101803.514874142</v>
      </c>
      <c r="O13" s="11">
        <f ca="1">F13*'GS &gt; 50 Predicted Monthly'!$Z$12</f>
        <v>0</v>
      </c>
      <c r="P13" s="11">
        <f>G13*'GS &gt; 50 Predicted Monthly'!$Z$13</f>
        <v>0</v>
      </c>
      <c r="Q13" s="11">
        <f>H13*'GS &gt; 50 Predicted Monthly'!$Z$14</f>
        <v>79525500.842962876</v>
      </c>
      <c r="R13" s="11">
        <f>I13*'GS &gt; 50 Predicted Monthly'!$Z$15</f>
        <v>34043670.316322416</v>
      </c>
      <c r="S13" s="11">
        <f>J13*'GS &gt; 50 Predicted Monthly'!$Z$16</f>
        <v>0</v>
      </c>
      <c r="T13" s="11">
        <f>K13*'GS &gt; 50 Predicted Monthly'!$Z$17</f>
        <v>0</v>
      </c>
      <c r="U13" s="11">
        <f t="shared" ca="1" si="4"/>
        <v>121763811.5515517</v>
      </c>
    </row>
    <row r="14" spans="1:21" x14ac:dyDescent="0.2">
      <c r="A14" s="8">
        <f>'Monthly Data'!A14</f>
        <v>43101</v>
      </c>
      <c r="B14">
        <f t="shared" si="2"/>
        <v>2018</v>
      </c>
      <c r="C14">
        <f t="shared" si="3"/>
        <v>1</v>
      </c>
      <c r="D14" s="18">
        <f>'Monthly Data'!N14</f>
        <v>130123366.21189049</v>
      </c>
      <c r="E14" s="21">
        <f t="shared" ref="E14:F33" ca="1" si="5">E2</f>
        <v>566.30416666666667</v>
      </c>
      <c r="F14" s="21">
        <f t="shared" ca="1" si="5"/>
        <v>0</v>
      </c>
      <c r="G14" s="211">
        <f>'Monthly Data'!CV14</f>
        <v>0</v>
      </c>
      <c r="H14" s="7">
        <f>'Monthly Data'!CS14</f>
        <v>31</v>
      </c>
      <c r="I14" s="19">
        <f>'Monthly Data'!AO14</f>
        <v>779694</v>
      </c>
      <c r="J14" s="19">
        <f>'Monthly Data'!CF14</f>
        <v>0</v>
      </c>
      <c r="K14" s="19">
        <f>'Monthly Data'!BY14</f>
        <v>0</v>
      </c>
      <c r="M14" s="11">
        <f>'GS &gt; 50 Predicted Monthly'!$Z$10</f>
        <v>-1907163.1226077401</v>
      </c>
      <c r="N14" s="11">
        <f ca="1">E14*'GS &gt; 50 Predicted Monthly'!$Z$11</f>
        <v>12081080.030243821</v>
      </c>
      <c r="O14" s="11">
        <f ca="1">F14*'GS &gt; 50 Predicted Monthly'!$Z$12</f>
        <v>0</v>
      </c>
      <c r="P14" s="11">
        <f>G14*'GS &gt; 50 Predicted Monthly'!$Z$13</f>
        <v>0</v>
      </c>
      <c r="Q14" s="11">
        <f>H14*'GS &gt; 50 Predicted Monthly'!$Z$14</f>
        <v>79525500.842962876</v>
      </c>
      <c r="R14" s="11">
        <f>I14*'GS &gt; 50 Predicted Monthly'!$Z$15</f>
        <v>34404976.09041886</v>
      </c>
      <c r="S14" s="11">
        <f>J14*'GS &gt; 50 Predicted Monthly'!$Z$16</f>
        <v>0</v>
      </c>
      <c r="T14" s="11">
        <f>K14*'GS &gt; 50 Predicted Monthly'!$Z$17</f>
        <v>0</v>
      </c>
      <c r="U14" s="11">
        <f t="shared" ca="1" si="4"/>
        <v>124104393.84101781</v>
      </c>
    </row>
    <row r="15" spans="1:21" x14ac:dyDescent="0.2">
      <c r="A15" s="8">
        <f>'Monthly Data'!A15</f>
        <v>43132</v>
      </c>
      <c r="B15">
        <f t="shared" si="2"/>
        <v>2018</v>
      </c>
      <c r="C15">
        <f t="shared" si="3"/>
        <v>2</v>
      </c>
      <c r="D15" s="18">
        <f>'Monthly Data'!N15</f>
        <v>115694594.48045985</v>
      </c>
      <c r="E15" s="21">
        <f t="shared" ca="1" si="5"/>
        <v>483.54541666666665</v>
      </c>
      <c r="F15" s="21">
        <f t="shared" ca="1" si="5"/>
        <v>0</v>
      </c>
      <c r="G15" s="211">
        <f>'Monthly Data'!CV15</f>
        <v>0</v>
      </c>
      <c r="H15" s="7">
        <f>'Monthly Data'!CS15</f>
        <v>28</v>
      </c>
      <c r="I15" s="19">
        <f>'Monthly Data'!AO15</f>
        <v>779694</v>
      </c>
      <c r="J15" s="19">
        <f>'Monthly Data'!CF15</f>
        <v>0</v>
      </c>
      <c r="K15" s="19">
        <f>'Monthly Data'!BY15</f>
        <v>0</v>
      </c>
      <c r="M15" s="11">
        <f>'GS &gt; 50 Predicted Monthly'!$Z$10</f>
        <v>-1907163.1226077401</v>
      </c>
      <c r="N15" s="11">
        <f ca="1">E15*'GS &gt; 50 Predicted Monthly'!$Z$11</f>
        <v>10315571.067387393</v>
      </c>
      <c r="O15" s="11">
        <f ca="1">F15*'GS &gt; 50 Predicted Monthly'!$Z$12</f>
        <v>0</v>
      </c>
      <c r="P15" s="11">
        <f>G15*'GS &gt; 50 Predicted Monthly'!$Z$13</f>
        <v>0</v>
      </c>
      <c r="Q15" s="11">
        <f>H15*'GS &gt; 50 Predicted Monthly'!$Z$14</f>
        <v>71829484.632353559</v>
      </c>
      <c r="R15" s="11">
        <f>I15*'GS &gt; 50 Predicted Monthly'!$Z$15</f>
        <v>34404976.09041886</v>
      </c>
      <c r="S15" s="11">
        <f>J15*'GS &gt; 50 Predicted Monthly'!$Z$16</f>
        <v>0</v>
      </c>
      <c r="T15" s="11">
        <f>K15*'GS &gt; 50 Predicted Monthly'!$Z$17</f>
        <v>0</v>
      </c>
      <c r="U15" s="11">
        <f t="shared" ca="1" si="4"/>
        <v>114642868.66755207</v>
      </c>
    </row>
    <row r="16" spans="1:21" x14ac:dyDescent="0.2">
      <c r="A16" s="8">
        <f>'Monthly Data'!A16</f>
        <v>43160</v>
      </c>
      <c r="B16">
        <f t="shared" si="2"/>
        <v>2018</v>
      </c>
      <c r="C16">
        <f t="shared" si="3"/>
        <v>3</v>
      </c>
      <c r="D16" s="18">
        <f>'Monthly Data'!N16</f>
        <v>125478631.74902922</v>
      </c>
      <c r="E16" s="21">
        <f t="shared" ca="1" si="5"/>
        <v>393.96333333333331</v>
      </c>
      <c r="F16" s="21">
        <f t="shared" ca="1" si="5"/>
        <v>0</v>
      </c>
      <c r="G16" s="211">
        <f>'Monthly Data'!CV16</f>
        <v>0</v>
      </c>
      <c r="H16" s="7">
        <f>'Monthly Data'!CS16</f>
        <v>31</v>
      </c>
      <c r="I16" s="19">
        <f>'Monthly Data'!AO16</f>
        <v>779694</v>
      </c>
      <c r="J16" s="19">
        <f>'Monthly Data'!CF16</f>
        <v>0</v>
      </c>
      <c r="K16" s="19">
        <f>'Monthly Data'!BY16</f>
        <v>0</v>
      </c>
      <c r="M16" s="11">
        <f>'GS &gt; 50 Predicted Monthly'!$Z$10</f>
        <v>-1907163.1226077401</v>
      </c>
      <c r="N16" s="11">
        <f ca="1">E16*'GS &gt; 50 Predicted Monthly'!$Z$11</f>
        <v>8404498.5700822547</v>
      </c>
      <c r="O16" s="11">
        <f ca="1">F16*'GS &gt; 50 Predicted Monthly'!$Z$12</f>
        <v>0</v>
      </c>
      <c r="P16" s="11">
        <f>G16*'GS &gt; 50 Predicted Monthly'!$Z$13</f>
        <v>0</v>
      </c>
      <c r="Q16" s="11">
        <f>H16*'GS &gt; 50 Predicted Monthly'!$Z$14</f>
        <v>79525500.842962876</v>
      </c>
      <c r="R16" s="11">
        <f>I16*'GS &gt; 50 Predicted Monthly'!$Z$15</f>
        <v>34404976.09041886</v>
      </c>
      <c r="S16" s="11">
        <f>J16*'GS &gt; 50 Predicted Monthly'!$Z$16</f>
        <v>0</v>
      </c>
      <c r="T16" s="11">
        <f>K16*'GS &gt; 50 Predicted Monthly'!$Z$17</f>
        <v>0</v>
      </c>
      <c r="U16" s="11">
        <f t="shared" ca="1" si="4"/>
        <v>120427812.38085625</v>
      </c>
    </row>
    <row r="17" spans="1:22" x14ac:dyDescent="0.2">
      <c r="A17" s="8">
        <f>'Monthly Data'!A17</f>
        <v>43191</v>
      </c>
      <c r="B17">
        <f t="shared" si="2"/>
        <v>2018</v>
      </c>
      <c r="C17">
        <f t="shared" si="3"/>
        <v>4</v>
      </c>
      <c r="D17" s="18">
        <f>'Monthly Data'!N17</f>
        <v>119717405.01759858</v>
      </c>
      <c r="E17" s="21">
        <f t="shared" ca="1" si="5"/>
        <v>226.60145833333337</v>
      </c>
      <c r="F17" s="21">
        <f t="shared" ca="1" si="5"/>
        <v>6.5650000000000031</v>
      </c>
      <c r="G17" s="211">
        <f>'Monthly Data'!CV17</f>
        <v>0</v>
      </c>
      <c r="H17" s="7">
        <f>'Monthly Data'!CS17</f>
        <v>30</v>
      </c>
      <c r="I17" s="19">
        <f>'Monthly Data'!AO17</f>
        <v>785185</v>
      </c>
      <c r="J17" s="19">
        <f>'Monthly Data'!CF17</f>
        <v>0</v>
      </c>
      <c r="K17" s="19">
        <f>'Monthly Data'!BY17</f>
        <v>0</v>
      </c>
      <c r="M17" s="11">
        <f>'GS &gt; 50 Predicted Monthly'!$Z$10</f>
        <v>-1907163.1226077401</v>
      </c>
      <c r="N17" s="11">
        <f ca="1">E17*'GS &gt; 50 Predicted Monthly'!$Z$11</f>
        <v>4834134.2236783141</v>
      </c>
      <c r="O17" s="11">
        <f ca="1">F17*'GS &gt; 50 Predicted Monthly'!$Z$12</f>
        <v>777698.14771157305</v>
      </c>
      <c r="P17" s="11">
        <f>G17*'GS &gt; 50 Predicted Monthly'!$Z$13</f>
        <v>0</v>
      </c>
      <c r="Q17" s="11">
        <f>H17*'GS &gt; 50 Predicted Monthly'!$Z$14</f>
        <v>76960162.106093109</v>
      </c>
      <c r="R17" s="11">
        <f>I17*'GS &gt; 50 Predicted Monthly'!$Z$15</f>
        <v>34647273.355387539</v>
      </c>
      <c r="S17" s="11">
        <f>J17*'GS &gt; 50 Predicted Monthly'!$Z$16</f>
        <v>0</v>
      </c>
      <c r="T17" s="11">
        <f>K17*'GS &gt; 50 Predicted Monthly'!$Z$17</f>
        <v>0</v>
      </c>
      <c r="U17" s="11">
        <f t="shared" ca="1" si="4"/>
        <v>115312104.71026279</v>
      </c>
    </row>
    <row r="18" spans="1:22" x14ac:dyDescent="0.2">
      <c r="A18" s="8">
        <f>'Monthly Data'!A18</f>
        <v>43221</v>
      </c>
      <c r="B18">
        <f t="shared" si="2"/>
        <v>2018</v>
      </c>
      <c r="C18">
        <f t="shared" si="3"/>
        <v>5</v>
      </c>
      <c r="D18" s="18">
        <f>'Monthly Data'!N18</f>
        <v>127433786.28616795</v>
      </c>
      <c r="E18" s="21">
        <f t="shared" ca="1" si="5"/>
        <v>65.335833333333326</v>
      </c>
      <c r="F18" s="21">
        <f t="shared" ca="1" si="5"/>
        <v>59.300416666666649</v>
      </c>
      <c r="G18" s="211">
        <f>'Monthly Data'!CV18</f>
        <v>0</v>
      </c>
      <c r="H18" s="7">
        <f>'Monthly Data'!CS18</f>
        <v>31</v>
      </c>
      <c r="I18" s="19">
        <f>'Monthly Data'!AO18</f>
        <v>785185</v>
      </c>
      <c r="J18" s="19">
        <f>'Monthly Data'!CF18</f>
        <v>0</v>
      </c>
      <c r="K18" s="19">
        <f>'Monthly Data'!BY18</f>
        <v>0</v>
      </c>
      <c r="M18" s="11">
        <f>'GS &gt; 50 Predicted Monthly'!$Z$10</f>
        <v>-1907163.1226077401</v>
      </c>
      <c r="N18" s="11">
        <f ca="1">E18*'GS &gt; 50 Predicted Monthly'!$Z$11</f>
        <v>1393822.3975796374</v>
      </c>
      <c r="O18" s="11">
        <f ca="1">F18*'GS &gt; 50 Predicted Monthly'!$Z$12</f>
        <v>7024801.8583687926</v>
      </c>
      <c r="P18" s="11">
        <f>G18*'GS &gt; 50 Predicted Monthly'!$Z$13</f>
        <v>0</v>
      </c>
      <c r="Q18" s="11">
        <f>H18*'GS &gt; 50 Predicted Monthly'!$Z$14</f>
        <v>79525500.842962876</v>
      </c>
      <c r="R18" s="11">
        <f>I18*'GS &gt; 50 Predicted Monthly'!$Z$15</f>
        <v>34647273.355387539</v>
      </c>
      <c r="S18" s="11">
        <f>J18*'GS &gt; 50 Predicted Monthly'!$Z$16</f>
        <v>0</v>
      </c>
      <c r="T18" s="11">
        <f>K18*'GS &gt; 50 Predicted Monthly'!$Z$17</f>
        <v>0</v>
      </c>
      <c r="U18" s="11">
        <f t="shared" ca="1" si="4"/>
        <v>120684235.3316911</v>
      </c>
    </row>
    <row r="19" spans="1:22" x14ac:dyDescent="0.2">
      <c r="A19" s="8">
        <f>'Monthly Data'!A19</f>
        <v>43252</v>
      </c>
      <c r="B19">
        <f t="shared" si="2"/>
        <v>2018</v>
      </c>
      <c r="C19">
        <f t="shared" si="3"/>
        <v>6</v>
      </c>
      <c r="D19" s="18">
        <f>'Monthly Data'!N19</f>
        <v>130160206.55473731</v>
      </c>
      <c r="E19" s="21">
        <f t="shared" ca="1" si="5"/>
        <v>3.0447916666666672</v>
      </c>
      <c r="F19" s="21">
        <f t="shared" ca="1" si="5"/>
        <v>157.17000000000002</v>
      </c>
      <c r="G19" s="211">
        <f>'Monthly Data'!CV19</f>
        <v>0</v>
      </c>
      <c r="H19" s="7">
        <f>'Monthly Data'!CS19</f>
        <v>30</v>
      </c>
      <c r="I19" s="19">
        <f>'Monthly Data'!AO19</f>
        <v>785185</v>
      </c>
      <c r="J19" s="19">
        <f>'Monthly Data'!CF19</f>
        <v>0</v>
      </c>
      <c r="K19" s="19">
        <f>'Monthly Data'!BY19</f>
        <v>0</v>
      </c>
      <c r="M19" s="11">
        <f>'GS &gt; 50 Predicted Monthly'!$Z$10</f>
        <v>-1907163.1226077401</v>
      </c>
      <c r="N19" s="11">
        <f ca="1">E19*'GS &gt; 50 Predicted Monthly'!$Z$11</f>
        <v>64955.149486073256</v>
      </c>
      <c r="O19" s="11">
        <f ca="1">F19*'GS &gt; 50 Predicted Monthly'!$Z$12</f>
        <v>18618555.655114681</v>
      </c>
      <c r="P19" s="11">
        <f>G19*'GS &gt; 50 Predicted Monthly'!$Z$13</f>
        <v>0</v>
      </c>
      <c r="Q19" s="11">
        <f>H19*'GS &gt; 50 Predicted Monthly'!$Z$14</f>
        <v>76960162.106093109</v>
      </c>
      <c r="R19" s="11">
        <f>I19*'GS &gt; 50 Predicted Monthly'!$Z$15</f>
        <v>34647273.355387539</v>
      </c>
      <c r="S19" s="11">
        <f>J19*'GS &gt; 50 Predicted Monthly'!$Z$16</f>
        <v>0</v>
      </c>
      <c r="T19" s="11">
        <f>K19*'GS &gt; 50 Predicted Monthly'!$Z$17</f>
        <v>0</v>
      </c>
      <c r="U19" s="11">
        <f t="shared" ca="1" si="4"/>
        <v>128383783.14347365</v>
      </c>
      <c r="V19" s="60"/>
    </row>
    <row r="20" spans="1:22" x14ac:dyDescent="0.2">
      <c r="A20" s="8">
        <f>'Monthly Data'!A20</f>
        <v>43282</v>
      </c>
      <c r="B20">
        <f t="shared" si="2"/>
        <v>2018</v>
      </c>
      <c r="C20">
        <f t="shared" si="3"/>
        <v>7</v>
      </c>
      <c r="D20" s="18">
        <f>'Monthly Data'!N20</f>
        <v>139575448.82330668</v>
      </c>
      <c r="E20" s="21">
        <f t="shared" ca="1" si="5"/>
        <v>0</v>
      </c>
      <c r="F20" s="21">
        <f t="shared" ca="1" si="5"/>
        <v>231.27145833333333</v>
      </c>
      <c r="G20" s="211">
        <f>'Monthly Data'!CV20</f>
        <v>0</v>
      </c>
      <c r="H20" s="7">
        <f>'Monthly Data'!CS20</f>
        <v>31</v>
      </c>
      <c r="I20" s="19">
        <f>'Monthly Data'!AO20</f>
        <v>794512</v>
      </c>
      <c r="J20" s="19">
        <f>'Monthly Data'!CF20</f>
        <v>0</v>
      </c>
      <c r="K20" s="19">
        <f>'Monthly Data'!BY20</f>
        <v>0</v>
      </c>
      <c r="M20" s="11">
        <f>'GS &gt; 50 Predicted Monthly'!$Z$10</f>
        <v>-1907163.1226077401</v>
      </c>
      <c r="N20" s="11">
        <f ca="1">E20*'GS &gt; 50 Predicted Monthly'!$Z$11</f>
        <v>0</v>
      </c>
      <c r="O20" s="11">
        <f ca="1">F20*'GS &gt; 50 Predicted Monthly'!$Z$12</f>
        <v>27396707.50409558</v>
      </c>
      <c r="P20" s="11">
        <f>G20*'GS &gt; 50 Predicted Monthly'!$Z$13</f>
        <v>0</v>
      </c>
      <c r="Q20" s="11">
        <f>H20*'GS &gt; 50 Predicted Monthly'!$Z$14</f>
        <v>79525500.842962876</v>
      </c>
      <c r="R20" s="11">
        <f>I20*'GS &gt; 50 Predicted Monthly'!$Z$15</f>
        <v>35058838.933672525</v>
      </c>
      <c r="S20" s="11">
        <f>J20*'GS &gt; 50 Predicted Monthly'!$Z$16</f>
        <v>0</v>
      </c>
      <c r="T20" s="11">
        <f>K20*'GS &gt; 50 Predicted Monthly'!$Z$17</f>
        <v>0</v>
      </c>
      <c r="U20" s="11">
        <f t="shared" ca="1" si="4"/>
        <v>140073884.15812322</v>
      </c>
    </row>
    <row r="21" spans="1:22" x14ac:dyDescent="0.2">
      <c r="A21" s="8">
        <f>'Monthly Data'!A21</f>
        <v>43313</v>
      </c>
      <c r="B21">
        <f t="shared" si="2"/>
        <v>2018</v>
      </c>
      <c r="C21">
        <f t="shared" si="3"/>
        <v>8</v>
      </c>
      <c r="D21" s="18">
        <f>'Monthly Data'!N21</f>
        <v>145516334.09187603</v>
      </c>
      <c r="E21" s="21">
        <f t="shared" ca="1" si="5"/>
        <v>0.27875000000000066</v>
      </c>
      <c r="F21" s="21">
        <f t="shared" ca="1" si="5"/>
        <v>196.13625000000002</v>
      </c>
      <c r="G21" s="211">
        <f>'Monthly Data'!CV21</f>
        <v>0</v>
      </c>
      <c r="H21" s="7">
        <f>'Monthly Data'!CS21</f>
        <v>31</v>
      </c>
      <c r="I21" s="19">
        <f>'Monthly Data'!AO21</f>
        <v>794512</v>
      </c>
      <c r="J21" s="19">
        <f>'Monthly Data'!CF21</f>
        <v>0</v>
      </c>
      <c r="K21" s="19">
        <f>'Monthly Data'!BY21</f>
        <v>1</v>
      </c>
      <c r="M21" s="11">
        <f>'GS &gt; 50 Predicted Monthly'!$Z$10</f>
        <v>-1907163.1226077401</v>
      </c>
      <c r="N21" s="11">
        <f ca="1">E21*'GS &gt; 50 Predicted Monthly'!$Z$11</f>
        <v>5946.629491095875</v>
      </c>
      <c r="O21" s="11">
        <f ca="1">F21*'GS &gt; 50 Predicted Monthly'!$Z$12</f>
        <v>23234546.584020402</v>
      </c>
      <c r="P21" s="11">
        <f>G21*'GS &gt; 50 Predicted Monthly'!$Z$13</f>
        <v>0</v>
      </c>
      <c r="Q21" s="11">
        <f>H21*'GS &gt; 50 Predicted Monthly'!$Z$14</f>
        <v>79525500.842962876</v>
      </c>
      <c r="R21" s="11">
        <f>I21*'GS &gt; 50 Predicted Monthly'!$Z$15</f>
        <v>35058838.933672525</v>
      </c>
      <c r="S21" s="11">
        <f>J21*'GS &gt; 50 Predicted Monthly'!$Z$16</f>
        <v>0</v>
      </c>
      <c r="T21" s="11">
        <f>K21*'GS &gt; 50 Predicted Monthly'!$Z$17</f>
        <v>2800660.9376037801</v>
      </c>
      <c r="U21" s="11">
        <f t="shared" ca="1" si="4"/>
        <v>138718330.80514294</v>
      </c>
    </row>
    <row r="22" spans="1:22" x14ac:dyDescent="0.2">
      <c r="A22" s="8">
        <f>'Monthly Data'!A22</f>
        <v>43344</v>
      </c>
      <c r="B22">
        <f t="shared" si="2"/>
        <v>2018</v>
      </c>
      <c r="C22">
        <f t="shared" si="3"/>
        <v>9</v>
      </c>
      <c r="D22" s="18">
        <f>'Monthly Data'!N22</f>
        <v>130472808.3604454</v>
      </c>
      <c r="E22" s="21">
        <f t="shared" ca="1" si="5"/>
        <v>11.319999999999997</v>
      </c>
      <c r="F22" s="21">
        <f t="shared" ca="1" si="5"/>
        <v>104.19854166666664</v>
      </c>
      <c r="G22" s="211">
        <f>'Monthly Data'!CV22</f>
        <v>0</v>
      </c>
      <c r="H22" s="7">
        <f>'Monthly Data'!CS22</f>
        <v>30</v>
      </c>
      <c r="I22" s="19">
        <f>'Monthly Data'!AO22</f>
        <v>794512</v>
      </c>
      <c r="J22" s="19">
        <f>'Monthly Data'!CF22</f>
        <v>1</v>
      </c>
      <c r="K22" s="19">
        <f>'Monthly Data'!BY22</f>
        <v>0</v>
      </c>
      <c r="M22" s="11">
        <f>'GS &gt; 50 Predicted Monthly'!$Z$10</f>
        <v>-1907163.1226077401</v>
      </c>
      <c r="N22" s="11">
        <f ca="1">E22*'GS &gt; 50 Predicted Monthly'!$Z$11</f>
        <v>241491.82363840402</v>
      </c>
      <c r="O22" s="11">
        <f ca="1">F22*'GS &gt; 50 Predicted Monthly'!$Z$12</f>
        <v>12343490.152081305</v>
      </c>
      <c r="P22" s="11">
        <f>G22*'GS &gt; 50 Predicted Monthly'!$Z$13</f>
        <v>0</v>
      </c>
      <c r="Q22" s="11">
        <f>H22*'GS &gt; 50 Predicted Monthly'!$Z$14</f>
        <v>76960162.106093109</v>
      </c>
      <c r="R22" s="11">
        <f>I22*'GS &gt; 50 Predicted Monthly'!$Z$15</f>
        <v>35058838.933672525</v>
      </c>
      <c r="S22" s="11">
        <f>J22*'GS &gt; 50 Predicted Monthly'!$Z$16</f>
        <v>3497669.1063549998</v>
      </c>
      <c r="T22" s="11">
        <f>K22*'GS &gt; 50 Predicted Monthly'!$Z$17</f>
        <v>0</v>
      </c>
      <c r="U22" s="11">
        <f t="shared" ca="1" si="4"/>
        <v>126194488.99923261</v>
      </c>
    </row>
    <row r="23" spans="1:22" x14ac:dyDescent="0.2">
      <c r="A23" s="8">
        <f>'Monthly Data'!A23</f>
        <v>43374</v>
      </c>
      <c r="B23">
        <f t="shared" si="2"/>
        <v>2018</v>
      </c>
      <c r="C23">
        <f t="shared" si="3"/>
        <v>10</v>
      </c>
      <c r="D23" s="18">
        <f>'Monthly Data'!N23</f>
        <v>124271950.62901476</v>
      </c>
      <c r="E23" s="21">
        <f t="shared" ca="1" si="5"/>
        <v>126.12583333333332</v>
      </c>
      <c r="F23" s="21">
        <f t="shared" ca="1" si="5"/>
        <v>24.703125000000007</v>
      </c>
      <c r="G23" s="211">
        <f>'Monthly Data'!CV23</f>
        <v>0</v>
      </c>
      <c r="H23" s="7">
        <f>'Monthly Data'!CS23</f>
        <v>31</v>
      </c>
      <c r="I23" s="19">
        <f>'Monthly Data'!AO23</f>
        <v>799922</v>
      </c>
      <c r="J23" s="19">
        <f>'Monthly Data'!CF23</f>
        <v>1</v>
      </c>
      <c r="K23" s="19">
        <f>'Monthly Data'!BY23</f>
        <v>0</v>
      </c>
      <c r="M23" s="11">
        <f>'GS &gt; 50 Predicted Monthly'!$Z$10</f>
        <v>-1907163.1226077401</v>
      </c>
      <c r="N23" s="11">
        <f ca="1">E23*'GS &gt; 50 Predicted Monthly'!$Z$11</f>
        <v>2690667.6236378159</v>
      </c>
      <c r="O23" s="11">
        <f ca="1">F23*'GS &gt; 50 Predicted Monthly'!$Z$12</f>
        <v>2926363.2224200224</v>
      </c>
      <c r="P23" s="11">
        <f>G23*'GS &gt; 50 Predicted Monthly'!$Z$13</f>
        <v>0</v>
      </c>
      <c r="Q23" s="11">
        <f>H23*'GS &gt; 50 Predicted Monthly'!$Z$14</f>
        <v>79525500.842962876</v>
      </c>
      <c r="R23" s="11">
        <f>I23*'GS &gt; 50 Predicted Monthly'!$Z$15</f>
        <v>35297561.972004443</v>
      </c>
      <c r="S23" s="11">
        <f>J23*'GS &gt; 50 Predicted Monthly'!$Z$16</f>
        <v>3497669.1063549998</v>
      </c>
      <c r="T23" s="11">
        <f>K23*'GS &gt; 50 Predicted Monthly'!$Z$17</f>
        <v>0</v>
      </c>
      <c r="U23" s="11">
        <f t="shared" ca="1" si="4"/>
        <v>122030599.64477241</v>
      </c>
    </row>
    <row r="24" spans="1:22" x14ac:dyDescent="0.2">
      <c r="A24" s="8">
        <f>'Monthly Data'!A24</f>
        <v>43405</v>
      </c>
      <c r="B24">
        <f t="shared" si="2"/>
        <v>2018</v>
      </c>
      <c r="C24">
        <f t="shared" si="3"/>
        <v>11</v>
      </c>
      <c r="D24" s="18">
        <f>'Monthly Data'!N24</f>
        <v>122525206.89758413</v>
      </c>
      <c r="E24" s="21">
        <f t="shared" ca="1" si="5"/>
        <v>312.40687500000001</v>
      </c>
      <c r="F24" s="21">
        <f t="shared" ca="1" si="5"/>
        <v>1.6454166666666665</v>
      </c>
      <c r="G24" s="211">
        <f>'Monthly Data'!CV24</f>
        <v>0</v>
      </c>
      <c r="H24" s="7">
        <f>'Monthly Data'!CS24</f>
        <v>30</v>
      </c>
      <c r="I24" s="19">
        <f>'Monthly Data'!AO24</f>
        <v>799922</v>
      </c>
      <c r="J24" s="19">
        <f>'Monthly Data'!CF24</f>
        <v>1</v>
      </c>
      <c r="K24" s="19">
        <f>'Monthly Data'!BY24</f>
        <v>0</v>
      </c>
      <c r="M24" s="11">
        <f>'GS &gt; 50 Predicted Monthly'!$Z$10</f>
        <v>-1907163.1226077401</v>
      </c>
      <c r="N24" s="11">
        <f ca="1">E24*'GS &gt; 50 Predicted Monthly'!$Z$11</f>
        <v>6664638.335770756</v>
      </c>
      <c r="O24" s="11">
        <f ca="1">F24*'GS &gt; 50 Predicted Monthly'!$Z$12</f>
        <v>194918.12549587458</v>
      </c>
      <c r="P24" s="11">
        <f>G24*'GS &gt; 50 Predicted Monthly'!$Z$13</f>
        <v>0</v>
      </c>
      <c r="Q24" s="11">
        <f>H24*'GS &gt; 50 Predicted Monthly'!$Z$14</f>
        <v>76960162.106093109</v>
      </c>
      <c r="R24" s="11">
        <f>I24*'GS &gt; 50 Predicted Monthly'!$Z$15</f>
        <v>35297561.972004443</v>
      </c>
      <c r="S24" s="11">
        <f>J24*'GS &gt; 50 Predicted Monthly'!$Z$16</f>
        <v>3497669.1063549998</v>
      </c>
      <c r="T24" s="11">
        <f>K24*'GS &gt; 50 Predicted Monthly'!$Z$17</f>
        <v>0</v>
      </c>
      <c r="U24" s="11">
        <f t="shared" ca="1" si="4"/>
        <v>120707786.52311143</v>
      </c>
    </row>
    <row r="25" spans="1:22" x14ac:dyDescent="0.2">
      <c r="A25" s="8">
        <f>'Monthly Data'!A25</f>
        <v>43435</v>
      </c>
      <c r="B25">
        <f t="shared" si="2"/>
        <v>2018</v>
      </c>
      <c r="C25">
        <f t="shared" si="3"/>
        <v>12</v>
      </c>
      <c r="D25" s="18">
        <f>'Monthly Data'!N25</f>
        <v>120780245.16615349</v>
      </c>
      <c r="E25" s="21">
        <f t="shared" ca="1" si="5"/>
        <v>473.52499999999998</v>
      </c>
      <c r="F25" s="21">
        <f t="shared" ca="1" si="5"/>
        <v>0</v>
      </c>
      <c r="G25" s="211">
        <f>'Monthly Data'!CV25</f>
        <v>0</v>
      </c>
      <c r="H25" s="7">
        <f>'Monthly Data'!CS25</f>
        <v>31</v>
      </c>
      <c r="I25" s="19">
        <f>'Monthly Data'!AO25</f>
        <v>799922</v>
      </c>
      <c r="J25" s="19">
        <f>'Monthly Data'!CF25</f>
        <v>0</v>
      </c>
      <c r="K25" s="19">
        <f>'Monthly Data'!BY25</f>
        <v>0</v>
      </c>
      <c r="M25" s="11">
        <f>'GS &gt; 50 Predicted Monthly'!$Z$10</f>
        <v>-1907163.1226077401</v>
      </c>
      <c r="N25" s="11">
        <f ca="1">E25*'GS &gt; 50 Predicted Monthly'!$Z$11</f>
        <v>10101803.514874142</v>
      </c>
      <c r="O25" s="11">
        <f ca="1">F25*'GS &gt; 50 Predicted Monthly'!$Z$12</f>
        <v>0</v>
      </c>
      <c r="P25" s="11">
        <f>G25*'GS &gt; 50 Predicted Monthly'!$Z$13</f>
        <v>0</v>
      </c>
      <c r="Q25" s="11">
        <f>H25*'GS &gt; 50 Predicted Monthly'!$Z$14</f>
        <v>79525500.842962876</v>
      </c>
      <c r="R25" s="11">
        <f>I25*'GS &gt; 50 Predicted Monthly'!$Z$15</f>
        <v>35297561.972004443</v>
      </c>
      <c r="S25" s="11">
        <f>J25*'GS &gt; 50 Predicted Monthly'!$Z$16</f>
        <v>0</v>
      </c>
      <c r="T25" s="11">
        <f>K25*'GS &gt; 50 Predicted Monthly'!$Z$17</f>
        <v>0</v>
      </c>
      <c r="U25" s="11">
        <f t="shared" ca="1" si="4"/>
        <v>123017703.20723373</v>
      </c>
    </row>
    <row r="26" spans="1:22" x14ac:dyDescent="0.2">
      <c r="A26" s="8">
        <f>'Monthly Data'!A26</f>
        <v>43466</v>
      </c>
      <c r="B26">
        <f t="shared" si="2"/>
        <v>2019</v>
      </c>
      <c r="C26">
        <f t="shared" si="3"/>
        <v>1</v>
      </c>
      <c r="D26" s="18">
        <f>'Monthly Data'!N26</f>
        <v>122557492.01553993</v>
      </c>
      <c r="E26" s="21">
        <f t="shared" ca="1" si="5"/>
        <v>566.30416666666667</v>
      </c>
      <c r="F26" s="21">
        <f t="shared" ca="1" si="5"/>
        <v>0</v>
      </c>
      <c r="G26" s="211">
        <f>'Monthly Data'!CV26</f>
        <v>0</v>
      </c>
      <c r="H26" s="7">
        <f>'Monthly Data'!CS26</f>
        <v>31</v>
      </c>
      <c r="I26" s="19">
        <f>'Monthly Data'!AO26</f>
        <v>800743</v>
      </c>
      <c r="J26" s="19">
        <f>'Monthly Data'!CF26</f>
        <v>0</v>
      </c>
      <c r="K26" s="19">
        <f>'Monthly Data'!BY26</f>
        <v>0</v>
      </c>
      <c r="M26" s="11">
        <f>'GS &gt; 50 Predicted Monthly'!$Z$10</f>
        <v>-1907163.1226077401</v>
      </c>
      <c r="N26" s="11">
        <f ca="1">E26*'GS &gt; 50 Predicted Monthly'!$Z$11</f>
        <v>12081080.030243821</v>
      </c>
      <c r="O26" s="11">
        <f ca="1">F26*'GS &gt; 50 Predicted Monthly'!$Z$12</f>
        <v>0</v>
      </c>
      <c r="P26" s="11">
        <f>G26*'GS &gt; 50 Predicted Monthly'!$Z$13</f>
        <v>0</v>
      </c>
      <c r="Q26" s="11">
        <f>H26*'GS &gt; 50 Predicted Monthly'!$Z$14</f>
        <v>79525500.842962876</v>
      </c>
      <c r="R26" s="11">
        <f>I26*'GS &gt; 50 Predicted Monthly'!$Z$15</f>
        <v>35333789.627174594</v>
      </c>
      <c r="S26" s="11">
        <f>J26*'GS &gt; 50 Predicted Monthly'!$Z$16</f>
        <v>0</v>
      </c>
      <c r="T26" s="11">
        <f>K26*'GS &gt; 50 Predicted Monthly'!$Z$17</f>
        <v>0</v>
      </c>
      <c r="U26" s="11">
        <f t="shared" ca="1" si="4"/>
        <v>125033207.37777355</v>
      </c>
    </row>
    <row r="27" spans="1:22" x14ac:dyDescent="0.2">
      <c r="A27" s="8">
        <f>'Monthly Data'!A27</f>
        <v>43497</v>
      </c>
      <c r="B27">
        <f t="shared" si="2"/>
        <v>2019</v>
      </c>
      <c r="C27">
        <f t="shared" si="3"/>
        <v>2</v>
      </c>
      <c r="D27" s="18">
        <f>'Monthly Data'!N27</f>
        <v>112793572.2170434</v>
      </c>
      <c r="E27" s="21">
        <f t="shared" ca="1" si="5"/>
        <v>483.54541666666665</v>
      </c>
      <c r="F27" s="21">
        <f t="shared" ca="1" si="5"/>
        <v>0</v>
      </c>
      <c r="G27" s="211">
        <f>'Monthly Data'!CV27</f>
        <v>0</v>
      </c>
      <c r="H27" s="7">
        <f>'Monthly Data'!CS27</f>
        <v>28</v>
      </c>
      <c r="I27" s="19">
        <f>'Monthly Data'!AO27</f>
        <v>800743</v>
      </c>
      <c r="J27" s="19">
        <f>'Monthly Data'!CF27</f>
        <v>0</v>
      </c>
      <c r="K27" s="19">
        <f>'Monthly Data'!BY27</f>
        <v>0</v>
      </c>
      <c r="M27" s="11">
        <f>'GS &gt; 50 Predicted Monthly'!$Z$10</f>
        <v>-1907163.1226077401</v>
      </c>
      <c r="N27" s="11">
        <f ca="1">E27*'GS &gt; 50 Predicted Monthly'!$Z$11</f>
        <v>10315571.067387393</v>
      </c>
      <c r="O27" s="11">
        <f ca="1">F27*'GS &gt; 50 Predicted Monthly'!$Z$12</f>
        <v>0</v>
      </c>
      <c r="P27" s="11">
        <f>G27*'GS &gt; 50 Predicted Monthly'!$Z$13</f>
        <v>0</v>
      </c>
      <c r="Q27" s="11">
        <f>H27*'GS &gt; 50 Predicted Monthly'!$Z$14</f>
        <v>71829484.632353559</v>
      </c>
      <c r="R27" s="11">
        <f>I27*'GS &gt; 50 Predicted Monthly'!$Z$15</f>
        <v>35333789.627174594</v>
      </c>
      <c r="S27" s="11">
        <f>J27*'GS &gt; 50 Predicted Monthly'!$Z$16</f>
        <v>0</v>
      </c>
      <c r="T27" s="11">
        <f>K27*'GS &gt; 50 Predicted Monthly'!$Z$17</f>
        <v>0</v>
      </c>
      <c r="U27" s="11">
        <f t="shared" ca="1" si="4"/>
        <v>115571682.20430779</v>
      </c>
    </row>
    <row r="28" spans="1:22" x14ac:dyDescent="0.2">
      <c r="A28" s="8">
        <f>'Monthly Data'!A28</f>
        <v>43525</v>
      </c>
      <c r="B28">
        <f t="shared" si="2"/>
        <v>2019</v>
      </c>
      <c r="C28">
        <f t="shared" si="3"/>
        <v>3</v>
      </c>
      <c r="D28" s="18">
        <f>'Monthly Data'!N28</f>
        <v>121279569.66264187</v>
      </c>
      <c r="E28" s="21">
        <f t="shared" ca="1" si="5"/>
        <v>393.96333333333331</v>
      </c>
      <c r="F28" s="21">
        <f t="shared" ca="1" si="5"/>
        <v>0</v>
      </c>
      <c r="G28" s="211">
        <f>'Monthly Data'!CV28</f>
        <v>0</v>
      </c>
      <c r="H28" s="7">
        <f>'Monthly Data'!CS28</f>
        <v>31</v>
      </c>
      <c r="I28" s="19">
        <f>'Monthly Data'!AO28</f>
        <v>800743</v>
      </c>
      <c r="J28" s="19">
        <f>'Monthly Data'!CF28</f>
        <v>0</v>
      </c>
      <c r="K28" s="19">
        <f>'Monthly Data'!BY28</f>
        <v>0</v>
      </c>
      <c r="M28" s="11">
        <f>'GS &gt; 50 Predicted Monthly'!$Z$10</f>
        <v>-1907163.1226077401</v>
      </c>
      <c r="N28" s="11">
        <f ca="1">E28*'GS &gt; 50 Predicted Monthly'!$Z$11</f>
        <v>8404498.5700822547</v>
      </c>
      <c r="O28" s="11">
        <f ca="1">F28*'GS &gt; 50 Predicted Monthly'!$Z$12</f>
        <v>0</v>
      </c>
      <c r="P28" s="11">
        <f>G28*'GS &gt; 50 Predicted Monthly'!$Z$13</f>
        <v>0</v>
      </c>
      <c r="Q28" s="11">
        <f>H28*'GS &gt; 50 Predicted Monthly'!$Z$14</f>
        <v>79525500.842962876</v>
      </c>
      <c r="R28" s="11">
        <f>I28*'GS &gt; 50 Predicted Monthly'!$Z$15</f>
        <v>35333789.627174594</v>
      </c>
      <c r="S28" s="11">
        <f>J28*'GS &gt; 50 Predicted Monthly'!$Z$16</f>
        <v>0</v>
      </c>
      <c r="T28" s="11">
        <f>K28*'GS &gt; 50 Predicted Monthly'!$Z$17</f>
        <v>0</v>
      </c>
      <c r="U28" s="11">
        <f t="shared" ca="1" si="4"/>
        <v>121356625.91761199</v>
      </c>
    </row>
    <row r="29" spans="1:22" x14ac:dyDescent="0.2">
      <c r="A29" s="8">
        <f>'Monthly Data'!A29</f>
        <v>43556</v>
      </c>
      <c r="B29">
        <f t="shared" si="2"/>
        <v>2019</v>
      </c>
      <c r="C29">
        <f t="shared" si="3"/>
        <v>4</v>
      </c>
      <c r="D29" s="18">
        <f>'Monthly Data'!N29</f>
        <v>112755840.54437633</v>
      </c>
      <c r="E29" s="21">
        <f t="shared" ca="1" si="5"/>
        <v>226.60145833333337</v>
      </c>
      <c r="F29" s="21">
        <f t="shared" ca="1" si="5"/>
        <v>6.5650000000000031</v>
      </c>
      <c r="G29" s="211">
        <f>'Monthly Data'!CV29</f>
        <v>0</v>
      </c>
      <c r="H29" s="7">
        <f>'Monthly Data'!CS29</f>
        <v>30</v>
      </c>
      <c r="I29" s="19">
        <f>'Monthly Data'!AO29</f>
        <v>806729</v>
      </c>
      <c r="J29" s="19">
        <f>'Monthly Data'!CF29</f>
        <v>0</v>
      </c>
      <c r="K29" s="19">
        <f>'Monthly Data'!BY29</f>
        <v>0</v>
      </c>
      <c r="M29" s="11">
        <f>'GS &gt; 50 Predicted Monthly'!$Z$10</f>
        <v>-1907163.1226077401</v>
      </c>
      <c r="N29" s="11">
        <f ca="1">E29*'GS &gt; 50 Predicted Monthly'!$Z$11</f>
        <v>4834134.2236783141</v>
      </c>
      <c r="O29" s="11">
        <f ca="1">F29*'GS &gt; 50 Predicted Monthly'!$Z$12</f>
        <v>777698.14771157305</v>
      </c>
      <c r="P29" s="11">
        <f>G29*'GS &gt; 50 Predicted Monthly'!$Z$13</f>
        <v>0</v>
      </c>
      <c r="Q29" s="11">
        <f>H29*'GS &gt; 50 Predicted Monthly'!$Z$14</f>
        <v>76960162.106093109</v>
      </c>
      <c r="R29" s="11">
        <f>I29*'GS &gt; 50 Predicted Monthly'!$Z$15</f>
        <v>35597929.388256826</v>
      </c>
      <c r="S29" s="11">
        <f>J29*'GS &gt; 50 Predicted Monthly'!$Z$16</f>
        <v>0</v>
      </c>
      <c r="T29" s="11">
        <f>K29*'GS &gt; 50 Predicted Monthly'!$Z$17</f>
        <v>0</v>
      </c>
      <c r="U29" s="11">
        <f t="shared" ca="1" si="4"/>
        <v>116262760.74313208</v>
      </c>
    </row>
    <row r="30" spans="1:22" x14ac:dyDescent="0.2">
      <c r="A30" s="8">
        <f>'Monthly Data'!A30</f>
        <v>43586</v>
      </c>
      <c r="B30">
        <f t="shared" si="2"/>
        <v>2019</v>
      </c>
      <c r="C30">
        <f t="shared" si="3"/>
        <v>5</v>
      </c>
      <c r="D30" s="18">
        <f>'Monthly Data'!N30</f>
        <v>116762983.33169977</v>
      </c>
      <c r="E30" s="21">
        <f t="shared" ca="1" si="5"/>
        <v>65.335833333333326</v>
      </c>
      <c r="F30" s="21">
        <f t="shared" ca="1" si="5"/>
        <v>59.300416666666649</v>
      </c>
      <c r="G30" s="211">
        <f>'Monthly Data'!CV30</f>
        <v>0</v>
      </c>
      <c r="H30" s="7">
        <f>'Monthly Data'!CS30</f>
        <v>31</v>
      </c>
      <c r="I30" s="19">
        <f>'Monthly Data'!AO30</f>
        <v>806729</v>
      </c>
      <c r="J30" s="19">
        <f>'Monthly Data'!CF30</f>
        <v>0</v>
      </c>
      <c r="K30" s="19">
        <f>'Monthly Data'!BY30</f>
        <v>0</v>
      </c>
      <c r="M30" s="11">
        <f>'GS &gt; 50 Predicted Monthly'!$Z$10</f>
        <v>-1907163.1226077401</v>
      </c>
      <c r="N30" s="11">
        <f ca="1">E30*'GS &gt; 50 Predicted Monthly'!$Z$11</f>
        <v>1393822.3975796374</v>
      </c>
      <c r="O30" s="11">
        <f ca="1">F30*'GS &gt; 50 Predicted Monthly'!$Z$12</f>
        <v>7024801.8583687926</v>
      </c>
      <c r="P30" s="11">
        <f>G30*'GS &gt; 50 Predicted Monthly'!$Z$13</f>
        <v>0</v>
      </c>
      <c r="Q30" s="11">
        <f>H30*'GS &gt; 50 Predicted Monthly'!$Z$14</f>
        <v>79525500.842962876</v>
      </c>
      <c r="R30" s="11">
        <f>I30*'GS &gt; 50 Predicted Monthly'!$Z$15</f>
        <v>35597929.388256826</v>
      </c>
      <c r="S30" s="11">
        <f>J30*'GS &gt; 50 Predicted Monthly'!$Z$16</f>
        <v>0</v>
      </c>
      <c r="T30" s="11">
        <f>K30*'GS &gt; 50 Predicted Monthly'!$Z$17</f>
        <v>0</v>
      </c>
      <c r="U30" s="11">
        <f t="shared" ca="1" si="4"/>
        <v>121634891.3645604</v>
      </c>
    </row>
    <row r="31" spans="1:22" x14ac:dyDescent="0.2">
      <c r="A31" s="8">
        <f>'Monthly Data'!A31</f>
        <v>43617</v>
      </c>
      <c r="B31">
        <f t="shared" si="2"/>
        <v>2019</v>
      </c>
      <c r="C31">
        <f t="shared" si="3"/>
        <v>6</v>
      </c>
      <c r="D31" s="18">
        <f>'Monthly Data'!N31</f>
        <v>120912813.73683724</v>
      </c>
      <c r="E31" s="21">
        <f t="shared" ca="1" si="5"/>
        <v>3.0447916666666672</v>
      </c>
      <c r="F31" s="21">
        <f t="shared" ca="1" si="5"/>
        <v>157.17000000000002</v>
      </c>
      <c r="G31" s="211">
        <f>'Monthly Data'!CV31</f>
        <v>0</v>
      </c>
      <c r="H31" s="7">
        <f>'Monthly Data'!CS31</f>
        <v>30</v>
      </c>
      <c r="I31" s="19">
        <f>'Monthly Data'!AO31</f>
        <v>806729</v>
      </c>
      <c r="J31" s="19">
        <f>'Monthly Data'!CF31</f>
        <v>0</v>
      </c>
      <c r="K31" s="19">
        <f>'Monthly Data'!BY31</f>
        <v>0</v>
      </c>
      <c r="M31" s="11">
        <f>'GS &gt; 50 Predicted Monthly'!$Z$10</f>
        <v>-1907163.1226077401</v>
      </c>
      <c r="N31" s="11">
        <f ca="1">E31*'GS &gt; 50 Predicted Monthly'!$Z$11</f>
        <v>64955.149486073256</v>
      </c>
      <c r="O31" s="11">
        <f ca="1">F31*'GS &gt; 50 Predicted Monthly'!$Z$12</f>
        <v>18618555.655114681</v>
      </c>
      <c r="P31" s="11">
        <f>G31*'GS &gt; 50 Predicted Monthly'!$Z$13</f>
        <v>0</v>
      </c>
      <c r="Q31" s="11">
        <f>H31*'GS &gt; 50 Predicted Monthly'!$Z$14</f>
        <v>76960162.106093109</v>
      </c>
      <c r="R31" s="11">
        <f>I31*'GS &gt; 50 Predicted Monthly'!$Z$15</f>
        <v>35597929.388256826</v>
      </c>
      <c r="S31" s="11">
        <f>J31*'GS &gt; 50 Predicted Monthly'!$Z$16</f>
        <v>0</v>
      </c>
      <c r="T31" s="11">
        <f>K31*'GS &gt; 50 Predicted Monthly'!$Z$17</f>
        <v>0</v>
      </c>
      <c r="U31" s="11">
        <f t="shared" ca="1" si="4"/>
        <v>129334439.17634293</v>
      </c>
    </row>
    <row r="32" spans="1:22" x14ac:dyDescent="0.2">
      <c r="A32" s="8">
        <f>'Monthly Data'!A32</f>
        <v>43647</v>
      </c>
      <c r="B32">
        <f t="shared" si="2"/>
        <v>2019</v>
      </c>
      <c r="C32">
        <f t="shared" si="3"/>
        <v>7</v>
      </c>
      <c r="D32" s="18">
        <f>'Monthly Data'!N32</f>
        <v>140267312.68120268</v>
      </c>
      <c r="E32" s="21">
        <f t="shared" ca="1" si="5"/>
        <v>0</v>
      </c>
      <c r="F32" s="21">
        <f t="shared" ca="1" si="5"/>
        <v>231.27145833333333</v>
      </c>
      <c r="G32" s="211">
        <f>'Monthly Data'!CV32</f>
        <v>0</v>
      </c>
      <c r="H32" s="7">
        <f>'Monthly Data'!CS32</f>
        <v>31</v>
      </c>
      <c r="I32" s="19">
        <f>'Monthly Data'!AO32</f>
        <v>810697</v>
      </c>
      <c r="J32" s="19">
        <f>'Monthly Data'!CF32</f>
        <v>0</v>
      </c>
      <c r="K32" s="19">
        <f>'Monthly Data'!BY32</f>
        <v>0</v>
      </c>
      <c r="M32" s="11">
        <f>'GS &gt; 50 Predicted Monthly'!$Z$10</f>
        <v>-1907163.1226077401</v>
      </c>
      <c r="N32" s="11">
        <f ca="1">E32*'GS &gt; 50 Predicted Monthly'!$Z$11</f>
        <v>0</v>
      </c>
      <c r="O32" s="11">
        <f ca="1">F32*'GS &gt; 50 Predicted Monthly'!$Z$12</f>
        <v>27396707.50409558</v>
      </c>
      <c r="P32" s="11">
        <f>G32*'GS &gt; 50 Predicted Monthly'!$Z$13</f>
        <v>0</v>
      </c>
      <c r="Q32" s="11">
        <f>H32*'GS &gt; 50 Predicted Monthly'!$Z$14</f>
        <v>79525500.842962876</v>
      </c>
      <c r="R32" s="11">
        <f>I32*'GS &gt; 50 Predicted Monthly'!$Z$15</f>
        <v>35773022.367203414</v>
      </c>
      <c r="S32" s="11">
        <f>J32*'GS &gt; 50 Predicted Monthly'!$Z$16</f>
        <v>0</v>
      </c>
      <c r="T32" s="11">
        <f>K32*'GS &gt; 50 Predicted Monthly'!$Z$17</f>
        <v>0</v>
      </c>
      <c r="U32" s="11">
        <f t="shared" ca="1" si="4"/>
        <v>140788067.59165412</v>
      </c>
    </row>
    <row r="33" spans="1:21" x14ac:dyDescent="0.2">
      <c r="A33" s="8">
        <f>'Monthly Data'!A33</f>
        <v>43678</v>
      </c>
      <c r="B33">
        <f t="shared" si="2"/>
        <v>2019</v>
      </c>
      <c r="C33">
        <f t="shared" si="3"/>
        <v>8</v>
      </c>
      <c r="D33" s="18">
        <f>'Monthly Data'!N33</f>
        <v>134325215.26618317</v>
      </c>
      <c r="E33" s="21">
        <f t="shared" ca="1" si="5"/>
        <v>0.27875000000000066</v>
      </c>
      <c r="F33" s="21">
        <f t="shared" ca="1" si="5"/>
        <v>196.13625000000002</v>
      </c>
      <c r="G33" s="211">
        <f>'Monthly Data'!CV33</f>
        <v>0</v>
      </c>
      <c r="H33" s="7">
        <f>'Monthly Data'!CS33</f>
        <v>31</v>
      </c>
      <c r="I33" s="19">
        <f>'Monthly Data'!AO33</f>
        <v>810697</v>
      </c>
      <c r="J33" s="19">
        <f>'Monthly Data'!CF33</f>
        <v>0</v>
      </c>
      <c r="K33" s="19">
        <f>'Monthly Data'!BY33</f>
        <v>1</v>
      </c>
      <c r="M33" s="11">
        <f>'GS &gt; 50 Predicted Monthly'!$Z$10</f>
        <v>-1907163.1226077401</v>
      </c>
      <c r="N33" s="11">
        <f ca="1">E33*'GS &gt; 50 Predicted Monthly'!$Z$11</f>
        <v>5946.629491095875</v>
      </c>
      <c r="O33" s="11">
        <f ca="1">F33*'GS &gt; 50 Predicted Monthly'!$Z$12</f>
        <v>23234546.584020402</v>
      </c>
      <c r="P33" s="11">
        <f>G33*'GS &gt; 50 Predicted Monthly'!$Z$13</f>
        <v>0</v>
      </c>
      <c r="Q33" s="11">
        <f>H33*'GS &gt; 50 Predicted Monthly'!$Z$14</f>
        <v>79525500.842962876</v>
      </c>
      <c r="R33" s="11">
        <f>I33*'GS &gt; 50 Predicted Monthly'!$Z$15</f>
        <v>35773022.367203414</v>
      </c>
      <c r="S33" s="11">
        <f>J33*'GS &gt; 50 Predicted Monthly'!$Z$16</f>
        <v>0</v>
      </c>
      <c r="T33" s="11">
        <f>K33*'GS &gt; 50 Predicted Monthly'!$Z$17</f>
        <v>2800660.9376037801</v>
      </c>
      <c r="U33" s="11">
        <f t="shared" ca="1" si="4"/>
        <v>139432514.23867381</v>
      </c>
    </row>
    <row r="34" spans="1:21" x14ac:dyDescent="0.2">
      <c r="A34" s="8">
        <f>'Monthly Data'!A34</f>
        <v>43709</v>
      </c>
      <c r="B34">
        <f t="shared" si="2"/>
        <v>2019</v>
      </c>
      <c r="C34">
        <f t="shared" si="3"/>
        <v>9</v>
      </c>
      <c r="D34" s="18">
        <f>'Monthly Data'!N34</f>
        <v>124892350.68187562</v>
      </c>
      <c r="E34" s="21">
        <f t="shared" ref="E34:F53" ca="1" si="6">E22</f>
        <v>11.319999999999997</v>
      </c>
      <c r="F34" s="21">
        <f t="shared" ca="1" si="6"/>
        <v>104.19854166666664</v>
      </c>
      <c r="G34" s="211">
        <f>'Monthly Data'!CV34</f>
        <v>0</v>
      </c>
      <c r="H34" s="7">
        <f>'Monthly Data'!CS34</f>
        <v>30</v>
      </c>
      <c r="I34" s="19">
        <f>'Monthly Data'!AO34</f>
        <v>810697</v>
      </c>
      <c r="J34" s="19">
        <f>'Monthly Data'!CF34</f>
        <v>1</v>
      </c>
      <c r="K34" s="19">
        <f>'Monthly Data'!BY34</f>
        <v>0</v>
      </c>
      <c r="M34" s="11">
        <f>'GS &gt; 50 Predicted Monthly'!$Z$10</f>
        <v>-1907163.1226077401</v>
      </c>
      <c r="N34" s="11">
        <f ca="1">E34*'GS &gt; 50 Predicted Monthly'!$Z$11</f>
        <v>241491.82363840402</v>
      </c>
      <c r="O34" s="11">
        <f ca="1">F34*'GS &gt; 50 Predicted Monthly'!$Z$12</f>
        <v>12343490.152081305</v>
      </c>
      <c r="P34" s="11">
        <f>G34*'GS &gt; 50 Predicted Monthly'!$Z$13</f>
        <v>0</v>
      </c>
      <c r="Q34" s="11">
        <f>H34*'GS &gt; 50 Predicted Monthly'!$Z$14</f>
        <v>76960162.106093109</v>
      </c>
      <c r="R34" s="11">
        <f>I34*'GS &gt; 50 Predicted Monthly'!$Z$15</f>
        <v>35773022.367203414</v>
      </c>
      <c r="S34" s="11">
        <f>J34*'GS &gt; 50 Predicted Monthly'!$Z$16</f>
        <v>3497669.1063549998</v>
      </c>
      <c r="T34" s="11">
        <f>K34*'GS &gt; 50 Predicted Monthly'!$Z$17</f>
        <v>0</v>
      </c>
      <c r="U34" s="11">
        <f t="shared" ca="1" si="4"/>
        <v>126908672.43276349</v>
      </c>
    </row>
    <row r="35" spans="1:21" x14ac:dyDescent="0.2">
      <c r="A35" s="8">
        <f>'Monthly Data'!A35</f>
        <v>43739</v>
      </c>
      <c r="B35">
        <f t="shared" si="2"/>
        <v>2019</v>
      </c>
      <c r="C35">
        <f t="shared" si="3"/>
        <v>10</v>
      </c>
      <c r="D35" s="18">
        <f>'Monthly Data'!N35</f>
        <v>120326999.51092409</v>
      </c>
      <c r="E35" s="21">
        <f t="shared" ca="1" si="6"/>
        <v>126.12583333333332</v>
      </c>
      <c r="F35" s="21">
        <f t="shared" ca="1" si="6"/>
        <v>24.703125000000007</v>
      </c>
      <c r="G35" s="211">
        <f>'Monthly Data'!CV35</f>
        <v>0</v>
      </c>
      <c r="H35" s="7">
        <f>'Monthly Data'!CS35</f>
        <v>31</v>
      </c>
      <c r="I35" s="19">
        <f>'Monthly Data'!AO35</f>
        <v>812164</v>
      </c>
      <c r="J35" s="19">
        <f>'Monthly Data'!CF35</f>
        <v>1</v>
      </c>
      <c r="K35" s="19">
        <f>'Monthly Data'!BY35</f>
        <v>0</v>
      </c>
      <c r="M35" s="11">
        <f>'GS &gt; 50 Predicted Monthly'!$Z$10</f>
        <v>-1907163.1226077401</v>
      </c>
      <c r="N35" s="11">
        <f ca="1">E35*'GS &gt; 50 Predicted Monthly'!$Z$11</f>
        <v>2690667.6236378159</v>
      </c>
      <c r="O35" s="11">
        <f ca="1">F35*'GS &gt; 50 Predicted Monthly'!$Z$12</f>
        <v>2926363.2224200224</v>
      </c>
      <c r="P35" s="11">
        <f>G35*'GS &gt; 50 Predicted Monthly'!$Z$13</f>
        <v>0</v>
      </c>
      <c r="Q35" s="11">
        <f>H35*'GS &gt; 50 Predicted Monthly'!$Z$14</f>
        <v>79525500.842962876</v>
      </c>
      <c r="R35" s="11">
        <f>I35*'GS &gt; 50 Predicted Monthly'!$Z$15</f>
        <v>35837755.58295811</v>
      </c>
      <c r="S35" s="11">
        <f>J35*'GS &gt; 50 Predicted Monthly'!$Z$16</f>
        <v>3497669.1063549998</v>
      </c>
      <c r="T35" s="11">
        <f>K35*'GS &gt; 50 Predicted Monthly'!$Z$17</f>
        <v>0</v>
      </c>
      <c r="U35" s="11">
        <f t="shared" ca="1" si="4"/>
        <v>122570793.25572608</v>
      </c>
    </row>
    <row r="36" spans="1:21" x14ac:dyDescent="0.2">
      <c r="A36" s="8">
        <f>'Monthly Data'!A36</f>
        <v>43770</v>
      </c>
      <c r="B36">
        <f t="shared" si="2"/>
        <v>2019</v>
      </c>
      <c r="C36">
        <f t="shared" si="3"/>
        <v>11</v>
      </c>
      <c r="D36" s="18">
        <f>'Monthly Data'!N36</f>
        <v>119811245.49147254</v>
      </c>
      <c r="E36" s="21">
        <f t="shared" ca="1" si="6"/>
        <v>312.40687500000001</v>
      </c>
      <c r="F36" s="21">
        <f t="shared" ca="1" si="6"/>
        <v>1.6454166666666665</v>
      </c>
      <c r="G36" s="211">
        <f>'Monthly Data'!CV36</f>
        <v>0</v>
      </c>
      <c r="H36" s="7">
        <f>'Monthly Data'!CS36</f>
        <v>30</v>
      </c>
      <c r="I36" s="19">
        <f>'Monthly Data'!AO36</f>
        <v>812164</v>
      </c>
      <c r="J36" s="19">
        <f>'Monthly Data'!CF36</f>
        <v>1</v>
      </c>
      <c r="K36" s="19">
        <f>'Monthly Data'!BY36</f>
        <v>0</v>
      </c>
      <c r="M36" s="11">
        <f>'GS &gt; 50 Predicted Monthly'!$Z$10</f>
        <v>-1907163.1226077401</v>
      </c>
      <c r="N36" s="11">
        <f ca="1">E36*'GS &gt; 50 Predicted Monthly'!$Z$11</f>
        <v>6664638.335770756</v>
      </c>
      <c r="O36" s="11">
        <f ca="1">F36*'GS &gt; 50 Predicted Monthly'!$Z$12</f>
        <v>194918.12549587458</v>
      </c>
      <c r="P36" s="11">
        <f>G36*'GS &gt; 50 Predicted Monthly'!$Z$13</f>
        <v>0</v>
      </c>
      <c r="Q36" s="11">
        <f>H36*'GS &gt; 50 Predicted Monthly'!$Z$14</f>
        <v>76960162.106093109</v>
      </c>
      <c r="R36" s="11">
        <f>I36*'GS &gt; 50 Predicted Monthly'!$Z$15</f>
        <v>35837755.58295811</v>
      </c>
      <c r="S36" s="11">
        <f>J36*'GS &gt; 50 Predicted Monthly'!$Z$16</f>
        <v>3497669.1063549998</v>
      </c>
      <c r="T36" s="11">
        <f>K36*'GS &gt; 50 Predicted Monthly'!$Z$17</f>
        <v>0</v>
      </c>
      <c r="U36" s="11">
        <f t="shared" ca="1" si="4"/>
        <v>121247980.13406511</v>
      </c>
    </row>
    <row r="37" spans="1:21" x14ac:dyDescent="0.2">
      <c r="A37" s="8">
        <f>'Monthly Data'!A37</f>
        <v>43800</v>
      </c>
      <c r="B37">
        <f t="shared" si="2"/>
        <v>2019</v>
      </c>
      <c r="C37">
        <f t="shared" si="3"/>
        <v>12</v>
      </c>
      <c r="D37" s="18">
        <f>'Monthly Data'!N37</f>
        <v>119234475.76994899</v>
      </c>
      <c r="E37" s="21">
        <f t="shared" ca="1" si="6"/>
        <v>473.52499999999998</v>
      </c>
      <c r="F37" s="21">
        <f t="shared" ca="1" si="6"/>
        <v>0</v>
      </c>
      <c r="G37" s="211">
        <f>'Monthly Data'!CV37</f>
        <v>0</v>
      </c>
      <c r="H37" s="7">
        <f>'Monthly Data'!CS37</f>
        <v>31</v>
      </c>
      <c r="I37" s="19">
        <f>'Monthly Data'!AO37</f>
        <v>812164</v>
      </c>
      <c r="J37" s="19">
        <f>'Monthly Data'!CF37</f>
        <v>0</v>
      </c>
      <c r="K37" s="19">
        <f>'Monthly Data'!BY37</f>
        <v>0</v>
      </c>
      <c r="M37" s="11">
        <f>'GS &gt; 50 Predicted Monthly'!$Z$10</f>
        <v>-1907163.1226077401</v>
      </c>
      <c r="N37" s="11">
        <f ca="1">E37*'GS &gt; 50 Predicted Monthly'!$Z$11</f>
        <v>10101803.514874142</v>
      </c>
      <c r="O37" s="11">
        <f ca="1">F37*'GS &gt; 50 Predicted Monthly'!$Z$12</f>
        <v>0</v>
      </c>
      <c r="P37" s="11">
        <f>G37*'GS &gt; 50 Predicted Monthly'!$Z$13</f>
        <v>0</v>
      </c>
      <c r="Q37" s="11">
        <f>H37*'GS &gt; 50 Predicted Monthly'!$Z$14</f>
        <v>79525500.842962876</v>
      </c>
      <c r="R37" s="11">
        <f>I37*'GS &gt; 50 Predicted Monthly'!$Z$15</f>
        <v>35837755.58295811</v>
      </c>
      <c r="S37" s="11">
        <f>J37*'GS &gt; 50 Predicted Monthly'!$Z$16</f>
        <v>0</v>
      </c>
      <c r="T37" s="11">
        <f>K37*'GS &gt; 50 Predicted Monthly'!$Z$17</f>
        <v>0</v>
      </c>
      <c r="U37" s="11">
        <f t="shared" ca="1" si="4"/>
        <v>123557896.81818739</v>
      </c>
    </row>
    <row r="38" spans="1:21" x14ac:dyDescent="0.2">
      <c r="A38" s="8">
        <f>'Monthly Data'!A38</f>
        <v>43831</v>
      </c>
      <c r="B38">
        <f t="shared" si="2"/>
        <v>2020</v>
      </c>
      <c r="C38">
        <f t="shared" si="3"/>
        <v>1</v>
      </c>
      <c r="D38" s="18">
        <f>'Monthly Data'!N38</f>
        <v>125430467.18861799</v>
      </c>
      <c r="E38" s="21">
        <f t="shared" ca="1" si="6"/>
        <v>566.30416666666667</v>
      </c>
      <c r="F38" s="21">
        <f t="shared" ca="1" si="6"/>
        <v>0</v>
      </c>
      <c r="G38" s="211">
        <f>'Monthly Data'!CV38</f>
        <v>0</v>
      </c>
      <c r="H38" s="7">
        <f>'Monthly Data'!CS38</f>
        <v>31</v>
      </c>
      <c r="I38" s="19">
        <f>'Monthly Data'!AO38</f>
        <v>801246</v>
      </c>
      <c r="J38" s="19">
        <f>'Monthly Data'!CF38</f>
        <v>0</v>
      </c>
      <c r="K38" s="19">
        <f>'Monthly Data'!BY38</f>
        <v>0</v>
      </c>
      <c r="M38" s="11">
        <f>'GS &gt; 50 Predicted Monthly'!$Z$10</f>
        <v>-1907163.1226077401</v>
      </c>
      <c r="N38" s="11">
        <f ca="1">E38*'GS &gt; 50 Predicted Monthly'!$Z$11</f>
        <v>12081080.030243821</v>
      </c>
      <c r="O38" s="11">
        <f ca="1">F38*'GS &gt; 50 Predicted Monthly'!$Z$12</f>
        <v>0</v>
      </c>
      <c r="P38" s="11">
        <f>G38*'GS &gt; 50 Predicted Monthly'!$Z$13</f>
        <v>0</v>
      </c>
      <c r="Q38" s="11">
        <f>H38*'GS &gt; 50 Predicted Monthly'!$Z$14</f>
        <v>79525500.842962876</v>
      </c>
      <c r="R38" s="11">
        <f>I38*'GS &gt; 50 Predicted Monthly'!$Z$15</f>
        <v>35355985.133326344</v>
      </c>
      <c r="S38" s="11">
        <f>J38*'GS &gt; 50 Predicted Monthly'!$Z$16</f>
        <v>0</v>
      </c>
      <c r="T38" s="11">
        <f>K38*'GS &gt; 50 Predicted Monthly'!$Z$17</f>
        <v>0</v>
      </c>
      <c r="U38" s="11">
        <f t="shared" ca="1" si="4"/>
        <v>125055402.88392529</v>
      </c>
    </row>
    <row r="39" spans="1:21" x14ac:dyDescent="0.2">
      <c r="A39" s="8">
        <f>'Monthly Data'!A39</f>
        <v>43862</v>
      </c>
      <c r="B39">
        <f t="shared" si="2"/>
        <v>2020</v>
      </c>
      <c r="C39">
        <f t="shared" si="3"/>
        <v>2</v>
      </c>
      <c r="D39" s="18">
        <f>'Monthly Data'!N39</f>
        <v>118571418.15449654</v>
      </c>
      <c r="E39" s="21">
        <f t="shared" ca="1" si="6"/>
        <v>483.54541666666665</v>
      </c>
      <c r="F39" s="21">
        <f t="shared" ca="1" si="6"/>
        <v>0</v>
      </c>
      <c r="G39" s="211">
        <f>'Monthly Data'!CV39</f>
        <v>0</v>
      </c>
      <c r="H39" s="7">
        <f>'Monthly Data'!CS39</f>
        <v>29</v>
      </c>
      <c r="I39" s="19">
        <f>'Monthly Data'!AO39</f>
        <v>801246</v>
      </c>
      <c r="J39" s="19">
        <f>'Monthly Data'!CF39</f>
        <v>0</v>
      </c>
      <c r="K39" s="19">
        <f>'Monthly Data'!BY39</f>
        <v>0</v>
      </c>
      <c r="M39" s="11">
        <f>'GS &gt; 50 Predicted Monthly'!$Z$10</f>
        <v>-1907163.1226077401</v>
      </c>
      <c r="N39" s="11">
        <f ca="1">E39*'GS &gt; 50 Predicted Monthly'!$Z$11</f>
        <v>10315571.067387393</v>
      </c>
      <c r="O39" s="11">
        <f ca="1">F39*'GS &gt; 50 Predicted Monthly'!$Z$12</f>
        <v>0</v>
      </c>
      <c r="P39" s="11">
        <f>G39*'GS &gt; 50 Predicted Monthly'!$Z$13</f>
        <v>0</v>
      </c>
      <c r="Q39" s="11">
        <f>H39*'GS &gt; 50 Predicted Monthly'!$Z$14</f>
        <v>74394823.369223326</v>
      </c>
      <c r="R39" s="11">
        <f>I39*'GS &gt; 50 Predicted Monthly'!$Z$15</f>
        <v>35355985.133326344</v>
      </c>
      <c r="S39" s="11">
        <f>J39*'GS &gt; 50 Predicted Monthly'!$Z$16</f>
        <v>0</v>
      </c>
      <c r="T39" s="11">
        <f>K39*'GS &gt; 50 Predicted Monthly'!$Z$17</f>
        <v>0</v>
      </c>
      <c r="U39" s="11">
        <f t="shared" ca="1" si="4"/>
        <v>118159216.44732931</v>
      </c>
    </row>
    <row r="40" spans="1:21" x14ac:dyDescent="0.2">
      <c r="A40" s="8">
        <f>'Monthly Data'!A40</f>
        <v>43891</v>
      </c>
      <c r="B40">
        <f t="shared" si="2"/>
        <v>2020</v>
      </c>
      <c r="C40">
        <f t="shared" si="3"/>
        <v>3</v>
      </c>
      <c r="D40" s="18">
        <f>'Monthly Data'!N40</f>
        <v>117295704.87835306</v>
      </c>
      <c r="E40" s="21">
        <f t="shared" ca="1" si="6"/>
        <v>393.96333333333331</v>
      </c>
      <c r="F40" s="21">
        <f t="shared" ca="1" si="6"/>
        <v>0</v>
      </c>
      <c r="G40" s="211">
        <f>'Monthly Data'!CV40</f>
        <v>0.5</v>
      </c>
      <c r="H40" s="7">
        <f>'Monthly Data'!CS40</f>
        <v>31</v>
      </c>
      <c r="I40" s="19">
        <f>'Monthly Data'!AO40</f>
        <v>801246</v>
      </c>
      <c r="J40" s="19">
        <f>'Monthly Data'!CF40</f>
        <v>0</v>
      </c>
      <c r="K40" s="19">
        <f>'Monthly Data'!BY40</f>
        <v>0</v>
      </c>
      <c r="M40" s="11">
        <f>'GS &gt; 50 Predicted Monthly'!$Z$10</f>
        <v>-1907163.1226077401</v>
      </c>
      <c r="N40" s="11">
        <f ca="1">E40*'GS &gt; 50 Predicted Monthly'!$Z$11</f>
        <v>8404498.5700822547</v>
      </c>
      <c r="O40" s="11">
        <f ca="1">F40*'GS &gt; 50 Predicted Monthly'!$Z$12</f>
        <v>0</v>
      </c>
      <c r="P40" s="11">
        <f>G40*'GS &gt; 50 Predicted Monthly'!$Z$13</f>
        <v>-4931707.7200885154</v>
      </c>
      <c r="Q40" s="11">
        <f>H40*'GS &gt; 50 Predicted Monthly'!$Z$14</f>
        <v>79525500.842962876</v>
      </c>
      <c r="R40" s="11">
        <f>I40*'GS &gt; 50 Predicted Monthly'!$Z$15</f>
        <v>35355985.133326344</v>
      </c>
      <c r="S40" s="11">
        <f>J40*'GS &gt; 50 Predicted Monthly'!$Z$16</f>
        <v>0</v>
      </c>
      <c r="T40" s="11">
        <f>K40*'GS &gt; 50 Predicted Monthly'!$Z$17</f>
        <v>0</v>
      </c>
      <c r="U40" s="11">
        <f t="shared" ca="1" si="4"/>
        <v>116447113.70367521</v>
      </c>
    </row>
    <row r="41" spans="1:21" x14ac:dyDescent="0.2">
      <c r="A41" s="8">
        <f>'Monthly Data'!A41</f>
        <v>43922</v>
      </c>
      <c r="B41">
        <f t="shared" si="2"/>
        <v>2020</v>
      </c>
      <c r="C41">
        <f t="shared" si="3"/>
        <v>4</v>
      </c>
      <c r="D41" s="18">
        <f>'Monthly Data'!N41</f>
        <v>98603522.653697401</v>
      </c>
      <c r="E41" s="21">
        <f t="shared" ca="1" si="6"/>
        <v>226.60145833333337</v>
      </c>
      <c r="F41" s="21">
        <f t="shared" ca="1" si="6"/>
        <v>6.5650000000000031</v>
      </c>
      <c r="G41" s="211">
        <f>'Monthly Data'!CV41</f>
        <v>1</v>
      </c>
      <c r="H41" s="7">
        <f>'Monthly Data'!CS41</f>
        <v>30</v>
      </c>
      <c r="I41" s="19">
        <f>'Monthly Data'!AO41</f>
        <v>705711</v>
      </c>
      <c r="J41" s="19">
        <f>'Monthly Data'!CF41</f>
        <v>0</v>
      </c>
      <c r="K41" s="19">
        <f>'Monthly Data'!BY41</f>
        <v>0</v>
      </c>
      <c r="M41" s="11">
        <f>'GS &gt; 50 Predicted Monthly'!$Z$10</f>
        <v>-1907163.1226077401</v>
      </c>
      <c r="N41" s="11">
        <f ca="1">E41*'GS &gt; 50 Predicted Monthly'!$Z$11</f>
        <v>4834134.2236783141</v>
      </c>
      <c r="O41" s="11">
        <f ca="1">F41*'GS &gt; 50 Predicted Monthly'!$Z$12</f>
        <v>777698.14771157305</v>
      </c>
      <c r="P41" s="11">
        <f>G41*'GS &gt; 50 Predicted Monthly'!$Z$13</f>
        <v>-9863415.4401770309</v>
      </c>
      <c r="Q41" s="11">
        <f>H41*'GS &gt; 50 Predicted Monthly'!$Z$14</f>
        <v>76960162.106093109</v>
      </c>
      <c r="R41" s="11">
        <f>I41*'GS &gt; 50 Predicted Monthly'!$Z$15</f>
        <v>31140383.383411419</v>
      </c>
      <c r="S41" s="11">
        <f>J41*'GS &gt; 50 Predicted Monthly'!$Z$16</f>
        <v>0</v>
      </c>
      <c r="T41" s="11">
        <f>K41*'GS &gt; 50 Predicted Monthly'!$Z$17</f>
        <v>0</v>
      </c>
      <c r="U41" s="11">
        <f t="shared" ca="1" si="4"/>
        <v>101941799.29810965</v>
      </c>
    </row>
    <row r="42" spans="1:21" x14ac:dyDescent="0.2">
      <c r="A42" s="8">
        <f>'Monthly Data'!A42</f>
        <v>43952</v>
      </c>
      <c r="B42">
        <f t="shared" si="2"/>
        <v>2020</v>
      </c>
      <c r="C42">
        <f t="shared" si="3"/>
        <v>5</v>
      </c>
      <c r="D42" s="18">
        <f>'Monthly Data'!N42</f>
        <v>105305767.47523543</v>
      </c>
      <c r="E42" s="21">
        <f t="shared" ca="1" si="6"/>
        <v>65.335833333333326</v>
      </c>
      <c r="F42" s="21">
        <f t="shared" ca="1" si="6"/>
        <v>59.300416666666649</v>
      </c>
      <c r="G42" s="211">
        <f>'Monthly Data'!CV42</f>
        <v>1</v>
      </c>
      <c r="H42" s="7">
        <f>'Monthly Data'!CS42</f>
        <v>31</v>
      </c>
      <c r="I42" s="19">
        <f>'Monthly Data'!AO42</f>
        <v>705711</v>
      </c>
      <c r="J42" s="19">
        <f>'Monthly Data'!CF42</f>
        <v>0</v>
      </c>
      <c r="K42" s="19">
        <f>'Monthly Data'!BY42</f>
        <v>0</v>
      </c>
      <c r="M42" s="11">
        <f>'GS &gt; 50 Predicted Monthly'!$Z$10</f>
        <v>-1907163.1226077401</v>
      </c>
      <c r="N42" s="11">
        <f ca="1">E42*'GS &gt; 50 Predicted Monthly'!$Z$11</f>
        <v>1393822.3975796374</v>
      </c>
      <c r="O42" s="11">
        <f ca="1">F42*'GS &gt; 50 Predicted Monthly'!$Z$12</f>
        <v>7024801.8583687926</v>
      </c>
      <c r="P42" s="11">
        <f>G42*'GS &gt; 50 Predicted Monthly'!$Z$13</f>
        <v>-9863415.4401770309</v>
      </c>
      <c r="Q42" s="11">
        <f>H42*'GS &gt; 50 Predicted Monthly'!$Z$14</f>
        <v>79525500.842962876</v>
      </c>
      <c r="R42" s="11">
        <f>I42*'GS &gt; 50 Predicted Monthly'!$Z$15</f>
        <v>31140383.383411419</v>
      </c>
      <c r="S42" s="11">
        <f>J42*'GS &gt; 50 Predicted Monthly'!$Z$16</f>
        <v>0</v>
      </c>
      <c r="T42" s="11">
        <f>K42*'GS &gt; 50 Predicted Monthly'!$Z$17</f>
        <v>0</v>
      </c>
      <c r="U42" s="11">
        <f t="shared" ca="1" si="4"/>
        <v>107313929.91953796</v>
      </c>
    </row>
    <row r="43" spans="1:21" x14ac:dyDescent="0.2">
      <c r="A43" s="8">
        <f>'Monthly Data'!A43</f>
        <v>43983</v>
      </c>
      <c r="B43">
        <f t="shared" si="2"/>
        <v>2020</v>
      </c>
      <c r="C43">
        <f t="shared" si="3"/>
        <v>6</v>
      </c>
      <c r="D43" s="18">
        <f>'Monthly Data'!N43</f>
        <v>121746154.50347269</v>
      </c>
      <c r="E43" s="21">
        <f t="shared" ca="1" si="6"/>
        <v>3.0447916666666672</v>
      </c>
      <c r="F43" s="21">
        <f t="shared" ca="1" si="6"/>
        <v>157.17000000000002</v>
      </c>
      <c r="G43" s="211">
        <f>'Monthly Data'!CV43</f>
        <v>0.5</v>
      </c>
      <c r="H43" s="7">
        <f>'Monthly Data'!CS43</f>
        <v>30</v>
      </c>
      <c r="I43" s="19">
        <f>'Monthly Data'!AO43</f>
        <v>705711</v>
      </c>
      <c r="J43" s="19">
        <f>'Monthly Data'!CF43</f>
        <v>0</v>
      </c>
      <c r="K43" s="19">
        <f>'Monthly Data'!BY43</f>
        <v>0</v>
      </c>
      <c r="M43" s="11">
        <f>'GS &gt; 50 Predicted Monthly'!$Z$10</f>
        <v>-1907163.1226077401</v>
      </c>
      <c r="N43" s="11">
        <f ca="1">E43*'GS &gt; 50 Predicted Monthly'!$Z$11</f>
        <v>64955.149486073256</v>
      </c>
      <c r="O43" s="11">
        <f ca="1">F43*'GS &gt; 50 Predicted Monthly'!$Z$12</f>
        <v>18618555.655114681</v>
      </c>
      <c r="P43" s="11">
        <f>G43*'GS &gt; 50 Predicted Monthly'!$Z$13</f>
        <v>-4931707.7200885154</v>
      </c>
      <c r="Q43" s="11">
        <f>H43*'GS &gt; 50 Predicted Monthly'!$Z$14</f>
        <v>76960162.106093109</v>
      </c>
      <c r="R43" s="11">
        <f>I43*'GS &gt; 50 Predicted Monthly'!$Z$15</f>
        <v>31140383.383411419</v>
      </c>
      <c r="S43" s="11">
        <f>J43*'GS &gt; 50 Predicted Monthly'!$Z$16</f>
        <v>0</v>
      </c>
      <c r="T43" s="11">
        <f>K43*'GS &gt; 50 Predicted Monthly'!$Z$17</f>
        <v>0</v>
      </c>
      <c r="U43" s="11">
        <f t="shared" ca="1" si="4"/>
        <v>119945185.45140903</v>
      </c>
    </row>
    <row r="44" spans="1:21" x14ac:dyDescent="0.2">
      <c r="A44" s="8">
        <f>'Monthly Data'!A44</f>
        <v>44013</v>
      </c>
      <c r="B44">
        <f t="shared" si="2"/>
        <v>2020</v>
      </c>
      <c r="C44">
        <f t="shared" si="3"/>
        <v>7</v>
      </c>
      <c r="D44" s="18">
        <f>'Monthly Data'!N44</f>
        <v>139946746.85685223</v>
      </c>
      <c r="E44" s="21">
        <f t="shared" ca="1" si="6"/>
        <v>0</v>
      </c>
      <c r="F44" s="21">
        <f t="shared" ca="1" si="6"/>
        <v>231.27145833333333</v>
      </c>
      <c r="G44" s="211">
        <f>'Monthly Data'!CV44</f>
        <v>0.5</v>
      </c>
      <c r="H44" s="7">
        <f>'Monthly Data'!CS44</f>
        <v>31</v>
      </c>
      <c r="I44" s="19">
        <f>'Monthly Data'!AO44</f>
        <v>778294</v>
      </c>
      <c r="J44" s="19">
        <f>'Monthly Data'!CF44</f>
        <v>0</v>
      </c>
      <c r="K44" s="19">
        <f>'Monthly Data'!BY44</f>
        <v>0</v>
      </c>
      <c r="M44" s="11">
        <f>'GS &gt; 50 Predicted Monthly'!$Z$10</f>
        <v>-1907163.1226077401</v>
      </c>
      <c r="N44" s="11">
        <f ca="1">E44*'GS &gt; 50 Predicted Monthly'!$Z$11</f>
        <v>0</v>
      </c>
      <c r="O44" s="11">
        <f ca="1">F44*'GS &gt; 50 Predicted Monthly'!$Z$12</f>
        <v>27396707.50409558</v>
      </c>
      <c r="P44" s="11">
        <f>G44*'GS &gt; 50 Predicted Monthly'!$Z$13</f>
        <v>-4931707.7200885154</v>
      </c>
      <c r="Q44" s="11">
        <f>H44*'GS &gt; 50 Predicted Monthly'!$Z$14</f>
        <v>79525500.842962876</v>
      </c>
      <c r="R44" s="11">
        <f>I44*'GS &gt; 50 Predicted Monthly'!$Z$15</f>
        <v>34343199.333734073</v>
      </c>
      <c r="S44" s="11">
        <f>J44*'GS &gt; 50 Predicted Monthly'!$Z$16</f>
        <v>0</v>
      </c>
      <c r="T44" s="11">
        <f>K44*'GS &gt; 50 Predicted Monthly'!$Z$17</f>
        <v>0</v>
      </c>
      <c r="U44" s="11">
        <f t="shared" ca="1" si="4"/>
        <v>134426536.83809626</v>
      </c>
    </row>
    <row r="45" spans="1:21" x14ac:dyDescent="0.2">
      <c r="A45" s="8">
        <f>'Monthly Data'!A45</f>
        <v>44044</v>
      </c>
      <c r="B45">
        <f t="shared" si="2"/>
        <v>2020</v>
      </c>
      <c r="C45">
        <f t="shared" si="3"/>
        <v>8</v>
      </c>
      <c r="D45" s="18">
        <f>'Monthly Data'!N45</f>
        <v>133892282.17763576</v>
      </c>
      <c r="E45" s="21">
        <f t="shared" ca="1" si="6"/>
        <v>0.27875000000000066</v>
      </c>
      <c r="F45" s="21">
        <f t="shared" ca="1" si="6"/>
        <v>196.13625000000002</v>
      </c>
      <c r="G45" s="211">
        <f>'Monthly Data'!CV45</f>
        <v>0.5</v>
      </c>
      <c r="H45" s="7">
        <f>'Monthly Data'!CS45</f>
        <v>31</v>
      </c>
      <c r="I45" s="19">
        <f>'Monthly Data'!AO45</f>
        <v>778294</v>
      </c>
      <c r="J45" s="19">
        <f>'Monthly Data'!CF45</f>
        <v>0</v>
      </c>
      <c r="K45" s="19">
        <f>'Monthly Data'!BY45</f>
        <v>1</v>
      </c>
      <c r="M45" s="11">
        <f>'GS &gt; 50 Predicted Monthly'!$Z$10</f>
        <v>-1907163.1226077401</v>
      </c>
      <c r="N45" s="11">
        <f ca="1">E45*'GS &gt; 50 Predicted Monthly'!$Z$11</f>
        <v>5946.629491095875</v>
      </c>
      <c r="O45" s="11">
        <f ca="1">F45*'GS &gt; 50 Predicted Monthly'!$Z$12</f>
        <v>23234546.584020402</v>
      </c>
      <c r="P45" s="11">
        <f>G45*'GS &gt; 50 Predicted Monthly'!$Z$13</f>
        <v>-4931707.7200885154</v>
      </c>
      <c r="Q45" s="11">
        <f>H45*'GS &gt; 50 Predicted Monthly'!$Z$14</f>
        <v>79525500.842962876</v>
      </c>
      <c r="R45" s="11">
        <f>I45*'GS &gt; 50 Predicted Monthly'!$Z$15</f>
        <v>34343199.333734073</v>
      </c>
      <c r="S45" s="11">
        <f>J45*'GS &gt; 50 Predicted Monthly'!$Z$16</f>
        <v>0</v>
      </c>
      <c r="T45" s="11">
        <f>K45*'GS &gt; 50 Predicted Monthly'!$Z$17</f>
        <v>2800660.9376037801</v>
      </c>
      <c r="U45" s="11">
        <f t="shared" ca="1" si="4"/>
        <v>133070983.48511599</v>
      </c>
    </row>
    <row r="46" spans="1:21" x14ac:dyDescent="0.2">
      <c r="A46" s="8">
        <f>'Monthly Data'!A46</f>
        <v>44075</v>
      </c>
      <c r="B46">
        <f t="shared" si="2"/>
        <v>2020</v>
      </c>
      <c r="C46">
        <f t="shared" si="3"/>
        <v>9</v>
      </c>
      <c r="D46" s="18">
        <f>'Monthly Data'!N46</f>
        <v>120315113.40470029</v>
      </c>
      <c r="E46" s="21">
        <f t="shared" ca="1" si="6"/>
        <v>11.319999999999997</v>
      </c>
      <c r="F46" s="21">
        <f t="shared" ca="1" si="6"/>
        <v>104.19854166666664</v>
      </c>
      <c r="G46" s="211">
        <f>'Monthly Data'!CV46</f>
        <v>0.5</v>
      </c>
      <c r="H46" s="7">
        <f>'Monthly Data'!CS46</f>
        <v>30</v>
      </c>
      <c r="I46" s="19">
        <f>'Monthly Data'!AO46</f>
        <v>778294</v>
      </c>
      <c r="J46" s="19">
        <f>'Monthly Data'!CF46</f>
        <v>1</v>
      </c>
      <c r="K46" s="19">
        <f>'Monthly Data'!BY46</f>
        <v>0</v>
      </c>
      <c r="M46" s="11">
        <f>'GS &gt; 50 Predicted Monthly'!$Z$10</f>
        <v>-1907163.1226077401</v>
      </c>
      <c r="N46" s="11">
        <f ca="1">E46*'GS &gt; 50 Predicted Monthly'!$Z$11</f>
        <v>241491.82363840402</v>
      </c>
      <c r="O46" s="11">
        <f ca="1">F46*'GS &gt; 50 Predicted Monthly'!$Z$12</f>
        <v>12343490.152081305</v>
      </c>
      <c r="P46" s="11">
        <f>G46*'GS &gt; 50 Predicted Monthly'!$Z$13</f>
        <v>-4931707.7200885154</v>
      </c>
      <c r="Q46" s="11">
        <f>H46*'GS &gt; 50 Predicted Monthly'!$Z$14</f>
        <v>76960162.106093109</v>
      </c>
      <c r="R46" s="11">
        <f>I46*'GS &gt; 50 Predicted Monthly'!$Z$15</f>
        <v>34343199.333734073</v>
      </c>
      <c r="S46" s="11">
        <f>J46*'GS &gt; 50 Predicted Monthly'!$Z$16</f>
        <v>3497669.1063549998</v>
      </c>
      <c r="T46" s="11">
        <f>K46*'GS &gt; 50 Predicted Monthly'!$Z$17</f>
        <v>0</v>
      </c>
      <c r="U46" s="11">
        <f t="shared" ca="1" si="4"/>
        <v>120547141.67920564</v>
      </c>
    </row>
    <row r="47" spans="1:21" x14ac:dyDescent="0.2">
      <c r="A47" s="8">
        <f>'Monthly Data'!A47</f>
        <v>44105</v>
      </c>
      <c r="B47">
        <f t="shared" si="2"/>
        <v>2020</v>
      </c>
      <c r="C47">
        <f t="shared" si="3"/>
        <v>10</v>
      </c>
      <c r="D47" s="18">
        <f>'Monthly Data'!N47</f>
        <v>116415167.56471382</v>
      </c>
      <c r="E47" s="21">
        <f t="shared" ca="1" si="6"/>
        <v>126.12583333333332</v>
      </c>
      <c r="F47" s="21">
        <f t="shared" ca="1" si="6"/>
        <v>24.703125000000007</v>
      </c>
      <c r="G47" s="211">
        <f>'Monthly Data'!CV47</f>
        <v>0.5</v>
      </c>
      <c r="H47" s="7">
        <f>'Monthly Data'!CS47</f>
        <v>31</v>
      </c>
      <c r="I47" s="19">
        <f>'Monthly Data'!AO47</f>
        <v>797313</v>
      </c>
      <c r="J47" s="19">
        <f>'Monthly Data'!CF47</f>
        <v>1</v>
      </c>
      <c r="K47" s="19">
        <f>'Monthly Data'!BY47</f>
        <v>0</v>
      </c>
      <c r="M47" s="11">
        <f>'GS &gt; 50 Predicted Monthly'!$Z$10</f>
        <v>-1907163.1226077401</v>
      </c>
      <c r="N47" s="11">
        <f ca="1">E47*'GS &gt; 50 Predicted Monthly'!$Z$11</f>
        <v>2690667.6236378159</v>
      </c>
      <c r="O47" s="11">
        <f ca="1">F47*'GS &gt; 50 Predicted Monthly'!$Z$12</f>
        <v>2926363.2224200224</v>
      </c>
      <c r="P47" s="11">
        <f>G47*'GS &gt; 50 Predicted Monthly'!$Z$13</f>
        <v>-4931707.7200885154</v>
      </c>
      <c r="Q47" s="11">
        <f>H47*'GS &gt; 50 Predicted Monthly'!$Z$14</f>
        <v>79525500.842962876</v>
      </c>
      <c r="R47" s="11">
        <f>I47*'GS &gt; 50 Predicted Monthly'!$Z$15</f>
        <v>35182436.573296875</v>
      </c>
      <c r="S47" s="11">
        <f>J47*'GS &gt; 50 Predicted Monthly'!$Z$16</f>
        <v>3497669.1063549998</v>
      </c>
      <c r="T47" s="11">
        <f>K47*'GS &gt; 50 Predicted Monthly'!$Z$17</f>
        <v>0</v>
      </c>
      <c r="U47" s="11">
        <f t="shared" ca="1" si="4"/>
        <v>116983766.52597633</v>
      </c>
    </row>
    <row r="48" spans="1:21" x14ac:dyDescent="0.2">
      <c r="A48" s="8">
        <f>'Monthly Data'!A48</f>
        <v>44136</v>
      </c>
      <c r="B48">
        <f t="shared" si="2"/>
        <v>2020</v>
      </c>
      <c r="C48">
        <f t="shared" si="3"/>
        <v>11</v>
      </c>
      <c r="D48" s="18">
        <f>'Monthly Data'!N48</f>
        <v>115562525.59741136</v>
      </c>
      <c r="E48" s="21">
        <f t="shared" ca="1" si="6"/>
        <v>312.40687500000001</v>
      </c>
      <c r="F48" s="21">
        <f t="shared" ca="1" si="6"/>
        <v>1.6454166666666665</v>
      </c>
      <c r="G48" s="211">
        <f>'Monthly Data'!CV48</f>
        <v>0.5</v>
      </c>
      <c r="H48" s="7">
        <f>'Monthly Data'!CS48</f>
        <v>30</v>
      </c>
      <c r="I48" s="19">
        <f>'Monthly Data'!AO48</f>
        <v>797313</v>
      </c>
      <c r="J48" s="19">
        <f>'Monthly Data'!CF48</f>
        <v>1</v>
      </c>
      <c r="K48" s="19">
        <f>'Monthly Data'!BY48</f>
        <v>0</v>
      </c>
      <c r="M48" s="11">
        <f>'GS &gt; 50 Predicted Monthly'!$Z$10</f>
        <v>-1907163.1226077401</v>
      </c>
      <c r="N48" s="11">
        <f ca="1">E48*'GS &gt; 50 Predicted Monthly'!$Z$11</f>
        <v>6664638.335770756</v>
      </c>
      <c r="O48" s="11">
        <f ca="1">F48*'GS &gt; 50 Predicted Monthly'!$Z$12</f>
        <v>194918.12549587458</v>
      </c>
      <c r="P48" s="11">
        <f>G48*'GS &gt; 50 Predicted Monthly'!$Z$13</f>
        <v>-4931707.7200885154</v>
      </c>
      <c r="Q48" s="11">
        <f>H48*'GS &gt; 50 Predicted Monthly'!$Z$14</f>
        <v>76960162.106093109</v>
      </c>
      <c r="R48" s="11">
        <f>I48*'GS &gt; 50 Predicted Monthly'!$Z$15</f>
        <v>35182436.573296875</v>
      </c>
      <c r="S48" s="11">
        <f>J48*'GS &gt; 50 Predicted Monthly'!$Z$16</f>
        <v>3497669.1063549998</v>
      </c>
      <c r="T48" s="11">
        <f>K48*'GS &gt; 50 Predicted Monthly'!$Z$17</f>
        <v>0</v>
      </c>
      <c r="U48" s="11">
        <f t="shared" ca="1" si="4"/>
        <v>115660953.40431535</v>
      </c>
    </row>
    <row r="49" spans="1:21" x14ac:dyDescent="0.2">
      <c r="A49" s="8">
        <f>'Monthly Data'!A49</f>
        <v>44166</v>
      </c>
      <c r="B49">
        <f t="shared" si="2"/>
        <v>2020</v>
      </c>
      <c r="C49">
        <f t="shared" si="3"/>
        <v>12</v>
      </c>
      <c r="D49" s="18">
        <f>'Monthly Data'!N49</f>
        <v>117692607.99430689</v>
      </c>
      <c r="E49" s="21">
        <f t="shared" ca="1" si="6"/>
        <v>473.52499999999998</v>
      </c>
      <c r="F49" s="21">
        <f t="shared" ca="1" si="6"/>
        <v>0</v>
      </c>
      <c r="G49" s="211">
        <f>'Monthly Data'!CV49</f>
        <v>0.5</v>
      </c>
      <c r="H49" s="7">
        <f>'Monthly Data'!CS49</f>
        <v>31</v>
      </c>
      <c r="I49" s="19">
        <f>'Monthly Data'!AO49</f>
        <v>797313</v>
      </c>
      <c r="J49" s="19">
        <f>'Monthly Data'!CF49</f>
        <v>0</v>
      </c>
      <c r="K49" s="19">
        <f>'Monthly Data'!BY49</f>
        <v>0</v>
      </c>
      <c r="M49" s="11">
        <f>'GS &gt; 50 Predicted Monthly'!$Z$10</f>
        <v>-1907163.1226077401</v>
      </c>
      <c r="N49" s="11">
        <f ca="1">E49*'GS &gt; 50 Predicted Monthly'!$Z$11</f>
        <v>10101803.514874142</v>
      </c>
      <c r="O49" s="11">
        <f ca="1">F49*'GS &gt; 50 Predicted Monthly'!$Z$12</f>
        <v>0</v>
      </c>
      <c r="P49" s="11">
        <f>G49*'GS &gt; 50 Predicted Monthly'!$Z$13</f>
        <v>-4931707.7200885154</v>
      </c>
      <c r="Q49" s="11">
        <f>H49*'GS &gt; 50 Predicted Monthly'!$Z$14</f>
        <v>79525500.842962876</v>
      </c>
      <c r="R49" s="11">
        <f>I49*'GS &gt; 50 Predicted Monthly'!$Z$15</f>
        <v>35182436.573296875</v>
      </c>
      <c r="S49" s="11">
        <f>J49*'GS &gt; 50 Predicted Monthly'!$Z$16</f>
        <v>0</v>
      </c>
      <c r="T49" s="11">
        <f>K49*'GS &gt; 50 Predicted Monthly'!$Z$17</f>
        <v>0</v>
      </c>
      <c r="U49" s="11">
        <f t="shared" ca="1" si="4"/>
        <v>117970870.08843763</v>
      </c>
    </row>
    <row r="50" spans="1:21" x14ac:dyDescent="0.2">
      <c r="A50" s="8">
        <f>'Monthly Data'!A50</f>
        <v>44197</v>
      </c>
      <c r="B50">
        <f t="shared" si="2"/>
        <v>2021</v>
      </c>
      <c r="C50">
        <f t="shared" si="3"/>
        <v>1</v>
      </c>
      <c r="D50" s="18">
        <f>'Monthly Data'!N50</f>
        <v>118984048.05510825</v>
      </c>
      <c r="E50" s="21">
        <f t="shared" ca="1" si="6"/>
        <v>566.30416666666667</v>
      </c>
      <c r="F50" s="21">
        <f t="shared" ca="1" si="6"/>
        <v>0</v>
      </c>
      <c r="G50" s="211">
        <f>'Monthly Data'!CV50</f>
        <v>0.5</v>
      </c>
      <c r="H50" s="7">
        <f>'Monthly Data'!CS50</f>
        <v>31</v>
      </c>
      <c r="I50" s="19">
        <f>'Monthly Data'!AO50</f>
        <v>809994</v>
      </c>
      <c r="J50" s="19">
        <f>'Monthly Data'!CF50</f>
        <v>0</v>
      </c>
      <c r="K50" s="19">
        <f>'Monthly Data'!BY50</f>
        <v>0</v>
      </c>
      <c r="M50" s="11">
        <f>'GS &gt; 50 Predicted Monthly'!$Z$10</f>
        <v>-1907163.1226077401</v>
      </c>
      <c r="N50" s="11">
        <f ca="1">E50*'GS &gt; 50 Predicted Monthly'!$Z$11</f>
        <v>12081080.030243821</v>
      </c>
      <c r="O50" s="11">
        <f ca="1">F50*'GS &gt; 50 Predicted Monthly'!$Z$12</f>
        <v>0</v>
      </c>
      <c r="P50" s="11">
        <f>G50*'GS &gt; 50 Predicted Monthly'!$Z$13</f>
        <v>-4931707.7200885154</v>
      </c>
      <c r="Q50" s="11">
        <f>H50*'GS &gt; 50 Predicted Monthly'!$Z$14</f>
        <v>79525500.842962876</v>
      </c>
      <c r="R50" s="11">
        <f>I50*'GS &gt; 50 Predicted Monthly'!$Z$15</f>
        <v>35742001.610096693</v>
      </c>
      <c r="S50" s="11">
        <f>J50*'GS &gt; 50 Predicted Monthly'!$Z$16</f>
        <v>0</v>
      </c>
      <c r="T50" s="11">
        <f>K50*'GS &gt; 50 Predicted Monthly'!$Z$17</f>
        <v>0</v>
      </c>
      <c r="U50" s="11">
        <f t="shared" ca="1" si="4"/>
        <v>120509711.64060713</v>
      </c>
    </row>
    <row r="51" spans="1:21" x14ac:dyDescent="0.2">
      <c r="A51" s="8">
        <f>'Monthly Data'!A51</f>
        <v>44228</v>
      </c>
      <c r="B51">
        <f t="shared" si="2"/>
        <v>2021</v>
      </c>
      <c r="C51">
        <f t="shared" si="3"/>
        <v>2</v>
      </c>
      <c r="D51" s="18">
        <f>'Monthly Data'!N51</f>
        <v>113057274.56216528</v>
      </c>
      <c r="E51" s="21">
        <f t="shared" ca="1" si="6"/>
        <v>483.54541666666665</v>
      </c>
      <c r="F51" s="21">
        <f t="shared" ca="1" si="6"/>
        <v>0</v>
      </c>
      <c r="G51" s="211">
        <f>'Monthly Data'!CV51</f>
        <v>0.5</v>
      </c>
      <c r="H51" s="7">
        <f>'Monthly Data'!CS51</f>
        <v>28</v>
      </c>
      <c r="I51" s="19">
        <f>'Monthly Data'!AO51</f>
        <v>809994</v>
      </c>
      <c r="J51" s="19">
        <f>'Monthly Data'!CF51</f>
        <v>0</v>
      </c>
      <c r="K51" s="19">
        <f>'Monthly Data'!BY51</f>
        <v>0</v>
      </c>
      <c r="M51" s="11">
        <f>'GS &gt; 50 Predicted Monthly'!$Z$10</f>
        <v>-1907163.1226077401</v>
      </c>
      <c r="N51" s="11">
        <f ca="1">E51*'GS &gt; 50 Predicted Monthly'!$Z$11</f>
        <v>10315571.067387393</v>
      </c>
      <c r="O51" s="11">
        <f ca="1">F51*'GS &gt; 50 Predicted Monthly'!$Z$12</f>
        <v>0</v>
      </c>
      <c r="P51" s="11">
        <f>G51*'GS &gt; 50 Predicted Monthly'!$Z$13</f>
        <v>-4931707.7200885154</v>
      </c>
      <c r="Q51" s="11">
        <f>H51*'GS &gt; 50 Predicted Monthly'!$Z$14</f>
        <v>71829484.632353559</v>
      </c>
      <c r="R51" s="11">
        <f>I51*'GS &gt; 50 Predicted Monthly'!$Z$15</f>
        <v>35742001.610096693</v>
      </c>
      <c r="S51" s="11">
        <f>J51*'GS &gt; 50 Predicted Monthly'!$Z$16</f>
        <v>0</v>
      </c>
      <c r="T51" s="11">
        <f>K51*'GS &gt; 50 Predicted Monthly'!$Z$17</f>
        <v>0</v>
      </c>
      <c r="U51" s="11">
        <f t="shared" ca="1" si="4"/>
        <v>111048186.46714139</v>
      </c>
    </row>
    <row r="52" spans="1:21" x14ac:dyDescent="0.2">
      <c r="A52" s="8">
        <f>'Monthly Data'!A52</f>
        <v>44256</v>
      </c>
      <c r="B52">
        <f t="shared" si="2"/>
        <v>2021</v>
      </c>
      <c r="C52">
        <f t="shared" si="3"/>
        <v>3</v>
      </c>
      <c r="D52" s="18">
        <f>'Monthly Data'!N52</f>
        <v>120813677.33533032</v>
      </c>
      <c r="E52" s="21">
        <f t="shared" ca="1" si="6"/>
        <v>393.96333333333331</v>
      </c>
      <c r="F52" s="21">
        <f t="shared" ca="1" si="6"/>
        <v>0</v>
      </c>
      <c r="G52" s="211">
        <f>'Monthly Data'!CV52</f>
        <v>0.5</v>
      </c>
      <c r="H52" s="7">
        <f>'Monthly Data'!CS52</f>
        <v>31</v>
      </c>
      <c r="I52" s="19">
        <f>'Monthly Data'!AO52</f>
        <v>809994</v>
      </c>
      <c r="J52" s="19">
        <f>'Monthly Data'!CF52</f>
        <v>0</v>
      </c>
      <c r="K52" s="19">
        <f>'Monthly Data'!BY52</f>
        <v>0</v>
      </c>
      <c r="M52" s="11">
        <f>'GS &gt; 50 Predicted Monthly'!$Z$10</f>
        <v>-1907163.1226077401</v>
      </c>
      <c r="N52" s="11">
        <f ca="1">E52*'GS &gt; 50 Predicted Monthly'!$Z$11</f>
        <v>8404498.5700822547</v>
      </c>
      <c r="O52" s="11">
        <f ca="1">F52*'GS &gt; 50 Predicted Monthly'!$Z$12</f>
        <v>0</v>
      </c>
      <c r="P52" s="11">
        <f>G52*'GS &gt; 50 Predicted Monthly'!$Z$13</f>
        <v>-4931707.7200885154</v>
      </c>
      <c r="Q52" s="11">
        <f>H52*'GS &gt; 50 Predicted Monthly'!$Z$14</f>
        <v>79525500.842962876</v>
      </c>
      <c r="R52" s="11">
        <f>I52*'GS &gt; 50 Predicted Monthly'!$Z$15</f>
        <v>35742001.610096693</v>
      </c>
      <c r="S52" s="11">
        <f>J52*'GS &gt; 50 Predicted Monthly'!$Z$16</f>
        <v>0</v>
      </c>
      <c r="T52" s="11">
        <f>K52*'GS &gt; 50 Predicted Monthly'!$Z$17</f>
        <v>0</v>
      </c>
      <c r="U52" s="11">
        <f t="shared" ca="1" si="4"/>
        <v>116833130.18044557</v>
      </c>
    </row>
    <row r="53" spans="1:21" x14ac:dyDescent="0.2">
      <c r="A53" s="8">
        <f>'Monthly Data'!A53</f>
        <v>44287</v>
      </c>
      <c r="B53">
        <f t="shared" si="2"/>
        <v>2021</v>
      </c>
      <c r="C53">
        <f t="shared" si="3"/>
        <v>4</v>
      </c>
      <c r="D53" s="18">
        <f>'Monthly Data'!N53</f>
        <v>109638007.65802936</v>
      </c>
      <c r="E53" s="21">
        <f t="shared" ca="1" si="6"/>
        <v>226.60145833333337</v>
      </c>
      <c r="F53" s="21">
        <f t="shared" ca="1" si="6"/>
        <v>6.5650000000000031</v>
      </c>
      <c r="G53" s="211">
        <f>'Monthly Data'!CV53</f>
        <v>0.5</v>
      </c>
      <c r="H53" s="7">
        <f>'Monthly Data'!CS53</f>
        <v>30</v>
      </c>
      <c r="I53" s="19">
        <f>'Monthly Data'!AO53</f>
        <v>803585</v>
      </c>
      <c r="J53" s="19">
        <f>'Monthly Data'!CF53</f>
        <v>0</v>
      </c>
      <c r="K53" s="19">
        <f>'Monthly Data'!BY53</f>
        <v>0</v>
      </c>
      <c r="M53" s="11">
        <f>'GS &gt; 50 Predicted Monthly'!$Z$10</f>
        <v>-1907163.1226077401</v>
      </c>
      <c r="N53" s="11">
        <f ca="1">E53*'GS &gt; 50 Predicted Monthly'!$Z$11</f>
        <v>4834134.2236783141</v>
      </c>
      <c r="O53" s="11">
        <f ca="1">F53*'GS &gt; 50 Predicted Monthly'!$Z$12</f>
        <v>777698.14771157305</v>
      </c>
      <c r="P53" s="11">
        <f>G53*'GS &gt; 50 Predicted Monthly'!$Z$13</f>
        <v>-4931707.7200885154</v>
      </c>
      <c r="Q53" s="11">
        <f>H53*'GS &gt; 50 Predicted Monthly'!$Z$14</f>
        <v>76960162.106093109</v>
      </c>
      <c r="R53" s="11">
        <f>I53*'GS &gt; 50 Predicted Monthly'!$Z$15</f>
        <v>35459196.443244703</v>
      </c>
      <c r="S53" s="11">
        <f>J53*'GS &gt; 50 Predicted Monthly'!$Z$16</f>
        <v>0</v>
      </c>
      <c r="T53" s="11">
        <f>K53*'GS &gt; 50 Predicted Monthly'!$Z$17</f>
        <v>0</v>
      </c>
      <c r="U53" s="11">
        <f t="shared" ca="1" si="4"/>
        <v>111192320.07803145</v>
      </c>
    </row>
    <row r="54" spans="1:21" x14ac:dyDescent="0.2">
      <c r="A54" s="8">
        <f>'Monthly Data'!A54</f>
        <v>44317</v>
      </c>
      <c r="B54">
        <f t="shared" si="2"/>
        <v>2021</v>
      </c>
      <c r="C54">
        <f t="shared" si="3"/>
        <v>5</v>
      </c>
      <c r="D54" s="18">
        <f>'Monthly Data'!N54</f>
        <v>115240588.84939741</v>
      </c>
      <c r="E54" s="21">
        <f t="shared" ref="E54:F73" ca="1" si="7">E42</f>
        <v>65.335833333333326</v>
      </c>
      <c r="F54" s="21">
        <f t="shared" ca="1" si="7"/>
        <v>59.300416666666649</v>
      </c>
      <c r="G54" s="211">
        <f>'Monthly Data'!CV54</f>
        <v>0.5</v>
      </c>
      <c r="H54" s="7">
        <f>'Monthly Data'!CS54</f>
        <v>31</v>
      </c>
      <c r="I54" s="19">
        <f>'Monthly Data'!AO54</f>
        <v>803585</v>
      </c>
      <c r="J54" s="19">
        <f>'Monthly Data'!CF54</f>
        <v>0</v>
      </c>
      <c r="K54" s="19">
        <f>'Monthly Data'!BY54</f>
        <v>0</v>
      </c>
      <c r="M54" s="11">
        <f>'GS &gt; 50 Predicted Monthly'!$Z$10</f>
        <v>-1907163.1226077401</v>
      </c>
      <c r="N54" s="11">
        <f ca="1">E54*'GS &gt; 50 Predicted Monthly'!$Z$11</f>
        <v>1393822.3975796374</v>
      </c>
      <c r="O54" s="11">
        <f ca="1">F54*'GS &gt; 50 Predicted Monthly'!$Z$12</f>
        <v>7024801.8583687926</v>
      </c>
      <c r="P54" s="11">
        <f>G54*'GS &gt; 50 Predicted Monthly'!$Z$13</f>
        <v>-4931707.7200885154</v>
      </c>
      <c r="Q54" s="11">
        <f>H54*'GS &gt; 50 Predicted Monthly'!$Z$14</f>
        <v>79525500.842962876</v>
      </c>
      <c r="R54" s="11">
        <f>I54*'GS &gt; 50 Predicted Monthly'!$Z$15</f>
        <v>35459196.443244703</v>
      </c>
      <c r="S54" s="11">
        <f>J54*'GS &gt; 50 Predicted Monthly'!$Z$16</f>
        <v>0</v>
      </c>
      <c r="T54" s="11">
        <f>K54*'GS &gt; 50 Predicted Monthly'!$Z$17</f>
        <v>0</v>
      </c>
      <c r="U54" s="11">
        <f t="shared" ca="1" si="4"/>
        <v>116564450.69945976</v>
      </c>
    </row>
    <row r="55" spans="1:21" x14ac:dyDescent="0.2">
      <c r="A55" s="8">
        <f>'Monthly Data'!A55</f>
        <v>44348</v>
      </c>
      <c r="B55">
        <f t="shared" si="2"/>
        <v>2021</v>
      </c>
      <c r="C55">
        <f t="shared" si="3"/>
        <v>6</v>
      </c>
      <c r="D55" s="18">
        <f>'Monthly Data'!N55</f>
        <v>128558913.68041244</v>
      </c>
      <c r="E55" s="21">
        <f t="shared" ca="1" si="7"/>
        <v>3.0447916666666672</v>
      </c>
      <c r="F55" s="21">
        <f t="shared" ca="1" si="7"/>
        <v>157.17000000000002</v>
      </c>
      <c r="G55" s="211">
        <f>'Monthly Data'!CV55</f>
        <v>0.5</v>
      </c>
      <c r="H55" s="7">
        <f>'Monthly Data'!CS55</f>
        <v>30</v>
      </c>
      <c r="I55" s="19">
        <f>'Monthly Data'!AO55</f>
        <v>803585</v>
      </c>
      <c r="J55" s="19">
        <f>'Monthly Data'!CF55</f>
        <v>0</v>
      </c>
      <c r="K55" s="19">
        <f>'Monthly Data'!BY55</f>
        <v>0</v>
      </c>
      <c r="M55" s="11">
        <f>'GS &gt; 50 Predicted Monthly'!$Z$10</f>
        <v>-1907163.1226077401</v>
      </c>
      <c r="N55" s="11">
        <f ca="1">E55*'GS &gt; 50 Predicted Monthly'!$Z$11</f>
        <v>64955.149486073256</v>
      </c>
      <c r="O55" s="11">
        <f ca="1">F55*'GS &gt; 50 Predicted Monthly'!$Z$12</f>
        <v>18618555.655114681</v>
      </c>
      <c r="P55" s="11">
        <f>G55*'GS &gt; 50 Predicted Monthly'!$Z$13</f>
        <v>-4931707.7200885154</v>
      </c>
      <c r="Q55" s="11">
        <f>H55*'GS &gt; 50 Predicted Monthly'!$Z$14</f>
        <v>76960162.106093109</v>
      </c>
      <c r="R55" s="11">
        <f>I55*'GS &gt; 50 Predicted Monthly'!$Z$15</f>
        <v>35459196.443244703</v>
      </c>
      <c r="S55" s="11">
        <f>J55*'GS &gt; 50 Predicted Monthly'!$Z$16</f>
        <v>0</v>
      </c>
      <c r="T55" s="11">
        <f>K55*'GS &gt; 50 Predicted Monthly'!$Z$17</f>
        <v>0</v>
      </c>
      <c r="U55" s="11">
        <f t="shared" ca="1" si="4"/>
        <v>124263998.5112423</v>
      </c>
    </row>
    <row r="56" spans="1:21" x14ac:dyDescent="0.2">
      <c r="A56" s="8">
        <f>'Monthly Data'!A56</f>
        <v>44378</v>
      </c>
      <c r="B56">
        <f t="shared" si="2"/>
        <v>2021</v>
      </c>
      <c r="C56">
        <f t="shared" si="3"/>
        <v>7</v>
      </c>
      <c r="D56" s="18">
        <f>'Monthly Data'!N56</f>
        <v>132710760.35860747</v>
      </c>
      <c r="E56" s="21">
        <f t="shared" ca="1" si="7"/>
        <v>0</v>
      </c>
      <c r="F56" s="21">
        <f t="shared" ca="1" si="7"/>
        <v>231.27145833333333</v>
      </c>
      <c r="G56" s="211">
        <f>'Monthly Data'!CV56</f>
        <v>0.5</v>
      </c>
      <c r="H56" s="7">
        <f>'Monthly Data'!CS56</f>
        <v>31</v>
      </c>
      <c r="I56" s="19">
        <f>'Monthly Data'!AO56</f>
        <v>821006</v>
      </c>
      <c r="J56" s="19">
        <f>'Monthly Data'!CF56</f>
        <v>0</v>
      </c>
      <c r="K56" s="19">
        <f>'Monthly Data'!BY56</f>
        <v>0</v>
      </c>
      <c r="M56" s="11">
        <f>'GS &gt; 50 Predicted Monthly'!$Z$10</f>
        <v>-1907163.1226077401</v>
      </c>
      <c r="N56" s="11">
        <f ca="1">E56*'GS &gt; 50 Predicted Monthly'!$Z$11</f>
        <v>0</v>
      </c>
      <c r="O56" s="11">
        <f ca="1">F56*'GS &gt; 50 Predicted Monthly'!$Z$12</f>
        <v>27396707.50409558</v>
      </c>
      <c r="P56" s="11">
        <f>G56*'GS &gt; 50 Predicted Monthly'!$Z$13</f>
        <v>-4931707.7200885154</v>
      </c>
      <c r="Q56" s="11">
        <f>H56*'GS &gt; 50 Predicted Monthly'!$Z$14</f>
        <v>79525500.842962876</v>
      </c>
      <c r="R56" s="11">
        <f>I56*'GS &gt; 50 Predicted Monthly'!$Z$15</f>
        <v>36227919.927677296</v>
      </c>
      <c r="S56" s="11">
        <f>J56*'GS &gt; 50 Predicted Monthly'!$Z$16</f>
        <v>0</v>
      </c>
      <c r="T56" s="11">
        <f>K56*'GS &gt; 50 Predicted Monthly'!$Z$17</f>
        <v>0</v>
      </c>
      <c r="U56" s="11">
        <f t="shared" ca="1" si="4"/>
        <v>136311257.4320395</v>
      </c>
    </row>
    <row r="57" spans="1:21" x14ac:dyDescent="0.2">
      <c r="A57" s="8">
        <f>'Monthly Data'!A57</f>
        <v>44409</v>
      </c>
      <c r="B57">
        <f t="shared" si="2"/>
        <v>2021</v>
      </c>
      <c r="C57">
        <f t="shared" si="3"/>
        <v>8</v>
      </c>
      <c r="D57" s="18">
        <f>'Monthly Data'!N57</f>
        <v>140955270.9844335</v>
      </c>
      <c r="E57" s="21">
        <f t="shared" ca="1" si="7"/>
        <v>0.27875000000000066</v>
      </c>
      <c r="F57" s="21">
        <f t="shared" ca="1" si="7"/>
        <v>196.13625000000002</v>
      </c>
      <c r="G57" s="211">
        <f>'Monthly Data'!CV57</f>
        <v>0.5</v>
      </c>
      <c r="H57" s="7">
        <f>'Monthly Data'!CS57</f>
        <v>31</v>
      </c>
      <c r="I57" s="19">
        <f>'Monthly Data'!AO57</f>
        <v>821006</v>
      </c>
      <c r="J57" s="19">
        <f>'Monthly Data'!CF57</f>
        <v>0</v>
      </c>
      <c r="K57" s="19">
        <f>'Monthly Data'!BY57</f>
        <v>1</v>
      </c>
      <c r="M57" s="11">
        <f>'GS &gt; 50 Predicted Monthly'!$Z$10</f>
        <v>-1907163.1226077401</v>
      </c>
      <c r="N57" s="11">
        <f ca="1">E57*'GS &gt; 50 Predicted Monthly'!$Z$11</f>
        <v>5946.629491095875</v>
      </c>
      <c r="O57" s="11">
        <f ca="1">F57*'GS &gt; 50 Predicted Monthly'!$Z$12</f>
        <v>23234546.584020402</v>
      </c>
      <c r="P57" s="11">
        <f>G57*'GS &gt; 50 Predicted Monthly'!$Z$13</f>
        <v>-4931707.7200885154</v>
      </c>
      <c r="Q57" s="11">
        <f>H57*'GS &gt; 50 Predicted Monthly'!$Z$14</f>
        <v>79525500.842962876</v>
      </c>
      <c r="R57" s="11">
        <f>I57*'GS &gt; 50 Predicted Monthly'!$Z$15</f>
        <v>36227919.927677296</v>
      </c>
      <c r="S57" s="11">
        <f>J57*'GS &gt; 50 Predicted Monthly'!$Z$16</f>
        <v>0</v>
      </c>
      <c r="T57" s="11">
        <f>K57*'GS &gt; 50 Predicted Monthly'!$Z$17</f>
        <v>2800660.9376037801</v>
      </c>
      <c r="U57" s="11">
        <f t="shared" ca="1" si="4"/>
        <v>134955704.07905918</v>
      </c>
    </row>
    <row r="58" spans="1:21" x14ac:dyDescent="0.2">
      <c r="A58" s="8">
        <f>'Monthly Data'!A58</f>
        <v>44440</v>
      </c>
      <c r="B58">
        <f t="shared" si="2"/>
        <v>2021</v>
      </c>
      <c r="C58">
        <f t="shared" si="3"/>
        <v>9</v>
      </c>
      <c r="D58" s="18">
        <f>'Monthly Data'!N58</f>
        <v>122416145.77845256</v>
      </c>
      <c r="E58" s="21">
        <f t="shared" ca="1" si="7"/>
        <v>11.319999999999997</v>
      </c>
      <c r="F58" s="21">
        <f t="shared" ca="1" si="7"/>
        <v>104.19854166666664</v>
      </c>
      <c r="G58" s="211">
        <f>'Monthly Data'!CV58</f>
        <v>0.5</v>
      </c>
      <c r="H58" s="7">
        <f>'Monthly Data'!CS58</f>
        <v>30</v>
      </c>
      <c r="I58" s="19">
        <f>'Monthly Data'!AO58</f>
        <v>821006</v>
      </c>
      <c r="J58" s="19">
        <f>'Monthly Data'!CF58</f>
        <v>1</v>
      </c>
      <c r="K58" s="19">
        <f>'Monthly Data'!BY58</f>
        <v>0</v>
      </c>
      <c r="M58" s="11">
        <f>'GS &gt; 50 Predicted Monthly'!$Z$10</f>
        <v>-1907163.1226077401</v>
      </c>
      <c r="N58" s="11">
        <f ca="1">E58*'GS &gt; 50 Predicted Monthly'!$Z$11</f>
        <v>241491.82363840402</v>
      </c>
      <c r="O58" s="11">
        <f ca="1">F58*'GS &gt; 50 Predicted Monthly'!$Z$12</f>
        <v>12343490.152081305</v>
      </c>
      <c r="P58" s="11">
        <f>G58*'GS &gt; 50 Predicted Monthly'!$Z$13</f>
        <v>-4931707.7200885154</v>
      </c>
      <c r="Q58" s="11">
        <f>H58*'GS &gt; 50 Predicted Monthly'!$Z$14</f>
        <v>76960162.106093109</v>
      </c>
      <c r="R58" s="11">
        <f>I58*'GS &gt; 50 Predicted Monthly'!$Z$15</f>
        <v>36227919.927677296</v>
      </c>
      <c r="S58" s="11">
        <f>J58*'GS &gt; 50 Predicted Monthly'!$Z$16</f>
        <v>3497669.1063549998</v>
      </c>
      <c r="T58" s="11">
        <f>K58*'GS &gt; 50 Predicted Monthly'!$Z$17</f>
        <v>0</v>
      </c>
      <c r="U58" s="11">
        <f t="shared" ca="1" si="4"/>
        <v>122431862.27314885</v>
      </c>
    </row>
    <row r="59" spans="1:21" x14ac:dyDescent="0.2">
      <c r="A59" s="8">
        <f>'Monthly Data'!A59</f>
        <v>44470</v>
      </c>
      <c r="B59">
        <f t="shared" si="2"/>
        <v>2021</v>
      </c>
      <c r="C59">
        <f t="shared" si="3"/>
        <v>10</v>
      </c>
      <c r="D59" s="18">
        <f>'Monthly Data'!N59</f>
        <v>120765160.1140646</v>
      </c>
      <c r="E59" s="21">
        <f t="shared" ca="1" si="7"/>
        <v>126.12583333333332</v>
      </c>
      <c r="F59" s="21">
        <f t="shared" ca="1" si="7"/>
        <v>24.703125000000007</v>
      </c>
      <c r="G59" s="211">
        <f>'Monthly Data'!CV59</f>
        <v>0.5</v>
      </c>
      <c r="H59" s="7">
        <f>'Monthly Data'!CS59</f>
        <v>31</v>
      </c>
      <c r="I59" s="19">
        <f>'Monthly Data'!AO59</f>
        <v>840399</v>
      </c>
      <c r="J59" s="19">
        <f>'Monthly Data'!CF59</f>
        <v>1</v>
      </c>
      <c r="K59" s="19">
        <f>'Monthly Data'!BY59</f>
        <v>0</v>
      </c>
      <c r="M59" s="11">
        <f>'GS &gt; 50 Predicted Monthly'!$Z$10</f>
        <v>-1907163.1226077401</v>
      </c>
      <c r="N59" s="11">
        <f ca="1">E59*'GS &gt; 50 Predicted Monthly'!$Z$11</f>
        <v>2690667.6236378159</v>
      </c>
      <c r="O59" s="11">
        <f ca="1">F59*'GS &gt; 50 Predicted Monthly'!$Z$12</f>
        <v>2926363.2224200224</v>
      </c>
      <c r="P59" s="11">
        <f>G59*'GS &gt; 50 Predicted Monthly'!$Z$13</f>
        <v>-4931707.7200885154</v>
      </c>
      <c r="Q59" s="11">
        <f>H59*'GS &gt; 50 Predicted Monthly'!$Z$14</f>
        <v>79525500.842962876</v>
      </c>
      <c r="R59" s="11">
        <f>I59*'GS &gt; 50 Predicted Monthly'!$Z$15</f>
        <v>37083660.386525892</v>
      </c>
      <c r="S59" s="11">
        <f>J59*'GS &gt; 50 Predicted Monthly'!$Z$16</f>
        <v>3497669.1063549998</v>
      </c>
      <c r="T59" s="11">
        <f>K59*'GS &gt; 50 Predicted Monthly'!$Z$17</f>
        <v>0</v>
      </c>
      <c r="U59" s="11">
        <f t="shared" ca="1" si="4"/>
        <v>118884990.33920534</v>
      </c>
    </row>
    <row r="60" spans="1:21" x14ac:dyDescent="0.2">
      <c r="A60" s="8">
        <f>'Monthly Data'!A60</f>
        <v>44501</v>
      </c>
      <c r="B60">
        <f t="shared" si="2"/>
        <v>2021</v>
      </c>
      <c r="C60">
        <f t="shared" si="3"/>
        <v>11</v>
      </c>
      <c r="D60" s="18">
        <f>'Monthly Data'!N60</f>
        <v>118650849.98473464</v>
      </c>
      <c r="E60" s="21">
        <f t="shared" ca="1" si="7"/>
        <v>312.40687500000001</v>
      </c>
      <c r="F60" s="21">
        <f t="shared" ca="1" si="7"/>
        <v>1.6454166666666665</v>
      </c>
      <c r="G60" s="211">
        <f>'Monthly Data'!CV60</f>
        <v>0.5</v>
      </c>
      <c r="H60" s="7">
        <f>'Monthly Data'!CS60</f>
        <v>30</v>
      </c>
      <c r="I60" s="19">
        <f>'Monthly Data'!AO60</f>
        <v>840399</v>
      </c>
      <c r="J60" s="19">
        <f>'Monthly Data'!CF60</f>
        <v>1</v>
      </c>
      <c r="K60" s="19">
        <f>'Monthly Data'!BY60</f>
        <v>0</v>
      </c>
      <c r="M60" s="11">
        <f>'GS &gt; 50 Predicted Monthly'!$Z$10</f>
        <v>-1907163.1226077401</v>
      </c>
      <c r="N60" s="11">
        <f ca="1">E60*'GS &gt; 50 Predicted Monthly'!$Z$11</f>
        <v>6664638.335770756</v>
      </c>
      <c r="O60" s="11">
        <f ca="1">F60*'GS &gt; 50 Predicted Monthly'!$Z$12</f>
        <v>194918.12549587458</v>
      </c>
      <c r="P60" s="11">
        <f>G60*'GS &gt; 50 Predicted Monthly'!$Z$13</f>
        <v>-4931707.7200885154</v>
      </c>
      <c r="Q60" s="11">
        <f>H60*'GS &gt; 50 Predicted Monthly'!$Z$14</f>
        <v>76960162.106093109</v>
      </c>
      <c r="R60" s="11">
        <f>I60*'GS &gt; 50 Predicted Monthly'!$Z$15</f>
        <v>37083660.386525892</v>
      </c>
      <c r="S60" s="11">
        <f>J60*'GS &gt; 50 Predicted Monthly'!$Z$16</f>
        <v>3497669.1063549998</v>
      </c>
      <c r="T60" s="11">
        <f>K60*'GS &gt; 50 Predicted Monthly'!$Z$17</f>
        <v>0</v>
      </c>
      <c r="U60" s="11">
        <f t="shared" ca="1" si="4"/>
        <v>117562177.21754436</v>
      </c>
    </row>
    <row r="61" spans="1:21" x14ac:dyDescent="0.2">
      <c r="A61" s="8">
        <f>'Monthly Data'!A61</f>
        <v>44531</v>
      </c>
      <c r="B61">
        <f t="shared" si="2"/>
        <v>2021</v>
      </c>
      <c r="C61">
        <f t="shared" si="3"/>
        <v>12</v>
      </c>
      <c r="D61" s="18">
        <f>'Monthly Data'!N61</f>
        <v>116117342.26088069</v>
      </c>
      <c r="E61" s="21">
        <f t="shared" ca="1" si="7"/>
        <v>473.52499999999998</v>
      </c>
      <c r="F61" s="21">
        <f t="shared" ca="1" si="7"/>
        <v>0</v>
      </c>
      <c r="G61" s="211">
        <f>'Monthly Data'!CV61</f>
        <v>0.5</v>
      </c>
      <c r="H61" s="7">
        <f>'Monthly Data'!CS61</f>
        <v>31</v>
      </c>
      <c r="I61" s="19">
        <f>'Monthly Data'!AO61</f>
        <v>840399</v>
      </c>
      <c r="J61" s="19">
        <f>'Monthly Data'!CF61</f>
        <v>0</v>
      </c>
      <c r="K61" s="19">
        <f>'Monthly Data'!BY61</f>
        <v>0</v>
      </c>
      <c r="M61" s="11">
        <f>'GS &gt; 50 Predicted Monthly'!$Z$10</f>
        <v>-1907163.1226077401</v>
      </c>
      <c r="N61" s="11">
        <f ca="1">E61*'GS &gt; 50 Predicted Monthly'!$Z$11</f>
        <v>10101803.514874142</v>
      </c>
      <c r="O61" s="11">
        <f ca="1">F61*'GS &gt; 50 Predicted Monthly'!$Z$12</f>
        <v>0</v>
      </c>
      <c r="P61" s="11">
        <f>G61*'GS &gt; 50 Predicted Monthly'!$Z$13</f>
        <v>-4931707.7200885154</v>
      </c>
      <c r="Q61" s="11">
        <f>H61*'GS &gt; 50 Predicted Monthly'!$Z$14</f>
        <v>79525500.842962876</v>
      </c>
      <c r="R61" s="11">
        <f>I61*'GS &gt; 50 Predicted Monthly'!$Z$15</f>
        <v>37083660.386525892</v>
      </c>
      <c r="S61" s="11">
        <f>J61*'GS &gt; 50 Predicted Monthly'!$Z$16</f>
        <v>0</v>
      </c>
      <c r="T61" s="11">
        <f>K61*'GS &gt; 50 Predicted Monthly'!$Z$17</f>
        <v>0</v>
      </c>
      <c r="U61" s="11">
        <f t="shared" ca="1" si="4"/>
        <v>119872093.90166664</v>
      </c>
    </row>
    <row r="62" spans="1:21" x14ac:dyDescent="0.2">
      <c r="A62" s="8">
        <f>'Monthly Data'!A62</f>
        <v>44562</v>
      </c>
      <c r="B62">
        <f t="shared" ref="B62:B115" si="8">YEAR(A62)</f>
        <v>2022</v>
      </c>
      <c r="C62">
        <f t="shared" ref="C62:C115" si="9">MONTH(A62)</f>
        <v>1</v>
      </c>
      <c r="D62" s="18">
        <f>'Monthly Data'!N62</f>
        <v>125926420.38829951</v>
      </c>
      <c r="E62" s="21">
        <f t="shared" ca="1" si="7"/>
        <v>566.30416666666667</v>
      </c>
      <c r="F62" s="21">
        <f t="shared" ca="1" si="7"/>
        <v>0</v>
      </c>
      <c r="G62" s="211">
        <f>'Monthly Data'!CV62</f>
        <v>0.25</v>
      </c>
      <c r="H62" s="7">
        <f>'Monthly Data'!CS62</f>
        <v>31</v>
      </c>
      <c r="I62" s="19">
        <f>'Monthly Data'!AO62</f>
        <v>847546</v>
      </c>
      <c r="J62" s="19">
        <f>'Monthly Data'!CF62</f>
        <v>0</v>
      </c>
      <c r="K62" s="19">
        <f>'Monthly Data'!BY62</f>
        <v>0</v>
      </c>
      <c r="M62" s="11">
        <f>'GS &gt; 50 Predicted Monthly'!$Z$10</f>
        <v>-1907163.1226077401</v>
      </c>
      <c r="N62" s="11">
        <f ca="1">E62*'GS &gt; 50 Predicted Monthly'!$Z$11</f>
        <v>12081080.030243821</v>
      </c>
      <c r="O62" s="11">
        <f ca="1">F62*'GS &gt; 50 Predicted Monthly'!$Z$12</f>
        <v>0</v>
      </c>
      <c r="P62" s="11">
        <f>G62*'GS &gt; 50 Predicted Monthly'!$Z$13</f>
        <v>-2465853.8600442577</v>
      </c>
      <c r="Q62" s="11">
        <f>H62*'GS &gt; 50 Predicted Monthly'!$Z$14</f>
        <v>79525500.842962876</v>
      </c>
      <c r="R62" s="11">
        <f>I62*'GS &gt; 50 Predicted Monthly'!$Z$15</f>
        <v>37399030.729401715</v>
      </c>
      <c r="S62" s="11">
        <f>J62*'GS &gt; 50 Predicted Monthly'!$Z$16</f>
        <v>0</v>
      </c>
      <c r="T62" s="11">
        <f>K62*'GS &gt; 50 Predicted Monthly'!$Z$17</f>
        <v>0</v>
      </c>
      <c r="U62" s="11">
        <f t="shared" ca="1" si="4"/>
        <v>124632594.6199564</v>
      </c>
    </row>
    <row r="63" spans="1:21" x14ac:dyDescent="0.2">
      <c r="A63" s="8">
        <f>'Monthly Data'!A63</f>
        <v>44593</v>
      </c>
      <c r="B63">
        <f t="shared" si="8"/>
        <v>2022</v>
      </c>
      <c r="C63">
        <f t="shared" si="9"/>
        <v>2</v>
      </c>
      <c r="D63" s="18">
        <f>'Monthly Data'!N63</f>
        <v>115603933.80678451</v>
      </c>
      <c r="E63" s="21">
        <f t="shared" ca="1" si="7"/>
        <v>483.54541666666665</v>
      </c>
      <c r="F63" s="21">
        <f t="shared" ca="1" si="7"/>
        <v>0</v>
      </c>
      <c r="G63" s="211">
        <f>'Monthly Data'!CV63</f>
        <v>0.25</v>
      </c>
      <c r="H63" s="7">
        <f>'Monthly Data'!CS63</f>
        <v>28</v>
      </c>
      <c r="I63" s="19">
        <f>'Monthly Data'!AO63</f>
        <v>847546</v>
      </c>
      <c r="J63" s="19">
        <f>'Monthly Data'!CF63</f>
        <v>0</v>
      </c>
      <c r="K63" s="19">
        <f>'Monthly Data'!BY63</f>
        <v>0</v>
      </c>
      <c r="M63" s="11">
        <f>'GS &gt; 50 Predicted Monthly'!$Z$10</f>
        <v>-1907163.1226077401</v>
      </c>
      <c r="N63" s="11">
        <f ca="1">E63*'GS &gt; 50 Predicted Monthly'!$Z$11</f>
        <v>10315571.067387393</v>
      </c>
      <c r="O63" s="11">
        <f ca="1">F63*'GS &gt; 50 Predicted Monthly'!$Z$12</f>
        <v>0</v>
      </c>
      <c r="P63" s="11">
        <f>G63*'GS &gt; 50 Predicted Monthly'!$Z$13</f>
        <v>-2465853.8600442577</v>
      </c>
      <c r="Q63" s="11">
        <f>H63*'GS &gt; 50 Predicted Monthly'!$Z$14</f>
        <v>71829484.632353559</v>
      </c>
      <c r="R63" s="11">
        <f>I63*'GS &gt; 50 Predicted Monthly'!$Z$15</f>
        <v>37399030.729401715</v>
      </c>
      <c r="S63" s="11">
        <f>J63*'GS &gt; 50 Predicted Monthly'!$Z$16</f>
        <v>0</v>
      </c>
      <c r="T63" s="11">
        <f>K63*'GS &gt; 50 Predicted Monthly'!$Z$17</f>
        <v>0</v>
      </c>
      <c r="U63" s="11">
        <f t="shared" ca="1" si="4"/>
        <v>115171069.44649068</v>
      </c>
    </row>
    <row r="64" spans="1:21" x14ac:dyDescent="0.2">
      <c r="A64" s="8">
        <f>'Monthly Data'!A64</f>
        <v>44621</v>
      </c>
      <c r="B64">
        <f t="shared" si="8"/>
        <v>2022</v>
      </c>
      <c r="C64">
        <f t="shared" si="9"/>
        <v>3</v>
      </c>
      <c r="D64" s="18">
        <f>'Monthly Data'!N64</f>
        <v>125620675.73627552</v>
      </c>
      <c r="E64" s="21">
        <f t="shared" ca="1" si="7"/>
        <v>393.96333333333331</v>
      </c>
      <c r="F64" s="21">
        <f t="shared" ca="1" si="7"/>
        <v>0</v>
      </c>
      <c r="G64" s="211">
        <f>'Monthly Data'!CV64</f>
        <v>0.25</v>
      </c>
      <c r="H64" s="7">
        <f>'Monthly Data'!CS64</f>
        <v>31</v>
      </c>
      <c r="I64" s="19">
        <f>'Monthly Data'!AO64</f>
        <v>847546</v>
      </c>
      <c r="J64" s="19">
        <f>'Monthly Data'!CF64</f>
        <v>0</v>
      </c>
      <c r="K64" s="19">
        <f>'Monthly Data'!BY64</f>
        <v>0</v>
      </c>
      <c r="M64" s="11">
        <f>'GS &gt; 50 Predicted Monthly'!$Z$10</f>
        <v>-1907163.1226077401</v>
      </c>
      <c r="N64" s="11">
        <f ca="1">E64*'GS &gt; 50 Predicted Monthly'!$Z$11</f>
        <v>8404498.5700822547</v>
      </c>
      <c r="O64" s="11">
        <f ca="1">F64*'GS &gt; 50 Predicted Monthly'!$Z$12</f>
        <v>0</v>
      </c>
      <c r="P64" s="11">
        <f>G64*'GS &gt; 50 Predicted Monthly'!$Z$13</f>
        <v>-2465853.8600442577</v>
      </c>
      <c r="Q64" s="11">
        <f>H64*'GS &gt; 50 Predicted Monthly'!$Z$14</f>
        <v>79525500.842962876</v>
      </c>
      <c r="R64" s="11">
        <f>I64*'GS &gt; 50 Predicted Monthly'!$Z$15</f>
        <v>37399030.729401715</v>
      </c>
      <c r="S64" s="11">
        <f>J64*'GS &gt; 50 Predicted Monthly'!$Z$16</f>
        <v>0</v>
      </c>
      <c r="T64" s="11">
        <f>K64*'GS &gt; 50 Predicted Monthly'!$Z$17</f>
        <v>0</v>
      </c>
      <c r="U64" s="11">
        <f t="shared" ca="1" si="4"/>
        <v>120956013.15979484</v>
      </c>
    </row>
    <row r="65" spans="1:21" x14ac:dyDescent="0.2">
      <c r="A65" s="8">
        <f>'Monthly Data'!A65</f>
        <v>44652</v>
      </c>
      <c r="B65">
        <f t="shared" si="8"/>
        <v>2022</v>
      </c>
      <c r="C65">
        <f t="shared" si="9"/>
        <v>4</v>
      </c>
      <c r="D65" s="18">
        <f>'Monthly Data'!N65</f>
        <v>115405757.73839353</v>
      </c>
      <c r="E65" s="21">
        <f t="shared" ca="1" si="7"/>
        <v>226.60145833333337</v>
      </c>
      <c r="F65" s="21">
        <f t="shared" ca="1" si="7"/>
        <v>6.5650000000000031</v>
      </c>
      <c r="G65" s="211">
        <f>'Monthly Data'!CV65</f>
        <v>0.25</v>
      </c>
      <c r="H65" s="7">
        <f>'Monthly Data'!CS65</f>
        <v>30</v>
      </c>
      <c r="I65" s="19">
        <f>'Monthly Data'!AO65</f>
        <v>854755</v>
      </c>
      <c r="J65" s="19">
        <f>'Monthly Data'!CF65</f>
        <v>0</v>
      </c>
      <c r="K65" s="19">
        <f>'Monthly Data'!BY65</f>
        <v>0</v>
      </c>
      <c r="M65" s="11">
        <f>'GS &gt; 50 Predicted Monthly'!$Z$10</f>
        <v>-1907163.1226077401</v>
      </c>
      <c r="N65" s="11">
        <f ca="1">E65*'GS &gt; 50 Predicted Monthly'!$Z$11</f>
        <v>4834134.2236783141</v>
      </c>
      <c r="O65" s="11">
        <f ca="1">F65*'GS &gt; 50 Predicted Monthly'!$Z$12</f>
        <v>777698.14771157305</v>
      </c>
      <c r="P65" s="11">
        <f>G65*'GS &gt; 50 Predicted Monthly'!$Z$13</f>
        <v>-2465853.8600442577</v>
      </c>
      <c r="Q65" s="11">
        <f>H65*'GS &gt; 50 Predicted Monthly'!$Z$14</f>
        <v>76960162.106093109</v>
      </c>
      <c r="R65" s="11">
        <f>I65*'GS &gt; 50 Predicted Monthly'!$Z$15</f>
        <v>37717136.90007358</v>
      </c>
      <c r="S65" s="11">
        <f>J65*'GS &gt; 50 Predicted Monthly'!$Z$16</f>
        <v>0</v>
      </c>
      <c r="T65" s="11">
        <f>K65*'GS &gt; 50 Predicted Monthly'!$Z$17</f>
        <v>0</v>
      </c>
      <c r="U65" s="11">
        <f t="shared" ca="1" si="4"/>
        <v>115916114.39490458</v>
      </c>
    </row>
    <row r="66" spans="1:21" x14ac:dyDescent="0.2">
      <c r="A66" s="8">
        <f>'Monthly Data'!A66</f>
        <v>44682</v>
      </c>
      <c r="B66">
        <f t="shared" si="8"/>
        <v>2022</v>
      </c>
      <c r="C66">
        <f t="shared" si="9"/>
        <v>5</v>
      </c>
      <c r="D66" s="18">
        <f>'Monthly Data'!N66</f>
        <v>122884802.51982453</v>
      </c>
      <c r="E66" s="21">
        <f t="shared" ca="1" si="7"/>
        <v>65.335833333333326</v>
      </c>
      <c r="F66" s="21">
        <f t="shared" ca="1" si="7"/>
        <v>59.300416666666649</v>
      </c>
      <c r="G66" s="211">
        <f>'Monthly Data'!CV66</f>
        <v>0.25</v>
      </c>
      <c r="H66" s="7">
        <f>'Monthly Data'!CS66</f>
        <v>31</v>
      </c>
      <c r="I66" s="19">
        <f>'Monthly Data'!AO66</f>
        <v>854755</v>
      </c>
      <c r="J66" s="19">
        <f>'Monthly Data'!CF66</f>
        <v>0</v>
      </c>
      <c r="K66" s="19">
        <f>'Monthly Data'!BY66</f>
        <v>0</v>
      </c>
      <c r="M66" s="11">
        <f>'GS &gt; 50 Predicted Monthly'!$Z$10</f>
        <v>-1907163.1226077401</v>
      </c>
      <c r="N66" s="11">
        <f ca="1">E66*'GS &gt; 50 Predicted Monthly'!$Z$11</f>
        <v>1393822.3975796374</v>
      </c>
      <c r="O66" s="11">
        <f ca="1">F66*'GS &gt; 50 Predicted Monthly'!$Z$12</f>
        <v>7024801.8583687926</v>
      </c>
      <c r="P66" s="11">
        <f>G66*'GS &gt; 50 Predicted Monthly'!$Z$13</f>
        <v>-2465853.8600442577</v>
      </c>
      <c r="Q66" s="11">
        <f>H66*'GS &gt; 50 Predicted Monthly'!$Z$14</f>
        <v>79525500.842962876</v>
      </c>
      <c r="R66" s="11">
        <f>I66*'GS &gt; 50 Predicted Monthly'!$Z$15</f>
        <v>37717136.90007358</v>
      </c>
      <c r="S66" s="11">
        <f>J66*'GS &gt; 50 Predicted Monthly'!$Z$16</f>
        <v>0</v>
      </c>
      <c r="T66" s="11">
        <f>K66*'GS &gt; 50 Predicted Monthly'!$Z$17</f>
        <v>0</v>
      </c>
      <c r="U66" s="11">
        <f t="shared" ca="1" si="4"/>
        <v>121288245.01633289</v>
      </c>
    </row>
    <row r="67" spans="1:21" x14ac:dyDescent="0.2">
      <c r="A67" s="8">
        <f>'Monthly Data'!A67</f>
        <v>44713</v>
      </c>
      <c r="B67">
        <f t="shared" si="8"/>
        <v>2022</v>
      </c>
      <c r="C67">
        <f t="shared" si="9"/>
        <v>6</v>
      </c>
      <c r="D67" s="18">
        <f>'Monthly Data'!N67</f>
        <v>130536069.83949654</v>
      </c>
      <c r="E67" s="21">
        <f t="shared" ca="1" si="7"/>
        <v>3.0447916666666672</v>
      </c>
      <c r="F67" s="21">
        <f t="shared" ca="1" si="7"/>
        <v>157.17000000000002</v>
      </c>
      <c r="G67" s="211">
        <f>'Monthly Data'!CV67</f>
        <v>0.25</v>
      </c>
      <c r="H67" s="7">
        <f>'Monthly Data'!CS67</f>
        <v>30</v>
      </c>
      <c r="I67" s="19">
        <f>'Monthly Data'!AO67</f>
        <v>854755</v>
      </c>
      <c r="J67" s="19">
        <f>'Monthly Data'!CF67</f>
        <v>0</v>
      </c>
      <c r="K67" s="19">
        <f>'Monthly Data'!BY67</f>
        <v>0</v>
      </c>
      <c r="M67" s="11">
        <f>'GS &gt; 50 Predicted Monthly'!$Z$10</f>
        <v>-1907163.1226077401</v>
      </c>
      <c r="N67" s="11">
        <f ca="1">E67*'GS &gt; 50 Predicted Monthly'!$Z$11</f>
        <v>64955.149486073256</v>
      </c>
      <c r="O67" s="11">
        <f ca="1">F67*'GS &gt; 50 Predicted Monthly'!$Z$12</f>
        <v>18618555.655114681</v>
      </c>
      <c r="P67" s="11">
        <f>G67*'GS &gt; 50 Predicted Monthly'!$Z$13</f>
        <v>-2465853.8600442577</v>
      </c>
      <c r="Q67" s="11">
        <f>H67*'GS &gt; 50 Predicted Monthly'!$Z$14</f>
        <v>76960162.106093109</v>
      </c>
      <c r="R67" s="11">
        <f>I67*'GS &gt; 50 Predicted Monthly'!$Z$15</f>
        <v>37717136.90007358</v>
      </c>
      <c r="S67" s="11">
        <f>J67*'GS &gt; 50 Predicted Monthly'!$Z$16</f>
        <v>0</v>
      </c>
      <c r="T67" s="11">
        <f>K67*'GS &gt; 50 Predicted Monthly'!$Z$17</f>
        <v>0</v>
      </c>
      <c r="U67" s="11">
        <f t="shared" ref="U67:U130" ca="1" si="10">SUM(M67:T67)</f>
        <v>128987792.82811543</v>
      </c>
    </row>
    <row r="68" spans="1:21" x14ac:dyDescent="0.2">
      <c r="A68" s="8">
        <f>'Monthly Data'!A68</f>
        <v>44743</v>
      </c>
      <c r="B68">
        <f t="shared" si="8"/>
        <v>2022</v>
      </c>
      <c r="C68">
        <f t="shared" si="9"/>
        <v>7</v>
      </c>
      <c r="D68" s="18">
        <f>'Monthly Data'!N68</f>
        <v>139071059.40513155</v>
      </c>
      <c r="E68" s="21">
        <f t="shared" ca="1" si="7"/>
        <v>0</v>
      </c>
      <c r="F68" s="21">
        <f t="shared" ca="1" si="7"/>
        <v>231.27145833333333</v>
      </c>
      <c r="G68" s="211">
        <f>'Monthly Data'!CV68</f>
        <v>0.25</v>
      </c>
      <c r="H68" s="7">
        <f>'Monthly Data'!CS68</f>
        <v>31</v>
      </c>
      <c r="I68" s="19">
        <f>'Monthly Data'!AO68</f>
        <v>856819</v>
      </c>
      <c r="J68" s="19">
        <f>'Monthly Data'!CF68</f>
        <v>0</v>
      </c>
      <c r="K68" s="19">
        <f>'Monthly Data'!BY68</f>
        <v>0</v>
      </c>
      <c r="M68" s="11">
        <f>'GS &gt; 50 Predicted Monthly'!$Z$10</f>
        <v>-1907163.1226077401</v>
      </c>
      <c r="N68" s="11">
        <f ca="1">E68*'GS &gt; 50 Predicted Monthly'!$Z$11</f>
        <v>0</v>
      </c>
      <c r="O68" s="11">
        <f ca="1">F68*'GS &gt; 50 Predicted Monthly'!$Z$12</f>
        <v>27396707.50409558</v>
      </c>
      <c r="P68" s="11">
        <f>G68*'GS &gt; 50 Predicted Monthly'!$Z$13</f>
        <v>-2465853.8600442577</v>
      </c>
      <c r="Q68" s="11">
        <f>H68*'GS &gt; 50 Predicted Monthly'!$Z$14</f>
        <v>79525500.842962876</v>
      </c>
      <c r="R68" s="11">
        <f>I68*'GS &gt; 50 Predicted Monthly'!$Z$15</f>
        <v>37808213.489928864</v>
      </c>
      <c r="S68" s="11">
        <f>J68*'GS &gt; 50 Predicted Monthly'!$Z$16</f>
        <v>0</v>
      </c>
      <c r="T68" s="11">
        <f>K68*'GS &gt; 50 Predicted Monthly'!$Z$17</f>
        <v>0</v>
      </c>
      <c r="U68" s="11">
        <f t="shared" ca="1" si="10"/>
        <v>140357404.85433534</v>
      </c>
    </row>
    <row r="69" spans="1:21" x14ac:dyDescent="0.2">
      <c r="A69" s="8">
        <f>'Monthly Data'!A69</f>
        <v>44774</v>
      </c>
      <c r="B69">
        <f t="shared" si="8"/>
        <v>2022</v>
      </c>
      <c r="C69">
        <f t="shared" si="9"/>
        <v>8</v>
      </c>
      <c r="D69" s="18">
        <f>'Monthly Data'!N69</f>
        <v>143004251.01167753</v>
      </c>
      <c r="E69" s="21">
        <f t="shared" ca="1" si="7"/>
        <v>0.27875000000000066</v>
      </c>
      <c r="F69" s="21">
        <f t="shared" ca="1" si="7"/>
        <v>196.13625000000002</v>
      </c>
      <c r="G69" s="211">
        <f>'Monthly Data'!CV69</f>
        <v>0.25</v>
      </c>
      <c r="H69" s="7">
        <f>'Monthly Data'!CS69</f>
        <v>31</v>
      </c>
      <c r="I69" s="19">
        <f>'Monthly Data'!AO69</f>
        <v>856819</v>
      </c>
      <c r="J69" s="19">
        <f>'Monthly Data'!CF69</f>
        <v>0</v>
      </c>
      <c r="K69" s="19">
        <f>'Monthly Data'!BY69</f>
        <v>1</v>
      </c>
      <c r="M69" s="11">
        <f>'GS &gt; 50 Predicted Monthly'!$Z$10</f>
        <v>-1907163.1226077401</v>
      </c>
      <c r="N69" s="11">
        <f ca="1">E69*'GS &gt; 50 Predicted Monthly'!$Z$11</f>
        <v>5946.629491095875</v>
      </c>
      <c r="O69" s="11">
        <f ca="1">F69*'GS &gt; 50 Predicted Monthly'!$Z$12</f>
        <v>23234546.584020402</v>
      </c>
      <c r="P69" s="11">
        <f>G69*'GS &gt; 50 Predicted Monthly'!$Z$13</f>
        <v>-2465853.8600442577</v>
      </c>
      <c r="Q69" s="11">
        <f>H69*'GS &gt; 50 Predicted Monthly'!$Z$14</f>
        <v>79525500.842962876</v>
      </c>
      <c r="R69" s="11">
        <f>I69*'GS &gt; 50 Predicted Monthly'!$Z$15</f>
        <v>37808213.489928864</v>
      </c>
      <c r="S69" s="11">
        <f>J69*'GS &gt; 50 Predicted Monthly'!$Z$16</f>
        <v>0</v>
      </c>
      <c r="T69" s="11">
        <f>K69*'GS &gt; 50 Predicted Monthly'!$Z$17</f>
        <v>2800660.9376037801</v>
      </c>
      <c r="U69" s="11">
        <f t="shared" ca="1" si="10"/>
        <v>139001851.50135502</v>
      </c>
    </row>
    <row r="70" spans="1:21" x14ac:dyDescent="0.2">
      <c r="A70" s="8">
        <f>'Monthly Data'!A70</f>
        <v>44805</v>
      </c>
      <c r="B70">
        <f t="shared" si="8"/>
        <v>2022</v>
      </c>
      <c r="C70">
        <f t="shared" si="9"/>
        <v>9</v>
      </c>
      <c r="D70" s="18">
        <f>'Monthly Data'!N70</f>
        <v>129335698.79016455</v>
      </c>
      <c r="E70" s="21">
        <f t="shared" ca="1" si="7"/>
        <v>11.319999999999997</v>
      </c>
      <c r="F70" s="21">
        <f t="shared" ca="1" si="7"/>
        <v>104.19854166666664</v>
      </c>
      <c r="G70" s="211">
        <f>'Monthly Data'!CV70</f>
        <v>0.25</v>
      </c>
      <c r="H70" s="7">
        <f>'Monthly Data'!CS70</f>
        <v>30</v>
      </c>
      <c r="I70" s="19">
        <f>'Monthly Data'!AO70</f>
        <v>856819</v>
      </c>
      <c r="J70" s="19">
        <f>'Monthly Data'!CF70</f>
        <v>1</v>
      </c>
      <c r="K70" s="19">
        <f>'Monthly Data'!BY70</f>
        <v>0</v>
      </c>
      <c r="M70" s="11">
        <f>'GS &gt; 50 Predicted Monthly'!$Z$10</f>
        <v>-1907163.1226077401</v>
      </c>
      <c r="N70" s="11">
        <f ca="1">E70*'GS &gt; 50 Predicted Monthly'!$Z$11</f>
        <v>241491.82363840402</v>
      </c>
      <c r="O70" s="11">
        <f ca="1">F70*'GS &gt; 50 Predicted Monthly'!$Z$12</f>
        <v>12343490.152081305</v>
      </c>
      <c r="P70" s="11">
        <f>G70*'GS &gt; 50 Predicted Monthly'!$Z$13</f>
        <v>-2465853.8600442577</v>
      </c>
      <c r="Q70" s="11">
        <f>H70*'GS &gt; 50 Predicted Monthly'!$Z$14</f>
        <v>76960162.106093109</v>
      </c>
      <c r="R70" s="11">
        <f>I70*'GS &gt; 50 Predicted Monthly'!$Z$15</f>
        <v>37808213.489928864</v>
      </c>
      <c r="S70" s="11">
        <f>J70*'GS &gt; 50 Predicted Monthly'!$Z$16</f>
        <v>3497669.1063549998</v>
      </c>
      <c r="T70" s="11">
        <f>K70*'GS &gt; 50 Predicted Monthly'!$Z$17</f>
        <v>0</v>
      </c>
      <c r="U70" s="11">
        <f t="shared" ca="1" si="10"/>
        <v>126478009.69544469</v>
      </c>
    </row>
    <row r="71" spans="1:21" x14ac:dyDescent="0.2">
      <c r="A71" s="8">
        <f>'Monthly Data'!A71</f>
        <v>44835</v>
      </c>
      <c r="B71">
        <f t="shared" si="8"/>
        <v>2022</v>
      </c>
      <c r="C71">
        <f t="shared" si="9"/>
        <v>10</v>
      </c>
      <c r="D71" s="18">
        <f>'Monthly Data'!N71</f>
        <v>118832227.09556258</v>
      </c>
      <c r="E71" s="21">
        <f t="shared" ca="1" si="7"/>
        <v>126.12583333333332</v>
      </c>
      <c r="F71" s="21">
        <f t="shared" ca="1" si="7"/>
        <v>24.703125000000007</v>
      </c>
      <c r="G71" s="211">
        <f>'Monthly Data'!CV71</f>
        <v>0.25</v>
      </c>
      <c r="H71" s="7">
        <f>'Monthly Data'!CS71</f>
        <v>31</v>
      </c>
      <c r="I71" s="19">
        <f>'Monthly Data'!AO71</f>
        <v>856887</v>
      </c>
      <c r="J71" s="19">
        <f>'Monthly Data'!CF71</f>
        <v>1</v>
      </c>
      <c r="K71" s="19">
        <f>'Monthly Data'!BY71</f>
        <v>0</v>
      </c>
      <c r="M71" s="11">
        <f>'GS &gt; 50 Predicted Monthly'!$Z$10</f>
        <v>-1907163.1226077401</v>
      </c>
      <c r="N71" s="11">
        <f ca="1">E71*'GS &gt; 50 Predicted Monthly'!$Z$11</f>
        <v>2690667.6236378159</v>
      </c>
      <c r="O71" s="11">
        <f ca="1">F71*'GS &gt; 50 Predicted Monthly'!$Z$12</f>
        <v>2926363.2224200224</v>
      </c>
      <c r="P71" s="11">
        <f>G71*'GS &gt; 50 Predicted Monthly'!$Z$13</f>
        <v>-2465853.8600442577</v>
      </c>
      <c r="Q71" s="11">
        <f>H71*'GS &gt; 50 Predicted Monthly'!$Z$14</f>
        <v>79525500.842962876</v>
      </c>
      <c r="R71" s="11">
        <f>I71*'GS &gt; 50 Predicted Monthly'!$Z$15</f>
        <v>37811214.075253554</v>
      </c>
      <c r="S71" s="11">
        <f>J71*'GS &gt; 50 Predicted Monthly'!$Z$16</f>
        <v>3497669.1063549998</v>
      </c>
      <c r="T71" s="11">
        <f>K71*'GS &gt; 50 Predicted Monthly'!$Z$17</f>
        <v>0</v>
      </c>
      <c r="U71" s="11">
        <f t="shared" ca="1" si="10"/>
        <v>122078397.88797726</v>
      </c>
    </row>
    <row r="72" spans="1:21" x14ac:dyDescent="0.2">
      <c r="A72" s="8">
        <f>'Monthly Data'!A72</f>
        <v>44866</v>
      </c>
      <c r="B72">
        <f t="shared" si="8"/>
        <v>2022</v>
      </c>
      <c r="C72">
        <f t="shared" si="9"/>
        <v>11</v>
      </c>
      <c r="D72" s="18">
        <f>'Monthly Data'!N72</f>
        <v>120344515.11801657</v>
      </c>
      <c r="E72" s="21">
        <f t="shared" ca="1" si="7"/>
        <v>312.40687500000001</v>
      </c>
      <c r="F72" s="21">
        <f t="shared" ca="1" si="7"/>
        <v>1.6454166666666665</v>
      </c>
      <c r="G72" s="211">
        <f>'Monthly Data'!CV72</f>
        <v>0.25</v>
      </c>
      <c r="H72" s="7">
        <f>'Monthly Data'!CS72</f>
        <v>30</v>
      </c>
      <c r="I72" s="19">
        <f>'Monthly Data'!AO72</f>
        <v>856887</v>
      </c>
      <c r="J72" s="19">
        <f>'Monthly Data'!CF72</f>
        <v>1</v>
      </c>
      <c r="K72" s="19">
        <f>'Monthly Data'!BY72</f>
        <v>0</v>
      </c>
      <c r="M72" s="11">
        <f>'GS &gt; 50 Predicted Monthly'!$Z$10</f>
        <v>-1907163.1226077401</v>
      </c>
      <c r="N72" s="11">
        <f ca="1">E72*'GS &gt; 50 Predicted Monthly'!$Z$11</f>
        <v>6664638.335770756</v>
      </c>
      <c r="O72" s="11">
        <f ca="1">F72*'GS &gt; 50 Predicted Monthly'!$Z$12</f>
        <v>194918.12549587458</v>
      </c>
      <c r="P72" s="11">
        <f>G72*'GS &gt; 50 Predicted Monthly'!$Z$13</f>
        <v>-2465853.8600442577</v>
      </c>
      <c r="Q72" s="11">
        <f>H72*'GS &gt; 50 Predicted Monthly'!$Z$14</f>
        <v>76960162.106093109</v>
      </c>
      <c r="R72" s="11">
        <f>I72*'GS &gt; 50 Predicted Monthly'!$Z$15</f>
        <v>37811214.075253554</v>
      </c>
      <c r="S72" s="11">
        <f>J72*'GS &gt; 50 Predicted Monthly'!$Z$16</f>
        <v>3497669.1063549998</v>
      </c>
      <c r="T72" s="11">
        <f>K72*'GS &gt; 50 Predicted Monthly'!$Z$17</f>
        <v>0</v>
      </c>
      <c r="U72" s="11">
        <f t="shared" ca="1" si="10"/>
        <v>120755584.76631628</v>
      </c>
    </row>
    <row r="73" spans="1:21" x14ac:dyDescent="0.2">
      <c r="A73" s="8">
        <f>'Monthly Data'!A73</f>
        <v>44896</v>
      </c>
      <c r="B73">
        <f t="shared" si="8"/>
        <v>2022</v>
      </c>
      <c r="C73">
        <f t="shared" si="9"/>
        <v>12</v>
      </c>
      <c r="D73" s="18">
        <f>'Monthly Data'!N73</f>
        <v>122243171.67379358</v>
      </c>
      <c r="E73" s="21">
        <f t="shared" ca="1" si="7"/>
        <v>473.52499999999998</v>
      </c>
      <c r="F73" s="21">
        <f t="shared" ca="1" si="7"/>
        <v>0</v>
      </c>
      <c r="G73" s="211">
        <f>'Monthly Data'!CV73</f>
        <v>0.25</v>
      </c>
      <c r="H73" s="7">
        <f>'Monthly Data'!CS73</f>
        <v>31</v>
      </c>
      <c r="I73" s="19">
        <f>'Monthly Data'!AO73</f>
        <v>856887</v>
      </c>
      <c r="J73" s="19">
        <f>'Monthly Data'!CF73</f>
        <v>0</v>
      </c>
      <c r="K73" s="19">
        <f>'Monthly Data'!BY73</f>
        <v>0</v>
      </c>
      <c r="M73" s="11">
        <f>'GS &gt; 50 Predicted Monthly'!$Z$10</f>
        <v>-1907163.1226077401</v>
      </c>
      <c r="N73" s="11">
        <f ca="1">E73*'GS &gt; 50 Predicted Monthly'!$Z$11</f>
        <v>10101803.514874142</v>
      </c>
      <c r="O73" s="11">
        <f ca="1">F73*'GS &gt; 50 Predicted Monthly'!$Z$12</f>
        <v>0</v>
      </c>
      <c r="P73" s="11">
        <f>G73*'GS &gt; 50 Predicted Monthly'!$Z$13</f>
        <v>-2465853.8600442577</v>
      </c>
      <c r="Q73" s="11">
        <f>H73*'GS &gt; 50 Predicted Monthly'!$Z$14</f>
        <v>79525500.842962876</v>
      </c>
      <c r="R73" s="11">
        <f>I73*'GS &gt; 50 Predicted Monthly'!$Z$15</f>
        <v>37811214.075253554</v>
      </c>
      <c r="S73" s="11">
        <f>J73*'GS &gt; 50 Predicted Monthly'!$Z$16</f>
        <v>0</v>
      </c>
      <c r="T73" s="11">
        <f>K73*'GS &gt; 50 Predicted Monthly'!$Z$17</f>
        <v>0</v>
      </c>
      <c r="U73" s="11">
        <f t="shared" ca="1" si="10"/>
        <v>123065501.45043856</v>
      </c>
    </row>
    <row r="74" spans="1:21" x14ac:dyDescent="0.2">
      <c r="A74" s="8">
        <f>'Monthly Data'!A74</f>
        <v>44927</v>
      </c>
      <c r="B74">
        <f t="shared" si="8"/>
        <v>2023</v>
      </c>
      <c r="C74">
        <f t="shared" si="9"/>
        <v>1</v>
      </c>
      <c r="D74" s="18">
        <f>'Monthly Data'!N74</f>
        <v>125499058.84452012</v>
      </c>
      <c r="E74" s="21">
        <f t="shared" ref="E74:F93" ca="1" si="11">E62</f>
        <v>566.30416666666667</v>
      </c>
      <c r="F74" s="21">
        <f t="shared" ca="1" si="11"/>
        <v>0</v>
      </c>
      <c r="G74" s="211">
        <f>'Monthly Data'!CV74</f>
        <v>0</v>
      </c>
      <c r="H74" s="7">
        <f>'Monthly Data'!CS74</f>
        <v>31</v>
      </c>
      <c r="I74" s="19">
        <f>'Monthly Data'!AO74</f>
        <v>867096</v>
      </c>
      <c r="J74" s="19">
        <f>'Monthly Data'!CF74</f>
        <v>0</v>
      </c>
      <c r="K74" s="19">
        <f>'Monthly Data'!BY74</f>
        <v>0</v>
      </c>
      <c r="M74" s="11">
        <f>'GS &gt; 50 Predicted Monthly'!$Z$10</f>
        <v>-1907163.1226077401</v>
      </c>
      <c r="N74" s="11">
        <f ca="1">E74*'GS &gt; 50 Predicted Monthly'!$Z$11</f>
        <v>12081080.030243821</v>
      </c>
      <c r="O74" s="11">
        <f ca="1">F74*'GS &gt; 50 Predicted Monthly'!$Z$12</f>
        <v>0</v>
      </c>
      <c r="P74" s="11">
        <f>G74*'GS &gt; 50 Predicted Monthly'!$Z$13</f>
        <v>0</v>
      </c>
      <c r="Q74" s="11">
        <f>H74*'GS &gt; 50 Predicted Monthly'!$Z$14</f>
        <v>79525500.842962876</v>
      </c>
      <c r="R74" s="11">
        <f>I74*'GS &gt; 50 Predicted Monthly'!$Z$15</f>
        <v>38261699.010249957</v>
      </c>
      <c r="S74" s="11">
        <f>J74*'GS &gt; 50 Predicted Monthly'!$Z$16</f>
        <v>0</v>
      </c>
      <c r="T74" s="11">
        <f>K74*'GS &gt; 50 Predicted Monthly'!$Z$17</f>
        <v>0</v>
      </c>
      <c r="U74" s="11">
        <f t="shared" ca="1" si="10"/>
        <v>127961116.76084891</v>
      </c>
    </row>
    <row r="75" spans="1:21" x14ac:dyDescent="0.2">
      <c r="A75" s="8">
        <f>'Monthly Data'!A75</f>
        <v>44958</v>
      </c>
      <c r="B75">
        <f t="shared" si="8"/>
        <v>2023</v>
      </c>
      <c r="C75">
        <f t="shared" si="9"/>
        <v>2</v>
      </c>
      <c r="D75" s="18">
        <f>'Monthly Data'!N75</f>
        <v>115607990.73071887</v>
      </c>
      <c r="E75" s="21">
        <f t="shared" ca="1" si="11"/>
        <v>483.54541666666665</v>
      </c>
      <c r="F75" s="21">
        <f t="shared" ca="1" si="11"/>
        <v>0</v>
      </c>
      <c r="G75" s="211">
        <f>'Monthly Data'!CV75</f>
        <v>0</v>
      </c>
      <c r="H75" s="7">
        <f>'Monthly Data'!CS75</f>
        <v>28</v>
      </c>
      <c r="I75" s="19">
        <f>'Monthly Data'!AO75</f>
        <v>867096</v>
      </c>
      <c r="J75" s="19">
        <f>'Monthly Data'!CF75</f>
        <v>0</v>
      </c>
      <c r="K75" s="19">
        <f>'Monthly Data'!BY75</f>
        <v>0</v>
      </c>
      <c r="M75" s="11">
        <f>'GS &gt; 50 Predicted Monthly'!$Z$10</f>
        <v>-1907163.1226077401</v>
      </c>
      <c r="N75" s="11">
        <f ca="1">E75*'GS &gt; 50 Predicted Monthly'!$Z$11</f>
        <v>10315571.067387393</v>
      </c>
      <c r="O75" s="11">
        <f ca="1">F75*'GS &gt; 50 Predicted Monthly'!$Z$12</f>
        <v>0</v>
      </c>
      <c r="P75" s="11">
        <f>G75*'GS &gt; 50 Predicted Monthly'!$Z$13</f>
        <v>0</v>
      </c>
      <c r="Q75" s="11">
        <f>H75*'GS &gt; 50 Predicted Monthly'!$Z$14</f>
        <v>71829484.632353559</v>
      </c>
      <c r="R75" s="11">
        <f>I75*'GS &gt; 50 Predicted Monthly'!$Z$15</f>
        <v>38261699.010249957</v>
      </c>
      <c r="S75" s="11">
        <f>J75*'GS &gt; 50 Predicted Monthly'!$Z$16</f>
        <v>0</v>
      </c>
      <c r="T75" s="11">
        <f>K75*'GS &gt; 50 Predicted Monthly'!$Z$17</f>
        <v>0</v>
      </c>
      <c r="U75" s="11">
        <f t="shared" ca="1" si="10"/>
        <v>118499591.58738317</v>
      </c>
    </row>
    <row r="76" spans="1:21" x14ac:dyDescent="0.2">
      <c r="A76" s="8">
        <f>'Monthly Data'!A76</f>
        <v>44986</v>
      </c>
      <c r="B76">
        <f t="shared" si="8"/>
        <v>2023</v>
      </c>
      <c r="C76">
        <f t="shared" si="9"/>
        <v>3</v>
      </c>
      <c r="D76" s="18">
        <f>'Monthly Data'!N76</f>
        <v>125466538.14647563</v>
      </c>
      <c r="E76" s="21">
        <f t="shared" ca="1" si="11"/>
        <v>393.96333333333331</v>
      </c>
      <c r="F76" s="21">
        <f t="shared" ca="1" si="11"/>
        <v>0</v>
      </c>
      <c r="G76" s="211">
        <f>'Monthly Data'!CV76</f>
        <v>0</v>
      </c>
      <c r="H76" s="7">
        <f>'Monthly Data'!CS76</f>
        <v>31</v>
      </c>
      <c r="I76" s="19">
        <f>'Monthly Data'!AO76</f>
        <v>867096</v>
      </c>
      <c r="J76" s="19">
        <f>'Monthly Data'!CF76</f>
        <v>0</v>
      </c>
      <c r="K76" s="19">
        <f>'Monthly Data'!BY76</f>
        <v>0</v>
      </c>
      <c r="M76" s="11">
        <f>'GS &gt; 50 Predicted Monthly'!$Z$10</f>
        <v>-1907163.1226077401</v>
      </c>
      <c r="N76" s="11">
        <f ca="1">E76*'GS &gt; 50 Predicted Monthly'!$Z$11</f>
        <v>8404498.5700822547</v>
      </c>
      <c r="O76" s="11">
        <f ca="1">F76*'GS &gt; 50 Predicted Monthly'!$Z$12</f>
        <v>0</v>
      </c>
      <c r="P76" s="11">
        <f>G76*'GS &gt; 50 Predicted Monthly'!$Z$13</f>
        <v>0</v>
      </c>
      <c r="Q76" s="11">
        <f>H76*'GS &gt; 50 Predicted Monthly'!$Z$14</f>
        <v>79525500.842962876</v>
      </c>
      <c r="R76" s="11">
        <f>I76*'GS &gt; 50 Predicted Monthly'!$Z$15</f>
        <v>38261699.010249957</v>
      </c>
      <c r="S76" s="11">
        <f>J76*'GS &gt; 50 Predicted Monthly'!$Z$16</f>
        <v>0</v>
      </c>
      <c r="T76" s="11">
        <f>K76*'GS &gt; 50 Predicted Monthly'!$Z$17</f>
        <v>0</v>
      </c>
      <c r="U76" s="11">
        <f t="shared" ca="1" si="10"/>
        <v>124284535.30068734</v>
      </c>
    </row>
    <row r="77" spans="1:21" x14ac:dyDescent="0.2">
      <c r="A77" s="8">
        <f>'Monthly Data'!A77</f>
        <v>45017</v>
      </c>
      <c r="B77">
        <f t="shared" si="8"/>
        <v>2023</v>
      </c>
      <c r="C77">
        <f t="shared" si="9"/>
        <v>4</v>
      </c>
      <c r="D77" s="18">
        <f>'Monthly Data'!N77</f>
        <v>114391957.98950237</v>
      </c>
      <c r="E77" s="21">
        <f t="shared" ca="1" si="11"/>
        <v>226.60145833333337</v>
      </c>
      <c r="F77" s="21">
        <f t="shared" ca="1" si="11"/>
        <v>6.5650000000000031</v>
      </c>
      <c r="G77" s="211">
        <f>'Monthly Data'!CV77</f>
        <v>0</v>
      </c>
      <c r="H77" s="7">
        <f>'Monthly Data'!CS77</f>
        <v>30</v>
      </c>
      <c r="I77" s="19">
        <f>'Monthly Data'!AO77</f>
        <v>873385</v>
      </c>
      <c r="J77" s="19">
        <f>'Monthly Data'!CF77</f>
        <v>0</v>
      </c>
      <c r="K77" s="19">
        <f>'Monthly Data'!BY77</f>
        <v>0</v>
      </c>
      <c r="M77" s="11">
        <f>'GS &gt; 50 Predicted Monthly'!$Z$10</f>
        <v>-1907163.1226077401</v>
      </c>
      <c r="N77" s="11">
        <f ca="1">E77*'GS &gt; 50 Predicted Monthly'!$Z$11</f>
        <v>4834134.2236783141</v>
      </c>
      <c r="O77" s="11">
        <f ca="1">F77*'GS &gt; 50 Predicted Monthly'!$Z$12</f>
        <v>777698.14771157305</v>
      </c>
      <c r="P77" s="11">
        <f>G77*'GS &gt; 50 Predicted Monthly'!$Z$13</f>
        <v>0</v>
      </c>
      <c r="Q77" s="11">
        <f>H77*'GS &gt; 50 Predicted Monthly'!$Z$14</f>
        <v>76960162.106093109</v>
      </c>
      <c r="R77" s="11">
        <f>I77*'GS &gt; 50 Predicted Monthly'!$Z$15</f>
        <v>38539209.026528962</v>
      </c>
      <c r="S77" s="11">
        <f>J77*'GS &gt; 50 Predicted Monthly'!$Z$16</f>
        <v>0</v>
      </c>
      <c r="T77" s="11">
        <f>K77*'GS &gt; 50 Predicted Monthly'!$Z$17</f>
        <v>0</v>
      </c>
      <c r="U77" s="11">
        <f t="shared" ca="1" si="10"/>
        <v>119204040.38140422</v>
      </c>
    </row>
    <row r="78" spans="1:21" x14ac:dyDescent="0.2">
      <c r="A78" s="8">
        <f>'Monthly Data'!A78</f>
        <v>45047</v>
      </c>
      <c r="B78">
        <f t="shared" si="8"/>
        <v>2023</v>
      </c>
      <c r="C78">
        <f t="shared" si="9"/>
        <v>5</v>
      </c>
      <c r="D78" s="18">
        <f>'Monthly Data'!N78</f>
        <v>123483481.6939701</v>
      </c>
      <c r="E78" s="21">
        <f t="shared" ca="1" si="11"/>
        <v>65.335833333333326</v>
      </c>
      <c r="F78" s="21">
        <f t="shared" ca="1" si="11"/>
        <v>59.300416666666649</v>
      </c>
      <c r="G78" s="211">
        <f>'Monthly Data'!CV78</f>
        <v>0</v>
      </c>
      <c r="H78" s="7">
        <f>'Monthly Data'!CS78</f>
        <v>31</v>
      </c>
      <c r="I78" s="19">
        <f>'Monthly Data'!AO78</f>
        <v>873385</v>
      </c>
      <c r="J78" s="19">
        <f>'Monthly Data'!CF78</f>
        <v>0</v>
      </c>
      <c r="K78" s="19">
        <f>'Monthly Data'!BY78</f>
        <v>0</v>
      </c>
      <c r="M78" s="11">
        <f>'GS &gt; 50 Predicted Monthly'!$Z$10</f>
        <v>-1907163.1226077401</v>
      </c>
      <c r="N78" s="11">
        <f ca="1">E78*'GS &gt; 50 Predicted Monthly'!$Z$11</f>
        <v>1393822.3975796374</v>
      </c>
      <c r="O78" s="11">
        <f ca="1">F78*'GS &gt; 50 Predicted Monthly'!$Z$12</f>
        <v>7024801.8583687926</v>
      </c>
      <c r="P78" s="11">
        <f>G78*'GS &gt; 50 Predicted Monthly'!$Z$13</f>
        <v>0</v>
      </c>
      <c r="Q78" s="11">
        <f>H78*'GS &gt; 50 Predicted Monthly'!$Z$14</f>
        <v>79525500.842962876</v>
      </c>
      <c r="R78" s="11">
        <f>I78*'GS &gt; 50 Predicted Monthly'!$Z$15</f>
        <v>38539209.026528962</v>
      </c>
      <c r="S78" s="11">
        <f>J78*'GS &gt; 50 Predicted Monthly'!$Z$16</f>
        <v>0</v>
      </c>
      <c r="T78" s="11">
        <f>K78*'GS &gt; 50 Predicted Monthly'!$Z$17</f>
        <v>0</v>
      </c>
      <c r="U78" s="11">
        <f t="shared" ca="1" si="10"/>
        <v>124576171.00283253</v>
      </c>
    </row>
    <row r="79" spans="1:21" x14ac:dyDescent="0.2">
      <c r="A79" s="8">
        <f>'Monthly Data'!A79</f>
        <v>45078</v>
      </c>
      <c r="B79">
        <f t="shared" si="8"/>
        <v>2023</v>
      </c>
      <c r="C79">
        <f t="shared" si="9"/>
        <v>6</v>
      </c>
      <c r="D79" s="18">
        <f>'Monthly Data'!N79</f>
        <v>127247993.22335185</v>
      </c>
      <c r="E79" s="21">
        <f t="shared" ca="1" si="11"/>
        <v>3.0447916666666672</v>
      </c>
      <c r="F79" s="21">
        <f t="shared" ca="1" si="11"/>
        <v>157.17000000000002</v>
      </c>
      <c r="G79" s="211">
        <f>'Monthly Data'!CV79</f>
        <v>0</v>
      </c>
      <c r="H79" s="7">
        <f>'Monthly Data'!CS79</f>
        <v>30</v>
      </c>
      <c r="I79" s="19">
        <f>'Monthly Data'!AO79</f>
        <v>873385</v>
      </c>
      <c r="J79" s="19">
        <f>'Monthly Data'!CF79</f>
        <v>0</v>
      </c>
      <c r="K79" s="19">
        <f>'Monthly Data'!BY79</f>
        <v>0</v>
      </c>
      <c r="M79" s="11">
        <f>'GS &gt; 50 Predicted Monthly'!$Z$10</f>
        <v>-1907163.1226077401</v>
      </c>
      <c r="N79" s="11">
        <f ca="1">E79*'GS &gt; 50 Predicted Monthly'!$Z$11</f>
        <v>64955.149486073256</v>
      </c>
      <c r="O79" s="11">
        <f ca="1">F79*'GS &gt; 50 Predicted Monthly'!$Z$12</f>
        <v>18618555.655114681</v>
      </c>
      <c r="P79" s="11">
        <f>G79*'GS &gt; 50 Predicted Monthly'!$Z$13</f>
        <v>0</v>
      </c>
      <c r="Q79" s="11">
        <f>H79*'GS &gt; 50 Predicted Monthly'!$Z$14</f>
        <v>76960162.106093109</v>
      </c>
      <c r="R79" s="11">
        <f>I79*'GS &gt; 50 Predicted Monthly'!$Z$15</f>
        <v>38539209.026528962</v>
      </c>
      <c r="S79" s="11">
        <f>J79*'GS &gt; 50 Predicted Monthly'!$Z$16</f>
        <v>0</v>
      </c>
      <c r="T79" s="11">
        <f>K79*'GS &gt; 50 Predicted Monthly'!$Z$17</f>
        <v>0</v>
      </c>
      <c r="U79" s="11">
        <f t="shared" ca="1" si="10"/>
        <v>132275718.81461507</v>
      </c>
    </row>
    <row r="80" spans="1:21" x14ac:dyDescent="0.2">
      <c r="A80" s="8">
        <f>'Monthly Data'!A80</f>
        <v>45108</v>
      </c>
      <c r="B80">
        <f t="shared" si="8"/>
        <v>2023</v>
      </c>
      <c r="C80">
        <f t="shared" si="9"/>
        <v>7</v>
      </c>
      <c r="D80" s="18">
        <f>'Monthly Data'!N80</f>
        <v>137496928.92038861</v>
      </c>
      <c r="E80" s="21">
        <f t="shared" ca="1" si="11"/>
        <v>0</v>
      </c>
      <c r="F80" s="21">
        <f t="shared" ca="1" si="11"/>
        <v>231.27145833333333</v>
      </c>
      <c r="G80" s="211">
        <f>'Monthly Data'!CV80</f>
        <v>0</v>
      </c>
      <c r="H80" s="7">
        <f>'Monthly Data'!CS80</f>
        <v>31</v>
      </c>
      <c r="I80" s="19">
        <f>'Monthly Data'!AO80</f>
        <v>876964</v>
      </c>
      <c r="J80" s="19">
        <f>'Monthly Data'!CF80</f>
        <v>0</v>
      </c>
      <c r="K80" s="19">
        <f>'Monthly Data'!BY80</f>
        <v>0</v>
      </c>
      <c r="M80" s="11">
        <f>'GS &gt; 50 Predicted Monthly'!$Z$10</f>
        <v>-1907163.1226077401</v>
      </c>
      <c r="N80" s="11">
        <f ca="1">E80*'GS &gt; 50 Predicted Monthly'!$Z$11</f>
        <v>0</v>
      </c>
      <c r="O80" s="11">
        <f ca="1">F80*'GS &gt; 50 Predicted Monthly'!$Z$12</f>
        <v>27396707.50409558</v>
      </c>
      <c r="P80" s="11">
        <f>G80*'GS &gt; 50 Predicted Monthly'!$Z$13</f>
        <v>0</v>
      </c>
      <c r="Q80" s="11">
        <f>H80*'GS &gt; 50 Predicted Monthly'!$Z$14</f>
        <v>79525500.842962876</v>
      </c>
      <c r="R80" s="11">
        <f>I80*'GS &gt; 50 Predicted Monthly'!$Z$15</f>
        <v>38697136.892368138</v>
      </c>
      <c r="S80" s="11">
        <f>J80*'GS &gt; 50 Predicted Monthly'!$Z$16</f>
        <v>0</v>
      </c>
      <c r="T80" s="11">
        <f>K80*'GS &gt; 50 Predicted Monthly'!$Z$17</f>
        <v>0</v>
      </c>
      <c r="U80" s="11">
        <f t="shared" ca="1" si="10"/>
        <v>143712182.11681885</v>
      </c>
    </row>
    <row r="81" spans="1:21" x14ac:dyDescent="0.2">
      <c r="A81" s="8">
        <f>'Monthly Data'!A81</f>
        <v>45139</v>
      </c>
      <c r="B81">
        <f t="shared" si="8"/>
        <v>2023</v>
      </c>
      <c r="C81">
        <f t="shared" si="9"/>
        <v>8</v>
      </c>
      <c r="D81" s="18">
        <f>'Monthly Data'!N81</f>
        <v>133974170.58140434</v>
      </c>
      <c r="E81" s="21">
        <f t="shared" ca="1" si="11"/>
        <v>0.27875000000000066</v>
      </c>
      <c r="F81" s="21">
        <f t="shared" ca="1" si="11"/>
        <v>196.13625000000002</v>
      </c>
      <c r="G81" s="211">
        <f>'Monthly Data'!CV81</f>
        <v>0</v>
      </c>
      <c r="H81" s="7">
        <f>'Monthly Data'!CS81</f>
        <v>31</v>
      </c>
      <c r="I81" s="19">
        <f>'Monthly Data'!AO81</f>
        <v>876964</v>
      </c>
      <c r="J81" s="19">
        <f>'Monthly Data'!CF81</f>
        <v>0</v>
      </c>
      <c r="K81" s="19">
        <f>'Monthly Data'!BY81</f>
        <v>1</v>
      </c>
      <c r="M81" s="11">
        <f>'GS &gt; 50 Predicted Monthly'!$Z$10</f>
        <v>-1907163.1226077401</v>
      </c>
      <c r="N81" s="11">
        <f ca="1">E81*'GS &gt; 50 Predicted Monthly'!$Z$11</f>
        <v>5946.629491095875</v>
      </c>
      <c r="O81" s="11">
        <f ca="1">F81*'GS &gt; 50 Predicted Monthly'!$Z$12</f>
        <v>23234546.584020402</v>
      </c>
      <c r="P81" s="11">
        <f>G81*'GS &gt; 50 Predicted Monthly'!$Z$13</f>
        <v>0</v>
      </c>
      <c r="Q81" s="11">
        <f>H81*'GS &gt; 50 Predicted Monthly'!$Z$14</f>
        <v>79525500.842962876</v>
      </c>
      <c r="R81" s="11">
        <f>I81*'GS &gt; 50 Predicted Monthly'!$Z$15</f>
        <v>38697136.892368138</v>
      </c>
      <c r="S81" s="11">
        <f>J81*'GS &gt; 50 Predicted Monthly'!$Z$16</f>
        <v>0</v>
      </c>
      <c r="T81" s="11">
        <f>K81*'GS &gt; 50 Predicted Monthly'!$Z$17</f>
        <v>2800660.9376037801</v>
      </c>
      <c r="U81" s="11">
        <f t="shared" ca="1" si="10"/>
        <v>142356628.76383853</v>
      </c>
    </row>
    <row r="82" spans="1:21" x14ac:dyDescent="0.2">
      <c r="A82" s="8">
        <f>'Monthly Data'!A82</f>
        <v>45170</v>
      </c>
      <c r="B82">
        <f t="shared" si="8"/>
        <v>2023</v>
      </c>
      <c r="C82">
        <f t="shared" si="9"/>
        <v>9</v>
      </c>
      <c r="D82" s="18">
        <f>'Monthly Data'!N82</f>
        <v>125628407.1768401</v>
      </c>
      <c r="E82" s="21">
        <f t="shared" ca="1" si="11"/>
        <v>11.319999999999997</v>
      </c>
      <c r="F82" s="21">
        <f t="shared" ca="1" si="11"/>
        <v>104.19854166666664</v>
      </c>
      <c r="G82" s="211">
        <f>'Monthly Data'!CV82</f>
        <v>0</v>
      </c>
      <c r="H82" s="7">
        <f>'Monthly Data'!CS82</f>
        <v>30</v>
      </c>
      <c r="I82" s="19">
        <f>'Monthly Data'!AO82</f>
        <v>876964</v>
      </c>
      <c r="J82" s="19">
        <f>'Monthly Data'!CF82</f>
        <v>1</v>
      </c>
      <c r="K82" s="19">
        <f>'Monthly Data'!BY82</f>
        <v>0</v>
      </c>
      <c r="M82" s="11">
        <f>'GS &gt; 50 Predicted Monthly'!$Z$10</f>
        <v>-1907163.1226077401</v>
      </c>
      <c r="N82" s="11">
        <f ca="1">E82*'GS &gt; 50 Predicted Monthly'!$Z$11</f>
        <v>241491.82363840402</v>
      </c>
      <c r="O82" s="11">
        <f ca="1">F82*'GS &gt; 50 Predicted Monthly'!$Z$12</f>
        <v>12343490.152081305</v>
      </c>
      <c r="P82" s="11">
        <f>G82*'GS &gt; 50 Predicted Monthly'!$Z$13</f>
        <v>0</v>
      </c>
      <c r="Q82" s="11">
        <f>H82*'GS &gt; 50 Predicted Monthly'!$Z$14</f>
        <v>76960162.106093109</v>
      </c>
      <c r="R82" s="11">
        <f>I82*'GS &gt; 50 Predicted Monthly'!$Z$15</f>
        <v>38697136.892368138</v>
      </c>
      <c r="S82" s="11">
        <f>J82*'GS &gt; 50 Predicted Monthly'!$Z$16</f>
        <v>3497669.1063549998</v>
      </c>
      <c r="T82" s="11">
        <f>K82*'GS &gt; 50 Predicted Monthly'!$Z$17</f>
        <v>0</v>
      </c>
      <c r="U82" s="11">
        <f t="shared" ca="1" si="10"/>
        <v>129832786.95792821</v>
      </c>
    </row>
    <row r="83" spans="1:21" x14ac:dyDescent="0.2">
      <c r="A83" s="8">
        <f>'Monthly Data'!A83</f>
        <v>45200</v>
      </c>
      <c r="B83">
        <f t="shared" si="8"/>
        <v>2023</v>
      </c>
      <c r="C83">
        <f t="shared" si="9"/>
        <v>10</v>
      </c>
      <c r="D83" s="18">
        <f>'Monthly Data'!N83</f>
        <v>122505184.85314384</v>
      </c>
      <c r="E83" s="21">
        <f t="shared" ca="1" si="11"/>
        <v>126.12583333333332</v>
      </c>
      <c r="F83" s="21">
        <f t="shared" ca="1" si="11"/>
        <v>24.703125000000007</v>
      </c>
      <c r="G83" s="211">
        <f>'Monthly Data'!CV83</f>
        <v>0</v>
      </c>
      <c r="H83" s="7">
        <f>'Monthly Data'!CS83</f>
        <v>31</v>
      </c>
      <c r="I83" s="19">
        <f>'Monthly Data'!AO83</f>
        <v>880255</v>
      </c>
      <c r="J83" s="19">
        <f>'Monthly Data'!CF83</f>
        <v>1</v>
      </c>
      <c r="K83" s="19">
        <f>'Monthly Data'!BY83</f>
        <v>0</v>
      </c>
      <c r="M83" s="11">
        <f>'GS &gt; 50 Predicted Monthly'!$Z$10</f>
        <v>-1907163.1226077401</v>
      </c>
      <c r="N83" s="11">
        <f ca="1">E83*'GS &gt; 50 Predicted Monthly'!$Z$11</f>
        <v>2690667.6236378159</v>
      </c>
      <c r="O83" s="11">
        <f ca="1">F83*'GS &gt; 50 Predicted Monthly'!$Z$12</f>
        <v>2926363.2224200224</v>
      </c>
      <c r="P83" s="11">
        <f>G83*'GS &gt; 50 Predicted Monthly'!$Z$13</f>
        <v>0</v>
      </c>
      <c r="Q83" s="11">
        <f>H83*'GS &gt; 50 Predicted Monthly'!$Z$14</f>
        <v>79525500.842962876</v>
      </c>
      <c r="R83" s="11">
        <f>I83*'GS &gt; 50 Predicted Monthly'!$Z$15</f>
        <v>38842356.396832153</v>
      </c>
      <c r="S83" s="11">
        <f>J83*'GS &gt; 50 Predicted Monthly'!$Z$16</f>
        <v>3497669.1063549998</v>
      </c>
      <c r="T83" s="11">
        <f>K83*'GS &gt; 50 Predicted Monthly'!$Z$17</f>
        <v>0</v>
      </c>
      <c r="U83" s="11">
        <f t="shared" ca="1" si="10"/>
        <v>125575394.06960012</v>
      </c>
    </row>
    <row r="84" spans="1:21" x14ac:dyDescent="0.2">
      <c r="A84" s="8">
        <f>'Monthly Data'!A84</f>
        <v>45231</v>
      </c>
      <c r="B84">
        <f t="shared" si="8"/>
        <v>2023</v>
      </c>
      <c r="C84">
        <f t="shared" si="9"/>
        <v>11</v>
      </c>
      <c r="D84" s="18">
        <f>'Monthly Data'!N84</f>
        <v>120984971.18912058</v>
      </c>
      <c r="E84" s="21">
        <f t="shared" ca="1" si="11"/>
        <v>312.40687500000001</v>
      </c>
      <c r="F84" s="21">
        <f t="shared" ca="1" si="11"/>
        <v>1.6454166666666665</v>
      </c>
      <c r="G84" s="211">
        <f>'Monthly Data'!CV84</f>
        <v>0</v>
      </c>
      <c r="H84" s="7">
        <f>'Monthly Data'!CS84</f>
        <v>30</v>
      </c>
      <c r="I84" s="19">
        <f>'Monthly Data'!AO84</f>
        <v>880255</v>
      </c>
      <c r="J84" s="19">
        <f>'Monthly Data'!CF84</f>
        <v>1</v>
      </c>
      <c r="K84" s="19">
        <f>'Monthly Data'!BY84</f>
        <v>0</v>
      </c>
      <c r="M84" s="11">
        <f>'GS &gt; 50 Predicted Monthly'!$Z$10</f>
        <v>-1907163.1226077401</v>
      </c>
      <c r="N84" s="11">
        <f ca="1">E84*'GS &gt; 50 Predicted Monthly'!$Z$11</f>
        <v>6664638.335770756</v>
      </c>
      <c r="O84" s="11">
        <f ca="1">F84*'GS &gt; 50 Predicted Monthly'!$Z$12</f>
        <v>194918.12549587458</v>
      </c>
      <c r="P84" s="11">
        <f>G84*'GS &gt; 50 Predicted Monthly'!$Z$13</f>
        <v>0</v>
      </c>
      <c r="Q84" s="11">
        <f>H84*'GS &gt; 50 Predicted Monthly'!$Z$14</f>
        <v>76960162.106093109</v>
      </c>
      <c r="R84" s="11">
        <f>I84*'GS &gt; 50 Predicted Monthly'!$Z$15</f>
        <v>38842356.396832153</v>
      </c>
      <c r="S84" s="11">
        <f>J84*'GS &gt; 50 Predicted Monthly'!$Z$16</f>
        <v>3497669.1063549998</v>
      </c>
      <c r="T84" s="11">
        <f>K84*'GS &gt; 50 Predicted Monthly'!$Z$17</f>
        <v>0</v>
      </c>
      <c r="U84" s="11">
        <f t="shared" ca="1" si="10"/>
        <v>124252580.94793914</v>
      </c>
    </row>
    <row r="85" spans="1:21" x14ac:dyDescent="0.2">
      <c r="A85" s="8">
        <f>'Monthly Data'!A85</f>
        <v>45261</v>
      </c>
      <c r="B85">
        <f t="shared" si="8"/>
        <v>2023</v>
      </c>
      <c r="C85">
        <f t="shared" si="9"/>
        <v>12</v>
      </c>
      <c r="D85" s="18">
        <f>'Monthly Data'!N85</f>
        <v>118768098.25409932</v>
      </c>
      <c r="E85" s="21">
        <f t="shared" ca="1" si="11"/>
        <v>473.52499999999998</v>
      </c>
      <c r="F85" s="21">
        <f t="shared" ca="1" si="11"/>
        <v>0</v>
      </c>
      <c r="G85" s="211">
        <f>'Monthly Data'!CV85</f>
        <v>0</v>
      </c>
      <c r="H85" s="7">
        <f>'Monthly Data'!CS85</f>
        <v>31</v>
      </c>
      <c r="I85" s="19">
        <f>'Monthly Data'!AO85</f>
        <v>880255</v>
      </c>
      <c r="J85" s="19">
        <f>'Monthly Data'!CF85</f>
        <v>0</v>
      </c>
      <c r="K85" s="19">
        <f>'Monthly Data'!BY85</f>
        <v>0</v>
      </c>
      <c r="M85" s="11">
        <f>'GS &gt; 50 Predicted Monthly'!$Z$10</f>
        <v>-1907163.1226077401</v>
      </c>
      <c r="N85" s="11">
        <f ca="1">E85*'GS &gt; 50 Predicted Monthly'!$Z$11</f>
        <v>10101803.514874142</v>
      </c>
      <c r="O85" s="11">
        <f ca="1">F85*'GS &gt; 50 Predicted Monthly'!$Z$12</f>
        <v>0</v>
      </c>
      <c r="P85" s="11">
        <f>G85*'GS &gt; 50 Predicted Monthly'!$Z$13</f>
        <v>0</v>
      </c>
      <c r="Q85" s="11">
        <f>H85*'GS &gt; 50 Predicted Monthly'!$Z$14</f>
        <v>79525500.842962876</v>
      </c>
      <c r="R85" s="11">
        <f>I85*'GS &gt; 50 Predicted Monthly'!$Z$15</f>
        <v>38842356.396832153</v>
      </c>
      <c r="S85" s="11">
        <f>J85*'GS &gt; 50 Predicted Monthly'!$Z$16</f>
        <v>0</v>
      </c>
      <c r="T85" s="11">
        <f>K85*'GS &gt; 50 Predicted Monthly'!$Z$17</f>
        <v>0</v>
      </c>
      <c r="U85" s="11">
        <f t="shared" ca="1" si="10"/>
        <v>126562497.63206144</v>
      </c>
    </row>
    <row r="86" spans="1:21" x14ac:dyDescent="0.2">
      <c r="A86" s="8">
        <f>'Monthly Data'!A86</f>
        <v>45292</v>
      </c>
      <c r="B86">
        <f t="shared" si="8"/>
        <v>2024</v>
      </c>
      <c r="C86">
        <f t="shared" si="9"/>
        <v>1</v>
      </c>
      <c r="D86" s="18">
        <f>'Monthly Data'!N86</f>
        <v>130159108.66703321</v>
      </c>
      <c r="E86" s="21">
        <f t="shared" ca="1" si="11"/>
        <v>566.30416666666667</v>
      </c>
      <c r="F86" s="21">
        <f t="shared" ca="1" si="11"/>
        <v>0</v>
      </c>
      <c r="G86" s="211">
        <f>'Monthly Data'!CV86</f>
        <v>0</v>
      </c>
      <c r="H86" s="7">
        <f>'Monthly Data'!CS86</f>
        <v>31</v>
      </c>
      <c r="I86" s="19">
        <f>'Monthly Data'!AO86</f>
        <v>885802</v>
      </c>
      <c r="J86" s="19">
        <f>'Monthly Data'!CF86</f>
        <v>0</v>
      </c>
      <c r="K86" s="19">
        <f>'Monthly Data'!BY86</f>
        <v>0</v>
      </c>
      <c r="M86" s="11">
        <f>'GS &gt; 50 Predicted Monthly'!$Z$10</f>
        <v>-1907163.1226077401</v>
      </c>
      <c r="N86" s="11">
        <f ca="1">E86*'GS &gt; 50 Predicted Monthly'!$Z$11</f>
        <v>12081080.030243821</v>
      </c>
      <c r="O86" s="11">
        <f ca="1">F86*'GS &gt; 50 Predicted Monthly'!$Z$12</f>
        <v>0</v>
      </c>
      <c r="P86" s="11">
        <f>G86*'GS &gt; 50 Predicted Monthly'!$Z$13</f>
        <v>0</v>
      </c>
      <c r="Q86" s="11">
        <f>H86*'GS &gt; 50 Predicted Monthly'!$Z$14</f>
        <v>79525500.842962876</v>
      </c>
      <c r="R86" s="11">
        <f>I86*'GS &gt; 50 Predicted Monthly'!$Z$15</f>
        <v>39087124.732068226</v>
      </c>
      <c r="S86" s="11">
        <f>J86*'GS &gt; 50 Predicted Monthly'!$Z$16</f>
        <v>0</v>
      </c>
      <c r="T86" s="11">
        <f>K86*'GS &gt; 50 Predicted Monthly'!$Z$17</f>
        <v>0</v>
      </c>
      <c r="U86" s="11">
        <f t="shared" ca="1" si="10"/>
        <v>128786542.48266718</v>
      </c>
    </row>
    <row r="87" spans="1:21" x14ac:dyDescent="0.2">
      <c r="A87" s="8">
        <f>'Monthly Data'!A87</f>
        <v>45323</v>
      </c>
      <c r="B87">
        <f t="shared" si="8"/>
        <v>2024</v>
      </c>
      <c r="C87">
        <f t="shared" si="9"/>
        <v>2</v>
      </c>
      <c r="D87" s="18">
        <f>'Monthly Data'!N87</f>
        <v>119840482.88393389</v>
      </c>
      <c r="E87" s="21">
        <f t="shared" ca="1" si="11"/>
        <v>483.54541666666665</v>
      </c>
      <c r="F87" s="21">
        <f t="shared" ca="1" si="11"/>
        <v>0</v>
      </c>
      <c r="G87" s="211">
        <f>'Monthly Data'!CV87</f>
        <v>0</v>
      </c>
      <c r="H87" s="7">
        <f>'Monthly Data'!CS87</f>
        <v>29</v>
      </c>
      <c r="I87" s="19">
        <f>'Monthly Data'!AO87</f>
        <v>885802</v>
      </c>
      <c r="J87" s="19">
        <f>'Monthly Data'!CF87</f>
        <v>0</v>
      </c>
      <c r="K87" s="19">
        <f>'Monthly Data'!BY87</f>
        <v>0</v>
      </c>
      <c r="M87" s="11">
        <f>'GS &gt; 50 Predicted Monthly'!$Z$10</f>
        <v>-1907163.1226077401</v>
      </c>
      <c r="N87" s="11">
        <f ca="1">E87*'GS &gt; 50 Predicted Monthly'!$Z$11</f>
        <v>10315571.067387393</v>
      </c>
      <c r="O87" s="11">
        <f ca="1">F87*'GS &gt; 50 Predicted Monthly'!$Z$12</f>
        <v>0</v>
      </c>
      <c r="P87" s="11">
        <f>G87*'GS &gt; 50 Predicted Monthly'!$Z$13</f>
        <v>0</v>
      </c>
      <c r="Q87" s="11">
        <f>H87*'GS &gt; 50 Predicted Monthly'!$Z$14</f>
        <v>74394823.369223326</v>
      </c>
      <c r="R87" s="11">
        <f>I87*'GS &gt; 50 Predicted Monthly'!$Z$15</f>
        <v>39087124.732068226</v>
      </c>
      <c r="S87" s="11">
        <f>J87*'GS &gt; 50 Predicted Monthly'!$Z$16</f>
        <v>0</v>
      </c>
      <c r="T87" s="11">
        <f>K87*'GS &gt; 50 Predicted Monthly'!$Z$17</f>
        <v>0</v>
      </c>
      <c r="U87" s="11">
        <f t="shared" ca="1" si="10"/>
        <v>121890356.0460712</v>
      </c>
    </row>
    <row r="88" spans="1:21" x14ac:dyDescent="0.2">
      <c r="A88" s="8">
        <f>'Monthly Data'!A88</f>
        <v>45352</v>
      </c>
      <c r="B88">
        <f t="shared" si="8"/>
        <v>2024</v>
      </c>
      <c r="C88">
        <f t="shared" si="9"/>
        <v>3</v>
      </c>
      <c r="D88" s="18">
        <f>'Monthly Data'!N88</f>
        <v>123262071.17316654</v>
      </c>
      <c r="E88" s="21">
        <f t="shared" ca="1" si="11"/>
        <v>393.96333333333331</v>
      </c>
      <c r="F88" s="21">
        <f t="shared" ca="1" si="11"/>
        <v>0</v>
      </c>
      <c r="G88" s="211">
        <f>'Monthly Data'!CV88</f>
        <v>0</v>
      </c>
      <c r="H88" s="7">
        <f>'Monthly Data'!CS88</f>
        <v>31</v>
      </c>
      <c r="I88" s="19">
        <f>'Monthly Data'!AO88</f>
        <v>885802</v>
      </c>
      <c r="J88" s="19">
        <f>'Monthly Data'!CF88</f>
        <v>0</v>
      </c>
      <c r="K88" s="19">
        <f>'Monthly Data'!BY88</f>
        <v>0</v>
      </c>
      <c r="M88" s="11">
        <f>'GS &gt; 50 Predicted Monthly'!$Z$10</f>
        <v>-1907163.1226077401</v>
      </c>
      <c r="N88" s="11">
        <f ca="1">E88*'GS &gt; 50 Predicted Monthly'!$Z$11</f>
        <v>8404498.5700822547</v>
      </c>
      <c r="O88" s="11">
        <f ca="1">F88*'GS &gt; 50 Predicted Monthly'!$Z$12</f>
        <v>0</v>
      </c>
      <c r="P88" s="11">
        <f>G88*'GS &gt; 50 Predicted Monthly'!$Z$13</f>
        <v>0</v>
      </c>
      <c r="Q88" s="11">
        <f>H88*'GS &gt; 50 Predicted Monthly'!$Z$14</f>
        <v>79525500.842962876</v>
      </c>
      <c r="R88" s="11">
        <f>I88*'GS &gt; 50 Predicted Monthly'!$Z$15</f>
        <v>39087124.732068226</v>
      </c>
      <c r="S88" s="11">
        <f>J88*'GS &gt; 50 Predicted Monthly'!$Z$16</f>
        <v>0</v>
      </c>
      <c r="T88" s="11">
        <f>K88*'GS &gt; 50 Predicted Monthly'!$Z$17</f>
        <v>0</v>
      </c>
      <c r="U88" s="11">
        <f t="shared" ca="1" si="10"/>
        <v>125109961.02250561</v>
      </c>
    </row>
    <row r="89" spans="1:21" x14ac:dyDescent="0.2">
      <c r="A89" s="8">
        <f>'Monthly Data'!A89</f>
        <v>45383</v>
      </c>
      <c r="B89">
        <f t="shared" si="8"/>
        <v>2024</v>
      </c>
      <c r="C89">
        <f t="shared" si="9"/>
        <v>4</v>
      </c>
      <c r="D89" s="18">
        <f>'Monthly Data'!N89</f>
        <v>119205230.8035062</v>
      </c>
      <c r="E89" s="21">
        <f t="shared" ca="1" si="11"/>
        <v>226.60145833333337</v>
      </c>
      <c r="F89" s="21">
        <f t="shared" ca="1" si="11"/>
        <v>6.5650000000000031</v>
      </c>
      <c r="G89" s="211">
        <f>'Monthly Data'!CV89</f>
        <v>0</v>
      </c>
      <c r="H89" s="7">
        <f>'Monthly Data'!CS89</f>
        <v>30</v>
      </c>
      <c r="I89" s="19">
        <f>'Monthly Data'!AO89</f>
        <v>888733</v>
      </c>
      <c r="J89" s="19">
        <f>'Monthly Data'!CF89</f>
        <v>0</v>
      </c>
      <c r="K89" s="19">
        <f>'Monthly Data'!BY89</f>
        <v>0</v>
      </c>
      <c r="M89" s="11">
        <f>'GS &gt; 50 Predicted Monthly'!$Z$10</f>
        <v>-1907163.1226077401</v>
      </c>
      <c r="N89" s="11">
        <f ca="1">E89*'GS &gt; 50 Predicted Monthly'!$Z$11</f>
        <v>4834134.2236783141</v>
      </c>
      <c r="O89" s="11">
        <f ca="1">F89*'GS &gt; 50 Predicted Monthly'!$Z$12</f>
        <v>777698.14771157305</v>
      </c>
      <c r="P89" s="11">
        <f>G89*'GS &gt; 50 Predicted Monthly'!$Z$13</f>
        <v>0</v>
      </c>
      <c r="Q89" s="11">
        <f>H89*'GS &gt; 50 Predicted Monthly'!$Z$14</f>
        <v>76960162.106093109</v>
      </c>
      <c r="R89" s="11">
        <f>I89*'GS &gt; 50 Predicted Monthly'!$Z$15</f>
        <v>39216458.7848133</v>
      </c>
      <c r="S89" s="11">
        <f>J89*'GS &gt; 50 Predicted Monthly'!$Z$16</f>
        <v>0</v>
      </c>
      <c r="T89" s="11">
        <f>K89*'GS &gt; 50 Predicted Monthly'!$Z$17</f>
        <v>0</v>
      </c>
      <c r="U89" s="11">
        <f t="shared" ca="1" si="10"/>
        <v>119881290.13968855</v>
      </c>
    </row>
    <row r="90" spans="1:21" x14ac:dyDescent="0.2">
      <c r="A90" s="8">
        <f>'Monthly Data'!A90</f>
        <v>45413</v>
      </c>
      <c r="B90">
        <f t="shared" si="8"/>
        <v>2024</v>
      </c>
      <c r="C90">
        <f t="shared" si="9"/>
        <v>5</v>
      </c>
      <c r="D90" s="18">
        <f>'Monthly Data'!N90</f>
        <v>127838014.13567087</v>
      </c>
      <c r="E90" s="21">
        <f t="shared" ca="1" si="11"/>
        <v>65.335833333333326</v>
      </c>
      <c r="F90" s="21">
        <f t="shared" ca="1" si="11"/>
        <v>59.300416666666649</v>
      </c>
      <c r="G90" s="211">
        <f>'Monthly Data'!CV90</f>
        <v>0</v>
      </c>
      <c r="H90" s="7">
        <f>'Monthly Data'!CS90</f>
        <v>31</v>
      </c>
      <c r="I90" s="19">
        <f>'Monthly Data'!AO90</f>
        <v>888733</v>
      </c>
      <c r="J90" s="19">
        <f>'Monthly Data'!CF90</f>
        <v>0</v>
      </c>
      <c r="K90" s="19">
        <f>'Monthly Data'!BY90</f>
        <v>0</v>
      </c>
      <c r="M90" s="11">
        <f>'GS &gt; 50 Predicted Monthly'!$Z$10</f>
        <v>-1907163.1226077401</v>
      </c>
      <c r="N90" s="11">
        <f ca="1">E90*'GS &gt; 50 Predicted Monthly'!$Z$11</f>
        <v>1393822.3975796374</v>
      </c>
      <c r="O90" s="11">
        <f ca="1">F90*'GS &gt; 50 Predicted Monthly'!$Z$12</f>
        <v>7024801.8583687926</v>
      </c>
      <c r="P90" s="11">
        <f>G90*'GS &gt; 50 Predicted Monthly'!$Z$13</f>
        <v>0</v>
      </c>
      <c r="Q90" s="11">
        <f>H90*'GS &gt; 50 Predicted Monthly'!$Z$14</f>
        <v>79525500.842962876</v>
      </c>
      <c r="R90" s="11">
        <f>I90*'GS &gt; 50 Predicted Monthly'!$Z$15</f>
        <v>39216458.7848133</v>
      </c>
      <c r="S90" s="11">
        <f>J90*'GS &gt; 50 Predicted Monthly'!$Z$16</f>
        <v>0</v>
      </c>
      <c r="T90" s="11">
        <f>K90*'GS &gt; 50 Predicted Monthly'!$Z$17</f>
        <v>0</v>
      </c>
      <c r="U90" s="11">
        <f t="shared" ca="1" si="10"/>
        <v>125253420.76111686</v>
      </c>
    </row>
    <row r="91" spans="1:21" x14ac:dyDescent="0.2">
      <c r="A91" s="8">
        <f>'Monthly Data'!A91</f>
        <v>45444</v>
      </c>
      <c r="B91">
        <f t="shared" si="8"/>
        <v>2024</v>
      </c>
      <c r="C91">
        <f t="shared" si="9"/>
        <v>6</v>
      </c>
      <c r="D91" s="18">
        <f>'Monthly Data'!N91</f>
        <v>133833612.63178854</v>
      </c>
      <c r="E91" s="21">
        <f t="shared" ca="1" si="11"/>
        <v>3.0447916666666672</v>
      </c>
      <c r="F91" s="21">
        <f t="shared" ca="1" si="11"/>
        <v>157.17000000000002</v>
      </c>
      <c r="G91" s="211">
        <f>'Monthly Data'!CV91</f>
        <v>0</v>
      </c>
      <c r="H91" s="7">
        <f>'Monthly Data'!CS91</f>
        <v>30</v>
      </c>
      <c r="I91" s="19">
        <f>'Monthly Data'!AO91</f>
        <v>888733</v>
      </c>
      <c r="J91" s="19">
        <f>'Monthly Data'!CF91</f>
        <v>0</v>
      </c>
      <c r="K91" s="19">
        <f>'Monthly Data'!BY91</f>
        <v>0</v>
      </c>
      <c r="M91" s="11">
        <f>'GS &gt; 50 Predicted Monthly'!$Z$10</f>
        <v>-1907163.1226077401</v>
      </c>
      <c r="N91" s="11">
        <f ca="1">E91*'GS &gt; 50 Predicted Monthly'!$Z$11</f>
        <v>64955.149486073256</v>
      </c>
      <c r="O91" s="11">
        <f ca="1">F91*'GS &gt; 50 Predicted Monthly'!$Z$12</f>
        <v>18618555.655114681</v>
      </c>
      <c r="P91" s="11">
        <f>G91*'GS &gt; 50 Predicted Monthly'!$Z$13</f>
        <v>0</v>
      </c>
      <c r="Q91" s="11">
        <f>H91*'GS &gt; 50 Predicted Monthly'!$Z$14</f>
        <v>76960162.106093109</v>
      </c>
      <c r="R91" s="11">
        <f>I91*'GS &gt; 50 Predicted Monthly'!$Z$15</f>
        <v>39216458.7848133</v>
      </c>
      <c r="S91" s="11">
        <f>J91*'GS &gt; 50 Predicted Monthly'!$Z$16</f>
        <v>0</v>
      </c>
      <c r="T91" s="11">
        <f>K91*'GS &gt; 50 Predicted Monthly'!$Z$17</f>
        <v>0</v>
      </c>
      <c r="U91" s="11">
        <f t="shared" ca="1" si="10"/>
        <v>132952968.57289942</v>
      </c>
    </row>
    <row r="92" spans="1:21" x14ac:dyDescent="0.2">
      <c r="A92" s="8">
        <f>'Monthly Data'!A92</f>
        <v>45474</v>
      </c>
      <c r="B92">
        <f t="shared" si="8"/>
        <v>2024</v>
      </c>
      <c r="C92">
        <f t="shared" si="9"/>
        <v>7</v>
      </c>
      <c r="D92" s="18">
        <f>'Monthly Data'!N92</f>
        <v>144180020.06310722</v>
      </c>
      <c r="E92" s="21">
        <f t="shared" ca="1" si="11"/>
        <v>0</v>
      </c>
      <c r="F92" s="21">
        <f t="shared" ca="1" si="11"/>
        <v>231.27145833333333</v>
      </c>
      <c r="G92" s="211">
        <f>'Monthly Data'!CV92</f>
        <v>0</v>
      </c>
      <c r="H92" s="7">
        <f>'Monthly Data'!CS92</f>
        <v>31</v>
      </c>
      <c r="I92" s="19">
        <f>'Monthly Data'!AO92</f>
        <v>890079</v>
      </c>
      <c r="J92" s="19">
        <f>'Monthly Data'!CF92</f>
        <v>0</v>
      </c>
      <c r="K92" s="19">
        <f>'Monthly Data'!BY92</f>
        <v>0</v>
      </c>
      <c r="M92" s="11">
        <f>'GS &gt; 50 Predicted Monthly'!$Z$10</f>
        <v>-1907163.1226077401</v>
      </c>
      <c r="N92" s="11">
        <f ca="1">E92*'GS &gt; 50 Predicted Monthly'!$Z$11</f>
        <v>0</v>
      </c>
      <c r="O92" s="11">
        <f ca="1">F92*'GS &gt; 50 Predicted Monthly'!$Z$12</f>
        <v>27396707.50409558</v>
      </c>
      <c r="P92" s="11">
        <f>G92*'GS &gt; 50 Predicted Monthly'!$Z$13</f>
        <v>0</v>
      </c>
      <c r="Q92" s="11">
        <f>H92*'GS &gt; 50 Predicted Monthly'!$Z$14</f>
        <v>79525500.842962876</v>
      </c>
      <c r="R92" s="11">
        <f>I92*'GS &gt; 50 Predicted Monthly'!$Z$15</f>
        <v>39275852.723740242</v>
      </c>
      <c r="S92" s="11">
        <f>J92*'GS &gt; 50 Predicted Monthly'!$Z$16</f>
        <v>0</v>
      </c>
      <c r="T92" s="11">
        <f>K92*'GS &gt; 50 Predicted Monthly'!$Z$17</f>
        <v>0</v>
      </c>
      <c r="U92" s="11">
        <f t="shared" ca="1" si="10"/>
        <v>144290897.94819096</v>
      </c>
    </row>
    <row r="93" spans="1:21" x14ac:dyDescent="0.2">
      <c r="A93" s="8">
        <f>'Monthly Data'!A93</f>
        <v>45505</v>
      </c>
      <c r="B93">
        <f t="shared" si="8"/>
        <v>2024</v>
      </c>
      <c r="C93">
        <f t="shared" si="9"/>
        <v>8</v>
      </c>
      <c r="D93" s="18">
        <f>'Monthly Data'!N93</f>
        <v>140684717.14086288</v>
      </c>
      <c r="E93" s="21">
        <f t="shared" ca="1" si="11"/>
        <v>0.27875000000000066</v>
      </c>
      <c r="F93" s="21">
        <f t="shared" ca="1" si="11"/>
        <v>196.13625000000002</v>
      </c>
      <c r="G93" s="211">
        <f>'Monthly Data'!CV93</f>
        <v>0</v>
      </c>
      <c r="H93" s="7">
        <f>'Monthly Data'!CS93</f>
        <v>31</v>
      </c>
      <c r="I93" s="19">
        <f>'Monthly Data'!AO93</f>
        <v>890079</v>
      </c>
      <c r="J93" s="19">
        <f>'Monthly Data'!CF93</f>
        <v>0</v>
      </c>
      <c r="K93" s="19">
        <f>'Monthly Data'!BY93</f>
        <v>1</v>
      </c>
      <c r="M93" s="11">
        <f>'GS &gt; 50 Predicted Monthly'!$Z$10</f>
        <v>-1907163.1226077401</v>
      </c>
      <c r="N93" s="11">
        <f ca="1">E93*'GS &gt; 50 Predicted Monthly'!$Z$11</f>
        <v>5946.629491095875</v>
      </c>
      <c r="O93" s="11">
        <f ca="1">F93*'GS &gt; 50 Predicted Monthly'!$Z$12</f>
        <v>23234546.584020402</v>
      </c>
      <c r="P93" s="11">
        <f>G93*'GS &gt; 50 Predicted Monthly'!$Z$13</f>
        <v>0</v>
      </c>
      <c r="Q93" s="11">
        <f>H93*'GS &gt; 50 Predicted Monthly'!$Z$14</f>
        <v>79525500.842962876</v>
      </c>
      <c r="R93" s="11">
        <f>I93*'GS &gt; 50 Predicted Monthly'!$Z$15</f>
        <v>39275852.723740242</v>
      </c>
      <c r="S93" s="11">
        <f>J93*'GS &gt; 50 Predicted Monthly'!$Z$16</f>
        <v>0</v>
      </c>
      <c r="T93" s="11">
        <f>K93*'GS &gt; 50 Predicted Monthly'!$Z$17</f>
        <v>2800660.9376037801</v>
      </c>
      <c r="U93" s="11">
        <f t="shared" ca="1" si="10"/>
        <v>142935344.59521064</v>
      </c>
    </row>
    <row r="94" spans="1:21" x14ac:dyDescent="0.2">
      <c r="A94" s="8">
        <f>'Monthly Data'!A94</f>
        <v>45536</v>
      </c>
      <c r="B94">
        <f t="shared" si="8"/>
        <v>2024</v>
      </c>
      <c r="C94">
        <f t="shared" si="9"/>
        <v>9</v>
      </c>
      <c r="D94" s="18">
        <f>'Monthly Data'!N94</f>
        <v>131948874.08685753</v>
      </c>
      <c r="E94" s="21">
        <f t="shared" ref="E94:F113" ca="1" si="12">E82</f>
        <v>11.319999999999997</v>
      </c>
      <c r="F94" s="21">
        <f t="shared" ca="1" si="12"/>
        <v>104.19854166666664</v>
      </c>
      <c r="G94" s="211">
        <f>'Monthly Data'!CV94</f>
        <v>0</v>
      </c>
      <c r="H94" s="7">
        <f>'Monthly Data'!CS94</f>
        <v>30</v>
      </c>
      <c r="I94" s="19">
        <f>'Monthly Data'!AO94</f>
        <v>890079</v>
      </c>
      <c r="J94" s="19">
        <f>'Monthly Data'!CF94</f>
        <v>1</v>
      </c>
      <c r="K94" s="19">
        <f>'Monthly Data'!BY94</f>
        <v>0</v>
      </c>
      <c r="M94" s="11">
        <f>'GS &gt; 50 Predicted Monthly'!$Z$10</f>
        <v>-1907163.1226077401</v>
      </c>
      <c r="N94" s="11">
        <f ca="1">E94*'GS &gt; 50 Predicted Monthly'!$Z$11</f>
        <v>241491.82363840402</v>
      </c>
      <c r="O94" s="11">
        <f ca="1">F94*'GS &gt; 50 Predicted Monthly'!$Z$12</f>
        <v>12343490.152081305</v>
      </c>
      <c r="P94" s="11">
        <f>G94*'GS &gt; 50 Predicted Monthly'!$Z$13</f>
        <v>0</v>
      </c>
      <c r="Q94" s="11">
        <f>H94*'GS &gt; 50 Predicted Monthly'!$Z$14</f>
        <v>76960162.106093109</v>
      </c>
      <c r="R94" s="11">
        <f>I94*'GS &gt; 50 Predicted Monthly'!$Z$15</f>
        <v>39275852.723740242</v>
      </c>
      <c r="S94" s="11">
        <f>J94*'GS &gt; 50 Predicted Monthly'!$Z$16</f>
        <v>3497669.1063549998</v>
      </c>
      <c r="T94" s="11">
        <f>K94*'GS &gt; 50 Predicted Monthly'!$Z$17</f>
        <v>0</v>
      </c>
      <c r="U94" s="11">
        <f t="shared" ca="1" si="10"/>
        <v>130411502.78930031</v>
      </c>
    </row>
    <row r="95" spans="1:21" x14ac:dyDescent="0.2">
      <c r="A95" s="8">
        <f>'Monthly Data'!A95</f>
        <v>45566</v>
      </c>
      <c r="B95">
        <f t="shared" si="8"/>
        <v>2024</v>
      </c>
      <c r="C95">
        <f t="shared" si="9"/>
        <v>10</v>
      </c>
      <c r="D95" s="18">
        <f>'Monthly Data'!N95</f>
        <v>126263744.87094221</v>
      </c>
      <c r="E95" s="21">
        <f t="shared" ca="1" si="12"/>
        <v>126.12583333333332</v>
      </c>
      <c r="F95" s="21">
        <f t="shared" ca="1" si="12"/>
        <v>24.703125000000007</v>
      </c>
      <c r="G95" s="211">
        <f>'Monthly Data'!CV95</f>
        <v>0</v>
      </c>
      <c r="H95" s="7">
        <f>'Monthly Data'!CS95</f>
        <v>31</v>
      </c>
      <c r="I95" s="19">
        <f>'Monthly Data'!AO95</f>
        <v>893201</v>
      </c>
      <c r="J95" s="19">
        <f>'Monthly Data'!CF95</f>
        <v>1</v>
      </c>
      <c r="K95" s="19">
        <f>'Monthly Data'!BY95</f>
        <v>0</v>
      </c>
      <c r="M95" s="11">
        <f>'GS &gt; 50 Predicted Monthly'!$Z$10</f>
        <v>-1907163.1226077401</v>
      </c>
      <c r="N95" s="11">
        <f ca="1">E95*'GS &gt; 50 Predicted Monthly'!$Z$11</f>
        <v>2690667.6236378159</v>
      </c>
      <c r="O95" s="11">
        <f ca="1">F95*'GS &gt; 50 Predicted Monthly'!$Z$12</f>
        <v>2926363.2224200224</v>
      </c>
      <c r="P95" s="11">
        <f>G95*'GS &gt; 50 Predicted Monthly'!$Z$13</f>
        <v>0</v>
      </c>
      <c r="Q95" s="11">
        <f>H95*'GS &gt; 50 Predicted Monthly'!$Z$14</f>
        <v>79525500.842962876</v>
      </c>
      <c r="R95" s="11">
        <f>I95*'GS &gt; 50 Predicted Monthly'!$Z$15</f>
        <v>39413614.891147316</v>
      </c>
      <c r="S95" s="11">
        <f>J95*'GS &gt; 50 Predicted Monthly'!$Z$16</f>
        <v>3497669.1063549998</v>
      </c>
      <c r="T95" s="11">
        <f>K95*'GS &gt; 50 Predicted Monthly'!$Z$17</f>
        <v>0</v>
      </c>
      <c r="U95" s="11">
        <f t="shared" ca="1" si="10"/>
        <v>126146652.56391528</v>
      </c>
    </row>
    <row r="96" spans="1:21" x14ac:dyDescent="0.2">
      <c r="A96" s="8">
        <f>'Monthly Data'!A96</f>
        <v>45597</v>
      </c>
      <c r="B96">
        <f t="shared" si="8"/>
        <v>2024</v>
      </c>
      <c r="C96">
        <f t="shared" si="9"/>
        <v>11</v>
      </c>
      <c r="D96" s="18">
        <f>'Monthly Data'!N96</f>
        <v>122175106.07708685</v>
      </c>
      <c r="E96" s="21">
        <f t="shared" ca="1" si="12"/>
        <v>312.40687500000001</v>
      </c>
      <c r="F96" s="21">
        <f t="shared" ca="1" si="12"/>
        <v>1.6454166666666665</v>
      </c>
      <c r="G96" s="211">
        <f>'Monthly Data'!CV96</f>
        <v>0</v>
      </c>
      <c r="H96" s="7">
        <f>'Monthly Data'!CS96</f>
        <v>30</v>
      </c>
      <c r="I96" s="19">
        <f>'Monthly Data'!AO96</f>
        <v>893201</v>
      </c>
      <c r="J96" s="19">
        <f>'Monthly Data'!CF96</f>
        <v>1</v>
      </c>
      <c r="K96" s="19">
        <f>'Monthly Data'!BY96</f>
        <v>0</v>
      </c>
      <c r="M96" s="11">
        <f>'GS &gt; 50 Predicted Monthly'!$Z$10</f>
        <v>-1907163.1226077401</v>
      </c>
      <c r="N96" s="11">
        <f ca="1">E96*'GS &gt; 50 Predicted Monthly'!$Z$11</f>
        <v>6664638.335770756</v>
      </c>
      <c r="O96" s="11">
        <f ca="1">F96*'GS &gt; 50 Predicted Monthly'!$Z$12</f>
        <v>194918.12549587458</v>
      </c>
      <c r="P96" s="11">
        <f>G96*'GS &gt; 50 Predicted Monthly'!$Z$13</f>
        <v>0</v>
      </c>
      <c r="Q96" s="11">
        <f>H96*'GS &gt; 50 Predicted Monthly'!$Z$14</f>
        <v>76960162.106093109</v>
      </c>
      <c r="R96" s="11">
        <f>I96*'GS &gt; 50 Predicted Monthly'!$Z$15</f>
        <v>39413614.891147316</v>
      </c>
      <c r="S96" s="11">
        <f>J96*'GS &gt; 50 Predicted Monthly'!$Z$16</f>
        <v>3497669.1063549998</v>
      </c>
      <c r="T96" s="11">
        <f>K96*'GS &gt; 50 Predicted Monthly'!$Z$17</f>
        <v>0</v>
      </c>
      <c r="U96" s="11">
        <f t="shared" ca="1" si="10"/>
        <v>124823839.4422543</v>
      </c>
    </row>
    <row r="97" spans="1:24" x14ac:dyDescent="0.2">
      <c r="A97" s="8">
        <f>'Monthly Data'!A97</f>
        <v>45627</v>
      </c>
      <c r="B97">
        <f t="shared" si="8"/>
        <v>2024</v>
      </c>
      <c r="C97">
        <f t="shared" si="9"/>
        <v>12</v>
      </c>
      <c r="D97" s="18">
        <f>'Monthly Data'!N97</f>
        <v>125238381.01410152</v>
      </c>
      <c r="E97" s="21">
        <f t="shared" ca="1" si="12"/>
        <v>473.52499999999998</v>
      </c>
      <c r="F97" s="21">
        <f t="shared" ca="1" si="12"/>
        <v>0</v>
      </c>
      <c r="G97" s="211">
        <f>'Monthly Data'!CV97</f>
        <v>0</v>
      </c>
      <c r="H97" s="7">
        <f>'Monthly Data'!CS97</f>
        <v>31</v>
      </c>
      <c r="I97" s="19">
        <f>'Monthly Data'!AO97</f>
        <v>893201</v>
      </c>
      <c r="J97" s="19">
        <f>'Monthly Data'!CF97</f>
        <v>0</v>
      </c>
      <c r="K97" s="19">
        <f>'Monthly Data'!BY97</f>
        <v>0</v>
      </c>
      <c r="M97" s="11">
        <f>'GS &gt; 50 Predicted Monthly'!$Z$10</f>
        <v>-1907163.1226077401</v>
      </c>
      <c r="N97" s="11">
        <f ca="1">E97*'GS &gt; 50 Predicted Monthly'!$Z$11</f>
        <v>10101803.514874142</v>
      </c>
      <c r="O97" s="11">
        <f ca="1">F97*'GS &gt; 50 Predicted Monthly'!$Z$12</f>
        <v>0</v>
      </c>
      <c r="P97" s="11">
        <f>G97*'GS &gt; 50 Predicted Monthly'!$Z$13</f>
        <v>0</v>
      </c>
      <c r="Q97" s="11">
        <f>H97*'GS &gt; 50 Predicted Monthly'!$Z$14</f>
        <v>79525500.842962876</v>
      </c>
      <c r="R97" s="11">
        <f>I97*'GS &gt; 50 Predicted Monthly'!$Z$15</f>
        <v>39413614.891147316</v>
      </c>
      <c r="S97" s="11">
        <f>J97*'GS &gt; 50 Predicted Monthly'!$Z$16</f>
        <v>0</v>
      </c>
      <c r="T97" s="11">
        <f>K97*'GS &gt; 50 Predicted Monthly'!$Z$17</f>
        <v>0</v>
      </c>
      <c r="U97" s="11">
        <f t="shared" ca="1" si="10"/>
        <v>127133756.1263766</v>
      </c>
    </row>
    <row r="98" spans="1:24" x14ac:dyDescent="0.2">
      <c r="A98" s="8">
        <f>'Monthly Data'!A98</f>
        <v>45658</v>
      </c>
      <c r="B98">
        <f t="shared" ref="B98:B109" si="13">YEAR(A98)</f>
        <v>2025</v>
      </c>
      <c r="C98">
        <f t="shared" ref="C98:C109" si="14">MONTH(A98)</f>
        <v>1</v>
      </c>
      <c r="D98" s="18">
        <f>'Monthly Data'!N98</f>
        <v>137053466.26581526</v>
      </c>
      <c r="E98" s="21">
        <f t="shared" ca="1" si="12"/>
        <v>566.30416666666667</v>
      </c>
      <c r="F98" s="21">
        <f t="shared" ca="1" si="12"/>
        <v>0</v>
      </c>
      <c r="G98" s="211">
        <f>'Monthly Data'!CV98</f>
        <v>0</v>
      </c>
      <c r="H98" s="7">
        <f>'Monthly Data'!CS98</f>
        <v>31</v>
      </c>
      <c r="I98" s="19">
        <f>'Monthly Data'!AO98</f>
        <v>898185</v>
      </c>
      <c r="J98" s="19">
        <f>'Monthly Data'!CF98</f>
        <v>0</v>
      </c>
      <c r="K98" s="19">
        <f>'Monthly Data'!BY98</f>
        <v>0</v>
      </c>
      <c r="M98" s="11">
        <f>'GS &gt; 50 Predicted Monthly'!$Z$10</f>
        <v>-1907163.1226077401</v>
      </c>
      <c r="N98" s="11">
        <f ca="1">E98*'GS &gt; 50 Predicted Monthly'!$Z$11</f>
        <v>12081080.030243821</v>
      </c>
      <c r="O98" s="11">
        <f ca="1">F98*'GS &gt; 50 Predicted Monthly'!$Z$12</f>
        <v>0</v>
      </c>
      <c r="P98" s="11">
        <f>G98*'GS &gt; 50 Predicted Monthly'!$Z$13</f>
        <v>0</v>
      </c>
      <c r="Q98" s="11">
        <f>H98*'GS &gt; 50 Predicted Monthly'!$Z$14</f>
        <v>79525500.842962876</v>
      </c>
      <c r="R98" s="11">
        <f>I98*'GS &gt; 50 Predicted Monthly'!$Z$15</f>
        <v>39633540.144945145</v>
      </c>
      <c r="S98" s="11">
        <f>J98*'GS &gt; 50 Predicted Monthly'!$Z$16</f>
        <v>0</v>
      </c>
      <c r="T98" s="11">
        <f>K98*'GS &gt; 50 Predicted Monthly'!$Z$17</f>
        <v>0</v>
      </c>
      <c r="U98" s="11">
        <f t="shared" ref="U98:U109" ca="1" si="15">SUM(M98:T98)</f>
        <v>129332957.8955441</v>
      </c>
    </row>
    <row r="99" spans="1:24" x14ac:dyDescent="0.2">
      <c r="A99" s="8">
        <f>'Monthly Data'!A99</f>
        <v>45689</v>
      </c>
      <c r="B99">
        <f t="shared" si="13"/>
        <v>2025</v>
      </c>
      <c r="C99">
        <f t="shared" si="14"/>
        <v>2</v>
      </c>
      <c r="D99" s="18">
        <f>'Monthly Data'!N99</f>
        <v>122760916.13489303</v>
      </c>
      <c r="E99" s="21">
        <f t="shared" ca="1" si="12"/>
        <v>483.54541666666665</v>
      </c>
      <c r="F99" s="21">
        <f t="shared" ca="1" si="12"/>
        <v>0</v>
      </c>
      <c r="G99" s="211">
        <f>'Monthly Data'!CV99</f>
        <v>0</v>
      </c>
      <c r="H99" s="7">
        <f>'Monthly Data'!CS99</f>
        <v>28</v>
      </c>
      <c r="I99" s="19">
        <f>'Monthly Data'!AO99</f>
        <v>898185</v>
      </c>
      <c r="J99" s="19">
        <f>'Monthly Data'!CF99</f>
        <v>0</v>
      </c>
      <c r="K99" s="19">
        <f>'Monthly Data'!BY99</f>
        <v>0</v>
      </c>
      <c r="M99" s="11">
        <f>'GS &gt; 50 Predicted Monthly'!$Z$10</f>
        <v>-1907163.1226077401</v>
      </c>
      <c r="N99" s="11">
        <f ca="1">E99*'GS &gt; 50 Predicted Monthly'!$Z$11</f>
        <v>10315571.067387393</v>
      </c>
      <c r="O99" s="11">
        <f ca="1">F99*'GS &gt; 50 Predicted Monthly'!$Z$12</f>
        <v>0</v>
      </c>
      <c r="P99" s="11">
        <f>G99*'GS &gt; 50 Predicted Monthly'!$Z$13</f>
        <v>0</v>
      </c>
      <c r="Q99" s="11">
        <f>H99*'GS &gt; 50 Predicted Monthly'!$Z$14</f>
        <v>71829484.632353559</v>
      </c>
      <c r="R99" s="11">
        <f>I99*'GS &gt; 50 Predicted Monthly'!$Z$15</f>
        <v>39633540.144945145</v>
      </c>
      <c r="S99" s="11">
        <f>J99*'GS &gt; 50 Predicted Monthly'!$Z$16</f>
        <v>0</v>
      </c>
      <c r="T99" s="11">
        <f>K99*'GS &gt; 50 Predicted Monthly'!$Z$17</f>
        <v>0</v>
      </c>
      <c r="U99" s="11">
        <f t="shared" ca="1" si="15"/>
        <v>119871432.72207835</v>
      </c>
    </row>
    <row r="100" spans="1:24" x14ac:dyDescent="0.2">
      <c r="A100" s="8">
        <f>'Monthly Data'!A100</f>
        <v>45717</v>
      </c>
      <c r="B100">
        <f t="shared" si="13"/>
        <v>2025</v>
      </c>
      <c r="C100">
        <f t="shared" si="14"/>
        <v>3</v>
      </c>
      <c r="D100" s="18">
        <f>'Monthly Data'!N100</f>
        <v>128253078.95458482</v>
      </c>
      <c r="E100" s="21">
        <f t="shared" ca="1" si="12"/>
        <v>393.96333333333331</v>
      </c>
      <c r="F100" s="21">
        <f t="shared" ca="1" si="12"/>
        <v>0</v>
      </c>
      <c r="G100" s="211">
        <f>'Monthly Data'!CV100</f>
        <v>0</v>
      </c>
      <c r="H100" s="7">
        <f>'Monthly Data'!CS100</f>
        <v>31</v>
      </c>
      <c r="I100" s="19">
        <f>'Monthly Data'!AO100</f>
        <v>898185</v>
      </c>
      <c r="J100" s="19">
        <f>'Monthly Data'!CF100</f>
        <v>0</v>
      </c>
      <c r="K100" s="19">
        <f>'Monthly Data'!BY100</f>
        <v>0</v>
      </c>
      <c r="M100" s="11">
        <f>'GS &gt; 50 Predicted Monthly'!$Z$10</f>
        <v>-1907163.1226077401</v>
      </c>
      <c r="N100" s="11">
        <f ca="1">E100*'GS &gt; 50 Predicted Monthly'!$Z$11</f>
        <v>8404498.5700822547</v>
      </c>
      <c r="O100" s="11">
        <f ca="1">F100*'GS &gt; 50 Predicted Monthly'!$Z$12</f>
        <v>0</v>
      </c>
      <c r="P100" s="11">
        <f>G100*'GS &gt; 50 Predicted Monthly'!$Z$13</f>
        <v>0</v>
      </c>
      <c r="Q100" s="11">
        <f>H100*'GS &gt; 50 Predicted Monthly'!$Z$14</f>
        <v>79525500.842962876</v>
      </c>
      <c r="R100" s="11">
        <f>I100*'GS &gt; 50 Predicted Monthly'!$Z$15</f>
        <v>39633540.144945145</v>
      </c>
      <c r="S100" s="11">
        <f>J100*'GS &gt; 50 Predicted Monthly'!$Z$16</f>
        <v>0</v>
      </c>
      <c r="T100" s="11">
        <f>K100*'GS &gt; 50 Predicted Monthly'!$Z$17</f>
        <v>0</v>
      </c>
      <c r="U100" s="11">
        <f t="shared" ca="1" si="15"/>
        <v>125656376.43538253</v>
      </c>
      <c r="W100" s="11"/>
      <c r="X100" s="22"/>
    </row>
    <row r="101" spans="1:24" x14ac:dyDescent="0.2">
      <c r="A101" s="8">
        <f>'Monthly Data'!A101</f>
        <v>45748</v>
      </c>
      <c r="B101">
        <f t="shared" si="13"/>
        <v>2025</v>
      </c>
      <c r="C101">
        <f t="shared" si="14"/>
        <v>4</v>
      </c>
      <c r="D101" s="18">
        <f>'Monthly Data'!N101</f>
        <v>122182535.02156162</v>
      </c>
      <c r="E101" s="21">
        <f t="shared" ca="1" si="12"/>
        <v>226.60145833333337</v>
      </c>
      <c r="F101" s="21">
        <f t="shared" ca="1" si="12"/>
        <v>6.5650000000000031</v>
      </c>
      <c r="G101" s="211">
        <f>'Monthly Data'!CV101</f>
        <v>0</v>
      </c>
      <c r="H101" s="7">
        <f>'Monthly Data'!CS101</f>
        <v>30</v>
      </c>
      <c r="I101" s="19">
        <f>'Monthly Data'!AO101</f>
        <v>895773</v>
      </c>
      <c r="J101" s="19">
        <f>'Monthly Data'!CF101</f>
        <v>0</v>
      </c>
      <c r="K101" s="19">
        <f>'Monthly Data'!BY101</f>
        <v>0</v>
      </c>
      <c r="M101" s="11">
        <f>'GS &gt; 50 Predicted Monthly'!$Z$10</f>
        <v>-1907163.1226077401</v>
      </c>
      <c r="N101" s="11">
        <f ca="1">E101*'GS &gt; 50 Predicted Monthly'!$Z$11</f>
        <v>4834134.2236783141</v>
      </c>
      <c r="O101" s="11">
        <f ca="1">F101*'GS &gt; 50 Predicted Monthly'!$Z$12</f>
        <v>777698.14771157305</v>
      </c>
      <c r="P101" s="11">
        <f>G101*'GS &gt; 50 Predicted Monthly'!$Z$13</f>
        <v>0</v>
      </c>
      <c r="Q101" s="11">
        <f>H101*'GS &gt; 50 Predicted Monthly'!$Z$14</f>
        <v>76960162.106093109</v>
      </c>
      <c r="R101" s="11">
        <f>I101*'GS &gt; 50 Predicted Monthly'!$Z$15</f>
        <v>39527107.618428215</v>
      </c>
      <c r="S101" s="11">
        <f>J101*'GS &gt; 50 Predicted Monthly'!$Z$16</f>
        <v>0</v>
      </c>
      <c r="T101" s="11">
        <f>K101*'GS &gt; 50 Predicted Monthly'!$Z$17</f>
        <v>0</v>
      </c>
      <c r="U101" s="11">
        <f t="shared" ca="1" si="15"/>
        <v>120191938.97330347</v>
      </c>
      <c r="W101" s="11"/>
      <c r="X101" s="22"/>
    </row>
    <row r="102" spans="1:24" x14ac:dyDescent="0.2">
      <c r="A102" s="8">
        <f>'Monthly Data'!A102</f>
        <v>45778</v>
      </c>
      <c r="B102">
        <f t="shared" si="13"/>
        <v>2025</v>
      </c>
      <c r="C102">
        <f t="shared" si="14"/>
        <v>5</v>
      </c>
      <c r="D102" s="18">
        <f>'Monthly Data'!N102</f>
        <v>125315316.3047014</v>
      </c>
      <c r="E102" s="21">
        <f t="shared" ca="1" si="12"/>
        <v>65.335833333333326</v>
      </c>
      <c r="F102" s="21">
        <f t="shared" ca="1" si="12"/>
        <v>59.300416666666649</v>
      </c>
      <c r="G102" s="211">
        <f>'Monthly Data'!CV102</f>
        <v>0</v>
      </c>
      <c r="H102" s="7">
        <f>'Monthly Data'!CS102</f>
        <v>31</v>
      </c>
      <c r="I102" s="19">
        <f>'Monthly Data'!AO102</f>
        <v>895773</v>
      </c>
      <c r="J102" s="19">
        <f>'Monthly Data'!CF102</f>
        <v>0</v>
      </c>
      <c r="K102" s="19">
        <f>'Monthly Data'!BY102</f>
        <v>0</v>
      </c>
      <c r="M102" s="11">
        <f>'GS &gt; 50 Predicted Monthly'!$Z$10</f>
        <v>-1907163.1226077401</v>
      </c>
      <c r="N102" s="11">
        <f ca="1">E102*'GS &gt; 50 Predicted Monthly'!$Z$11</f>
        <v>1393822.3975796374</v>
      </c>
      <c r="O102" s="11">
        <f ca="1">F102*'GS &gt; 50 Predicted Monthly'!$Z$12</f>
        <v>7024801.8583687926</v>
      </c>
      <c r="P102" s="11">
        <f>G102*'GS &gt; 50 Predicted Monthly'!$Z$13</f>
        <v>0</v>
      </c>
      <c r="Q102" s="11">
        <f>H102*'GS &gt; 50 Predicted Monthly'!$Z$14</f>
        <v>79525500.842962876</v>
      </c>
      <c r="R102" s="11">
        <f>I102*'GS &gt; 50 Predicted Monthly'!$Z$15</f>
        <v>39527107.618428215</v>
      </c>
      <c r="S102" s="11">
        <f>J102*'GS &gt; 50 Predicted Monthly'!$Z$16</f>
        <v>0</v>
      </c>
      <c r="T102" s="11">
        <f>K102*'GS &gt; 50 Predicted Monthly'!$Z$17</f>
        <v>0</v>
      </c>
      <c r="U102" s="11">
        <f t="shared" ca="1" si="15"/>
        <v>125564069.59473178</v>
      </c>
      <c r="W102" s="11"/>
      <c r="X102" s="22"/>
    </row>
    <row r="103" spans="1:24" x14ac:dyDescent="0.2">
      <c r="A103" s="8">
        <f>'Monthly Data'!A103</f>
        <v>45809</v>
      </c>
      <c r="B103">
        <f t="shared" si="13"/>
        <v>2025</v>
      </c>
      <c r="C103">
        <f t="shared" si="14"/>
        <v>6</v>
      </c>
      <c r="D103" s="18">
        <f>'Monthly Data'!N103</f>
        <v>138313000.13588518</v>
      </c>
      <c r="E103" s="21">
        <f t="shared" ca="1" si="12"/>
        <v>3.0447916666666672</v>
      </c>
      <c r="F103" s="21">
        <f t="shared" ca="1" si="12"/>
        <v>157.17000000000002</v>
      </c>
      <c r="G103" s="211">
        <f>'Monthly Data'!CV103</f>
        <v>0</v>
      </c>
      <c r="H103" s="7">
        <f>'Monthly Data'!CS103</f>
        <v>30</v>
      </c>
      <c r="I103" s="19">
        <f>'Monthly Data'!AO103</f>
        <v>895773</v>
      </c>
      <c r="J103" s="19">
        <f>'Monthly Data'!CF103</f>
        <v>0</v>
      </c>
      <c r="K103" s="19">
        <f>'Monthly Data'!BY103</f>
        <v>0</v>
      </c>
      <c r="M103" s="11">
        <f>'GS &gt; 50 Predicted Monthly'!$Z$10</f>
        <v>-1907163.1226077401</v>
      </c>
      <c r="N103" s="11">
        <f ca="1">E103*'GS &gt; 50 Predicted Monthly'!$Z$11</f>
        <v>64955.149486073256</v>
      </c>
      <c r="O103" s="11">
        <f ca="1">F103*'GS &gt; 50 Predicted Monthly'!$Z$12</f>
        <v>18618555.655114681</v>
      </c>
      <c r="P103" s="11">
        <f>G103*'GS &gt; 50 Predicted Monthly'!$Z$13</f>
        <v>0</v>
      </c>
      <c r="Q103" s="11">
        <f>H103*'GS &gt; 50 Predicted Monthly'!$Z$14</f>
        <v>76960162.106093109</v>
      </c>
      <c r="R103" s="11">
        <f>I103*'GS &gt; 50 Predicted Monthly'!$Z$15</f>
        <v>39527107.618428215</v>
      </c>
      <c r="S103" s="11">
        <f>J103*'GS &gt; 50 Predicted Monthly'!$Z$16</f>
        <v>0</v>
      </c>
      <c r="T103" s="11">
        <f>K103*'GS &gt; 50 Predicted Monthly'!$Z$17</f>
        <v>0</v>
      </c>
      <c r="U103" s="11">
        <f t="shared" ca="1" si="15"/>
        <v>133263617.40651433</v>
      </c>
      <c r="W103" s="11"/>
      <c r="X103" s="22"/>
    </row>
    <row r="104" spans="1:24" x14ac:dyDescent="0.2">
      <c r="A104" s="8">
        <f>'Monthly Data'!A104</f>
        <v>45839</v>
      </c>
      <c r="B104">
        <f t="shared" si="13"/>
        <v>2025</v>
      </c>
      <c r="C104">
        <f t="shared" si="14"/>
        <v>7</v>
      </c>
      <c r="D104" s="18">
        <f>'Monthly Data'!N104</f>
        <v>151365878.72756097</v>
      </c>
      <c r="E104" s="21">
        <f t="shared" ca="1" si="12"/>
        <v>0</v>
      </c>
      <c r="F104" s="21">
        <f t="shared" ca="1" si="12"/>
        <v>231.27145833333333</v>
      </c>
      <c r="G104" s="211">
        <f>'Monthly Data'!CV104</f>
        <v>0</v>
      </c>
      <c r="H104" s="7">
        <f>'Monthly Data'!CS104</f>
        <v>31</v>
      </c>
      <c r="I104" s="19">
        <f>'Monthly Data'!AO104</f>
        <v>901842</v>
      </c>
      <c r="J104" s="19">
        <f>'Monthly Data'!CF104</f>
        <v>0</v>
      </c>
      <c r="K104" s="19">
        <f>'Monthly Data'!BY104</f>
        <v>0</v>
      </c>
      <c r="M104" s="11">
        <f>'GS &gt; 50 Predicted Monthly'!$Z$10</f>
        <v>-1907163.1226077401</v>
      </c>
      <c r="N104" s="11">
        <f ca="1">E104*'GS &gt; 50 Predicted Monthly'!$Z$11</f>
        <v>0</v>
      </c>
      <c r="O104" s="11">
        <f ca="1">F104*'GS &gt; 50 Predicted Monthly'!$Z$12</f>
        <v>27396707.50409558</v>
      </c>
      <c r="P104" s="11">
        <f>G104*'GS &gt; 50 Predicted Monthly'!$Z$13</f>
        <v>0</v>
      </c>
      <c r="Q104" s="11">
        <f>H104*'GS &gt; 50 Predicted Monthly'!$Z$14</f>
        <v>79525500.842962876</v>
      </c>
      <c r="R104" s="11">
        <f>I104*'GS &gt; 50 Predicted Monthly'!$Z$15</f>
        <v>39794909.858656757</v>
      </c>
      <c r="S104" s="11">
        <f>J104*'GS &gt; 50 Predicted Monthly'!$Z$16</f>
        <v>0</v>
      </c>
      <c r="T104" s="11">
        <f>K104*'GS &gt; 50 Predicted Monthly'!$Z$17</f>
        <v>0</v>
      </c>
      <c r="U104" s="11">
        <f t="shared" ca="1" si="15"/>
        <v>144809955.08310747</v>
      </c>
      <c r="W104" s="11"/>
      <c r="X104" s="22"/>
    </row>
    <row r="105" spans="1:24" x14ac:dyDescent="0.2">
      <c r="A105" s="8">
        <f>'Monthly Data'!A105</f>
        <v>45870</v>
      </c>
      <c r="B105">
        <f t="shared" si="13"/>
        <v>2025</v>
      </c>
      <c r="C105">
        <f t="shared" si="14"/>
        <v>8</v>
      </c>
      <c r="D105" s="18">
        <f>'Monthly Data'!N105</f>
        <v>141417506.86826575</v>
      </c>
      <c r="E105" s="21">
        <f t="shared" ca="1" si="12"/>
        <v>0.27875000000000066</v>
      </c>
      <c r="F105" s="21">
        <f t="shared" ca="1" si="12"/>
        <v>196.13625000000002</v>
      </c>
      <c r="G105" s="211">
        <f>'Monthly Data'!CV105</f>
        <v>0</v>
      </c>
      <c r="H105" s="7">
        <f>'Monthly Data'!CS105</f>
        <v>31</v>
      </c>
      <c r="I105" s="19">
        <f>'Monthly Data'!AO105</f>
        <v>901842</v>
      </c>
      <c r="J105" s="19">
        <f>'Monthly Data'!CF105</f>
        <v>0</v>
      </c>
      <c r="K105" s="19">
        <f>'Monthly Data'!BY105</f>
        <v>1</v>
      </c>
      <c r="M105" s="11">
        <f>'GS &gt; 50 Predicted Monthly'!$Z$10</f>
        <v>-1907163.1226077401</v>
      </c>
      <c r="N105" s="11">
        <f ca="1">E105*'GS &gt; 50 Predicted Monthly'!$Z$11</f>
        <v>5946.629491095875</v>
      </c>
      <c r="O105" s="11">
        <f ca="1">F105*'GS &gt; 50 Predicted Monthly'!$Z$12</f>
        <v>23234546.584020402</v>
      </c>
      <c r="P105" s="11">
        <f>G105*'GS &gt; 50 Predicted Monthly'!$Z$13</f>
        <v>0</v>
      </c>
      <c r="Q105" s="11">
        <f>H105*'GS &gt; 50 Predicted Monthly'!$Z$14</f>
        <v>79525500.842962876</v>
      </c>
      <c r="R105" s="11">
        <f>I105*'GS &gt; 50 Predicted Monthly'!$Z$15</f>
        <v>39794909.858656757</v>
      </c>
      <c r="S105" s="11">
        <f>J105*'GS &gt; 50 Predicted Monthly'!$Z$16</f>
        <v>0</v>
      </c>
      <c r="T105" s="11">
        <f>K105*'GS &gt; 50 Predicted Monthly'!$Z$17</f>
        <v>2800660.9376037801</v>
      </c>
      <c r="U105" s="11">
        <f t="shared" ca="1" si="15"/>
        <v>143454401.73012716</v>
      </c>
      <c r="W105" s="11"/>
      <c r="X105" s="22"/>
    </row>
    <row r="106" spans="1:24" x14ac:dyDescent="0.2">
      <c r="A106" s="8">
        <f>'Monthly Data'!A106</f>
        <v>45901</v>
      </c>
      <c r="B106">
        <f t="shared" si="13"/>
        <v>2025</v>
      </c>
      <c r="C106">
        <f t="shared" si="14"/>
        <v>9</v>
      </c>
      <c r="D106" s="18">
        <f>'Monthly Data'!N106</f>
        <v>131475262.87223354</v>
      </c>
      <c r="E106" s="21">
        <f t="shared" ca="1" si="12"/>
        <v>11.319999999999997</v>
      </c>
      <c r="F106" s="21">
        <f t="shared" ca="1" si="12"/>
        <v>104.19854166666664</v>
      </c>
      <c r="G106" s="211">
        <f>'Monthly Data'!CV106</f>
        <v>0</v>
      </c>
      <c r="H106" s="7">
        <f>'Monthly Data'!CS106</f>
        <v>30</v>
      </c>
      <c r="I106" s="19">
        <f>'Monthly Data'!AO106</f>
        <v>901842</v>
      </c>
      <c r="J106" s="19">
        <f>'Monthly Data'!CF106</f>
        <v>1</v>
      </c>
      <c r="K106" s="19">
        <f>'Monthly Data'!BY106</f>
        <v>0</v>
      </c>
      <c r="M106" s="11">
        <f>'GS &gt; 50 Predicted Monthly'!$Z$10</f>
        <v>-1907163.1226077401</v>
      </c>
      <c r="N106" s="11">
        <f ca="1">E106*'GS &gt; 50 Predicted Monthly'!$Z$11</f>
        <v>241491.82363840402</v>
      </c>
      <c r="O106" s="11">
        <f ca="1">F106*'GS &gt; 50 Predicted Monthly'!$Z$12</f>
        <v>12343490.152081305</v>
      </c>
      <c r="P106" s="11">
        <f>G106*'GS &gt; 50 Predicted Monthly'!$Z$13</f>
        <v>0</v>
      </c>
      <c r="Q106" s="11">
        <f>H106*'GS &gt; 50 Predicted Monthly'!$Z$14</f>
        <v>76960162.106093109</v>
      </c>
      <c r="R106" s="11">
        <f>I106*'GS &gt; 50 Predicted Monthly'!$Z$15</f>
        <v>39794909.858656757</v>
      </c>
      <c r="S106" s="11">
        <f>J106*'GS &gt; 50 Predicted Monthly'!$Z$16</f>
        <v>3497669.1063549998</v>
      </c>
      <c r="T106" s="11">
        <f>K106*'GS &gt; 50 Predicted Monthly'!$Z$17</f>
        <v>0</v>
      </c>
      <c r="U106" s="11">
        <f t="shared" ca="1" si="15"/>
        <v>130930559.92421682</v>
      </c>
      <c r="W106" s="11"/>
      <c r="X106" s="22"/>
    </row>
    <row r="107" spans="1:24" x14ac:dyDescent="0.2">
      <c r="A107" s="8">
        <f>'Monthly Data'!A107</f>
        <v>45931</v>
      </c>
      <c r="B107">
        <f t="shared" si="13"/>
        <v>2025</v>
      </c>
      <c r="C107">
        <f t="shared" si="14"/>
        <v>10</v>
      </c>
      <c r="D107" s="18">
        <f>'Monthly Data'!N107</f>
        <v>127953842.89877133</v>
      </c>
      <c r="E107" s="21">
        <f t="shared" ca="1" si="12"/>
        <v>126.12583333333332</v>
      </c>
      <c r="F107" s="21">
        <f t="shared" ca="1" si="12"/>
        <v>24.703125000000007</v>
      </c>
      <c r="G107" s="211">
        <f>'Monthly Data'!CV107</f>
        <v>0</v>
      </c>
      <c r="H107" s="7">
        <f>'Monthly Data'!CS107</f>
        <v>31</v>
      </c>
      <c r="I107" s="19">
        <f>'Monthly Data'!AO107</f>
        <v>900059</v>
      </c>
      <c r="J107" s="19">
        <f>'Monthly Data'!CF107</f>
        <v>1</v>
      </c>
      <c r="K107" s="19">
        <f>'Monthly Data'!BY107</f>
        <v>0</v>
      </c>
      <c r="M107" s="11">
        <f>'GS &gt; 50 Predicted Monthly'!$Z$10</f>
        <v>-1907163.1226077401</v>
      </c>
      <c r="N107" s="11">
        <f ca="1">E107*'GS &gt; 50 Predicted Monthly'!$Z$11</f>
        <v>2690667.6236378159</v>
      </c>
      <c r="O107" s="11">
        <f ca="1">F107*'GS &gt; 50 Predicted Monthly'!$Z$12</f>
        <v>2926363.2224200224</v>
      </c>
      <c r="P107" s="11">
        <f>G107*'GS &gt; 50 Predicted Monthly'!$Z$13</f>
        <v>0</v>
      </c>
      <c r="Q107" s="11">
        <f>H107*'GS &gt; 50 Predicted Monthly'!$Z$14</f>
        <v>79525500.842962876</v>
      </c>
      <c r="R107" s="11">
        <f>I107*'GS &gt; 50 Predicted Monthly'!$Z$15</f>
        <v>39716232.746393211</v>
      </c>
      <c r="S107" s="11">
        <f>J107*'GS &gt; 50 Predicted Monthly'!$Z$16</f>
        <v>3497669.1063549998</v>
      </c>
      <c r="T107" s="11">
        <f>K107*'GS &gt; 50 Predicted Monthly'!$Z$17</f>
        <v>0</v>
      </c>
      <c r="U107" s="11">
        <f t="shared" ca="1" si="15"/>
        <v>126449270.41916119</v>
      </c>
      <c r="W107" s="11"/>
      <c r="X107" s="22"/>
    </row>
    <row r="108" spans="1:24" x14ac:dyDescent="0.2">
      <c r="A108" s="8">
        <f>'Monthly Data'!A108</f>
        <v>45962</v>
      </c>
      <c r="B108">
        <f t="shared" si="13"/>
        <v>2025</v>
      </c>
      <c r="C108">
        <f t="shared" si="14"/>
        <v>11</v>
      </c>
      <c r="D108" s="18">
        <f>'Monthly Data'!N108</f>
        <v>123873467.5177781</v>
      </c>
      <c r="E108" s="21">
        <f t="shared" ca="1" si="12"/>
        <v>312.40687500000001</v>
      </c>
      <c r="F108" s="21">
        <f t="shared" ca="1" si="12"/>
        <v>1.6454166666666665</v>
      </c>
      <c r="G108" s="211">
        <f>'Monthly Data'!CV108</f>
        <v>0</v>
      </c>
      <c r="H108" s="7">
        <f>'Monthly Data'!CS108</f>
        <v>30</v>
      </c>
      <c r="I108" s="19">
        <f>'Monthly Data'!AO108</f>
        <v>900059</v>
      </c>
      <c r="J108" s="19">
        <f>'Monthly Data'!CF108</f>
        <v>1</v>
      </c>
      <c r="K108" s="19">
        <f>'Monthly Data'!BY108</f>
        <v>0</v>
      </c>
      <c r="M108" s="11">
        <f>'GS &gt; 50 Predicted Monthly'!$Z$10</f>
        <v>-1907163.1226077401</v>
      </c>
      <c r="N108" s="11">
        <f ca="1">E108*'GS &gt; 50 Predicted Monthly'!$Z$11</f>
        <v>6664638.335770756</v>
      </c>
      <c r="O108" s="11">
        <f ca="1">F108*'GS &gt; 50 Predicted Monthly'!$Z$12</f>
        <v>194918.12549587458</v>
      </c>
      <c r="P108" s="11">
        <f>G108*'GS &gt; 50 Predicted Monthly'!$Z$13</f>
        <v>0</v>
      </c>
      <c r="Q108" s="11">
        <f>H108*'GS &gt; 50 Predicted Monthly'!$Z$14</f>
        <v>76960162.106093109</v>
      </c>
      <c r="R108" s="11">
        <f>I108*'GS &gt; 50 Predicted Monthly'!$Z$15</f>
        <v>39716232.746393211</v>
      </c>
      <c r="S108" s="11">
        <f>J108*'GS &gt; 50 Predicted Monthly'!$Z$16</f>
        <v>3497669.1063549998</v>
      </c>
      <c r="T108" s="11">
        <f>K108*'GS &gt; 50 Predicted Monthly'!$Z$17</f>
        <v>0</v>
      </c>
      <c r="U108" s="11">
        <f t="shared" ca="1" si="15"/>
        <v>125126457.29750021</v>
      </c>
      <c r="W108" s="11"/>
      <c r="X108" s="22"/>
    </row>
    <row r="109" spans="1:24" x14ac:dyDescent="0.2">
      <c r="A109" s="8">
        <f>'Monthly Data'!A109</f>
        <v>45992</v>
      </c>
      <c r="B109">
        <f t="shared" si="13"/>
        <v>2025</v>
      </c>
      <c r="C109">
        <f t="shared" si="14"/>
        <v>12</v>
      </c>
      <c r="D109" s="18">
        <f>'Monthly Data'!N109</f>
        <v>129128541.23771989</v>
      </c>
      <c r="E109" s="21">
        <f t="shared" ca="1" si="12"/>
        <v>473.52499999999998</v>
      </c>
      <c r="F109" s="21">
        <f t="shared" ca="1" si="12"/>
        <v>0</v>
      </c>
      <c r="G109" s="211">
        <f>'Monthly Data'!CV109</f>
        <v>0</v>
      </c>
      <c r="H109" s="7">
        <f>'Monthly Data'!CS109</f>
        <v>31</v>
      </c>
      <c r="I109" s="19">
        <f>'Monthly Data'!AO109</f>
        <v>900059</v>
      </c>
      <c r="J109" s="19">
        <f>'Monthly Data'!CF109</f>
        <v>0</v>
      </c>
      <c r="K109" s="19">
        <f>'Monthly Data'!BY109</f>
        <v>0</v>
      </c>
      <c r="M109" s="11">
        <f>'GS &gt; 50 Predicted Monthly'!$Z$10</f>
        <v>-1907163.1226077401</v>
      </c>
      <c r="N109" s="11">
        <f ca="1">E109*'GS &gt; 50 Predicted Monthly'!$Z$11</f>
        <v>10101803.514874142</v>
      </c>
      <c r="O109" s="11">
        <f ca="1">F109*'GS &gt; 50 Predicted Monthly'!$Z$12</f>
        <v>0</v>
      </c>
      <c r="P109" s="11">
        <f>G109*'GS &gt; 50 Predicted Monthly'!$Z$13</f>
        <v>0</v>
      </c>
      <c r="Q109" s="11">
        <f>H109*'GS &gt; 50 Predicted Monthly'!$Z$14</f>
        <v>79525500.842962876</v>
      </c>
      <c r="R109" s="11">
        <f>I109*'GS &gt; 50 Predicted Monthly'!$Z$15</f>
        <v>39716232.746393211</v>
      </c>
      <c r="S109" s="11">
        <f>J109*'GS &gt; 50 Predicted Monthly'!$Z$16</f>
        <v>0</v>
      </c>
      <c r="T109" s="11">
        <f>K109*'GS &gt; 50 Predicted Monthly'!$Z$17</f>
        <v>0</v>
      </c>
      <c r="U109" s="11">
        <f t="shared" ca="1" si="15"/>
        <v>127436373.98162249</v>
      </c>
      <c r="V109" s="18"/>
      <c r="W109" s="11"/>
      <c r="X109" s="22"/>
    </row>
    <row r="110" spans="1:24" s="59" customFormat="1" x14ac:dyDescent="0.2">
      <c r="A110" s="506">
        <f t="shared" ref="A110:A133" si="16">EOMONTH(A109,0)+1</f>
        <v>46023</v>
      </c>
      <c r="B110" s="59">
        <f t="shared" si="8"/>
        <v>2026</v>
      </c>
      <c r="C110" s="59">
        <f t="shared" si="9"/>
        <v>1</v>
      </c>
      <c r="D110" s="178"/>
      <c r="E110" s="177">
        <f t="shared" ca="1" si="12"/>
        <v>566.30416666666667</v>
      </c>
      <c r="F110" s="177">
        <f t="shared" ca="1" si="12"/>
        <v>0</v>
      </c>
      <c r="G110" s="507">
        <f>'Monthly Data'!CV110</f>
        <v>0</v>
      </c>
      <c r="H110" s="176">
        <f t="shared" ref="H110:H133" si="17">H62</f>
        <v>31</v>
      </c>
      <c r="I110" s="508">
        <f>Economic!M124</f>
        <v>913903.23750000005</v>
      </c>
      <c r="J110" s="508">
        <f>J98</f>
        <v>0</v>
      </c>
      <c r="K110" s="508">
        <f t="shared" ref="K110:K133" si="18">K98</f>
        <v>0</v>
      </c>
      <c r="M110" s="188">
        <f>'GS &gt; 50 Predicted Monthly'!$Z$10</f>
        <v>-1907163.1226077401</v>
      </c>
      <c r="N110" s="188">
        <f ca="1">E110*'GS &gt; 50 Predicted Monthly'!$Z$11</f>
        <v>12081080.030243821</v>
      </c>
      <c r="O110" s="188">
        <f ca="1">F110*'GS &gt; 50 Predicted Monthly'!$Z$12</f>
        <v>0</v>
      </c>
      <c r="P110" s="188">
        <f>G110*'GS &gt; 50 Predicted Monthly'!$Z$13</f>
        <v>0</v>
      </c>
      <c r="Q110" s="188">
        <f>H110*'GS &gt; 50 Predicted Monthly'!$Z$14</f>
        <v>79525500.842962876</v>
      </c>
      <c r="R110" s="188">
        <f>I110*'GS &gt; 50 Predicted Monthly'!$Z$15</f>
        <v>40327127.09748169</v>
      </c>
      <c r="S110" s="188">
        <f>J110*'GS &gt; 50 Predicted Monthly'!$Z$16</f>
        <v>0</v>
      </c>
      <c r="T110" s="188">
        <f>K110*'GS &gt; 50 Predicted Monthly'!$Z$17</f>
        <v>0</v>
      </c>
      <c r="U110" s="188">
        <f t="shared" ca="1" si="10"/>
        <v>130026544.84808064</v>
      </c>
      <c r="V110" s="178"/>
      <c r="W110" s="188"/>
      <c r="X110" s="510"/>
    </row>
    <row r="111" spans="1:24" s="59" customFormat="1" x14ac:dyDescent="0.2">
      <c r="A111" s="506">
        <f t="shared" si="16"/>
        <v>46054</v>
      </c>
      <c r="B111" s="59">
        <f t="shared" si="8"/>
        <v>2026</v>
      </c>
      <c r="C111" s="59">
        <f t="shared" si="9"/>
        <v>2</v>
      </c>
      <c r="D111" s="178"/>
      <c r="E111" s="177">
        <f t="shared" ca="1" si="12"/>
        <v>483.54541666666665</v>
      </c>
      <c r="F111" s="177">
        <f t="shared" ca="1" si="12"/>
        <v>0</v>
      </c>
      <c r="G111" s="507">
        <f>'Monthly Data'!CV111</f>
        <v>0</v>
      </c>
      <c r="H111" s="176">
        <f t="shared" si="17"/>
        <v>28</v>
      </c>
      <c r="I111" s="508">
        <f>Economic!M125</f>
        <v>913903.23750000005</v>
      </c>
      <c r="J111" s="508">
        <f t="shared" ref="J111:J133" si="19">J99</f>
        <v>0</v>
      </c>
      <c r="K111" s="508">
        <f t="shared" si="18"/>
        <v>0</v>
      </c>
      <c r="M111" s="188">
        <f>'GS &gt; 50 Predicted Monthly'!$Z$10</f>
        <v>-1907163.1226077401</v>
      </c>
      <c r="N111" s="188">
        <f ca="1">E111*'GS &gt; 50 Predicted Monthly'!$Z$11</f>
        <v>10315571.067387393</v>
      </c>
      <c r="O111" s="188">
        <f ca="1">F111*'GS &gt; 50 Predicted Monthly'!$Z$12</f>
        <v>0</v>
      </c>
      <c r="P111" s="188">
        <f>G111*'GS &gt; 50 Predicted Monthly'!$Z$13</f>
        <v>0</v>
      </c>
      <c r="Q111" s="188">
        <f>H111*'GS &gt; 50 Predicted Monthly'!$Z$14</f>
        <v>71829484.632353559</v>
      </c>
      <c r="R111" s="188">
        <f>I111*'GS &gt; 50 Predicted Monthly'!$Z$15</f>
        <v>40327127.09748169</v>
      </c>
      <c r="S111" s="188">
        <f>J111*'GS &gt; 50 Predicted Monthly'!$Z$16</f>
        <v>0</v>
      </c>
      <c r="T111" s="188">
        <f>K111*'GS &gt; 50 Predicted Monthly'!$Z$17</f>
        <v>0</v>
      </c>
      <c r="U111" s="188">
        <f t="shared" ca="1" si="10"/>
        <v>120565019.67461491</v>
      </c>
      <c r="V111" s="178"/>
      <c r="W111" s="188"/>
      <c r="X111" s="510"/>
    </row>
    <row r="112" spans="1:24" s="59" customFormat="1" x14ac:dyDescent="0.2">
      <c r="A112" s="506">
        <f t="shared" si="16"/>
        <v>46082</v>
      </c>
      <c r="B112" s="59">
        <f t="shared" si="8"/>
        <v>2026</v>
      </c>
      <c r="C112" s="59">
        <f t="shared" si="9"/>
        <v>3</v>
      </c>
      <c r="D112" s="178"/>
      <c r="E112" s="177">
        <f t="shared" ca="1" si="12"/>
        <v>393.96333333333331</v>
      </c>
      <c r="F112" s="177">
        <f t="shared" ca="1" si="12"/>
        <v>0</v>
      </c>
      <c r="G112" s="507">
        <f>'Monthly Data'!CV112</f>
        <v>0</v>
      </c>
      <c r="H112" s="176">
        <f t="shared" si="17"/>
        <v>31</v>
      </c>
      <c r="I112" s="508">
        <f>Economic!M126</f>
        <v>913903.23750000005</v>
      </c>
      <c r="J112" s="508">
        <f t="shared" si="19"/>
        <v>0</v>
      </c>
      <c r="K112" s="508">
        <f t="shared" si="18"/>
        <v>0</v>
      </c>
      <c r="M112" s="188">
        <f>'GS &gt; 50 Predicted Monthly'!$Z$10</f>
        <v>-1907163.1226077401</v>
      </c>
      <c r="N112" s="188">
        <f ca="1">E112*'GS &gt; 50 Predicted Monthly'!$Z$11</f>
        <v>8404498.5700822547</v>
      </c>
      <c r="O112" s="188">
        <f ca="1">F112*'GS &gt; 50 Predicted Monthly'!$Z$12</f>
        <v>0</v>
      </c>
      <c r="P112" s="188">
        <f>G112*'GS &gt; 50 Predicted Monthly'!$Z$13</f>
        <v>0</v>
      </c>
      <c r="Q112" s="188">
        <f>H112*'GS &gt; 50 Predicted Monthly'!$Z$14</f>
        <v>79525500.842962876</v>
      </c>
      <c r="R112" s="188">
        <f>I112*'GS &gt; 50 Predicted Monthly'!$Z$15</f>
        <v>40327127.09748169</v>
      </c>
      <c r="S112" s="188">
        <f>J112*'GS &gt; 50 Predicted Monthly'!$Z$16</f>
        <v>0</v>
      </c>
      <c r="T112" s="188">
        <f>K112*'GS &gt; 50 Predicted Monthly'!$Z$17</f>
        <v>0</v>
      </c>
      <c r="U112" s="188">
        <f t="shared" ca="1" si="10"/>
        <v>126349963.38791907</v>
      </c>
      <c r="V112" s="178"/>
    </row>
    <row r="113" spans="1:23" s="59" customFormat="1" x14ac:dyDescent="0.2">
      <c r="A113" s="506">
        <f t="shared" si="16"/>
        <v>46113</v>
      </c>
      <c r="B113" s="59">
        <f t="shared" si="8"/>
        <v>2026</v>
      </c>
      <c r="C113" s="59">
        <f t="shared" si="9"/>
        <v>4</v>
      </c>
      <c r="D113" s="178"/>
      <c r="E113" s="177">
        <f t="shared" ca="1" si="12"/>
        <v>226.60145833333337</v>
      </c>
      <c r="F113" s="177">
        <f t="shared" ca="1" si="12"/>
        <v>6.5650000000000031</v>
      </c>
      <c r="G113" s="507">
        <f>'Monthly Data'!CV113</f>
        <v>0</v>
      </c>
      <c r="H113" s="176">
        <f t="shared" si="17"/>
        <v>30</v>
      </c>
      <c r="I113" s="508">
        <f>Economic!M127</f>
        <v>911449.02750000008</v>
      </c>
      <c r="J113" s="508">
        <f t="shared" si="19"/>
        <v>0</v>
      </c>
      <c r="K113" s="508">
        <f t="shared" si="18"/>
        <v>0</v>
      </c>
      <c r="M113" s="188">
        <f>'GS &gt; 50 Predicted Monthly'!$Z$10</f>
        <v>-1907163.1226077401</v>
      </c>
      <c r="N113" s="188">
        <f ca="1">E113*'GS &gt; 50 Predicted Monthly'!$Z$11</f>
        <v>4834134.2236783141</v>
      </c>
      <c r="O113" s="188">
        <f ca="1">F113*'GS &gt; 50 Predicted Monthly'!$Z$12</f>
        <v>777698.14771157305</v>
      </c>
      <c r="P113" s="188">
        <f>G113*'GS &gt; 50 Predicted Monthly'!$Z$13</f>
        <v>0</v>
      </c>
      <c r="Q113" s="188">
        <f>H113*'GS &gt; 50 Predicted Monthly'!$Z$14</f>
        <v>76960162.106093109</v>
      </c>
      <c r="R113" s="188">
        <f>I113*'GS &gt; 50 Predicted Monthly'!$Z$15</f>
        <v>40218832.001750715</v>
      </c>
      <c r="S113" s="188">
        <f>J113*'GS &gt; 50 Predicted Monthly'!$Z$16</f>
        <v>0</v>
      </c>
      <c r="T113" s="188">
        <f>K113*'GS &gt; 50 Predicted Monthly'!$Z$17</f>
        <v>0</v>
      </c>
      <c r="U113" s="188">
        <f t="shared" ca="1" si="10"/>
        <v>120883663.35662597</v>
      </c>
      <c r="V113" s="178"/>
      <c r="W113" s="188"/>
    </row>
    <row r="114" spans="1:23" s="59" customFormat="1" x14ac:dyDescent="0.2">
      <c r="A114" s="506">
        <f t="shared" si="16"/>
        <v>46143</v>
      </c>
      <c r="B114" s="59">
        <f t="shared" si="8"/>
        <v>2026</v>
      </c>
      <c r="C114" s="59">
        <f t="shared" si="9"/>
        <v>5</v>
      </c>
      <c r="D114" s="178"/>
      <c r="E114" s="177">
        <f t="shared" ref="E114:F133" ca="1" si="20">E102</f>
        <v>65.335833333333326</v>
      </c>
      <c r="F114" s="177">
        <f t="shared" ca="1" si="20"/>
        <v>59.300416666666649</v>
      </c>
      <c r="G114" s="507">
        <f>'Monthly Data'!CV114</f>
        <v>0</v>
      </c>
      <c r="H114" s="176">
        <f t="shared" si="17"/>
        <v>31</v>
      </c>
      <c r="I114" s="508">
        <f>Economic!M128</f>
        <v>911449.02750000008</v>
      </c>
      <c r="J114" s="508">
        <f t="shared" si="19"/>
        <v>0</v>
      </c>
      <c r="K114" s="508">
        <f t="shared" si="18"/>
        <v>0</v>
      </c>
      <c r="M114" s="188">
        <f>'GS &gt; 50 Predicted Monthly'!$Z$10</f>
        <v>-1907163.1226077401</v>
      </c>
      <c r="N114" s="188">
        <f ca="1">E114*'GS &gt; 50 Predicted Monthly'!$Z$11</f>
        <v>1393822.3975796374</v>
      </c>
      <c r="O114" s="188">
        <f ca="1">F114*'GS &gt; 50 Predicted Monthly'!$Z$12</f>
        <v>7024801.8583687926</v>
      </c>
      <c r="P114" s="188">
        <f>G114*'GS &gt; 50 Predicted Monthly'!$Z$13</f>
        <v>0</v>
      </c>
      <c r="Q114" s="188">
        <f>H114*'GS &gt; 50 Predicted Monthly'!$Z$14</f>
        <v>79525500.842962876</v>
      </c>
      <c r="R114" s="188">
        <f>I114*'GS &gt; 50 Predicted Monthly'!$Z$15</f>
        <v>40218832.001750715</v>
      </c>
      <c r="S114" s="188">
        <f>J114*'GS &gt; 50 Predicted Monthly'!$Z$16</f>
        <v>0</v>
      </c>
      <c r="T114" s="188">
        <f>K114*'GS &gt; 50 Predicted Monthly'!$Z$17</f>
        <v>0</v>
      </c>
      <c r="U114" s="188">
        <f t="shared" ca="1" si="10"/>
        <v>126255793.97805429</v>
      </c>
      <c r="V114" s="178"/>
      <c r="W114" s="188"/>
    </row>
    <row r="115" spans="1:23" s="59" customFormat="1" x14ac:dyDescent="0.2">
      <c r="A115" s="506">
        <f t="shared" si="16"/>
        <v>46174</v>
      </c>
      <c r="B115" s="59">
        <f t="shared" si="8"/>
        <v>2026</v>
      </c>
      <c r="C115" s="59">
        <f t="shared" si="9"/>
        <v>6</v>
      </c>
      <c r="D115" s="178"/>
      <c r="E115" s="177">
        <f t="shared" ca="1" si="20"/>
        <v>3.0447916666666672</v>
      </c>
      <c r="F115" s="177">
        <f t="shared" ca="1" si="20"/>
        <v>157.17000000000002</v>
      </c>
      <c r="G115" s="507">
        <f>'Monthly Data'!CV115</f>
        <v>0</v>
      </c>
      <c r="H115" s="176">
        <f t="shared" si="17"/>
        <v>30</v>
      </c>
      <c r="I115" s="508">
        <f>Economic!M129</f>
        <v>911449.02750000008</v>
      </c>
      <c r="J115" s="508">
        <f t="shared" si="19"/>
        <v>0</v>
      </c>
      <c r="K115" s="508">
        <f t="shared" si="18"/>
        <v>0</v>
      </c>
      <c r="M115" s="188">
        <f>'GS &gt; 50 Predicted Monthly'!$Z$10</f>
        <v>-1907163.1226077401</v>
      </c>
      <c r="N115" s="188">
        <f ca="1">E115*'GS &gt; 50 Predicted Monthly'!$Z$11</f>
        <v>64955.149486073256</v>
      </c>
      <c r="O115" s="188">
        <f ca="1">F115*'GS &gt; 50 Predicted Monthly'!$Z$12</f>
        <v>18618555.655114681</v>
      </c>
      <c r="P115" s="188">
        <f>G115*'GS &gt; 50 Predicted Monthly'!$Z$13</f>
        <v>0</v>
      </c>
      <c r="Q115" s="188">
        <f>H115*'GS &gt; 50 Predicted Monthly'!$Z$14</f>
        <v>76960162.106093109</v>
      </c>
      <c r="R115" s="188">
        <f>I115*'GS &gt; 50 Predicted Monthly'!$Z$15</f>
        <v>40218832.001750715</v>
      </c>
      <c r="S115" s="188">
        <f>J115*'GS &gt; 50 Predicted Monthly'!$Z$16</f>
        <v>0</v>
      </c>
      <c r="T115" s="188">
        <f>K115*'GS &gt; 50 Predicted Monthly'!$Z$17</f>
        <v>0</v>
      </c>
      <c r="U115" s="188">
        <f t="shared" ca="1" si="10"/>
        <v>133955341.78983682</v>
      </c>
      <c r="V115" s="178"/>
      <c r="W115" s="188"/>
    </row>
    <row r="116" spans="1:23" s="59" customFormat="1" x14ac:dyDescent="0.2">
      <c r="A116" s="506">
        <f t="shared" si="16"/>
        <v>46204</v>
      </c>
      <c r="B116" s="59">
        <f t="shared" ref="B116:B121" si="21">YEAR(A116)</f>
        <v>2026</v>
      </c>
      <c r="C116" s="59">
        <f t="shared" ref="C116:C121" si="22">MONTH(A116)</f>
        <v>7</v>
      </c>
      <c r="D116" s="178"/>
      <c r="E116" s="177">
        <f t="shared" ca="1" si="20"/>
        <v>0</v>
      </c>
      <c r="F116" s="177">
        <f t="shared" ca="1" si="20"/>
        <v>231.27145833333333</v>
      </c>
      <c r="G116" s="507">
        <f>'Monthly Data'!CV116</f>
        <v>0</v>
      </c>
      <c r="H116" s="176">
        <f t="shared" si="17"/>
        <v>31</v>
      </c>
      <c r="I116" s="508">
        <f>Economic!M130</f>
        <v>917624.2350000001</v>
      </c>
      <c r="J116" s="508">
        <f t="shared" si="19"/>
        <v>0</v>
      </c>
      <c r="K116" s="508">
        <f t="shared" si="18"/>
        <v>0</v>
      </c>
      <c r="M116" s="188">
        <f>'GS &gt; 50 Predicted Monthly'!$Z$10</f>
        <v>-1907163.1226077401</v>
      </c>
      <c r="N116" s="188">
        <f ca="1">E116*'GS &gt; 50 Predicted Monthly'!$Z$11</f>
        <v>0</v>
      </c>
      <c r="O116" s="188">
        <f ca="1">F116*'GS &gt; 50 Predicted Monthly'!$Z$12</f>
        <v>27396707.50409558</v>
      </c>
      <c r="P116" s="188">
        <f>G116*'GS &gt; 50 Predicted Monthly'!$Z$13</f>
        <v>0</v>
      </c>
      <c r="Q116" s="188">
        <f>H116*'GS &gt; 50 Predicted Monthly'!$Z$14</f>
        <v>79525500.842962876</v>
      </c>
      <c r="R116" s="188">
        <f>I116*'GS &gt; 50 Predicted Monthly'!$Z$15</f>
        <v>40491320.781183258</v>
      </c>
      <c r="S116" s="188">
        <f>J116*'GS &gt; 50 Predicted Monthly'!$Z$16</f>
        <v>0</v>
      </c>
      <c r="T116" s="188">
        <f>K116*'GS &gt; 50 Predicted Monthly'!$Z$17</f>
        <v>0</v>
      </c>
      <c r="U116" s="188">
        <f t="shared" ca="1" si="10"/>
        <v>145506366.00563395</v>
      </c>
      <c r="V116" s="178"/>
      <c r="W116" s="188"/>
    </row>
    <row r="117" spans="1:23" s="59" customFormat="1" x14ac:dyDescent="0.2">
      <c r="A117" s="506">
        <f t="shared" si="16"/>
        <v>46235</v>
      </c>
      <c r="B117" s="59">
        <f t="shared" si="21"/>
        <v>2026</v>
      </c>
      <c r="C117" s="59">
        <f t="shared" si="22"/>
        <v>8</v>
      </c>
      <c r="D117" s="178"/>
      <c r="E117" s="177">
        <f t="shared" ca="1" si="20"/>
        <v>0.27875000000000066</v>
      </c>
      <c r="F117" s="177">
        <f t="shared" ca="1" si="20"/>
        <v>196.13625000000002</v>
      </c>
      <c r="G117" s="507">
        <f>'Monthly Data'!CV117</f>
        <v>0</v>
      </c>
      <c r="H117" s="176">
        <f t="shared" si="17"/>
        <v>31</v>
      </c>
      <c r="I117" s="508">
        <f>Economic!M131</f>
        <v>917624.2350000001</v>
      </c>
      <c r="J117" s="508">
        <f t="shared" si="19"/>
        <v>0</v>
      </c>
      <c r="K117" s="508">
        <f t="shared" si="18"/>
        <v>1</v>
      </c>
      <c r="M117" s="188">
        <f>'GS &gt; 50 Predicted Monthly'!$Z$10</f>
        <v>-1907163.1226077401</v>
      </c>
      <c r="N117" s="188">
        <f ca="1">E117*'GS &gt; 50 Predicted Monthly'!$Z$11</f>
        <v>5946.629491095875</v>
      </c>
      <c r="O117" s="188">
        <f ca="1">F117*'GS &gt; 50 Predicted Monthly'!$Z$12</f>
        <v>23234546.584020402</v>
      </c>
      <c r="P117" s="188">
        <f>G117*'GS &gt; 50 Predicted Monthly'!$Z$13</f>
        <v>0</v>
      </c>
      <c r="Q117" s="188">
        <f>H117*'GS &gt; 50 Predicted Monthly'!$Z$14</f>
        <v>79525500.842962876</v>
      </c>
      <c r="R117" s="188">
        <f>I117*'GS &gt; 50 Predicted Monthly'!$Z$15</f>
        <v>40491320.781183258</v>
      </c>
      <c r="S117" s="188">
        <f>J117*'GS &gt; 50 Predicted Monthly'!$Z$16</f>
        <v>0</v>
      </c>
      <c r="T117" s="188">
        <f>K117*'GS &gt; 50 Predicted Monthly'!$Z$17</f>
        <v>2800660.9376037801</v>
      </c>
      <c r="U117" s="188">
        <f t="shared" ca="1" si="10"/>
        <v>144150812.65265366</v>
      </c>
      <c r="W117" s="188"/>
    </row>
    <row r="118" spans="1:23" s="59" customFormat="1" x14ac:dyDescent="0.2">
      <c r="A118" s="506">
        <f t="shared" si="16"/>
        <v>46266</v>
      </c>
      <c r="B118" s="59">
        <f t="shared" si="21"/>
        <v>2026</v>
      </c>
      <c r="C118" s="59">
        <f t="shared" si="22"/>
        <v>9</v>
      </c>
      <c r="D118" s="178"/>
      <c r="E118" s="177">
        <f t="shared" ca="1" si="20"/>
        <v>11.319999999999997</v>
      </c>
      <c r="F118" s="177">
        <f t="shared" ca="1" si="20"/>
        <v>104.19854166666664</v>
      </c>
      <c r="G118" s="507">
        <f>'Monthly Data'!CV118</f>
        <v>0</v>
      </c>
      <c r="H118" s="176">
        <f t="shared" si="17"/>
        <v>30</v>
      </c>
      <c r="I118" s="508">
        <f>Economic!M132</f>
        <v>917624.2350000001</v>
      </c>
      <c r="J118" s="508">
        <f t="shared" si="19"/>
        <v>1</v>
      </c>
      <c r="K118" s="508">
        <f t="shared" si="18"/>
        <v>0</v>
      </c>
      <c r="M118" s="188">
        <f>'GS &gt; 50 Predicted Monthly'!$Z$10</f>
        <v>-1907163.1226077401</v>
      </c>
      <c r="N118" s="188">
        <f ca="1">E118*'GS &gt; 50 Predicted Monthly'!$Z$11</f>
        <v>241491.82363840402</v>
      </c>
      <c r="O118" s="188">
        <f ca="1">F118*'GS &gt; 50 Predicted Monthly'!$Z$12</f>
        <v>12343490.152081305</v>
      </c>
      <c r="P118" s="188">
        <f>G118*'GS &gt; 50 Predicted Monthly'!$Z$13</f>
        <v>0</v>
      </c>
      <c r="Q118" s="188">
        <f>H118*'GS &gt; 50 Predicted Monthly'!$Z$14</f>
        <v>76960162.106093109</v>
      </c>
      <c r="R118" s="188">
        <f>I118*'GS &gt; 50 Predicted Monthly'!$Z$15</f>
        <v>40491320.781183258</v>
      </c>
      <c r="S118" s="188">
        <f>J118*'GS &gt; 50 Predicted Monthly'!$Z$16</f>
        <v>3497669.1063549998</v>
      </c>
      <c r="T118" s="188">
        <f>K118*'GS &gt; 50 Predicted Monthly'!$Z$17</f>
        <v>0</v>
      </c>
      <c r="U118" s="188">
        <f t="shared" ca="1" si="10"/>
        <v>131626970.84674333</v>
      </c>
      <c r="W118" s="188"/>
    </row>
    <row r="119" spans="1:23" s="59" customFormat="1" x14ac:dyDescent="0.2">
      <c r="A119" s="506">
        <f t="shared" si="16"/>
        <v>46296</v>
      </c>
      <c r="B119" s="59">
        <f t="shared" si="21"/>
        <v>2026</v>
      </c>
      <c r="C119" s="59">
        <f t="shared" si="22"/>
        <v>10</v>
      </c>
      <c r="D119" s="178"/>
      <c r="E119" s="177">
        <f t="shared" ca="1" si="20"/>
        <v>126.12583333333332</v>
      </c>
      <c r="F119" s="177">
        <f t="shared" ca="1" si="20"/>
        <v>24.703125000000007</v>
      </c>
      <c r="G119" s="507">
        <f>'Monthly Data'!CV119</f>
        <v>0</v>
      </c>
      <c r="H119" s="176">
        <f t="shared" si="17"/>
        <v>31</v>
      </c>
      <c r="I119" s="508">
        <f>Economic!M133</f>
        <v>915810.03250000009</v>
      </c>
      <c r="J119" s="508">
        <f t="shared" si="19"/>
        <v>1</v>
      </c>
      <c r="K119" s="508">
        <f t="shared" si="18"/>
        <v>0</v>
      </c>
      <c r="M119" s="188">
        <f>'GS &gt; 50 Predicted Monthly'!$Z$10</f>
        <v>-1907163.1226077401</v>
      </c>
      <c r="N119" s="188">
        <f ca="1">E119*'GS &gt; 50 Predicted Monthly'!$Z$11</f>
        <v>2690667.6236378159</v>
      </c>
      <c r="O119" s="188">
        <f ca="1">F119*'GS &gt; 50 Predicted Monthly'!$Z$12</f>
        <v>2926363.2224200224</v>
      </c>
      <c r="P119" s="188">
        <f>G119*'GS &gt; 50 Predicted Monthly'!$Z$13</f>
        <v>0</v>
      </c>
      <c r="Q119" s="188">
        <f>H119*'GS &gt; 50 Predicted Monthly'!$Z$14</f>
        <v>79525500.842962876</v>
      </c>
      <c r="R119" s="188">
        <f>I119*'GS &gt; 50 Predicted Monthly'!$Z$15</f>
        <v>40411266.819455095</v>
      </c>
      <c r="S119" s="188">
        <f>J119*'GS &gt; 50 Predicted Monthly'!$Z$16</f>
        <v>3497669.1063549998</v>
      </c>
      <c r="T119" s="188">
        <f>K119*'GS &gt; 50 Predicted Monthly'!$Z$17</f>
        <v>0</v>
      </c>
      <c r="U119" s="188">
        <f t="shared" ca="1" si="10"/>
        <v>127144304.49222307</v>
      </c>
      <c r="W119" s="188"/>
    </row>
    <row r="120" spans="1:23" s="59" customFormat="1" x14ac:dyDescent="0.2">
      <c r="A120" s="506">
        <f t="shared" si="16"/>
        <v>46327</v>
      </c>
      <c r="B120" s="59">
        <f t="shared" si="21"/>
        <v>2026</v>
      </c>
      <c r="C120" s="59">
        <f t="shared" si="22"/>
        <v>11</v>
      </c>
      <c r="D120" s="178"/>
      <c r="E120" s="177">
        <f t="shared" ca="1" si="20"/>
        <v>312.40687500000001</v>
      </c>
      <c r="F120" s="177">
        <f t="shared" ca="1" si="20"/>
        <v>1.6454166666666665</v>
      </c>
      <c r="G120" s="507">
        <f>'Monthly Data'!CV120</f>
        <v>0</v>
      </c>
      <c r="H120" s="176">
        <f t="shared" si="17"/>
        <v>30</v>
      </c>
      <c r="I120" s="508">
        <f>Economic!M134</f>
        <v>915810.03250000009</v>
      </c>
      <c r="J120" s="508">
        <f t="shared" si="19"/>
        <v>1</v>
      </c>
      <c r="K120" s="508">
        <f t="shared" si="18"/>
        <v>0</v>
      </c>
      <c r="M120" s="188">
        <f>'GS &gt; 50 Predicted Monthly'!$Z$10</f>
        <v>-1907163.1226077401</v>
      </c>
      <c r="N120" s="188">
        <f ca="1">E120*'GS &gt; 50 Predicted Monthly'!$Z$11</f>
        <v>6664638.335770756</v>
      </c>
      <c r="O120" s="188">
        <f ca="1">F120*'GS &gt; 50 Predicted Monthly'!$Z$12</f>
        <v>194918.12549587458</v>
      </c>
      <c r="P120" s="188">
        <f>G120*'GS &gt; 50 Predicted Monthly'!$Z$13</f>
        <v>0</v>
      </c>
      <c r="Q120" s="188">
        <f>H120*'GS &gt; 50 Predicted Monthly'!$Z$14</f>
        <v>76960162.106093109</v>
      </c>
      <c r="R120" s="188">
        <f>I120*'GS &gt; 50 Predicted Monthly'!$Z$15</f>
        <v>40411266.819455095</v>
      </c>
      <c r="S120" s="188">
        <f>J120*'GS &gt; 50 Predicted Monthly'!$Z$16</f>
        <v>3497669.1063549998</v>
      </c>
      <c r="T120" s="188">
        <f>K120*'GS &gt; 50 Predicted Monthly'!$Z$17</f>
        <v>0</v>
      </c>
      <c r="U120" s="188">
        <f t="shared" ca="1" si="10"/>
        <v>125821491.37056209</v>
      </c>
      <c r="W120" s="188"/>
    </row>
    <row r="121" spans="1:23" s="59" customFormat="1" x14ac:dyDescent="0.2">
      <c r="A121" s="506">
        <f t="shared" si="16"/>
        <v>46357</v>
      </c>
      <c r="B121" s="59">
        <f t="shared" si="21"/>
        <v>2026</v>
      </c>
      <c r="C121" s="59">
        <f t="shared" si="22"/>
        <v>12</v>
      </c>
      <c r="D121" s="178"/>
      <c r="E121" s="177">
        <f t="shared" ca="1" si="20"/>
        <v>473.52499999999998</v>
      </c>
      <c r="F121" s="177">
        <f t="shared" ca="1" si="20"/>
        <v>0</v>
      </c>
      <c r="G121" s="507">
        <f>'Monthly Data'!CV121</f>
        <v>0</v>
      </c>
      <c r="H121" s="176">
        <f t="shared" si="17"/>
        <v>31</v>
      </c>
      <c r="I121" s="508">
        <f>Economic!M135</f>
        <v>915810.03250000009</v>
      </c>
      <c r="J121" s="508">
        <f t="shared" si="19"/>
        <v>0</v>
      </c>
      <c r="K121" s="508">
        <f t="shared" si="18"/>
        <v>0</v>
      </c>
      <c r="M121" s="188">
        <f>'GS &gt; 50 Predicted Monthly'!$Z$10</f>
        <v>-1907163.1226077401</v>
      </c>
      <c r="N121" s="188">
        <f ca="1">E121*'GS &gt; 50 Predicted Monthly'!$Z$11</f>
        <v>10101803.514874142</v>
      </c>
      <c r="O121" s="188">
        <f ca="1">F121*'GS &gt; 50 Predicted Monthly'!$Z$12</f>
        <v>0</v>
      </c>
      <c r="P121" s="188">
        <f>G121*'GS &gt; 50 Predicted Monthly'!$Z$13</f>
        <v>0</v>
      </c>
      <c r="Q121" s="188">
        <f>H121*'GS &gt; 50 Predicted Monthly'!$Z$14</f>
        <v>79525500.842962876</v>
      </c>
      <c r="R121" s="188">
        <f>I121*'GS &gt; 50 Predicted Monthly'!$Z$15</f>
        <v>40411266.819455095</v>
      </c>
      <c r="S121" s="188">
        <f>J121*'GS &gt; 50 Predicted Monthly'!$Z$16</f>
        <v>0</v>
      </c>
      <c r="T121" s="188">
        <f>K121*'GS &gt; 50 Predicted Monthly'!$Z$17</f>
        <v>0</v>
      </c>
      <c r="U121" s="188">
        <f t="shared" ca="1" si="10"/>
        <v>128131408.05468437</v>
      </c>
      <c r="W121" s="188"/>
    </row>
    <row r="122" spans="1:23" s="59" customFormat="1" x14ac:dyDescent="0.2">
      <c r="A122" s="506">
        <f t="shared" si="16"/>
        <v>46388</v>
      </c>
      <c r="B122" s="59">
        <f>YEAR(A122)</f>
        <v>2027</v>
      </c>
      <c r="C122" s="59">
        <f>MONTH(A122)</f>
        <v>1</v>
      </c>
      <c r="D122" s="178"/>
      <c r="E122" s="177">
        <f t="shared" ca="1" si="20"/>
        <v>566.30416666666667</v>
      </c>
      <c r="F122" s="177">
        <f t="shared" ca="1" si="20"/>
        <v>0</v>
      </c>
      <c r="G122" s="507">
        <f>'Monthly Data'!CV122</f>
        <v>0</v>
      </c>
      <c r="H122" s="176">
        <f t="shared" si="17"/>
        <v>31</v>
      </c>
      <c r="I122" s="508">
        <f>Economic!M136</f>
        <v>929896.54415625008</v>
      </c>
      <c r="J122" s="508">
        <f t="shared" si="19"/>
        <v>0</v>
      </c>
      <c r="K122" s="508">
        <f t="shared" si="18"/>
        <v>0</v>
      </c>
      <c r="M122" s="188">
        <f>'GS &gt; 50 Predicted Monthly'!$Z$10</f>
        <v>-1907163.1226077401</v>
      </c>
      <c r="N122" s="188">
        <f ca="1">E122*'GS &gt; 50 Predicted Monthly'!$Z$11</f>
        <v>12081080.030243821</v>
      </c>
      <c r="O122" s="188">
        <f ca="1">F122*'GS &gt; 50 Predicted Monthly'!$Z$12</f>
        <v>0</v>
      </c>
      <c r="P122" s="188">
        <f>G122*'GS &gt; 50 Predicted Monthly'!$Z$13</f>
        <v>0</v>
      </c>
      <c r="Q122" s="188">
        <f>H122*'GS &gt; 50 Predicted Monthly'!$Z$14</f>
        <v>79525500.842962876</v>
      </c>
      <c r="R122" s="188">
        <f>I122*'GS &gt; 50 Predicted Monthly'!$Z$15</f>
        <v>41032851.821687624</v>
      </c>
      <c r="S122" s="188">
        <f>J122*'GS &gt; 50 Predicted Monthly'!$Z$16</f>
        <v>0</v>
      </c>
      <c r="T122" s="188">
        <f>K122*'GS &gt; 50 Predicted Monthly'!$Z$17</f>
        <v>0</v>
      </c>
      <c r="U122" s="188">
        <f t="shared" ca="1" si="10"/>
        <v>130732269.57228658</v>
      </c>
      <c r="W122" s="188"/>
    </row>
    <row r="123" spans="1:23" s="59" customFormat="1" x14ac:dyDescent="0.2">
      <c r="A123" s="506">
        <f t="shared" si="16"/>
        <v>46419</v>
      </c>
      <c r="B123" s="59">
        <f>YEAR(A123)</f>
        <v>2027</v>
      </c>
      <c r="C123" s="59">
        <f>MONTH(A123)</f>
        <v>2</v>
      </c>
      <c r="D123" s="178"/>
      <c r="E123" s="177">
        <f t="shared" ca="1" si="20"/>
        <v>483.54541666666665</v>
      </c>
      <c r="F123" s="177">
        <f t="shared" ca="1" si="20"/>
        <v>0</v>
      </c>
      <c r="G123" s="507">
        <f>'Monthly Data'!CV123</f>
        <v>0</v>
      </c>
      <c r="H123" s="176">
        <f t="shared" si="17"/>
        <v>28</v>
      </c>
      <c r="I123" s="508">
        <f>Economic!M137</f>
        <v>929896.54415625008</v>
      </c>
      <c r="J123" s="508">
        <f t="shared" si="19"/>
        <v>0</v>
      </c>
      <c r="K123" s="508">
        <f t="shared" si="18"/>
        <v>0</v>
      </c>
      <c r="M123" s="188">
        <f>'GS &gt; 50 Predicted Monthly'!$Z$10</f>
        <v>-1907163.1226077401</v>
      </c>
      <c r="N123" s="188">
        <f ca="1">E123*'GS &gt; 50 Predicted Monthly'!$Z$11</f>
        <v>10315571.067387393</v>
      </c>
      <c r="O123" s="188">
        <f ca="1">F123*'GS &gt; 50 Predicted Monthly'!$Z$12</f>
        <v>0</v>
      </c>
      <c r="P123" s="188">
        <f>G123*'GS &gt; 50 Predicted Monthly'!$Z$13</f>
        <v>0</v>
      </c>
      <c r="Q123" s="188">
        <f>H123*'GS &gt; 50 Predicted Monthly'!$Z$14</f>
        <v>71829484.632353559</v>
      </c>
      <c r="R123" s="188">
        <f>I123*'GS &gt; 50 Predicted Monthly'!$Z$15</f>
        <v>41032851.821687624</v>
      </c>
      <c r="S123" s="188">
        <f>J123*'GS &gt; 50 Predicted Monthly'!$Z$16</f>
        <v>0</v>
      </c>
      <c r="T123" s="188">
        <f>K123*'GS &gt; 50 Predicted Monthly'!$Z$17</f>
        <v>0</v>
      </c>
      <c r="U123" s="188">
        <f t="shared" ca="1" si="10"/>
        <v>121270744.39882083</v>
      </c>
      <c r="W123" s="188"/>
    </row>
    <row r="124" spans="1:23" s="59" customFormat="1" x14ac:dyDescent="0.2">
      <c r="A124" s="506">
        <f t="shared" si="16"/>
        <v>46447</v>
      </c>
      <c r="B124" s="59">
        <f>YEAR(A124)</f>
        <v>2027</v>
      </c>
      <c r="C124" s="59">
        <f>MONTH(A124)</f>
        <v>3</v>
      </c>
      <c r="D124" s="178"/>
      <c r="E124" s="177">
        <f t="shared" ca="1" si="20"/>
        <v>393.96333333333331</v>
      </c>
      <c r="F124" s="177">
        <f t="shared" ca="1" si="20"/>
        <v>0</v>
      </c>
      <c r="G124" s="507">
        <f>'Monthly Data'!CV124</f>
        <v>0</v>
      </c>
      <c r="H124" s="176">
        <f t="shared" si="17"/>
        <v>31</v>
      </c>
      <c r="I124" s="508">
        <f>Economic!M138</f>
        <v>929896.54415625008</v>
      </c>
      <c r="J124" s="508">
        <f t="shared" si="19"/>
        <v>0</v>
      </c>
      <c r="K124" s="508">
        <f t="shared" si="18"/>
        <v>0</v>
      </c>
      <c r="M124" s="188">
        <f>'GS &gt; 50 Predicted Monthly'!$Z$10</f>
        <v>-1907163.1226077401</v>
      </c>
      <c r="N124" s="188">
        <f ca="1">E124*'GS &gt; 50 Predicted Monthly'!$Z$11</f>
        <v>8404498.5700822547</v>
      </c>
      <c r="O124" s="188">
        <f ca="1">F124*'GS &gt; 50 Predicted Monthly'!$Z$12</f>
        <v>0</v>
      </c>
      <c r="P124" s="188">
        <f>G124*'GS &gt; 50 Predicted Monthly'!$Z$13</f>
        <v>0</v>
      </c>
      <c r="Q124" s="188">
        <f>H124*'GS &gt; 50 Predicted Monthly'!$Z$14</f>
        <v>79525500.842962876</v>
      </c>
      <c r="R124" s="188">
        <f>I124*'GS &gt; 50 Predicted Monthly'!$Z$15</f>
        <v>41032851.821687624</v>
      </c>
      <c r="S124" s="188">
        <f>J124*'GS &gt; 50 Predicted Monthly'!$Z$16</f>
        <v>0</v>
      </c>
      <c r="T124" s="188">
        <f>K124*'GS &gt; 50 Predicted Monthly'!$Z$17</f>
        <v>0</v>
      </c>
      <c r="U124" s="188">
        <f t="shared" ca="1" si="10"/>
        <v>127055688.11212501</v>
      </c>
      <c r="W124" s="188"/>
    </row>
    <row r="125" spans="1:23" s="59" customFormat="1" x14ac:dyDescent="0.2">
      <c r="A125" s="506">
        <f t="shared" si="16"/>
        <v>46478</v>
      </c>
      <c r="B125" s="59">
        <f>YEAR(A125)</f>
        <v>2027</v>
      </c>
      <c r="C125" s="59">
        <f>MONTH(A125)</f>
        <v>4</v>
      </c>
      <c r="D125" s="178"/>
      <c r="E125" s="177">
        <f t="shared" ca="1" si="20"/>
        <v>226.60145833333337</v>
      </c>
      <c r="F125" s="177">
        <f t="shared" ca="1" si="20"/>
        <v>6.5650000000000031</v>
      </c>
      <c r="G125" s="507">
        <f>'Monthly Data'!CV125</f>
        <v>0</v>
      </c>
      <c r="H125" s="176">
        <f t="shared" si="17"/>
        <v>30</v>
      </c>
      <c r="I125" s="508">
        <f>Economic!M139</f>
        <v>927399.38548125012</v>
      </c>
      <c r="J125" s="508">
        <f t="shared" si="19"/>
        <v>0</v>
      </c>
      <c r="K125" s="508">
        <f t="shared" si="18"/>
        <v>0</v>
      </c>
      <c r="M125" s="188">
        <f>'GS &gt; 50 Predicted Monthly'!$Z$10</f>
        <v>-1907163.1226077401</v>
      </c>
      <c r="N125" s="188">
        <f ca="1">E125*'GS &gt; 50 Predicted Monthly'!$Z$11</f>
        <v>4834134.2236783141</v>
      </c>
      <c r="O125" s="188">
        <f ca="1">F125*'GS &gt; 50 Predicted Monthly'!$Z$12</f>
        <v>777698.14771157305</v>
      </c>
      <c r="P125" s="188">
        <f>G125*'GS &gt; 50 Predicted Monthly'!$Z$13</f>
        <v>0</v>
      </c>
      <c r="Q125" s="188">
        <f>H125*'GS &gt; 50 Predicted Monthly'!$Z$14</f>
        <v>76960162.106093109</v>
      </c>
      <c r="R125" s="188">
        <f>I125*'GS &gt; 50 Predicted Monthly'!$Z$15</f>
        <v>40922661.561781354</v>
      </c>
      <c r="S125" s="188">
        <f>J125*'GS &gt; 50 Predicted Monthly'!$Z$16</f>
        <v>0</v>
      </c>
      <c r="T125" s="188">
        <f>K125*'GS &gt; 50 Predicted Monthly'!$Z$17</f>
        <v>0</v>
      </c>
      <c r="U125" s="188">
        <f t="shared" ca="1" si="10"/>
        <v>121587492.91665661</v>
      </c>
    </row>
    <row r="126" spans="1:23" s="59" customFormat="1" x14ac:dyDescent="0.2">
      <c r="A126" s="506">
        <f t="shared" si="16"/>
        <v>46508</v>
      </c>
      <c r="B126" s="59">
        <f>YEAR(A126)</f>
        <v>2027</v>
      </c>
      <c r="C126" s="59">
        <f>MONTH(A126)</f>
        <v>5</v>
      </c>
      <c r="D126" s="178"/>
      <c r="E126" s="177">
        <f t="shared" ca="1" si="20"/>
        <v>65.335833333333326</v>
      </c>
      <c r="F126" s="177">
        <f t="shared" ca="1" si="20"/>
        <v>59.300416666666649</v>
      </c>
      <c r="G126" s="507">
        <f>'Monthly Data'!CV126</f>
        <v>0</v>
      </c>
      <c r="H126" s="176">
        <f t="shared" si="17"/>
        <v>31</v>
      </c>
      <c r="I126" s="508">
        <f>Economic!M140</f>
        <v>927399.38548125012</v>
      </c>
      <c r="J126" s="508">
        <f t="shared" si="19"/>
        <v>0</v>
      </c>
      <c r="K126" s="508">
        <f t="shared" si="18"/>
        <v>0</v>
      </c>
      <c r="M126" s="188">
        <f>'GS &gt; 50 Predicted Monthly'!$Z$10</f>
        <v>-1907163.1226077401</v>
      </c>
      <c r="N126" s="188">
        <f ca="1">E126*'GS &gt; 50 Predicted Monthly'!$Z$11</f>
        <v>1393822.3975796374</v>
      </c>
      <c r="O126" s="188">
        <f ca="1">F126*'GS &gt; 50 Predicted Monthly'!$Z$12</f>
        <v>7024801.8583687926</v>
      </c>
      <c r="P126" s="188">
        <f>G126*'GS &gt; 50 Predicted Monthly'!$Z$13</f>
        <v>0</v>
      </c>
      <c r="Q126" s="188">
        <f>H126*'GS &gt; 50 Predicted Monthly'!$Z$14</f>
        <v>79525500.842962876</v>
      </c>
      <c r="R126" s="188">
        <f>I126*'GS &gt; 50 Predicted Monthly'!$Z$15</f>
        <v>40922661.561781354</v>
      </c>
      <c r="S126" s="188">
        <f>J126*'GS &gt; 50 Predicted Monthly'!$Z$16</f>
        <v>0</v>
      </c>
      <c r="T126" s="188">
        <f>K126*'GS &gt; 50 Predicted Monthly'!$Z$17</f>
        <v>0</v>
      </c>
      <c r="U126" s="188">
        <f t="shared" ca="1" si="10"/>
        <v>126959623.53808492</v>
      </c>
    </row>
    <row r="127" spans="1:23" s="59" customFormat="1" x14ac:dyDescent="0.2">
      <c r="A127" s="506">
        <f t="shared" si="16"/>
        <v>46539</v>
      </c>
      <c r="B127" s="59">
        <f t="shared" ref="B127:B133" si="23">YEAR(A127)</f>
        <v>2027</v>
      </c>
      <c r="C127" s="59">
        <f t="shared" ref="C127:C133" si="24">MONTH(A127)</f>
        <v>6</v>
      </c>
      <c r="D127" s="178"/>
      <c r="E127" s="177">
        <f t="shared" ca="1" si="20"/>
        <v>3.0447916666666672</v>
      </c>
      <c r="F127" s="177">
        <f t="shared" ca="1" si="20"/>
        <v>157.17000000000002</v>
      </c>
      <c r="G127" s="507">
        <f>'Monthly Data'!CV127</f>
        <v>0</v>
      </c>
      <c r="H127" s="176">
        <f t="shared" si="17"/>
        <v>30</v>
      </c>
      <c r="I127" s="508">
        <f>Economic!M141</f>
        <v>927399.38548125012</v>
      </c>
      <c r="J127" s="508">
        <f t="shared" si="19"/>
        <v>0</v>
      </c>
      <c r="K127" s="508">
        <f t="shared" si="18"/>
        <v>0</v>
      </c>
      <c r="M127" s="188">
        <f>'GS &gt; 50 Predicted Monthly'!$Z$10</f>
        <v>-1907163.1226077401</v>
      </c>
      <c r="N127" s="188">
        <f ca="1">E127*'GS &gt; 50 Predicted Monthly'!$Z$11</f>
        <v>64955.149486073256</v>
      </c>
      <c r="O127" s="188">
        <f ca="1">F127*'GS &gt; 50 Predicted Monthly'!$Z$12</f>
        <v>18618555.655114681</v>
      </c>
      <c r="P127" s="188">
        <f>G127*'GS &gt; 50 Predicted Monthly'!$Z$13</f>
        <v>0</v>
      </c>
      <c r="Q127" s="188">
        <f>H127*'GS &gt; 50 Predicted Monthly'!$Z$14</f>
        <v>76960162.106093109</v>
      </c>
      <c r="R127" s="188">
        <f>I127*'GS &gt; 50 Predicted Monthly'!$Z$15</f>
        <v>40922661.561781354</v>
      </c>
      <c r="S127" s="188">
        <f>J127*'GS &gt; 50 Predicted Monthly'!$Z$16</f>
        <v>0</v>
      </c>
      <c r="T127" s="188">
        <f>K127*'GS &gt; 50 Predicted Monthly'!$Z$17</f>
        <v>0</v>
      </c>
      <c r="U127" s="188">
        <f t="shared" ca="1" si="10"/>
        <v>134659171.34986746</v>
      </c>
    </row>
    <row r="128" spans="1:23" s="59" customFormat="1" x14ac:dyDescent="0.2">
      <c r="A128" s="506">
        <f t="shared" si="16"/>
        <v>46569</v>
      </c>
      <c r="B128" s="59">
        <f t="shared" si="23"/>
        <v>2027</v>
      </c>
      <c r="C128" s="59">
        <f t="shared" si="24"/>
        <v>7</v>
      </c>
      <c r="D128" s="178"/>
      <c r="E128" s="177">
        <f t="shared" ca="1" si="20"/>
        <v>0</v>
      </c>
      <c r="F128" s="177">
        <f t="shared" ca="1" si="20"/>
        <v>231.27145833333333</v>
      </c>
      <c r="G128" s="507">
        <f>'Monthly Data'!CV128</f>
        <v>0</v>
      </c>
      <c r="H128" s="176">
        <f t="shared" si="17"/>
        <v>31</v>
      </c>
      <c r="I128" s="508">
        <f>Economic!M142</f>
        <v>933682.65911250014</v>
      </c>
      <c r="J128" s="508">
        <f t="shared" si="19"/>
        <v>0</v>
      </c>
      <c r="K128" s="508">
        <f t="shared" si="18"/>
        <v>0</v>
      </c>
      <c r="M128" s="188">
        <f>'GS &gt; 50 Predicted Monthly'!$Z$10</f>
        <v>-1907163.1226077401</v>
      </c>
      <c r="N128" s="188">
        <f ca="1">E128*'GS &gt; 50 Predicted Monthly'!$Z$11</f>
        <v>0</v>
      </c>
      <c r="O128" s="188">
        <f ca="1">F128*'GS &gt; 50 Predicted Monthly'!$Z$12</f>
        <v>27396707.50409558</v>
      </c>
      <c r="P128" s="188">
        <f>G128*'GS &gt; 50 Predicted Monthly'!$Z$13</f>
        <v>0</v>
      </c>
      <c r="Q128" s="188">
        <f>H128*'GS &gt; 50 Predicted Monthly'!$Z$14</f>
        <v>79525500.842962876</v>
      </c>
      <c r="R128" s="188">
        <f>I128*'GS &gt; 50 Predicted Monthly'!$Z$15</f>
        <v>41199918.894853964</v>
      </c>
      <c r="S128" s="188">
        <f>J128*'GS &gt; 50 Predicted Monthly'!$Z$16</f>
        <v>0</v>
      </c>
      <c r="T128" s="188">
        <f>K128*'GS &gt; 50 Predicted Monthly'!$Z$17</f>
        <v>0</v>
      </c>
      <c r="U128" s="188">
        <f t="shared" ca="1" si="10"/>
        <v>146214964.11930466</v>
      </c>
    </row>
    <row r="129" spans="1:21" s="59" customFormat="1" x14ac:dyDescent="0.2">
      <c r="A129" s="506">
        <f t="shared" si="16"/>
        <v>46600</v>
      </c>
      <c r="B129" s="59">
        <f t="shared" si="23"/>
        <v>2027</v>
      </c>
      <c r="C129" s="59">
        <f t="shared" si="24"/>
        <v>8</v>
      </c>
      <c r="D129" s="178"/>
      <c r="E129" s="177">
        <f t="shared" ca="1" si="20"/>
        <v>0.27875000000000066</v>
      </c>
      <c r="F129" s="177">
        <f t="shared" ca="1" si="20"/>
        <v>196.13625000000002</v>
      </c>
      <c r="G129" s="507">
        <f>'Monthly Data'!CV129</f>
        <v>0</v>
      </c>
      <c r="H129" s="176">
        <f t="shared" si="17"/>
        <v>31</v>
      </c>
      <c r="I129" s="508">
        <f>Economic!M143</f>
        <v>933682.65911250014</v>
      </c>
      <c r="J129" s="508">
        <f t="shared" si="19"/>
        <v>0</v>
      </c>
      <c r="K129" s="508">
        <f t="shared" si="18"/>
        <v>1</v>
      </c>
      <c r="M129" s="188">
        <f>'GS &gt; 50 Predicted Monthly'!$Z$10</f>
        <v>-1907163.1226077401</v>
      </c>
      <c r="N129" s="188">
        <f ca="1">E129*'GS &gt; 50 Predicted Monthly'!$Z$11</f>
        <v>5946.629491095875</v>
      </c>
      <c r="O129" s="188">
        <f ca="1">F129*'GS &gt; 50 Predicted Monthly'!$Z$12</f>
        <v>23234546.584020402</v>
      </c>
      <c r="P129" s="188">
        <f>G129*'GS &gt; 50 Predicted Monthly'!$Z$13</f>
        <v>0</v>
      </c>
      <c r="Q129" s="188">
        <f>H129*'GS &gt; 50 Predicted Monthly'!$Z$14</f>
        <v>79525500.842962876</v>
      </c>
      <c r="R129" s="188">
        <f>I129*'GS &gt; 50 Predicted Monthly'!$Z$15</f>
        <v>41199918.894853964</v>
      </c>
      <c r="S129" s="188">
        <f>J129*'GS &gt; 50 Predicted Monthly'!$Z$16</f>
        <v>0</v>
      </c>
      <c r="T129" s="188">
        <f>K129*'GS &gt; 50 Predicted Monthly'!$Z$17</f>
        <v>2800660.9376037801</v>
      </c>
      <c r="U129" s="188">
        <f t="shared" ca="1" si="10"/>
        <v>144859410.76632437</v>
      </c>
    </row>
    <row r="130" spans="1:21" s="59" customFormat="1" x14ac:dyDescent="0.2">
      <c r="A130" s="506">
        <f t="shared" si="16"/>
        <v>46631</v>
      </c>
      <c r="B130" s="59">
        <f t="shared" si="23"/>
        <v>2027</v>
      </c>
      <c r="C130" s="59">
        <f t="shared" si="24"/>
        <v>9</v>
      </c>
      <c r="D130" s="178"/>
      <c r="E130" s="177">
        <f t="shared" ca="1" si="20"/>
        <v>11.319999999999997</v>
      </c>
      <c r="F130" s="177">
        <f t="shared" ca="1" si="20"/>
        <v>104.19854166666664</v>
      </c>
      <c r="G130" s="507">
        <f>'Monthly Data'!CV130</f>
        <v>0</v>
      </c>
      <c r="H130" s="176">
        <f t="shared" si="17"/>
        <v>30</v>
      </c>
      <c r="I130" s="508">
        <f>Economic!M144</f>
        <v>933682.65911250014</v>
      </c>
      <c r="J130" s="508">
        <f t="shared" si="19"/>
        <v>1</v>
      </c>
      <c r="K130" s="508">
        <f t="shared" si="18"/>
        <v>0</v>
      </c>
      <c r="M130" s="188">
        <f>'GS &gt; 50 Predicted Monthly'!$Z$10</f>
        <v>-1907163.1226077401</v>
      </c>
      <c r="N130" s="188">
        <f ca="1">E130*'GS &gt; 50 Predicted Monthly'!$Z$11</f>
        <v>241491.82363840402</v>
      </c>
      <c r="O130" s="188">
        <f ca="1">F130*'GS &gt; 50 Predicted Monthly'!$Z$12</f>
        <v>12343490.152081305</v>
      </c>
      <c r="P130" s="188">
        <f>G130*'GS &gt; 50 Predicted Monthly'!$Z$13</f>
        <v>0</v>
      </c>
      <c r="Q130" s="188">
        <f>H130*'GS &gt; 50 Predicted Monthly'!$Z$14</f>
        <v>76960162.106093109</v>
      </c>
      <c r="R130" s="188">
        <f>I130*'GS &gt; 50 Predicted Monthly'!$Z$15</f>
        <v>41199918.894853964</v>
      </c>
      <c r="S130" s="188">
        <f>J130*'GS &gt; 50 Predicted Monthly'!$Z$16</f>
        <v>3497669.1063549998</v>
      </c>
      <c r="T130" s="188">
        <f>K130*'GS &gt; 50 Predicted Monthly'!$Z$17</f>
        <v>0</v>
      </c>
      <c r="U130" s="188">
        <f t="shared" ca="1" si="10"/>
        <v>132335568.96041404</v>
      </c>
    </row>
    <row r="131" spans="1:21" s="59" customFormat="1" x14ac:dyDescent="0.2">
      <c r="A131" s="506">
        <f t="shared" si="16"/>
        <v>46661</v>
      </c>
      <c r="B131" s="59">
        <f t="shared" si="23"/>
        <v>2027</v>
      </c>
      <c r="C131" s="59">
        <f t="shared" si="24"/>
        <v>10</v>
      </c>
      <c r="D131" s="178"/>
      <c r="E131" s="177">
        <f t="shared" ca="1" si="20"/>
        <v>126.12583333333332</v>
      </c>
      <c r="F131" s="177">
        <f t="shared" ca="1" si="20"/>
        <v>24.703125000000007</v>
      </c>
      <c r="G131" s="507">
        <f>'Monthly Data'!CV131</f>
        <v>0</v>
      </c>
      <c r="H131" s="176">
        <f t="shared" si="17"/>
        <v>31</v>
      </c>
      <c r="I131" s="508">
        <f>Economic!M145</f>
        <v>931836.7080687501</v>
      </c>
      <c r="J131" s="508">
        <f t="shared" si="19"/>
        <v>1</v>
      </c>
      <c r="K131" s="508">
        <f t="shared" si="18"/>
        <v>0</v>
      </c>
      <c r="M131" s="188">
        <f>'GS &gt; 50 Predicted Monthly'!$Z$10</f>
        <v>-1907163.1226077401</v>
      </c>
      <c r="N131" s="188">
        <f ca="1">E131*'GS &gt; 50 Predicted Monthly'!$Z$11</f>
        <v>2690667.6236378159</v>
      </c>
      <c r="O131" s="188">
        <f ca="1">F131*'GS &gt; 50 Predicted Monthly'!$Z$12</f>
        <v>2926363.2224200224</v>
      </c>
      <c r="P131" s="188">
        <f>G131*'GS &gt; 50 Predicted Monthly'!$Z$13</f>
        <v>0</v>
      </c>
      <c r="Q131" s="188">
        <f>H131*'GS &gt; 50 Predicted Monthly'!$Z$14</f>
        <v>79525500.842962876</v>
      </c>
      <c r="R131" s="188">
        <f>I131*'GS &gt; 50 Predicted Monthly'!$Z$15</f>
        <v>41118463.988795556</v>
      </c>
      <c r="S131" s="188">
        <f>J131*'GS &gt; 50 Predicted Monthly'!$Z$16</f>
        <v>3497669.1063549998</v>
      </c>
      <c r="T131" s="188">
        <f>K131*'GS &gt; 50 Predicted Monthly'!$Z$17</f>
        <v>0</v>
      </c>
      <c r="U131" s="188">
        <f ca="1">SUM(M131:T131)</f>
        <v>127851501.66156353</v>
      </c>
    </row>
    <row r="132" spans="1:21" s="59" customFormat="1" x14ac:dyDescent="0.2">
      <c r="A132" s="506">
        <f t="shared" si="16"/>
        <v>46692</v>
      </c>
      <c r="B132" s="59">
        <f t="shared" si="23"/>
        <v>2027</v>
      </c>
      <c r="C132" s="59">
        <f t="shared" si="24"/>
        <v>11</v>
      </c>
      <c r="D132" s="178"/>
      <c r="E132" s="177">
        <f t="shared" ca="1" si="20"/>
        <v>312.40687500000001</v>
      </c>
      <c r="F132" s="177">
        <f t="shared" ca="1" si="20"/>
        <v>1.6454166666666665</v>
      </c>
      <c r="G132" s="507">
        <f>'Monthly Data'!CV132</f>
        <v>0</v>
      </c>
      <c r="H132" s="176">
        <f t="shared" si="17"/>
        <v>30</v>
      </c>
      <c r="I132" s="508">
        <f>Economic!M146</f>
        <v>931836.7080687501</v>
      </c>
      <c r="J132" s="508">
        <f t="shared" si="19"/>
        <v>1</v>
      </c>
      <c r="K132" s="508">
        <f t="shared" si="18"/>
        <v>0</v>
      </c>
      <c r="M132" s="188">
        <f>'GS &gt; 50 Predicted Monthly'!$Z$10</f>
        <v>-1907163.1226077401</v>
      </c>
      <c r="N132" s="188">
        <f ca="1">E132*'GS &gt; 50 Predicted Monthly'!$Z$11</f>
        <v>6664638.335770756</v>
      </c>
      <c r="O132" s="188">
        <f ca="1">F132*'GS &gt; 50 Predicted Monthly'!$Z$12</f>
        <v>194918.12549587458</v>
      </c>
      <c r="P132" s="188">
        <f>G132*'GS &gt; 50 Predicted Monthly'!$Z$13</f>
        <v>0</v>
      </c>
      <c r="Q132" s="188">
        <f>H132*'GS &gt; 50 Predicted Monthly'!$Z$14</f>
        <v>76960162.106093109</v>
      </c>
      <c r="R132" s="188">
        <f>I132*'GS &gt; 50 Predicted Monthly'!$Z$15</f>
        <v>41118463.988795556</v>
      </c>
      <c r="S132" s="188">
        <f>J132*'GS &gt; 50 Predicted Monthly'!$Z$16</f>
        <v>3497669.1063549998</v>
      </c>
      <c r="T132" s="188">
        <f>K132*'GS &gt; 50 Predicted Monthly'!$Z$17</f>
        <v>0</v>
      </c>
      <c r="U132" s="188">
        <f ca="1">SUM(M132:T132)</f>
        <v>126528688.53990255</v>
      </c>
    </row>
    <row r="133" spans="1:21" s="59" customFormat="1" x14ac:dyDescent="0.2">
      <c r="A133" s="506">
        <f t="shared" si="16"/>
        <v>46722</v>
      </c>
      <c r="B133" s="59">
        <f t="shared" si="23"/>
        <v>2027</v>
      </c>
      <c r="C133" s="59">
        <f t="shared" si="24"/>
        <v>12</v>
      </c>
      <c r="D133" s="178"/>
      <c r="E133" s="177">
        <f t="shared" ca="1" si="20"/>
        <v>473.52499999999998</v>
      </c>
      <c r="F133" s="177">
        <f t="shared" ca="1" si="20"/>
        <v>0</v>
      </c>
      <c r="G133" s="507">
        <f>'Monthly Data'!CV133</f>
        <v>0</v>
      </c>
      <c r="H133" s="176">
        <f t="shared" si="17"/>
        <v>31</v>
      </c>
      <c r="I133" s="508">
        <f>Economic!M147</f>
        <v>931836.7080687501</v>
      </c>
      <c r="J133" s="508">
        <f t="shared" si="19"/>
        <v>0</v>
      </c>
      <c r="K133" s="508">
        <f t="shared" si="18"/>
        <v>0</v>
      </c>
      <c r="M133" s="188">
        <f>'GS &gt; 50 Predicted Monthly'!$Z$10</f>
        <v>-1907163.1226077401</v>
      </c>
      <c r="N133" s="188">
        <f ca="1">E133*'GS &gt; 50 Predicted Monthly'!$Z$11</f>
        <v>10101803.514874142</v>
      </c>
      <c r="O133" s="188">
        <f ca="1">F133*'GS &gt; 50 Predicted Monthly'!$Z$12</f>
        <v>0</v>
      </c>
      <c r="P133" s="188">
        <f>G133*'GS &gt; 50 Predicted Monthly'!$Z$13</f>
        <v>0</v>
      </c>
      <c r="Q133" s="188">
        <f>H133*'GS &gt; 50 Predicted Monthly'!$Z$14</f>
        <v>79525500.842962876</v>
      </c>
      <c r="R133" s="188">
        <f>I133*'GS &gt; 50 Predicted Monthly'!$Z$15</f>
        <v>41118463.988795556</v>
      </c>
      <c r="S133" s="188">
        <f>J133*'GS &gt; 50 Predicted Monthly'!$Z$16</f>
        <v>0</v>
      </c>
      <c r="T133" s="188">
        <f>K133*'GS &gt; 50 Predicted Monthly'!$Z$17</f>
        <v>0</v>
      </c>
      <c r="U133" s="188">
        <f ca="1">SUM(M133:T133)</f>
        <v>128838605.22402483</v>
      </c>
    </row>
    <row r="134" spans="1:21" x14ac:dyDescent="0.2">
      <c r="A134" s="8"/>
      <c r="D134" s="18"/>
      <c r="E134" s="21"/>
      <c r="F134" s="21"/>
      <c r="G134" s="21"/>
      <c r="H134" s="177"/>
      <c r="I134" s="177"/>
      <c r="J134" s="177"/>
      <c r="K134" s="177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x14ac:dyDescent="0.2">
      <c r="A135" s="8"/>
      <c r="D135" s="18"/>
      <c r="E135" s="21"/>
      <c r="F135" s="21"/>
      <c r="G135" s="21"/>
      <c r="H135" s="177"/>
      <c r="I135" s="177"/>
      <c r="J135" s="177"/>
      <c r="K135" s="177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x14ac:dyDescent="0.2">
      <c r="A136" s="8"/>
      <c r="D136" s="18"/>
      <c r="E136" s="21"/>
      <c r="F136" s="21"/>
      <c r="G136" s="21"/>
      <c r="H136" s="177"/>
      <c r="I136" s="177"/>
      <c r="J136" s="177"/>
      <c r="K136" s="177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x14ac:dyDescent="0.2">
      <c r="A137" s="8"/>
      <c r="D137" s="18"/>
      <c r="E137" s="21"/>
      <c r="F137" s="21"/>
      <c r="G137" s="21"/>
      <c r="H137" s="177"/>
      <c r="I137" s="177"/>
      <c r="J137" s="177"/>
      <c r="K137" s="177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1:21" x14ac:dyDescent="0.2">
      <c r="A138" s="8"/>
      <c r="D138" s="18"/>
      <c r="E138" s="21"/>
      <c r="F138" s="21"/>
      <c r="G138" s="21"/>
      <c r="H138" s="177"/>
      <c r="I138" s="177"/>
      <c r="J138" s="177"/>
      <c r="K138" s="177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 x14ac:dyDescent="0.2">
      <c r="A139" s="8"/>
      <c r="D139" s="18"/>
      <c r="E139" s="21"/>
      <c r="F139" s="21"/>
      <c r="G139" s="21"/>
      <c r="H139" s="177"/>
      <c r="I139" s="177"/>
      <c r="J139" s="177"/>
      <c r="K139" s="177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1:21" x14ac:dyDescent="0.2">
      <c r="A140" s="8"/>
      <c r="D140" s="18"/>
      <c r="E140" s="21"/>
      <c r="F140" s="21"/>
      <c r="G140" s="21"/>
      <c r="H140" s="177"/>
      <c r="I140" s="177"/>
      <c r="J140" s="177"/>
      <c r="K140" s="177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1:21" x14ac:dyDescent="0.2">
      <c r="A141" s="8"/>
      <c r="D141" s="18"/>
      <c r="E141" s="21"/>
      <c r="F141" s="21"/>
      <c r="G141" s="21"/>
      <c r="H141" s="177"/>
      <c r="I141" s="177"/>
      <c r="J141" s="177"/>
      <c r="K141" s="177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1:21" x14ac:dyDescent="0.2">
      <c r="A142" s="8"/>
      <c r="D142" s="18"/>
      <c r="E142" s="21"/>
      <c r="F142" s="21"/>
      <c r="G142" s="21"/>
      <c r="H142" s="177"/>
      <c r="I142" s="177"/>
      <c r="J142" s="177"/>
      <c r="K142" s="177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 x14ac:dyDescent="0.2">
      <c r="A143" s="8"/>
      <c r="D143" s="18"/>
      <c r="E143" s="21"/>
      <c r="F143" s="21"/>
      <c r="G143" s="21"/>
      <c r="H143" s="177"/>
      <c r="I143" s="177"/>
      <c r="J143" s="177"/>
      <c r="K143" s="177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x14ac:dyDescent="0.2">
      <c r="A144" s="8"/>
      <c r="D144" s="18"/>
      <c r="E144" s="21"/>
      <c r="F144" s="21"/>
      <c r="G144" s="21"/>
      <c r="H144" s="177"/>
      <c r="I144" s="177"/>
      <c r="J144" s="177"/>
      <c r="K144" s="177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1:21" x14ac:dyDescent="0.2">
      <c r="A145" s="8"/>
      <c r="D145" s="18"/>
      <c r="E145" s="21"/>
      <c r="F145" s="21"/>
      <c r="G145" s="21"/>
      <c r="H145" s="177"/>
      <c r="I145" s="177"/>
      <c r="J145" s="177"/>
      <c r="K145" s="177"/>
      <c r="M145" s="11"/>
      <c r="N145" s="11"/>
      <c r="O145" s="11"/>
      <c r="P145" s="11"/>
      <c r="Q145" s="11"/>
      <c r="R145" s="11"/>
      <c r="S145" s="11"/>
      <c r="T145" s="11"/>
      <c r="U145" s="11"/>
    </row>
    <row r="195" spans="7:24" x14ac:dyDescent="0.2">
      <c r="G195" s="11"/>
      <c r="H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7:24" x14ac:dyDescent="0.2">
      <c r="G196" s="11"/>
      <c r="H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7:24" x14ac:dyDescent="0.2">
      <c r="G197" s="11"/>
      <c r="H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7:24" x14ac:dyDescent="0.2">
      <c r="G198" s="11"/>
      <c r="H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7:24" x14ac:dyDescent="0.2">
      <c r="G199" s="11"/>
      <c r="H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7:24" x14ac:dyDescent="0.2">
      <c r="G200" s="11"/>
      <c r="H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7:24" x14ac:dyDescent="0.2">
      <c r="G201" s="11"/>
      <c r="H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7:24" x14ac:dyDescent="0.2">
      <c r="G202" s="11"/>
      <c r="H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4" spans="7:24" x14ac:dyDescent="0.2"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8F7BA-4943-40DE-AC59-0A3D6899952B}">
  <dimension ref="A1:P204"/>
  <sheetViews>
    <sheetView topLeftCell="A108" workbookViewId="0">
      <selection activeCell="I116" sqref="I116"/>
    </sheetView>
  </sheetViews>
  <sheetFormatPr defaultColWidth="9.33203125" defaultRowHeight="12.75" x14ac:dyDescent="0.2"/>
  <cols>
    <col min="1" max="1" width="10.33203125" bestFit="1" customWidth="1"/>
    <col min="2" max="3" width="9.5" bestFit="1" customWidth="1"/>
    <col min="4" max="4" width="17.5" customWidth="1"/>
    <col min="5" max="7" width="9.5" bestFit="1" customWidth="1"/>
    <col min="9" max="9" width="14.83203125" bestFit="1" customWidth="1"/>
    <col min="10" max="10" width="13.83203125" bestFit="1" customWidth="1"/>
    <col min="11" max="12" width="13.83203125" customWidth="1"/>
    <col min="13" max="13" width="19.6640625" customWidth="1"/>
    <col min="14" max="14" width="13.83203125" bestFit="1" customWidth="1"/>
    <col min="15" max="15" width="12.5" bestFit="1" customWidth="1"/>
  </cols>
  <sheetData>
    <row r="1" spans="1:13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Data'!S1</f>
        <v>GS_gt_50_CoGen_NoCDM</v>
      </c>
      <c r="E1" s="181" t="str">
        <f>'Monthly Data'!BK1</f>
        <v>CDD14</v>
      </c>
      <c r="F1" s="181" t="str">
        <f>'Monthly Data'!CT1</f>
        <v>Peak Days</v>
      </c>
      <c r="G1" s="181" t="str">
        <f>'Monthly Data'!CL1</f>
        <v>Summer2</v>
      </c>
      <c r="I1" s="171" t="s">
        <v>65</v>
      </c>
      <c r="J1" s="181" t="str">
        <f>E1</f>
        <v>CDD14</v>
      </c>
      <c r="K1" s="181" t="str">
        <f>F1</f>
        <v>Peak Days</v>
      </c>
      <c r="L1" s="181" t="str">
        <f>G1</f>
        <v>Summer2</v>
      </c>
      <c r="M1" s="171" t="s">
        <v>373</v>
      </c>
    </row>
    <row r="2" spans="1:13" x14ac:dyDescent="0.2">
      <c r="A2" s="8">
        <f>'Monthly Data'!A2</f>
        <v>42736</v>
      </c>
      <c r="B2">
        <f t="shared" ref="B2:B65" si="0">YEAR(A2)</f>
        <v>2017</v>
      </c>
      <c r="C2">
        <f t="shared" ref="C2:C65" si="1">MONTH(A2)</f>
        <v>1</v>
      </c>
      <c r="D2" s="18">
        <f>'Monthly Data'!S2</f>
        <v>1975229.7103848916</v>
      </c>
      <c r="E2" s="21">
        <f ca="1">Weather!BR34</f>
        <v>0</v>
      </c>
      <c r="F2" s="21">
        <f>'Monthly Data'!CT2</f>
        <v>22</v>
      </c>
      <c r="G2" s="21">
        <f>'Monthly Data'!CL2</f>
        <v>0</v>
      </c>
      <c r="I2" s="11">
        <f>'GS Co Gen Predicted Monthly'!$R$10</f>
        <v>-1091818.61931381</v>
      </c>
      <c r="J2" s="11">
        <f ca="1">E2*'GS Co Gen Predicted Monthly'!$R$11</f>
        <v>0</v>
      </c>
      <c r="K2" s="11">
        <f>F2*'GS Co Gen Predicted Monthly'!$R$12</f>
        <v>3657114.3606755342</v>
      </c>
      <c r="L2" s="11">
        <f>G2*'GS Co Gen Predicted Monthly'!$R$13</f>
        <v>0</v>
      </c>
      <c r="M2" s="11">
        <f ca="1">SUM(I2:L2)</f>
        <v>2565295.7413617242</v>
      </c>
    </row>
    <row r="3" spans="1:13" x14ac:dyDescent="0.2">
      <c r="A3" s="8">
        <f>'Monthly Data'!A3</f>
        <v>42767</v>
      </c>
      <c r="B3">
        <f t="shared" si="0"/>
        <v>2017</v>
      </c>
      <c r="C3">
        <f t="shared" si="1"/>
        <v>2</v>
      </c>
      <c r="D3" s="18">
        <f>'Monthly Data'!S3</f>
        <v>2202382.3384362105</v>
      </c>
      <c r="E3" s="21">
        <f ca="1">Weather!BR35</f>
        <v>0</v>
      </c>
      <c r="F3" s="21">
        <f>'Monthly Data'!CT3</f>
        <v>19</v>
      </c>
      <c r="G3" s="21">
        <f>'Monthly Data'!CL3</f>
        <v>0</v>
      </c>
      <c r="I3" s="11">
        <f>'GS Co Gen Predicted Monthly'!$R$10</f>
        <v>-1091818.61931381</v>
      </c>
      <c r="J3" s="11">
        <f ca="1">E3*'GS Co Gen Predicted Monthly'!$R$11</f>
        <v>0</v>
      </c>
      <c r="K3" s="11">
        <f>F3*'GS Co Gen Predicted Monthly'!$R$12</f>
        <v>3158416.9478561431</v>
      </c>
      <c r="L3" s="11">
        <f>G3*'GS Co Gen Predicted Monthly'!$R$13</f>
        <v>0</v>
      </c>
      <c r="M3" s="11">
        <f t="shared" ref="M3:M66" ca="1" si="2">SUM(I3:L3)</f>
        <v>2066598.3285423331</v>
      </c>
    </row>
    <row r="4" spans="1:13" x14ac:dyDescent="0.2">
      <c r="A4" s="8">
        <f>'Monthly Data'!A4</f>
        <v>42795</v>
      </c>
      <c r="B4">
        <f t="shared" si="0"/>
        <v>2017</v>
      </c>
      <c r="C4">
        <f t="shared" si="1"/>
        <v>3</v>
      </c>
      <c r="D4" s="18">
        <f>'Monthly Data'!S4</f>
        <v>3298889.9664875292</v>
      </c>
      <c r="E4" s="21">
        <f ca="1">Weather!BR36</f>
        <v>0</v>
      </c>
      <c r="F4" s="21">
        <f>'Monthly Data'!CT4</f>
        <v>23</v>
      </c>
      <c r="G4" s="21">
        <f>'Monthly Data'!CL4</f>
        <v>0</v>
      </c>
      <c r="I4" s="11">
        <f>'GS Co Gen Predicted Monthly'!$R$10</f>
        <v>-1091818.61931381</v>
      </c>
      <c r="J4" s="11">
        <f ca="1">E4*'GS Co Gen Predicted Monthly'!$R$11</f>
        <v>0</v>
      </c>
      <c r="K4" s="11">
        <f>F4*'GS Co Gen Predicted Monthly'!$R$12</f>
        <v>3823346.8316153311</v>
      </c>
      <c r="L4" s="11">
        <f>G4*'GS Co Gen Predicted Monthly'!$R$13</f>
        <v>0</v>
      </c>
      <c r="M4" s="11">
        <f t="shared" ca="1" si="2"/>
        <v>2731528.2123015211</v>
      </c>
    </row>
    <row r="5" spans="1:13" x14ac:dyDescent="0.2">
      <c r="A5" s="8">
        <f>'Monthly Data'!A5</f>
        <v>42826</v>
      </c>
      <c r="B5">
        <f t="shared" si="0"/>
        <v>2017</v>
      </c>
      <c r="C5">
        <f t="shared" si="1"/>
        <v>4</v>
      </c>
      <c r="D5" s="18">
        <f>'Monthly Data'!S5</f>
        <v>3834797.5945388479</v>
      </c>
      <c r="E5" s="21">
        <f ca="1">Weather!BR37</f>
        <v>6.5650000000000031</v>
      </c>
      <c r="F5" s="21">
        <f>'Monthly Data'!CT5</f>
        <v>19</v>
      </c>
      <c r="G5" s="21">
        <f>'Monthly Data'!CL5</f>
        <v>0</v>
      </c>
      <c r="I5" s="11">
        <f>'GS Co Gen Predicted Monthly'!$R$10</f>
        <v>-1091818.61931381</v>
      </c>
      <c r="J5" s="11">
        <f ca="1">E5*'GS Co Gen Predicted Monthly'!$R$11</f>
        <v>111632.86410458865</v>
      </c>
      <c r="K5" s="11">
        <f>F5*'GS Co Gen Predicted Monthly'!$R$12</f>
        <v>3158416.9478561431</v>
      </c>
      <c r="L5" s="11">
        <f>G5*'GS Co Gen Predicted Monthly'!$R$13</f>
        <v>0</v>
      </c>
      <c r="M5" s="11">
        <f t="shared" ca="1" si="2"/>
        <v>2178231.1926469216</v>
      </c>
    </row>
    <row r="6" spans="1:13" x14ac:dyDescent="0.2">
      <c r="A6" s="8">
        <f>'Monthly Data'!A6</f>
        <v>42856</v>
      </c>
      <c r="B6">
        <f t="shared" si="0"/>
        <v>2017</v>
      </c>
      <c r="C6">
        <f t="shared" si="1"/>
        <v>5</v>
      </c>
      <c r="D6" s="18">
        <f>'Monthly Data'!S6</f>
        <v>4110768.2225901671</v>
      </c>
      <c r="E6" s="21">
        <f ca="1">Weather!BR38</f>
        <v>59.300416666666649</v>
      </c>
      <c r="F6" s="21">
        <f>'Monthly Data'!CT6</f>
        <v>22</v>
      </c>
      <c r="G6" s="21">
        <f>'Monthly Data'!CL6</f>
        <v>0</v>
      </c>
      <c r="I6" s="11">
        <f>'GS Co Gen Predicted Monthly'!$R$10</f>
        <v>-1091818.61931381</v>
      </c>
      <c r="J6" s="11">
        <f ca="1">E6*'GS Co Gen Predicted Monthly'!$R$11</f>
        <v>1008358.7745766152</v>
      </c>
      <c r="K6" s="11">
        <f>F6*'GS Co Gen Predicted Monthly'!$R$12</f>
        <v>3657114.3606755342</v>
      </c>
      <c r="L6" s="11">
        <f>G6*'GS Co Gen Predicted Monthly'!$R$13</f>
        <v>0</v>
      </c>
      <c r="M6" s="11">
        <f t="shared" ca="1" si="2"/>
        <v>3573654.5159383393</v>
      </c>
    </row>
    <row r="7" spans="1:13" x14ac:dyDescent="0.2">
      <c r="A7" s="8">
        <f>'Monthly Data'!A7</f>
        <v>42887</v>
      </c>
      <c r="B7">
        <f t="shared" si="0"/>
        <v>2017</v>
      </c>
      <c r="C7">
        <f t="shared" si="1"/>
        <v>6</v>
      </c>
      <c r="D7" s="18">
        <f>'Monthly Data'!S7</f>
        <v>5743560.8506414862</v>
      </c>
      <c r="E7" s="21">
        <f ca="1">Weather!BR39</f>
        <v>157.17000000000002</v>
      </c>
      <c r="F7" s="21">
        <f>'Monthly Data'!CT7</f>
        <v>22</v>
      </c>
      <c r="G7" s="21">
        <f>'Monthly Data'!CL7</f>
        <v>0</v>
      </c>
      <c r="I7" s="11">
        <f>'GS Co Gen Predicted Monthly'!$R$10</f>
        <v>-1091818.61931381</v>
      </c>
      <c r="J7" s="11">
        <f ca="1">E7*'GS Co Gen Predicted Monthly'!$R$11</f>
        <v>2672557.083216785</v>
      </c>
      <c r="K7" s="11">
        <f>F7*'GS Co Gen Predicted Monthly'!$R$12</f>
        <v>3657114.3606755342</v>
      </c>
      <c r="L7" s="11">
        <f>G7*'GS Co Gen Predicted Monthly'!$R$13</f>
        <v>0</v>
      </c>
      <c r="M7" s="11">
        <f t="shared" ca="1" si="2"/>
        <v>5237852.8245785087</v>
      </c>
    </row>
    <row r="8" spans="1:13" x14ac:dyDescent="0.2">
      <c r="A8" s="8">
        <f>'Monthly Data'!A8</f>
        <v>42917</v>
      </c>
      <c r="B8">
        <f t="shared" si="0"/>
        <v>2017</v>
      </c>
      <c r="C8">
        <f t="shared" si="1"/>
        <v>7</v>
      </c>
      <c r="D8" s="18">
        <f>'Monthly Data'!S8</f>
        <v>5624575.4786928045</v>
      </c>
      <c r="E8" s="21">
        <f ca="1">Weather!BR40</f>
        <v>231.27145833333333</v>
      </c>
      <c r="F8" s="21">
        <f>'Monthly Data'!CT8</f>
        <v>20</v>
      </c>
      <c r="G8" s="21">
        <f>'Monthly Data'!CL8</f>
        <v>1</v>
      </c>
      <c r="I8" s="11">
        <f>'GS Co Gen Predicted Monthly'!$R$10</f>
        <v>-1091818.61931381</v>
      </c>
      <c r="J8" s="11">
        <f ca="1">E8*'GS Co Gen Predicted Monthly'!$R$11</f>
        <v>3932596.3868080769</v>
      </c>
      <c r="K8" s="11">
        <f>F8*'GS Co Gen Predicted Monthly'!$R$12</f>
        <v>3324649.41879594</v>
      </c>
      <c r="L8" s="11">
        <f>G8*'GS Co Gen Predicted Monthly'!$R$13</f>
        <v>-689077.09586613998</v>
      </c>
      <c r="M8" s="11">
        <f t="shared" ca="1" si="2"/>
        <v>5476350.0904240664</v>
      </c>
    </row>
    <row r="9" spans="1:13" x14ac:dyDescent="0.2">
      <c r="A9" s="8">
        <f>'Monthly Data'!A9</f>
        <v>42948</v>
      </c>
      <c r="B9">
        <f t="shared" si="0"/>
        <v>2017</v>
      </c>
      <c r="C9">
        <f t="shared" si="1"/>
        <v>8</v>
      </c>
      <c r="D9" s="18">
        <f>'Monthly Data'!S9</f>
        <v>4805886.1067441236</v>
      </c>
      <c r="E9" s="21">
        <f ca="1">Weather!BR41</f>
        <v>196.13625000000002</v>
      </c>
      <c r="F9" s="21">
        <f>'Monthly Data'!CT9</f>
        <v>22</v>
      </c>
      <c r="G9" s="21">
        <f>'Monthly Data'!CL9</f>
        <v>1</v>
      </c>
      <c r="I9" s="11">
        <f>'GS Co Gen Predicted Monthly'!$R$10</f>
        <v>-1091818.61931381</v>
      </c>
      <c r="J9" s="11">
        <f ca="1">E9*'GS Co Gen Predicted Monthly'!$R$11</f>
        <v>3335148.7193044354</v>
      </c>
      <c r="K9" s="11">
        <f>F9*'GS Co Gen Predicted Monthly'!$R$12</f>
        <v>3657114.3606755342</v>
      </c>
      <c r="L9" s="11">
        <f>G9*'GS Co Gen Predicted Monthly'!$R$13</f>
        <v>-689077.09586613998</v>
      </c>
      <c r="M9" s="11">
        <f t="shared" ca="1" si="2"/>
        <v>5211367.3648000192</v>
      </c>
    </row>
    <row r="10" spans="1:13" x14ac:dyDescent="0.2">
      <c r="A10" s="8">
        <f>'Monthly Data'!A10</f>
        <v>42979</v>
      </c>
      <c r="B10">
        <f t="shared" si="0"/>
        <v>2017</v>
      </c>
      <c r="C10">
        <f t="shared" si="1"/>
        <v>9</v>
      </c>
      <c r="D10" s="18">
        <f>'Monthly Data'!S10</f>
        <v>3970931.7347954423</v>
      </c>
      <c r="E10" s="21">
        <f ca="1">Weather!BR42</f>
        <v>104.19854166666664</v>
      </c>
      <c r="F10" s="21">
        <f>'Monthly Data'!CT10</f>
        <v>20</v>
      </c>
      <c r="G10" s="21">
        <f>'Monthly Data'!CL10</f>
        <v>0</v>
      </c>
      <c r="I10" s="11">
        <f>'GS Co Gen Predicted Monthly'!$R$10</f>
        <v>-1091818.61931381</v>
      </c>
      <c r="J10" s="11">
        <f ca="1">E10*'GS Co Gen Predicted Monthly'!$R$11</f>
        <v>1771817.4625698873</v>
      </c>
      <c r="K10" s="11">
        <f>F10*'GS Co Gen Predicted Monthly'!$R$12</f>
        <v>3324649.41879594</v>
      </c>
      <c r="L10" s="11">
        <f>G10*'GS Co Gen Predicted Monthly'!$R$13</f>
        <v>0</v>
      </c>
      <c r="M10" s="11">
        <f t="shared" ca="1" si="2"/>
        <v>4004648.2620520173</v>
      </c>
    </row>
    <row r="11" spans="1:13" x14ac:dyDescent="0.2">
      <c r="A11" s="8">
        <f>'Monthly Data'!A11</f>
        <v>43009</v>
      </c>
      <c r="B11">
        <f t="shared" si="0"/>
        <v>2017</v>
      </c>
      <c r="C11">
        <f t="shared" si="1"/>
        <v>10</v>
      </c>
      <c r="D11" s="18">
        <f>'Monthly Data'!S11</f>
        <v>5177643.362846761</v>
      </c>
      <c r="E11" s="21">
        <f ca="1">Weather!BR43</f>
        <v>24.703125000000007</v>
      </c>
      <c r="F11" s="21">
        <f>'Monthly Data'!CT11</f>
        <v>21</v>
      </c>
      <c r="G11" s="21">
        <f>'Monthly Data'!CL11</f>
        <v>0</v>
      </c>
      <c r="I11" s="11">
        <f>'GS Co Gen Predicted Monthly'!$R$10</f>
        <v>-1091818.61931381</v>
      </c>
      <c r="J11" s="11">
        <f ca="1">E11*'GS Co Gen Predicted Monthly'!$R$11</f>
        <v>420057.97350855538</v>
      </c>
      <c r="K11" s="11">
        <f>F11*'GS Co Gen Predicted Monthly'!$R$12</f>
        <v>3490881.8897357369</v>
      </c>
      <c r="L11" s="11">
        <f>G11*'GS Co Gen Predicted Monthly'!$R$13</f>
        <v>0</v>
      </c>
      <c r="M11" s="11">
        <f t="shared" ca="1" si="2"/>
        <v>2819121.2439304823</v>
      </c>
    </row>
    <row r="12" spans="1:13" x14ac:dyDescent="0.2">
      <c r="A12" s="8">
        <f>'Monthly Data'!A12</f>
        <v>43040</v>
      </c>
      <c r="B12">
        <f t="shared" si="0"/>
        <v>2017</v>
      </c>
      <c r="C12">
        <f t="shared" si="1"/>
        <v>11</v>
      </c>
      <c r="D12" s="18">
        <f>'Monthly Data'!S12</f>
        <v>3296588.9908980802</v>
      </c>
      <c r="E12" s="21">
        <f ca="1">Weather!BR44</f>
        <v>1.6454166666666665</v>
      </c>
      <c r="F12" s="21">
        <f>'Monthly Data'!CT12</f>
        <v>22</v>
      </c>
      <c r="G12" s="21">
        <f>'Monthly Data'!CL12</f>
        <v>0</v>
      </c>
      <c r="I12" s="11">
        <f>'GS Co Gen Predicted Monthly'!$R$10</f>
        <v>-1091818.61931381</v>
      </c>
      <c r="J12" s="11">
        <f ca="1">E12*'GS Co Gen Predicted Monthly'!$R$11</f>
        <v>27979.067044238407</v>
      </c>
      <c r="K12" s="11">
        <f>F12*'GS Co Gen Predicted Monthly'!$R$12</f>
        <v>3657114.3606755342</v>
      </c>
      <c r="L12" s="11">
        <f>G12*'GS Co Gen Predicted Monthly'!$R$13</f>
        <v>0</v>
      </c>
      <c r="M12" s="11">
        <f t="shared" ca="1" si="2"/>
        <v>2593274.8084059628</v>
      </c>
    </row>
    <row r="13" spans="1:13" x14ac:dyDescent="0.2">
      <c r="A13" s="8">
        <f>'Monthly Data'!A13</f>
        <v>43070</v>
      </c>
      <c r="B13">
        <f t="shared" si="0"/>
        <v>2017</v>
      </c>
      <c r="C13">
        <f t="shared" si="1"/>
        <v>12</v>
      </c>
      <c r="D13" s="18">
        <f>'Monthly Data'!S13</f>
        <v>3331855.6189493993</v>
      </c>
      <c r="E13" s="21">
        <f ca="1">Weather!BR45</f>
        <v>0</v>
      </c>
      <c r="F13" s="21">
        <f>'Monthly Data'!CT13</f>
        <v>19</v>
      </c>
      <c r="G13" s="21">
        <f>'Monthly Data'!CL13</f>
        <v>0</v>
      </c>
      <c r="I13" s="11">
        <f>'GS Co Gen Predicted Monthly'!$R$10</f>
        <v>-1091818.61931381</v>
      </c>
      <c r="J13" s="11">
        <f ca="1">E13*'GS Co Gen Predicted Monthly'!$R$11</f>
        <v>0</v>
      </c>
      <c r="K13" s="11">
        <f>F13*'GS Co Gen Predicted Monthly'!$R$12</f>
        <v>3158416.9478561431</v>
      </c>
      <c r="L13" s="11">
        <f>G13*'GS Co Gen Predicted Monthly'!$R$13</f>
        <v>0</v>
      </c>
      <c r="M13" s="11">
        <f t="shared" ca="1" si="2"/>
        <v>2066598.3285423331</v>
      </c>
    </row>
    <row r="14" spans="1:13" x14ac:dyDescent="0.2">
      <c r="A14" s="8">
        <f>'Monthly Data'!A14</f>
        <v>43101</v>
      </c>
      <c r="B14">
        <f t="shared" si="0"/>
        <v>2018</v>
      </c>
      <c r="C14">
        <f t="shared" si="1"/>
        <v>1</v>
      </c>
      <c r="D14" s="18">
        <f>'Monthly Data'!S14</f>
        <v>3880776.3635845515</v>
      </c>
      <c r="E14" s="21">
        <f t="shared" ref="E14:E29" ca="1" si="3">E2</f>
        <v>0</v>
      </c>
      <c r="F14" s="21">
        <f>'Monthly Data'!CT14</f>
        <v>22</v>
      </c>
      <c r="G14" s="21">
        <f>'Monthly Data'!CL14</f>
        <v>0</v>
      </c>
      <c r="I14" s="11">
        <f>'GS Co Gen Predicted Monthly'!$R$10</f>
        <v>-1091818.61931381</v>
      </c>
      <c r="J14" s="11">
        <f ca="1">E14*'GS Co Gen Predicted Monthly'!$R$11</f>
        <v>0</v>
      </c>
      <c r="K14" s="11">
        <f>F14*'GS Co Gen Predicted Monthly'!$R$12</f>
        <v>3657114.3606755342</v>
      </c>
      <c r="L14" s="11">
        <f>G14*'GS Co Gen Predicted Monthly'!$R$13</f>
        <v>0</v>
      </c>
      <c r="M14" s="11">
        <f t="shared" ca="1" si="2"/>
        <v>2565295.7413617242</v>
      </c>
    </row>
    <row r="15" spans="1:13" x14ac:dyDescent="0.2">
      <c r="A15" s="8">
        <f>'Monthly Data'!A15</f>
        <v>43132</v>
      </c>
      <c r="B15">
        <f t="shared" si="0"/>
        <v>2018</v>
      </c>
      <c r="C15">
        <f t="shared" si="1"/>
        <v>2</v>
      </c>
      <c r="D15" s="18">
        <f>'Monthly Data'!S15</f>
        <v>2504493.9234402059</v>
      </c>
      <c r="E15" s="21">
        <f t="shared" ca="1" si="3"/>
        <v>0</v>
      </c>
      <c r="F15" s="21">
        <f>'Monthly Data'!CT15</f>
        <v>19</v>
      </c>
      <c r="G15" s="21">
        <f>'Monthly Data'!CL15</f>
        <v>0</v>
      </c>
      <c r="I15" s="11">
        <f>'GS Co Gen Predicted Monthly'!$R$10</f>
        <v>-1091818.61931381</v>
      </c>
      <c r="J15" s="11">
        <f ca="1">E15*'GS Co Gen Predicted Monthly'!$R$11</f>
        <v>0</v>
      </c>
      <c r="K15" s="11">
        <f>F15*'GS Co Gen Predicted Monthly'!$R$12</f>
        <v>3158416.9478561431</v>
      </c>
      <c r="L15" s="11">
        <f>G15*'GS Co Gen Predicted Monthly'!$R$13</f>
        <v>0</v>
      </c>
      <c r="M15" s="11">
        <f t="shared" ca="1" si="2"/>
        <v>2066598.3285423331</v>
      </c>
    </row>
    <row r="16" spans="1:13" x14ac:dyDescent="0.2">
      <c r="A16" s="8">
        <f>'Monthly Data'!A16</f>
        <v>43160</v>
      </c>
      <c r="B16">
        <f t="shared" si="0"/>
        <v>2018</v>
      </c>
      <c r="C16">
        <f t="shared" si="1"/>
        <v>3</v>
      </c>
      <c r="D16" s="18">
        <f>'Monthly Data'!S16</f>
        <v>2696023.4832958602</v>
      </c>
      <c r="E16" s="21">
        <f t="shared" ca="1" si="3"/>
        <v>0</v>
      </c>
      <c r="F16" s="21">
        <f>'Monthly Data'!CT16</f>
        <v>21</v>
      </c>
      <c r="G16" s="21">
        <f>'Monthly Data'!CL16</f>
        <v>0</v>
      </c>
      <c r="I16" s="11">
        <f>'GS Co Gen Predicted Monthly'!$R$10</f>
        <v>-1091818.61931381</v>
      </c>
      <c r="J16" s="11">
        <f ca="1">E16*'GS Co Gen Predicted Monthly'!$R$11</f>
        <v>0</v>
      </c>
      <c r="K16" s="11">
        <f>F16*'GS Co Gen Predicted Monthly'!$R$12</f>
        <v>3490881.8897357369</v>
      </c>
      <c r="L16" s="11">
        <f>G16*'GS Co Gen Predicted Monthly'!$R$13</f>
        <v>0</v>
      </c>
      <c r="M16" s="11">
        <f t="shared" ca="1" si="2"/>
        <v>2399063.2704219269</v>
      </c>
    </row>
    <row r="17" spans="1:14" x14ac:dyDescent="0.2">
      <c r="A17" s="8">
        <f>'Monthly Data'!A17</f>
        <v>43191</v>
      </c>
      <c r="B17">
        <f t="shared" si="0"/>
        <v>2018</v>
      </c>
      <c r="C17">
        <f t="shared" si="1"/>
        <v>4</v>
      </c>
      <c r="D17" s="18">
        <f>'Monthly Data'!S17</f>
        <v>2447627.0431515141</v>
      </c>
      <c r="E17" s="21">
        <f t="shared" ca="1" si="3"/>
        <v>6.5650000000000031</v>
      </c>
      <c r="F17" s="21">
        <f>'Monthly Data'!CT17</f>
        <v>21</v>
      </c>
      <c r="G17" s="21">
        <f>'Monthly Data'!CL17</f>
        <v>0</v>
      </c>
      <c r="I17" s="11">
        <f>'GS Co Gen Predicted Monthly'!$R$10</f>
        <v>-1091818.61931381</v>
      </c>
      <c r="J17" s="11">
        <f ca="1">E17*'GS Co Gen Predicted Monthly'!$R$11</f>
        <v>111632.86410458865</v>
      </c>
      <c r="K17" s="11">
        <f>F17*'GS Co Gen Predicted Monthly'!$R$12</f>
        <v>3490881.8897357369</v>
      </c>
      <c r="L17" s="11">
        <f>G17*'GS Co Gen Predicted Monthly'!$R$13</f>
        <v>0</v>
      </c>
      <c r="M17" s="11">
        <f t="shared" ca="1" si="2"/>
        <v>2510696.1345265154</v>
      </c>
    </row>
    <row r="18" spans="1:14" x14ac:dyDescent="0.2">
      <c r="A18" s="8">
        <f>'Monthly Data'!A18</f>
        <v>43221</v>
      </c>
      <c r="B18">
        <f t="shared" si="0"/>
        <v>2018</v>
      </c>
      <c r="C18">
        <f t="shared" si="1"/>
        <v>5</v>
      </c>
      <c r="D18" s="18">
        <f>'Monthly Data'!S18</f>
        <v>4551338.6030071685</v>
      </c>
      <c r="E18" s="21">
        <f t="shared" ca="1" si="3"/>
        <v>59.300416666666649</v>
      </c>
      <c r="F18" s="21">
        <f>'Monthly Data'!CT18</f>
        <v>22</v>
      </c>
      <c r="G18" s="21">
        <f>'Monthly Data'!CL18</f>
        <v>0</v>
      </c>
      <c r="I18" s="11">
        <f>'GS Co Gen Predicted Monthly'!$R$10</f>
        <v>-1091818.61931381</v>
      </c>
      <c r="J18" s="11">
        <f ca="1">E18*'GS Co Gen Predicted Monthly'!$R$11</f>
        <v>1008358.7745766152</v>
      </c>
      <c r="K18" s="11">
        <f>F18*'GS Co Gen Predicted Monthly'!$R$12</f>
        <v>3657114.3606755342</v>
      </c>
      <c r="L18" s="11">
        <f>G18*'GS Co Gen Predicted Monthly'!$R$13</f>
        <v>0</v>
      </c>
      <c r="M18" s="11">
        <f t="shared" ca="1" si="2"/>
        <v>3573654.5159383393</v>
      </c>
    </row>
    <row r="19" spans="1:14" x14ac:dyDescent="0.2">
      <c r="A19" s="8">
        <f>'Monthly Data'!A19</f>
        <v>43252</v>
      </c>
      <c r="B19">
        <f t="shared" si="0"/>
        <v>2018</v>
      </c>
      <c r="C19">
        <f t="shared" si="1"/>
        <v>6</v>
      </c>
      <c r="D19" s="18">
        <f>'Monthly Data'!S19</f>
        <v>6710847.1628628224</v>
      </c>
      <c r="E19" s="21">
        <f t="shared" ca="1" si="3"/>
        <v>157.17000000000002</v>
      </c>
      <c r="F19" s="21">
        <f>'Monthly Data'!CT19</f>
        <v>21</v>
      </c>
      <c r="G19" s="21">
        <f>'Monthly Data'!CL19</f>
        <v>0</v>
      </c>
      <c r="I19" s="11">
        <f>'GS Co Gen Predicted Monthly'!$R$10</f>
        <v>-1091818.61931381</v>
      </c>
      <c r="J19" s="11">
        <f ca="1">E19*'GS Co Gen Predicted Monthly'!$R$11</f>
        <v>2672557.083216785</v>
      </c>
      <c r="K19" s="11">
        <f>F19*'GS Co Gen Predicted Monthly'!$R$12</f>
        <v>3490881.8897357369</v>
      </c>
      <c r="L19" s="11">
        <f>G19*'GS Co Gen Predicted Monthly'!$R$13</f>
        <v>0</v>
      </c>
      <c r="M19" s="11">
        <f t="shared" ca="1" si="2"/>
        <v>5071620.3536387123</v>
      </c>
      <c r="N19" s="60"/>
    </row>
    <row r="20" spans="1:14" x14ac:dyDescent="0.2">
      <c r="A20" s="8">
        <f>'Monthly Data'!A20</f>
        <v>43282</v>
      </c>
      <c r="B20">
        <f t="shared" si="0"/>
        <v>2018</v>
      </c>
      <c r="C20">
        <f t="shared" si="1"/>
        <v>7</v>
      </c>
      <c r="D20" s="18">
        <f>'Monthly Data'!S20</f>
        <v>7368543.7227184772</v>
      </c>
      <c r="E20" s="21">
        <f t="shared" ca="1" si="3"/>
        <v>231.27145833333333</v>
      </c>
      <c r="F20" s="21">
        <f>'Monthly Data'!CT20</f>
        <v>21</v>
      </c>
      <c r="G20" s="21">
        <f>'Monthly Data'!CL20</f>
        <v>1</v>
      </c>
      <c r="I20" s="11">
        <f>'GS Co Gen Predicted Monthly'!$R$10</f>
        <v>-1091818.61931381</v>
      </c>
      <c r="J20" s="11">
        <f ca="1">E20*'GS Co Gen Predicted Monthly'!$R$11</f>
        <v>3932596.3868080769</v>
      </c>
      <c r="K20" s="11">
        <f>F20*'GS Co Gen Predicted Monthly'!$R$12</f>
        <v>3490881.8897357369</v>
      </c>
      <c r="L20" s="11">
        <f>G20*'GS Co Gen Predicted Monthly'!$R$13</f>
        <v>-689077.09586613998</v>
      </c>
      <c r="M20" s="11">
        <f t="shared" ca="1" si="2"/>
        <v>5642582.5613638638</v>
      </c>
    </row>
    <row r="21" spans="1:14" x14ac:dyDescent="0.2">
      <c r="A21" s="8">
        <f>'Monthly Data'!A21</f>
        <v>43313</v>
      </c>
      <c r="B21">
        <f t="shared" si="0"/>
        <v>2018</v>
      </c>
      <c r="C21">
        <f t="shared" si="1"/>
        <v>8</v>
      </c>
      <c r="D21" s="18">
        <f>'Monthly Data'!S21</f>
        <v>6976940.2825741312</v>
      </c>
      <c r="E21" s="21">
        <f t="shared" ca="1" si="3"/>
        <v>196.13625000000002</v>
      </c>
      <c r="F21" s="21">
        <f>'Monthly Data'!CT21</f>
        <v>22</v>
      </c>
      <c r="G21" s="21">
        <f>'Monthly Data'!CL21</f>
        <v>1</v>
      </c>
      <c r="I21" s="11">
        <f>'GS Co Gen Predicted Monthly'!$R$10</f>
        <v>-1091818.61931381</v>
      </c>
      <c r="J21" s="11">
        <f ca="1">E21*'GS Co Gen Predicted Monthly'!$R$11</f>
        <v>3335148.7193044354</v>
      </c>
      <c r="K21" s="11">
        <f>F21*'GS Co Gen Predicted Monthly'!$R$12</f>
        <v>3657114.3606755342</v>
      </c>
      <c r="L21" s="11">
        <f>G21*'GS Co Gen Predicted Monthly'!$R$13</f>
        <v>-689077.09586613998</v>
      </c>
      <c r="M21" s="11">
        <f t="shared" ca="1" si="2"/>
        <v>5211367.3648000192</v>
      </c>
    </row>
    <row r="22" spans="1:14" x14ac:dyDescent="0.2">
      <c r="A22" s="8">
        <f>'Monthly Data'!A22</f>
        <v>43344</v>
      </c>
      <c r="B22">
        <f t="shared" si="0"/>
        <v>2018</v>
      </c>
      <c r="C22">
        <f t="shared" si="1"/>
        <v>9</v>
      </c>
      <c r="D22" s="18">
        <f>'Monthly Data'!S22</f>
        <v>5331752.8424297851</v>
      </c>
      <c r="E22" s="21">
        <f t="shared" ca="1" si="3"/>
        <v>104.19854166666664</v>
      </c>
      <c r="F22" s="21">
        <f>'Monthly Data'!CT22</f>
        <v>19</v>
      </c>
      <c r="G22" s="21">
        <f>'Monthly Data'!CL22</f>
        <v>0</v>
      </c>
      <c r="I22" s="11">
        <f>'GS Co Gen Predicted Monthly'!$R$10</f>
        <v>-1091818.61931381</v>
      </c>
      <c r="J22" s="11">
        <f ca="1">E22*'GS Co Gen Predicted Monthly'!$R$11</f>
        <v>1771817.4625698873</v>
      </c>
      <c r="K22" s="11">
        <f>F22*'GS Co Gen Predicted Monthly'!$R$12</f>
        <v>3158416.9478561431</v>
      </c>
      <c r="L22" s="11">
        <f>G22*'GS Co Gen Predicted Monthly'!$R$13</f>
        <v>0</v>
      </c>
      <c r="M22" s="11">
        <f t="shared" ca="1" si="2"/>
        <v>3838415.7911122204</v>
      </c>
    </row>
    <row r="23" spans="1:14" x14ac:dyDescent="0.2">
      <c r="A23" s="8">
        <f>'Monthly Data'!A23</f>
        <v>43374</v>
      </c>
      <c r="B23">
        <f t="shared" si="0"/>
        <v>2018</v>
      </c>
      <c r="C23">
        <f t="shared" si="1"/>
        <v>10</v>
      </c>
      <c r="D23" s="18">
        <f>'Monthly Data'!S23</f>
        <v>2940054.4022854394</v>
      </c>
      <c r="E23" s="21">
        <f t="shared" ca="1" si="3"/>
        <v>24.703125000000007</v>
      </c>
      <c r="F23" s="21">
        <f>'Monthly Data'!CT23</f>
        <v>22</v>
      </c>
      <c r="G23" s="21">
        <f>'Monthly Data'!CL23</f>
        <v>0</v>
      </c>
      <c r="I23" s="11">
        <f>'GS Co Gen Predicted Monthly'!$R$10</f>
        <v>-1091818.61931381</v>
      </c>
      <c r="J23" s="11">
        <f ca="1">E23*'GS Co Gen Predicted Monthly'!$R$11</f>
        <v>420057.97350855538</v>
      </c>
      <c r="K23" s="11">
        <f>F23*'GS Co Gen Predicted Monthly'!$R$12</f>
        <v>3657114.3606755342</v>
      </c>
      <c r="L23" s="11">
        <f>G23*'GS Co Gen Predicted Monthly'!$R$13</f>
        <v>0</v>
      </c>
      <c r="M23" s="11">
        <f t="shared" ca="1" si="2"/>
        <v>2985353.7148702797</v>
      </c>
    </row>
    <row r="24" spans="1:14" x14ac:dyDescent="0.2">
      <c r="A24" s="8">
        <f>'Monthly Data'!A24</f>
        <v>43405</v>
      </c>
      <c r="B24">
        <f t="shared" si="0"/>
        <v>2018</v>
      </c>
      <c r="C24">
        <f t="shared" si="1"/>
        <v>11</v>
      </c>
      <c r="D24" s="18">
        <f>'Monthly Data'!S24</f>
        <v>1832037.9621410936</v>
      </c>
      <c r="E24" s="21">
        <f t="shared" ca="1" si="3"/>
        <v>1.6454166666666665</v>
      </c>
      <c r="F24" s="21">
        <f>'Monthly Data'!CT24</f>
        <v>22</v>
      </c>
      <c r="G24" s="21">
        <f>'Monthly Data'!CL24</f>
        <v>0</v>
      </c>
      <c r="I24" s="11">
        <f>'GS Co Gen Predicted Monthly'!$R$10</f>
        <v>-1091818.61931381</v>
      </c>
      <c r="J24" s="11">
        <f ca="1">E24*'GS Co Gen Predicted Monthly'!$R$11</f>
        <v>27979.067044238407</v>
      </c>
      <c r="K24" s="11">
        <f>F24*'GS Co Gen Predicted Monthly'!$R$12</f>
        <v>3657114.3606755342</v>
      </c>
      <c r="L24" s="11">
        <f>G24*'GS Co Gen Predicted Monthly'!$R$13</f>
        <v>0</v>
      </c>
      <c r="M24" s="11">
        <f t="shared" ca="1" si="2"/>
        <v>2593274.8084059628</v>
      </c>
    </row>
    <row r="25" spans="1:14" x14ac:dyDescent="0.2">
      <c r="A25" s="8">
        <f>'Monthly Data'!A25</f>
        <v>43435</v>
      </c>
      <c r="B25">
        <f t="shared" si="0"/>
        <v>2018</v>
      </c>
      <c r="C25">
        <f t="shared" si="1"/>
        <v>12</v>
      </c>
      <c r="D25" s="18">
        <f>'Monthly Data'!S25</f>
        <v>1067103.5219967477</v>
      </c>
      <c r="E25" s="21">
        <f t="shared" ca="1" si="3"/>
        <v>0</v>
      </c>
      <c r="F25" s="21">
        <f>'Monthly Data'!CT25</f>
        <v>19</v>
      </c>
      <c r="G25" s="21">
        <f>'Monthly Data'!CL25</f>
        <v>0</v>
      </c>
      <c r="I25" s="11">
        <f>'GS Co Gen Predicted Monthly'!$R$10</f>
        <v>-1091818.61931381</v>
      </c>
      <c r="J25" s="11">
        <f ca="1">E25*'GS Co Gen Predicted Monthly'!$R$11</f>
        <v>0</v>
      </c>
      <c r="K25" s="11">
        <f>F25*'GS Co Gen Predicted Monthly'!$R$12</f>
        <v>3158416.9478561431</v>
      </c>
      <c r="L25" s="11">
        <f>G25*'GS Co Gen Predicted Monthly'!$R$13</f>
        <v>0</v>
      </c>
      <c r="M25" s="11">
        <f t="shared" ca="1" si="2"/>
        <v>2066598.3285423331</v>
      </c>
    </row>
    <row r="26" spans="1:14" x14ac:dyDescent="0.2">
      <c r="A26" s="8">
        <f>'Monthly Data'!A26</f>
        <v>43466</v>
      </c>
      <c r="B26">
        <f t="shared" si="0"/>
        <v>2019</v>
      </c>
      <c r="C26">
        <f t="shared" si="1"/>
        <v>1</v>
      </c>
      <c r="D26" s="18">
        <f>'Monthly Data'!S26</f>
        <v>974399.68585805758</v>
      </c>
      <c r="E26" s="21">
        <f t="shared" ca="1" si="3"/>
        <v>0</v>
      </c>
      <c r="F26" s="21">
        <f>'Monthly Data'!CT26</f>
        <v>22</v>
      </c>
      <c r="G26" s="21">
        <f>'Monthly Data'!CL26</f>
        <v>0</v>
      </c>
      <c r="I26" s="11">
        <f>'GS Co Gen Predicted Monthly'!$R$10</f>
        <v>-1091818.61931381</v>
      </c>
      <c r="J26" s="11">
        <f ca="1">E26*'GS Co Gen Predicted Monthly'!$R$11</f>
        <v>0</v>
      </c>
      <c r="K26" s="11">
        <f>F26*'GS Co Gen Predicted Monthly'!$R$12</f>
        <v>3657114.3606755342</v>
      </c>
      <c r="L26" s="11">
        <f>G26*'GS Co Gen Predicted Monthly'!$R$13</f>
        <v>0</v>
      </c>
      <c r="M26" s="11">
        <f t="shared" ca="1" si="2"/>
        <v>2565295.7413617242</v>
      </c>
    </row>
    <row r="27" spans="1:14" x14ac:dyDescent="0.2">
      <c r="A27" s="8">
        <f>'Monthly Data'!A27</f>
        <v>43497</v>
      </c>
      <c r="B27">
        <f t="shared" si="0"/>
        <v>2019</v>
      </c>
      <c r="C27">
        <f t="shared" si="1"/>
        <v>2</v>
      </c>
      <c r="D27" s="18">
        <f>'Monthly Data'!S27</f>
        <v>1021148.6465925851</v>
      </c>
      <c r="E27" s="21">
        <f t="shared" ca="1" si="3"/>
        <v>0</v>
      </c>
      <c r="F27" s="21">
        <f>'Monthly Data'!CT27</f>
        <v>19</v>
      </c>
      <c r="G27" s="21">
        <f>'Monthly Data'!CL27</f>
        <v>0</v>
      </c>
      <c r="I27" s="11">
        <f>'GS Co Gen Predicted Monthly'!$R$10</f>
        <v>-1091818.61931381</v>
      </c>
      <c r="J27" s="11">
        <f ca="1">E27*'GS Co Gen Predicted Monthly'!$R$11</f>
        <v>0</v>
      </c>
      <c r="K27" s="11">
        <f>F27*'GS Co Gen Predicted Monthly'!$R$12</f>
        <v>3158416.9478561431</v>
      </c>
      <c r="L27" s="11">
        <f>G27*'GS Co Gen Predicted Monthly'!$R$13</f>
        <v>0</v>
      </c>
      <c r="M27" s="11">
        <f t="shared" ca="1" si="2"/>
        <v>2066598.3285423331</v>
      </c>
    </row>
    <row r="28" spans="1:14" x14ac:dyDescent="0.2">
      <c r="A28" s="8">
        <f>'Monthly Data'!A28</f>
        <v>43525</v>
      </c>
      <c r="B28">
        <f t="shared" si="0"/>
        <v>2019</v>
      </c>
      <c r="C28">
        <f t="shared" si="1"/>
        <v>3</v>
      </c>
      <c r="D28" s="18">
        <f>'Monthly Data'!S28</f>
        <v>1585107.5608721885</v>
      </c>
      <c r="E28" s="21">
        <f t="shared" ca="1" si="3"/>
        <v>0</v>
      </c>
      <c r="F28" s="21">
        <f>'Monthly Data'!CT28</f>
        <v>22</v>
      </c>
      <c r="G28" s="21">
        <f>'Monthly Data'!CL28</f>
        <v>0</v>
      </c>
      <c r="I28" s="11">
        <f>'GS Co Gen Predicted Monthly'!$R$10</f>
        <v>-1091818.61931381</v>
      </c>
      <c r="J28" s="11">
        <f ca="1">E28*'GS Co Gen Predicted Monthly'!$R$11</f>
        <v>0</v>
      </c>
      <c r="K28" s="11">
        <f>F28*'GS Co Gen Predicted Monthly'!$R$12</f>
        <v>3657114.3606755342</v>
      </c>
      <c r="L28" s="11">
        <f>G28*'GS Co Gen Predicted Monthly'!$R$13</f>
        <v>0</v>
      </c>
      <c r="M28" s="11">
        <f t="shared" ca="1" si="2"/>
        <v>2565295.7413617242</v>
      </c>
    </row>
    <row r="29" spans="1:14" x14ac:dyDescent="0.2">
      <c r="A29" s="8">
        <f>'Monthly Data'!A29</f>
        <v>43556</v>
      </c>
      <c r="B29">
        <f t="shared" si="0"/>
        <v>2019</v>
      </c>
      <c r="C29">
        <f t="shared" si="1"/>
        <v>4</v>
      </c>
      <c r="D29" s="18">
        <f>'Monthly Data'!S29</f>
        <v>1359530.64393672</v>
      </c>
      <c r="E29" s="21">
        <f t="shared" ca="1" si="3"/>
        <v>6.5650000000000031</v>
      </c>
      <c r="F29" s="21">
        <f>'Monthly Data'!CT29</f>
        <v>21</v>
      </c>
      <c r="G29" s="21">
        <f>'Monthly Data'!CL29</f>
        <v>0</v>
      </c>
      <c r="I29" s="11">
        <f>'GS Co Gen Predicted Monthly'!$R$10</f>
        <v>-1091818.61931381</v>
      </c>
      <c r="J29" s="11">
        <f ca="1">E29*'GS Co Gen Predicted Monthly'!$R$11</f>
        <v>111632.86410458865</v>
      </c>
      <c r="K29" s="11">
        <f>F29*'GS Co Gen Predicted Monthly'!$R$12</f>
        <v>3490881.8897357369</v>
      </c>
      <c r="L29" s="11">
        <f>G29*'GS Co Gen Predicted Monthly'!$R$13</f>
        <v>0</v>
      </c>
      <c r="M29" s="11">
        <f t="shared" ca="1" si="2"/>
        <v>2510696.1345265154</v>
      </c>
    </row>
    <row r="30" spans="1:14" x14ac:dyDescent="0.2">
      <c r="A30" s="8">
        <f>'Monthly Data'!A30</f>
        <v>43586</v>
      </c>
      <c r="B30">
        <f t="shared" si="0"/>
        <v>2019</v>
      </c>
      <c r="C30">
        <f t="shared" si="1"/>
        <v>5</v>
      </c>
      <c r="D30" s="18">
        <f>'Monthly Data'!S30</f>
        <v>3085749.3748756615</v>
      </c>
      <c r="E30" s="21">
        <f t="shared" ref="E30:E45" ca="1" si="4">E18</f>
        <v>59.300416666666649</v>
      </c>
      <c r="F30" s="21">
        <f>'Monthly Data'!CT30</f>
        <v>20</v>
      </c>
      <c r="G30" s="21">
        <f>'Monthly Data'!CL30</f>
        <v>0</v>
      </c>
      <c r="I30" s="11">
        <f>'GS Co Gen Predicted Monthly'!$R$10</f>
        <v>-1091818.61931381</v>
      </c>
      <c r="J30" s="11">
        <f ca="1">E30*'GS Co Gen Predicted Monthly'!$R$11</f>
        <v>1008358.7745766152</v>
      </c>
      <c r="K30" s="11">
        <f>F30*'GS Co Gen Predicted Monthly'!$R$12</f>
        <v>3324649.41879594</v>
      </c>
      <c r="L30" s="11">
        <f>G30*'GS Co Gen Predicted Monthly'!$R$13</f>
        <v>0</v>
      </c>
      <c r="M30" s="11">
        <f t="shared" ca="1" si="2"/>
        <v>3241189.5740587451</v>
      </c>
    </row>
    <row r="31" spans="1:14" x14ac:dyDescent="0.2">
      <c r="A31" s="8">
        <f>'Monthly Data'!A31</f>
        <v>43617</v>
      </c>
      <c r="B31">
        <f t="shared" si="0"/>
        <v>2019</v>
      </c>
      <c r="C31">
        <f t="shared" si="1"/>
        <v>6</v>
      </c>
      <c r="D31" s="18">
        <f>'Monthly Data'!S31</f>
        <v>5783735.5531390533</v>
      </c>
      <c r="E31" s="21">
        <f t="shared" ca="1" si="4"/>
        <v>157.17000000000002</v>
      </c>
      <c r="F31" s="21">
        <f>'Monthly Data'!CT31</f>
        <v>22</v>
      </c>
      <c r="G31" s="21">
        <f>'Monthly Data'!CL31</f>
        <v>0</v>
      </c>
      <c r="I31" s="11">
        <f>'GS Co Gen Predicted Monthly'!$R$10</f>
        <v>-1091818.61931381</v>
      </c>
      <c r="J31" s="11">
        <f ca="1">E31*'GS Co Gen Predicted Monthly'!$R$11</f>
        <v>2672557.083216785</v>
      </c>
      <c r="K31" s="11">
        <f>F31*'GS Co Gen Predicted Monthly'!$R$12</f>
        <v>3657114.3606755342</v>
      </c>
      <c r="L31" s="11">
        <f>G31*'GS Co Gen Predicted Monthly'!$R$13</f>
        <v>0</v>
      </c>
      <c r="M31" s="11">
        <f t="shared" ca="1" si="2"/>
        <v>5237852.8245785087</v>
      </c>
    </row>
    <row r="32" spans="1:14" x14ac:dyDescent="0.2">
      <c r="A32" s="8">
        <f>'Monthly Data'!A32</f>
        <v>43647</v>
      </c>
      <c r="B32">
        <f t="shared" si="0"/>
        <v>2019</v>
      </c>
      <c r="C32">
        <f t="shared" si="1"/>
        <v>7</v>
      </c>
      <c r="D32" s="18">
        <f>'Monthly Data'!S32</f>
        <v>6779873.4461094243</v>
      </c>
      <c r="E32" s="21">
        <f t="shared" ca="1" si="4"/>
        <v>231.27145833333333</v>
      </c>
      <c r="F32" s="21">
        <f>'Monthly Data'!CT32</f>
        <v>22</v>
      </c>
      <c r="G32" s="21">
        <f>'Monthly Data'!CL32</f>
        <v>1</v>
      </c>
      <c r="I32" s="11">
        <f>'GS Co Gen Predicted Monthly'!$R$10</f>
        <v>-1091818.61931381</v>
      </c>
      <c r="J32" s="11">
        <f ca="1">E32*'GS Co Gen Predicted Monthly'!$R$11</f>
        <v>3932596.3868080769</v>
      </c>
      <c r="K32" s="11">
        <f>F32*'GS Co Gen Predicted Monthly'!$R$12</f>
        <v>3657114.3606755342</v>
      </c>
      <c r="L32" s="11">
        <f>G32*'GS Co Gen Predicted Monthly'!$R$13</f>
        <v>-689077.09586613998</v>
      </c>
      <c r="M32" s="11">
        <f t="shared" ca="1" si="2"/>
        <v>5808815.0323036611</v>
      </c>
    </row>
    <row r="33" spans="1:13" x14ac:dyDescent="0.2">
      <c r="A33" s="8">
        <f>'Monthly Data'!A33</f>
        <v>43678</v>
      </c>
      <c r="B33">
        <f t="shared" si="0"/>
        <v>2019</v>
      </c>
      <c r="C33">
        <f t="shared" si="1"/>
        <v>8</v>
      </c>
      <c r="D33" s="18">
        <f>'Monthly Data'!S33</f>
        <v>4268866.6845833659</v>
      </c>
      <c r="E33" s="21">
        <f t="shared" ca="1" si="4"/>
        <v>196.13625000000002</v>
      </c>
      <c r="F33" s="21">
        <f>'Monthly Data'!CT33</f>
        <v>20</v>
      </c>
      <c r="G33" s="21">
        <f>'Monthly Data'!CL33</f>
        <v>1</v>
      </c>
      <c r="I33" s="11">
        <f>'GS Co Gen Predicted Monthly'!$R$10</f>
        <v>-1091818.61931381</v>
      </c>
      <c r="J33" s="11">
        <f ca="1">E33*'GS Co Gen Predicted Monthly'!$R$11</f>
        <v>3335148.7193044354</v>
      </c>
      <c r="K33" s="11">
        <f>F33*'GS Co Gen Predicted Monthly'!$R$12</f>
        <v>3324649.41879594</v>
      </c>
      <c r="L33" s="11">
        <f>G33*'GS Co Gen Predicted Monthly'!$R$13</f>
        <v>-689077.09586613998</v>
      </c>
      <c r="M33" s="11">
        <f t="shared" ca="1" si="2"/>
        <v>4878902.4229204254</v>
      </c>
    </row>
    <row r="34" spans="1:13" x14ac:dyDescent="0.2">
      <c r="A34" s="8">
        <f>'Monthly Data'!A34</f>
        <v>43709</v>
      </c>
      <c r="B34">
        <f t="shared" si="0"/>
        <v>2019</v>
      </c>
      <c r="C34">
        <f t="shared" si="1"/>
        <v>9</v>
      </c>
      <c r="D34" s="18">
        <f>'Monthly Data'!S34</f>
        <v>5664547.3962547369</v>
      </c>
      <c r="E34" s="21">
        <f t="shared" ca="1" si="4"/>
        <v>104.19854166666664</v>
      </c>
      <c r="F34" s="21">
        <f>'Monthly Data'!CT34</f>
        <v>21</v>
      </c>
      <c r="G34" s="21">
        <f>'Monthly Data'!CL34</f>
        <v>0</v>
      </c>
      <c r="I34" s="11">
        <f>'GS Co Gen Predicted Monthly'!$R$10</f>
        <v>-1091818.61931381</v>
      </c>
      <c r="J34" s="11">
        <f ca="1">E34*'GS Co Gen Predicted Monthly'!$R$11</f>
        <v>1771817.4625698873</v>
      </c>
      <c r="K34" s="11">
        <f>F34*'GS Co Gen Predicted Monthly'!$R$12</f>
        <v>3490881.8897357369</v>
      </c>
      <c r="L34" s="11">
        <f>G34*'GS Co Gen Predicted Monthly'!$R$13</f>
        <v>0</v>
      </c>
      <c r="M34" s="11">
        <f t="shared" ca="1" si="2"/>
        <v>4170880.7329918141</v>
      </c>
    </row>
    <row r="35" spans="1:13" x14ac:dyDescent="0.2">
      <c r="A35" s="8">
        <f>'Monthly Data'!A35</f>
        <v>43739</v>
      </c>
      <c r="B35">
        <f t="shared" si="0"/>
        <v>2019</v>
      </c>
      <c r="C35">
        <f t="shared" si="1"/>
        <v>10</v>
      </c>
      <c r="D35" s="18">
        <f>'Monthly Data'!S35</f>
        <v>3090561.7950364789</v>
      </c>
      <c r="E35" s="21">
        <f t="shared" ca="1" si="4"/>
        <v>24.703125000000007</v>
      </c>
      <c r="F35" s="21">
        <f>'Monthly Data'!CT35</f>
        <v>21</v>
      </c>
      <c r="G35" s="21">
        <f>'Monthly Data'!CL35</f>
        <v>0</v>
      </c>
      <c r="I35" s="11">
        <f>'GS Co Gen Predicted Monthly'!$R$10</f>
        <v>-1091818.61931381</v>
      </c>
      <c r="J35" s="11">
        <f ca="1">E35*'GS Co Gen Predicted Monthly'!$R$11</f>
        <v>420057.97350855538</v>
      </c>
      <c r="K35" s="11">
        <f>F35*'GS Co Gen Predicted Monthly'!$R$12</f>
        <v>3490881.8897357369</v>
      </c>
      <c r="L35" s="11">
        <f>G35*'GS Co Gen Predicted Monthly'!$R$13</f>
        <v>0</v>
      </c>
      <c r="M35" s="11">
        <f t="shared" ca="1" si="2"/>
        <v>2819121.2439304823</v>
      </c>
    </row>
    <row r="36" spans="1:13" x14ac:dyDescent="0.2">
      <c r="A36" s="8">
        <f>'Monthly Data'!A36</f>
        <v>43770</v>
      </c>
      <c r="B36">
        <f t="shared" si="0"/>
        <v>2019</v>
      </c>
      <c r="C36">
        <f t="shared" si="1"/>
        <v>11</v>
      </c>
      <c r="D36" s="18">
        <f>'Monthly Data'!S36</f>
        <v>1482477.7429550102</v>
      </c>
      <c r="E36" s="21">
        <f t="shared" ca="1" si="4"/>
        <v>1.6454166666666665</v>
      </c>
      <c r="F36" s="21">
        <f>'Monthly Data'!CT36</f>
        <v>21</v>
      </c>
      <c r="G36" s="21">
        <f>'Monthly Data'!CL36</f>
        <v>0</v>
      </c>
      <c r="I36" s="11">
        <f>'GS Co Gen Predicted Monthly'!$R$10</f>
        <v>-1091818.61931381</v>
      </c>
      <c r="J36" s="11">
        <f ca="1">E36*'GS Co Gen Predicted Monthly'!$R$11</f>
        <v>27979.067044238407</v>
      </c>
      <c r="K36" s="11">
        <f>F36*'GS Co Gen Predicted Monthly'!$R$12</f>
        <v>3490881.8897357369</v>
      </c>
      <c r="L36" s="11">
        <f>G36*'GS Co Gen Predicted Monthly'!$R$13</f>
        <v>0</v>
      </c>
      <c r="M36" s="11">
        <f t="shared" ca="1" si="2"/>
        <v>2427042.3374661654</v>
      </c>
    </row>
    <row r="37" spans="1:13" x14ac:dyDescent="0.2">
      <c r="A37" s="8">
        <f>'Monthly Data'!A37</f>
        <v>43800</v>
      </c>
      <c r="B37">
        <f t="shared" si="0"/>
        <v>2019</v>
      </c>
      <c r="C37">
        <f t="shared" si="1"/>
        <v>12</v>
      </c>
      <c r="D37" s="18">
        <f>'Monthly Data'!S37</f>
        <v>1009435.6612457265</v>
      </c>
      <c r="E37" s="21">
        <f t="shared" ca="1" si="4"/>
        <v>0</v>
      </c>
      <c r="F37" s="21">
        <f>'Monthly Data'!CT37</f>
        <v>21</v>
      </c>
      <c r="G37" s="21">
        <f>'Monthly Data'!CL37</f>
        <v>0</v>
      </c>
      <c r="I37" s="11">
        <f>'GS Co Gen Predicted Monthly'!$R$10</f>
        <v>-1091818.61931381</v>
      </c>
      <c r="J37" s="11">
        <f ca="1">E37*'GS Co Gen Predicted Monthly'!$R$11</f>
        <v>0</v>
      </c>
      <c r="K37" s="11">
        <f>F37*'GS Co Gen Predicted Monthly'!$R$12</f>
        <v>3490881.8897357369</v>
      </c>
      <c r="L37" s="11">
        <f>G37*'GS Co Gen Predicted Monthly'!$R$13</f>
        <v>0</v>
      </c>
      <c r="M37" s="11">
        <f t="shared" ca="1" si="2"/>
        <v>2399063.2704219269</v>
      </c>
    </row>
    <row r="38" spans="1:13" x14ac:dyDescent="0.2">
      <c r="A38" s="8">
        <f>'Monthly Data'!A38</f>
        <v>43831</v>
      </c>
      <c r="B38">
        <f t="shared" si="0"/>
        <v>2020</v>
      </c>
      <c r="C38">
        <f t="shared" si="1"/>
        <v>1</v>
      </c>
      <c r="D38" s="18">
        <f>'Monthly Data'!S38</f>
        <v>998532.39409482549</v>
      </c>
      <c r="E38" s="21">
        <f t="shared" ca="1" si="4"/>
        <v>0</v>
      </c>
      <c r="F38" s="21">
        <f>'Monthly Data'!CT38</f>
        <v>22</v>
      </c>
      <c r="G38" s="21">
        <f>'Monthly Data'!CL38</f>
        <v>0</v>
      </c>
      <c r="I38" s="11">
        <f>'GS Co Gen Predicted Monthly'!$R$10</f>
        <v>-1091818.61931381</v>
      </c>
      <c r="J38" s="11">
        <f ca="1">E38*'GS Co Gen Predicted Monthly'!$R$11</f>
        <v>0</v>
      </c>
      <c r="K38" s="11">
        <f>F38*'GS Co Gen Predicted Monthly'!$R$12</f>
        <v>3657114.3606755342</v>
      </c>
      <c r="L38" s="11">
        <f>G38*'GS Co Gen Predicted Monthly'!$R$13</f>
        <v>0</v>
      </c>
      <c r="M38" s="11">
        <f t="shared" ca="1" si="2"/>
        <v>2565295.7413617242</v>
      </c>
    </row>
    <row r="39" spans="1:13" x14ac:dyDescent="0.2">
      <c r="A39" s="8">
        <f>'Monthly Data'!A39</f>
        <v>43862</v>
      </c>
      <c r="B39">
        <f t="shared" si="0"/>
        <v>2020</v>
      </c>
      <c r="C39">
        <f t="shared" si="1"/>
        <v>2</v>
      </c>
      <c r="D39" s="18">
        <f>'Monthly Data'!S39</f>
        <v>1252939.9736270586</v>
      </c>
      <c r="E39" s="21">
        <f t="shared" ca="1" si="4"/>
        <v>0</v>
      </c>
      <c r="F39" s="21">
        <f>'Monthly Data'!CT39</f>
        <v>19</v>
      </c>
      <c r="G39" s="21">
        <f>'Monthly Data'!CL39</f>
        <v>0</v>
      </c>
      <c r="I39" s="11">
        <f>'GS Co Gen Predicted Monthly'!$R$10</f>
        <v>-1091818.61931381</v>
      </c>
      <c r="J39" s="11">
        <f ca="1">E39*'GS Co Gen Predicted Monthly'!$R$11</f>
        <v>0</v>
      </c>
      <c r="K39" s="11">
        <f>F39*'GS Co Gen Predicted Monthly'!$R$12</f>
        <v>3158416.9478561431</v>
      </c>
      <c r="L39" s="11">
        <f>G39*'GS Co Gen Predicted Monthly'!$R$13</f>
        <v>0</v>
      </c>
      <c r="M39" s="11">
        <f t="shared" ca="1" si="2"/>
        <v>2066598.3285423331</v>
      </c>
    </row>
    <row r="40" spans="1:13" x14ac:dyDescent="0.2">
      <c r="A40" s="8">
        <f>'Monthly Data'!A40</f>
        <v>43891</v>
      </c>
      <c r="B40">
        <f t="shared" si="0"/>
        <v>2020</v>
      </c>
      <c r="C40">
        <f t="shared" si="1"/>
        <v>3</v>
      </c>
      <c r="D40" s="18">
        <f>'Monthly Data'!S40</f>
        <v>1164437.6812405386</v>
      </c>
      <c r="E40" s="21">
        <f t="shared" ca="1" si="4"/>
        <v>0</v>
      </c>
      <c r="F40" s="21">
        <f>'Monthly Data'!CT40</f>
        <v>22</v>
      </c>
      <c r="G40" s="21">
        <f>'Monthly Data'!CL40</f>
        <v>0</v>
      </c>
      <c r="I40" s="11">
        <f>'GS Co Gen Predicted Monthly'!$R$10</f>
        <v>-1091818.61931381</v>
      </c>
      <c r="J40" s="11">
        <f ca="1">E40*'GS Co Gen Predicted Monthly'!$R$11</f>
        <v>0</v>
      </c>
      <c r="K40" s="11">
        <f>F40*'GS Co Gen Predicted Monthly'!$R$12</f>
        <v>3657114.3606755342</v>
      </c>
      <c r="L40" s="11">
        <f>G40*'GS Co Gen Predicted Monthly'!$R$13</f>
        <v>0</v>
      </c>
      <c r="M40" s="11">
        <f t="shared" ca="1" si="2"/>
        <v>2565295.7413617242</v>
      </c>
    </row>
    <row r="41" spans="1:13" x14ac:dyDescent="0.2">
      <c r="A41" s="8">
        <f>'Monthly Data'!A41</f>
        <v>43922</v>
      </c>
      <c r="B41">
        <f t="shared" si="0"/>
        <v>2020</v>
      </c>
      <c r="C41">
        <f t="shared" si="1"/>
        <v>4</v>
      </c>
      <c r="D41" s="18">
        <f>'Monthly Data'!S41</f>
        <v>1121055.5596983887</v>
      </c>
      <c r="E41" s="21">
        <f t="shared" ca="1" si="4"/>
        <v>6.5650000000000031</v>
      </c>
      <c r="F41" s="21">
        <f>'Monthly Data'!CT41</f>
        <v>21</v>
      </c>
      <c r="G41" s="21">
        <f>'Monthly Data'!CL41</f>
        <v>0</v>
      </c>
      <c r="I41" s="11">
        <f>'GS Co Gen Predicted Monthly'!$R$10</f>
        <v>-1091818.61931381</v>
      </c>
      <c r="J41" s="11">
        <f ca="1">E41*'GS Co Gen Predicted Monthly'!$R$11</f>
        <v>111632.86410458865</v>
      </c>
      <c r="K41" s="11">
        <f>F41*'GS Co Gen Predicted Monthly'!$R$12</f>
        <v>3490881.8897357369</v>
      </c>
      <c r="L41" s="11">
        <f>G41*'GS Co Gen Predicted Monthly'!$R$13</f>
        <v>0</v>
      </c>
      <c r="M41" s="11">
        <f t="shared" ca="1" si="2"/>
        <v>2510696.1345265154</v>
      </c>
    </row>
    <row r="42" spans="1:13" x14ac:dyDescent="0.2">
      <c r="A42" s="8">
        <f>'Monthly Data'!A42</f>
        <v>43952</v>
      </c>
      <c r="B42">
        <f t="shared" si="0"/>
        <v>2020</v>
      </c>
      <c r="C42">
        <f t="shared" si="1"/>
        <v>5</v>
      </c>
      <c r="D42" s="18">
        <f>'Monthly Data'!S42</f>
        <v>2424185.9781487486</v>
      </c>
      <c r="E42" s="21">
        <f t="shared" ca="1" si="4"/>
        <v>59.300416666666649</v>
      </c>
      <c r="F42" s="21">
        <f>'Monthly Data'!CT42</f>
        <v>20</v>
      </c>
      <c r="G42" s="21">
        <f>'Monthly Data'!CL42</f>
        <v>0</v>
      </c>
      <c r="I42" s="11">
        <f>'GS Co Gen Predicted Monthly'!$R$10</f>
        <v>-1091818.61931381</v>
      </c>
      <c r="J42" s="11">
        <f ca="1">E42*'GS Co Gen Predicted Monthly'!$R$11</f>
        <v>1008358.7745766152</v>
      </c>
      <c r="K42" s="11">
        <f>F42*'GS Co Gen Predicted Monthly'!$R$12</f>
        <v>3324649.41879594</v>
      </c>
      <c r="L42" s="11">
        <f>G42*'GS Co Gen Predicted Monthly'!$R$13</f>
        <v>0</v>
      </c>
      <c r="M42" s="11">
        <f t="shared" ca="1" si="2"/>
        <v>3241189.5740587451</v>
      </c>
    </row>
    <row r="43" spans="1:13" x14ac:dyDescent="0.2">
      <c r="A43" s="8">
        <f>'Monthly Data'!A43</f>
        <v>43983</v>
      </c>
      <c r="B43">
        <f t="shared" si="0"/>
        <v>2020</v>
      </c>
      <c r="C43">
        <f t="shared" si="1"/>
        <v>6</v>
      </c>
      <c r="D43" s="18">
        <f>'Monthly Data'!S43</f>
        <v>4259731.9798160084</v>
      </c>
      <c r="E43" s="21">
        <f t="shared" ca="1" si="4"/>
        <v>157.17000000000002</v>
      </c>
      <c r="F43" s="21">
        <f>'Monthly Data'!CT43</f>
        <v>22</v>
      </c>
      <c r="G43" s="21">
        <f>'Monthly Data'!CL43</f>
        <v>0</v>
      </c>
      <c r="I43" s="11">
        <f>'GS Co Gen Predicted Monthly'!$R$10</f>
        <v>-1091818.61931381</v>
      </c>
      <c r="J43" s="11">
        <f ca="1">E43*'GS Co Gen Predicted Monthly'!$R$11</f>
        <v>2672557.083216785</v>
      </c>
      <c r="K43" s="11">
        <f>F43*'GS Co Gen Predicted Monthly'!$R$12</f>
        <v>3657114.3606755342</v>
      </c>
      <c r="L43" s="11">
        <f>G43*'GS Co Gen Predicted Monthly'!$R$13</f>
        <v>0</v>
      </c>
      <c r="M43" s="11">
        <f t="shared" ca="1" si="2"/>
        <v>5237852.8245785087</v>
      </c>
    </row>
    <row r="44" spans="1:13" x14ac:dyDescent="0.2">
      <c r="A44" s="8">
        <f>'Monthly Data'!A44</f>
        <v>44013</v>
      </c>
      <c r="B44">
        <f t="shared" si="0"/>
        <v>2020</v>
      </c>
      <c r="C44">
        <f t="shared" si="1"/>
        <v>7</v>
      </c>
      <c r="D44" s="18">
        <f>'Monthly Data'!S44</f>
        <v>7280535.8722648388</v>
      </c>
      <c r="E44" s="21">
        <f t="shared" ca="1" si="4"/>
        <v>231.27145833333333</v>
      </c>
      <c r="F44" s="21">
        <f>'Monthly Data'!CT44</f>
        <v>22</v>
      </c>
      <c r="G44" s="21">
        <f>'Monthly Data'!CL44</f>
        <v>1</v>
      </c>
      <c r="I44" s="11">
        <f>'GS Co Gen Predicted Monthly'!$R$10</f>
        <v>-1091818.61931381</v>
      </c>
      <c r="J44" s="11">
        <f ca="1">E44*'GS Co Gen Predicted Monthly'!$R$11</f>
        <v>3932596.3868080769</v>
      </c>
      <c r="K44" s="11">
        <f>F44*'GS Co Gen Predicted Monthly'!$R$12</f>
        <v>3657114.3606755342</v>
      </c>
      <c r="L44" s="11">
        <f>G44*'GS Co Gen Predicted Monthly'!$R$13</f>
        <v>-689077.09586613998</v>
      </c>
      <c r="M44" s="11">
        <f t="shared" ca="1" si="2"/>
        <v>5808815.0323036611</v>
      </c>
    </row>
    <row r="45" spans="1:13" x14ac:dyDescent="0.2">
      <c r="A45" s="8">
        <f>'Monthly Data'!A45</f>
        <v>44044</v>
      </c>
      <c r="B45">
        <f t="shared" si="0"/>
        <v>2020</v>
      </c>
      <c r="C45">
        <f t="shared" si="1"/>
        <v>8</v>
      </c>
      <c r="D45" s="18">
        <f>'Monthly Data'!S45</f>
        <v>6309964.7820981592</v>
      </c>
      <c r="E45" s="21">
        <f t="shared" ca="1" si="4"/>
        <v>196.13625000000002</v>
      </c>
      <c r="F45" s="21">
        <f>'Monthly Data'!CT45</f>
        <v>20</v>
      </c>
      <c r="G45" s="21">
        <f>'Monthly Data'!CL45</f>
        <v>1</v>
      </c>
      <c r="I45" s="11">
        <f>'GS Co Gen Predicted Monthly'!$R$10</f>
        <v>-1091818.61931381</v>
      </c>
      <c r="J45" s="11">
        <f ca="1">E45*'GS Co Gen Predicted Monthly'!$R$11</f>
        <v>3335148.7193044354</v>
      </c>
      <c r="K45" s="11">
        <f>F45*'GS Co Gen Predicted Monthly'!$R$12</f>
        <v>3324649.41879594</v>
      </c>
      <c r="L45" s="11">
        <f>G45*'GS Co Gen Predicted Monthly'!$R$13</f>
        <v>-689077.09586613998</v>
      </c>
      <c r="M45" s="11">
        <f t="shared" ca="1" si="2"/>
        <v>4878902.4229204254</v>
      </c>
    </row>
    <row r="46" spans="1:13" x14ac:dyDescent="0.2">
      <c r="A46" s="8">
        <f>'Monthly Data'!A46</f>
        <v>44075</v>
      </c>
      <c r="B46">
        <f t="shared" si="0"/>
        <v>2020</v>
      </c>
      <c r="C46">
        <f t="shared" si="1"/>
        <v>9</v>
      </c>
      <c r="D46" s="18">
        <f>'Monthly Data'!S46</f>
        <v>4783504.4640561193</v>
      </c>
      <c r="E46" s="21">
        <f t="shared" ref="E46:E61" ca="1" si="5">E34</f>
        <v>104.19854166666664</v>
      </c>
      <c r="F46" s="21">
        <f>'Monthly Data'!CT46</f>
        <v>21</v>
      </c>
      <c r="G46" s="21">
        <f>'Monthly Data'!CL46</f>
        <v>0</v>
      </c>
      <c r="I46" s="11">
        <f>'GS Co Gen Predicted Monthly'!$R$10</f>
        <v>-1091818.61931381</v>
      </c>
      <c r="J46" s="11">
        <f ca="1">E46*'GS Co Gen Predicted Monthly'!$R$11</f>
        <v>1771817.4625698873</v>
      </c>
      <c r="K46" s="11">
        <f>F46*'GS Co Gen Predicted Monthly'!$R$12</f>
        <v>3490881.8897357369</v>
      </c>
      <c r="L46" s="11">
        <f>G46*'GS Co Gen Predicted Monthly'!$R$13</f>
        <v>0</v>
      </c>
      <c r="M46" s="11">
        <f t="shared" ca="1" si="2"/>
        <v>4170880.7329918141</v>
      </c>
    </row>
    <row r="47" spans="1:13" x14ac:dyDescent="0.2">
      <c r="A47" s="8">
        <f>'Monthly Data'!A47</f>
        <v>44105</v>
      </c>
      <c r="B47">
        <f t="shared" si="0"/>
        <v>2020</v>
      </c>
      <c r="C47">
        <f t="shared" si="1"/>
        <v>10</v>
      </c>
      <c r="D47" s="18">
        <f>'Monthly Data'!S47</f>
        <v>3658910.8829854284</v>
      </c>
      <c r="E47" s="21">
        <f t="shared" ca="1" si="5"/>
        <v>24.703125000000007</v>
      </c>
      <c r="F47" s="21">
        <f>'Monthly Data'!CT47</f>
        <v>21</v>
      </c>
      <c r="G47" s="21">
        <f>'Monthly Data'!CL47</f>
        <v>0</v>
      </c>
      <c r="I47" s="11">
        <f>'GS Co Gen Predicted Monthly'!$R$10</f>
        <v>-1091818.61931381</v>
      </c>
      <c r="J47" s="11">
        <f ca="1">E47*'GS Co Gen Predicted Monthly'!$R$11</f>
        <v>420057.97350855538</v>
      </c>
      <c r="K47" s="11">
        <f>F47*'GS Co Gen Predicted Monthly'!$R$12</f>
        <v>3490881.8897357369</v>
      </c>
      <c r="L47" s="11">
        <f>G47*'GS Co Gen Predicted Monthly'!$R$13</f>
        <v>0</v>
      </c>
      <c r="M47" s="11">
        <f t="shared" ca="1" si="2"/>
        <v>2819121.2439304823</v>
      </c>
    </row>
    <row r="48" spans="1:13" x14ac:dyDescent="0.2">
      <c r="A48" s="8">
        <f>'Monthly Data'!A48</f>
        <v>44136</v>
      </c>
      <c r="B48">
        <f t="shared" si="0"/>
        <v>2020</v>
      </c>
      <c r="C48">
        <f t="shared" si="1"/>
        <v>11</v>
      </c>
      <c r="D48" s="18">
        <f>'Monthly Data'!S48</f>
        <v>2825236.0058438084</v>
      </c>
      <c r="E48" s="21">
        <f t="shared" ca="1" si="5"/>
        <v>1.6454166666666665</v>
      </c>
      <c r="F48" s="21">
        <f>'Monthly Data'!CT48</f>
        <v>21</v>
      </c>
      <c r="G48" s="21">
        <f>'Monthly Data'!CL48</f>
        <v>0</v>
      </c>
      <c r="I48" s="11">
        <f>'GS Co Gen Predicted Monthly'!$R$10</f>
        <v>-1091818.61931381</v>
      </c>
      <c r="J48" s="11">
        <f ca="1">E48*'GS Co Gen Predicted Monthly'!$R$11</f>
        <v>27979.067044238407</v>
      </c>
      <c r="K48" s="11">
        <f>F48*'GS Co Gen Predicted Monthly'!$R$12</f>
        <v>3490881.8897357369</v>
      </c>
      <c r="L48" s="11">
        <f>G48*'GS Co Gen Predicted Monthly'!$R$13</f>
        <v>0</v>
      </c>
      <c r="M48" s="11">
        <f t="shared" ca="1" si="2"/>
        <v>2427042.3374661654</v>
      </c>
    </row>
    <row r="49" spans="1:13" x14ac:dyDescent="0.2">
      <c r="A49" s="8">
        <f>'Monthly Data'!A49</f>
        <v>44166</v>
      </c>
      <c r="B49">
        <f t="shared" si="0"/>
        <v>2020</v>
      </c>
      <c r="C49">
        <f t="shared" si="1"/>
        <v>12</v>
      </c>
      <c r="D49" s="18">
        <f>'Monthly Data'!S49</f>
        <v>1601972.2623421687</v>
      </c>
      <c r="E49" s="21">
        <f t="shared" ca="1" si="5"/>
        <v>0</v>
      </c>
      <c r="F49" s="21">
        <f>'Monthly Data'!CT49</f>
        <v>21</v>
      </c>
      <c r="G49" s="21">
        <f>'Monthly Data'!CL49</f>
        <v>0</v>
      </c>
      <c r="I49" s="11">
        <f>'GS Co Gen Predicted Monthly'!$R$10</f>
        <v>-1091818.61931381</v>
      </c>
      <c r="J49" s="11">
        <f ca="1">E49*'GS Co Gen Predicted Monthly'!$R$11</f>
        <v>0</v>
      </c>
      <c r="K49" s="11">
        <f>F49*'GS Co Gen Predicted Monthly'!$R$12</f>
        <v>3490881.8897357369</v>
      </c>
      <c r="L49" s="11">
        <f>G49*'GS Co Gen Predicted Monthly'!$R$13</f>
        <v>0</v>
      </c>
      <c r="M49" s="11">
        <f t="shared" ca="1" si="2"/>
        <v>2399063.2704219269</v>
      </c>
    </row>
    <row r="50" spans="1:13" x14ac:dyDescent="0.2">
      <c r="A50" s="8">
        <f>'Monthly Data'!A50</f>
        <v>44197</v>
      </c>
      <c r="B50">
        <f t="shared" si="0"/>
        <v>2021</v>
      </c>
      <c r="C50">
        <f t="shared" si="1"/>
        <v>1</v>
      </c>
      <c r="D50" s="18">
        <f>'Monthly Data'!S50</f>
        <v>1171515.8824397286</v>
      </c>
      <c r="E50" s="21">
        <f t="shared" ca="1" si="5"/>
        <v>0</v>
      </c>
      <c r="F50" s="21">
        <f>'Monthly Data'!CT50</f>
        <v>20</v>
      </c>
      <c r="G50" s="21">
        <f>'Monthly Data'!CL50</f>
        <v>0</v>
      </c>
      <c r="I50" s="11">
        <f>'GS Co Gen Predicted Monthly'!$R$10</f>
        <v>-1091818.61931381</v>
      </c>
      <c r="J50" s="11">
        <f ca="1">E50*'GS Co Gen Predicted Monthly'!$R$11</f>
        <v>0</v>
      </c>
      <c r="K50" s="11">
        <f>F50*'GS Co Gen Predicted Monthly'!$R$12</f>
        <v>3324649.41879594</v>
      </c>
      <c r="L50" s="11">
        <f>G50*'GS Co Gen Predicted Monthly'!$R$13</f>
        <v>0</v>
      </c>
      <c r="M50" s="11">
        <f t="shared" ca="1" si="2"/>
        <v>2232830.79948213</v>
      </c>
    </row>
    <row r="51" spans="1:13" x14ac:dyDescent="0.2">
      <c r="A51" s="8">
        <f>'Monthly Data'!A51</f>
        <v>44228</v>
      </c>
      <c r="B51">
        <f t="shared" si="0"/>
        <v>2021</v>
      </c>
      <c r="C51">
        <f t="shared" si="1"/>
        <v>2</v>
      </c>
      <c r="D51" s="18">
        <f>'Monthly Data'!S51</f>
        <v>1176631.0139222587</v>
      </c>
      <c r="E51" s="21">
        <f t="shared" ca="1" si="5"/>
        <v>0</v>
      </c>
      <c r="F51" s="21">
        <f>'Monthly Data'!CT51</f>
        <v>19</v>
      </c>
      <c r="G51" s="21">
        <f>'Monthly Data'!CL51</f>
        <v>0</v>
      </c>
      <c r="I51" s="11">
        <f>'GS Co Gen Predicted Monthly'!$R$10</f>
        <v>-1091818.61931381</v>
      </c>
      <c r="J51" s="11">
        <f ca="1">E51*'GS Co Gen Predicted Monthly'!$R$11</f>
        <v>0</v>
      </c>
      <c r="K51" s="11">
        <f>F51*'GS Co Gen Predicted Monthly'!$R$12</f>
        <v>3158416.9478561431</v>
      </c>
      <c r="L51" s="11">
        <f>G51*'GS Co Gen Predicted Monthly'!$R$13</f>
        <v>0</v>
      </c>
      <c r="M51" s="11">
        <f t="shared" ca="1" si="2"/>
        <v>2066598.3285423331</v>
      </c>
    </row>
    <row r="52" spans="1:13" x14ac:dyDescent="0.2">
      <c r="A52" s="8">
        <f>'Monthly Data'!A52</f>
        <v>44256</v>
      </c>
      <c r="B52">
        <f t="shared" si="0"/>
        <v>2021</v>
      </c>
      <c r="C52">
        <f t="shared" si="1"/>
        <v>3</v>
      </c>
      <c r="D52" s="18">
        <f>'Monthly Data'!S52</f>
        <v>929052.76174393552</v>
      </c>
      <c r="E52" s="21">
        <f t="shared" ca="1" si="5"/>
        <v>0</v>
      </c>
      <c r="F52" s="21">
        <f>'Monthly Data'!CT52</f>
        <v>23</v>
      </c>
      <c r="G52" s="21">
        <f>'Monthly Data'!CL52</f>
        <v>0</v>
      </c>
      <c r="I52" s="11">
        <f>'GS Co Gen Predicted Monthly'!$R$10</f>
        <v>-1091818.61931381</v>
      </c>
      <c r="J52" s="11">
        <f ca="1">E52*'GS Co Gen Predicted Monthly'!$R$11</f>
        <v>0</v>
      </c>
      <c r="K52" s="11">
        <f>F52*'GS Co Gen Predicted Monthly'!$R$12</f>
        <v>3823346.8316153311</v>
      </c>
      <c r="L52" s="11">
        <f>G52*'GS Co Gen Predicted Monthly'!$R$13</f>
        <v>0</v>
      </c>
      <c r="M52" s="11">
        <f t="shared" ca="1" si="2"/>
        <v>2731528.2123015211</v>
      </c>
    </row>
    <row r="53" spans="1:13" x14ac:dyDescent="0.2">
      <c r="A53" s="8">
        <f>'Monthly Data'!A53</f>
        <v>44287</v>
      </c>
      <c r="B53">
        <f t="shared" si="0"/>
        <v>2021</v>
      </c>
      <c r="C53">
        <f t="shared" si="1"/>
        <v>4</v>
      </c>
      <c r="D53" s="18">
        <f>'Monthly Data'!S53</f>
        <v>1370379.1031432985</v>
      </c>
      <c r="E53" s="21">
        <f t="shared" ca="1" si="5"/>
        <v>6.5650000000000031</v>
      </c>
      <c r="F53" s="21">
        <f>'Monthly Data'!CT53</f>
        <v>21</v>
      </c>
      <c r="G53" s="21">
        <f>'Monthly Data'!CL53</f>
        <v>0</v>
      </c>
      <c r="I53" s="11">
        <f>'GS Co Gen Predicted Monthly'!$R$10</f>
        <v>-1091818.61931381</v>
      </c>
      <c r="J53" s="11">
        <f ca="1">E53*'GS Co Gen Predicted Monthly'!$R$11</f>
        <v>111632.86410458865</v>
      </c>
      <c r="K53" s="11">
        <f>F53*'GS Co Gen Predicted Monthly'!$R$12</f>
        <v>3490881.8897357369</v>
      </c>
      <c r="L53" s="11">
        <f>G53*'GS Co Gen Predicted Monthly'!$R$13</f>
        <v>0</v>
      </c>
      <c r="M53" s="11">
        <f t="shared" ca="1" si="2"/>
        <v>2510696.1345265154</v>
      </c>
    </row>
    <row r="54" spans="1:13" x14ac:dyDescent="0.2">
      <c r="A54" s="8">
        <f>'Monthly Data'!A54</f>
        <v>44317</v>
      </c>
      <c r="B54">
        <f t="shared" si="0"/>
        <v>2021</v>
      </c>
      <c r="C54">
        <f t="shared" si="1"/>
        <v>5</v>
      </c>
      <c r="D54" s="18">
        <f>'Monthly Data'!S54</f>
        <v>1835106.5363508987</v>
      </c>
      <c r="E54" s="21">
        <f t="shared" ca="1" si="5"/>
        <v>59.300416666666649</v>
      </c>
      <c r="F54" s="21">
        <f>'Monthly Data'!CT54</f>
        <v>20</v>
      </c>
      <c r="G54" s="21">
        <f>'Monthly Data'!CL54</f>
        <v>0</v>
      </c>
      <c r="I54" s="11">
        <f>'GS Co Gen Predicted Monthly'!$R$10</f>
        <v>-1091818.61931381</v>
      </c>
      <c r="J54" s="11">
        <f ca="1">E54*'GS Co Gen Predicted Monthly'!$R$11</f>
        <v>1008358.7745766152</v>
      </c>
      <c r="K54" s="11">
        <f>F54*'GS Co Gen Predicted Monthly'!$R$12</f>
        <v>3324649.41879594</v>
      </c>
      <c r="L54" s="11">
        <f>G54*'GS Co Gen Predicted Monthly'!$R$13</f>
        <v>0</v>
      </c>
      <c r="M54" s="11">
        <f t="shared" ca="1" si="2"/>
        <v>3241189.5740587451</v>
      </c>
    </row>
    <row r="55" spans="1:13" x14ac:dyDescent="0.2">
      <c r="A55" s="8">
        <f>'Monthly Data'!A55</f>
        <v>44348</v>
      </c>
      <c r="B55">
        <f t="shared" si="0"/>
        <v>2021</v>
      </c>
      <c r="C55">
        <f t="shared" si="1"/>
        <v>6</v>
      </c>
      <c r="D55" s="18">
        <f>'Monthly Data'!S55</f>
        <v>3942469.7375949784</v>
      </c>
      <c r="E55" s="21">
        <f t="shared" ca="1" si="5"/>
        <v>157.17000000000002</v>
      </c>
      <c r="F55" s="21">
        <f>'Monthly Data'!CT55</f>
        <v>22</v>
      </c>
      <c r="G55" s="21">
        <f>'Monthly Data'!CL55</f>
        <v>0</v>
      </c>
      <c r="I55" s="11">
        <f>'GS Co Gen Predicted Monthly'!$R$10</f>
        <v>-1091818.61931381</v>
      </c>
      <c r="J55" s="11">
        <f ca="1">E55*'GS Co Gen Predicted Monthly'!$R$11</f>
        <v>2672557.083216785</v>
      </c>
      <c r="K55" s="11">
        <f>F55*'GS Co Gen Predicted Monthly'!$R$12</f>
        <v>3657114.3606755342</v>
      </c>
      <c r="L55" s="11">
        <f>G55*'GS Co Gen Predicted Monthly'!$R$13</f>
        <v>0</v>
      </c>
      <c r="M55" s="11">
        <f t="shared" ca="1" si="2"/>
        <v>5237852.8245785087</v>
      </c>
    </row>
    <row r="56" spans="1:13" x14ac:dyDescent="0.2">
      <c r="A56" s="8">
        <f>'Monthly Data'!A56</f>
        <v>44378</v>
      </c>
      <c r="B56">
        <f t="shared" si="0"/>
        <v>2021</v>
      </c>
      <c r="C56">
        <f t="shared" si="1"/>
        <v>7</v>
      </c>
      <c r="D56" s="18">
        <f>'Monthly Data'!S56</f>
        <v>3408979.3014047383</v>
      </c>
      <c r="E56" s="21">
        <f t="shared" ca="1" si="5"/>
        <v>231.27145833333333</v>
      </c>
      <c r="F56" s="21">
        <f>'Monthly Data'!CT56</f>
        <v>21</v>
      </c>
      <c r="G56" s="21">
        <f>'Monthly Data'!CL56</f>
        <v>1</v>
      </c>
      <c r="I56" s="11">
        <f>'GS Co Gen Predicted Monthly'!$R$10</f>
        <v>-1091818.61931381</v>
      </c>
      <c r="J56" s="11">
        <f ca="1">E56*'GS Co Gen Predicted Monthly'!$R$11</f>
        <v>3932596.3868080769</v>
      </c>
      <c r="K56" s="11">
        <f>F56*'GS Co Gen Predicted Monthly'!$R$12</f>
        <v>3490881.8897357369</v>
      </c>
      <c r="L56" s="11">
        <f>G56*'GS Co Gen Predicted Monthly'!$R$13</f>
        <v>-689077.09586613998</v>
      </c>
      <c r="M56" s="11">
        <f t="shared" ca="1" si="2"/>
        <v>5642582.5613638638</v>
      </c>
    </row>
    <row r="57" spans="1:13" x14ac:dyDescent="0.2">
      <c r="A57" s="8">
        <f>'Monthly Data'!A57</f>
        <v>44409</v>
      </c>
      <c r="B57">
        <f t="shared" si="0"/>
        <v>2021</v>
      </c>
      <c r="C57">
        <f t="shared" si="1"/>
        <v>8</v>
      </c>
      <c r="D57" s="18">
        <f>'Monthly Data'!S57</f>
        <v>4426996.8036107589</v>
      </c>
      <c r="E57" s="21">
        <f t="shared" ca="1" si="5"/>
        <v>196.13625000000002</v>
      </c>
      <c r="F57" s="21">
        <f>'Monthly Data'!CT57</f>
        <v>20</v>
      </c>
      <c r="G57" s="21">
        <f>'Monthly Data'!CL57</f>
        <v>1</v>
      </c>
      <c r="I57" s="11">
        <f>'GS Co Gen Predicted Monthly'!$R$10</f>
        <v>-1091818.61931381</v>
      </c>
      <c r="J57" s="11">
        <f ca="1">E57*'GS Co Gen Predicted Monthly'!$R$11</f>
        <v>3335148.7193044354</v>
      </c>
      <c r="K57" s="11">
        <f>F57*'GS Co Gen Predicted Monthly'!$R$12</f>
        <v>3324649.41879594</v>
      </c>
      <c r="L57" s="11">
        <f>G57*'GS Co Gen Predicted Monthly'!$R$13</f>
        <v>-689077.09586613998</v>
      </c>
      <c r="M57" s="11">
        <f t="shared" ca="1" si="2"/>
        <v>4878902.4229204254</v>
      </c>
    </row>
    <row r="58" spans="1:13" x14ac:dyDescent="0.2">
      <c r="A58" s="8">
        <f>'Monthly Data'!A58</f>
        <v>44440</v>
      </c>
      <c r="B58">
        <f t="shared" si="0"/>
        <v>2021</v>
      </c>
      <c r="C58">
        <f t="shared" si="1"/>
        <v>9</v>
      </c>
      <c r="D58" s="18">
        <f>'Monthly Data'!S58</f>
        <v>2726526.6582645886</v>
      </c>
      <c r="E58" s="21">
        <f t="shared" ca="1" si="5"/>
        <v>104.19854166666664</v>
      </c>
      <c r="F58" s="21">
        <f>'Monthly Data'!CT58</f>
        <v>20</v>
      </c>
      <c r="G58" s="21">
        <f>'Monthly Data'!CL58</f>
        <v>0</v>
      </c>
      <c r="I58" s="11">
        <f>'GS Co Gen Predicted Monthly'!$R$10</f>
        <v>-1091818.61931381</v>
      </c>
      <c r="J58" s="11">
        <f ca="1">E58*'GS Co Gen Predicted Monthly'!$R$11</f>
        <v>1771817.4625698873</v>
      </c>
      <c r="K58" s="11">
        <f>F58*'GS Co Gen Predicted Monthly'!$R$12</f>
        <v>3324649.41879594</v>
      </c>
      <c r="L58" s="11">
        <f>G58*'GS Co Gen Predicted Monthly'!$R$13</f>
        <v>0</v>
      </c>
      <c r="M58" s="11">
        <f t="shared" ca="1" si="2"/>
        <v>4004648.2620520173</v>
      </c>
    </row>
    <row r="59" spans="1:13" x14ac:dyDescent="0.2">
      <c r="A59" s="8">
        <f>'Monthly Data'!A59</f>
        <v>44470</v>
      </c>
      <c r="B59">
        <f t="shared" si="0"/>
        <v>2021</v>
      </c>
      <c r="C59">
        <f t="shared" si="1"/>
        <v>10</v>
      </c>
      <c r="D59" s="18">
        <f>'Monthly Data'!S59</f>
        <v>2613160.4865051284</v>
      </c>
      <c r="E59" s="21">
        <f t="shared" ca="1" si="5"/>
        <v>24.703125000000007</v>
      </c>
      <c r="F59" s="21">
        <f>'Monthly Data'!CT59</f>
        <v>20</v>
      </c>
      <c r="G59" s="21">
        <f>'Monthly Data'!CL59</f>
        <v>0</v>
      </c>
      <c r="I59" s="11">
        <f>'GS Co Gen Predicted Monthly'!$R$10</f>
        <v>-1091818.61931381</v>
      </c>
      <c r="J59" s="11">
        <f ca="1">E59*'GS Co Gen Predicted Monthly'!$R$11</f>
        <v>420057.97350855538</v>
      </c>
      <c r="K59" s="11">
        <f>F59*'GS Co Gen Predicted Monthly'!$R$12</f>
        <v>3324649.41879594</v>
      </c>
      <c r="L59" s="11">
        <f>G59*'GS Co Gen Predicted Monthly'!$R$13</f>
        <v>0</v>
      </c>
      <c r="M59" s="11">
        <f t="shared" ca="1" si="2"/>
        <v>2652888.7729906854</v>
      </c>
    </row>
    <row r="60" spans="1:13" x14ac:dyDescent="0.2">
      <c r="A60" s="8">
        <f>'Monthly Data'!A60</f>
        <v>44501</v>
      </c>
      <c r="B60">
        <f t="shared" si="0"/>
        <v>2021</v>
      </c>
      <c r="C60">
        <f t="shared" si="1"/>
        <v>11</v>
      </c>
      <c r="D60" s="18">
        <f>'Monthly Data'!S60</f>
        <v>3086375.0493431385</v>
      </c>
      <c r="E60" s="21">
        <f t="shared" ca="1" si="5"/>
        <v>1.6454166666666665</v>
      </c>
      <c r="F60" s="21">
        <f>'Monthly Data'!CT60</f>
        <v>22</v>
      </c>
      <c r="G60" s="21">
        <f>'Monthly Data'!CL60</f>
        <v>0</v>
      </c>
      <c r="I60" s="11">
        <f>'GS Co Gen Predicted Monthly'!$R$10</f>
        <v>-1091818.61931381</v>
      </c>
      <c r="J60" s="11">
        <f ca="1">E60*'GS Co Gen Predicted Monthly'!$R$11</f>
        <v>27979.067044238407</v>
      </c>
      <c r="K60" s="11">
        <f>F60*'GS Co Gen Predicted Monthly'!$R$12</f>
        <v>3657114.3606755342</v>
      </c>
      <c r="L60" s="11">
        <f>G60*'GS Co Gen Predicted Monthly'!$R$13</f>
        <v>0</v>
      </c>
      <c r="M60" s="11">
        <f t="shared" ca="1" si="2"/>
        <v>2593274.8084059628</v>
      </c>
    </row>
    <row r="61" spans="1:13" x14ac:dyDescent="0.2">
      <c r="A61" s="8">
        <f>'Monthly Data'!A61</f>
        <v>44531</v>
      </c>
      <c r="B61">
        <f t="shared" si="0"/>
        <v>2021</v>
      </c>
      <c r="C61">
        <f t="shared" si="1"/>
        <v>12</v>
      </c>
      <c r="D61" s="18">
        <f>'Monthly Data'!S61</f>
        <v>2523914.5382058783</v>
      </c>
      <c r="E61" s="21">
        <f t="shared" ca="1" si="5"/>
        <v>0</v>
      </c>
      <c r="F61" s="21">
        <f>'Monthly Data'!CT61</f>
        <v>21</v>
      </c>
      <c r="G61" s="21">
        <f>'Monthly Data'!CL61</f>
        <v>0</v>
      </c>
      <c r="I61" s="11">
        <f>'GS Co Gen Predicted Monthly'!$R$10</f>
        <v>-1091818.61931381</v>
      </c>
      <c r="J61" s="11">
        <f ca="1">E61*'GS Co Gen Predicted Monthly'!$R$11</f>
        <v>0</v>
      </c>
      <c r="K61" s="11">
        <f>F61*'GS Co Gen Predicted Monthly'!$R$12</f>
        <v>3490881.8897357369</v>
      </c>
      <c r="L61" s="11">
        <f>G61*'GS Co Gen Predicted Monthly'!$R$13</f>
        <v>0</v>
      </c>
      <c r="M61" s="11">
        <f t="shared" ca="1" si="2"/>
        <v>2399063.2704219269</v>
      </c>
    </row>
    <row r="62" spans="1:13" x14ac:dyDescent="0.2">
      <c r="A62" s="8">
        <f>'Monthly Data'!A62</f>
        <v>44562</v>
      </c>
      <c r="B62">
        <f t="shared" si="0"/>
        <v>2022</v>
      </c>
      <c r="C62">
        <f t="shared" si="1"/>
        <v>1</v>
      </c>
      <c r="D62" s="18">
        <f>'Monthly Data'!S62</f>
        <v>1022059.6169857765</v>
      </c>
      <c r="E62" s="21">
        <f t="shared" ref="E62:E77" ca="1" si="6">E50</f>
        <v>0</v>
      </c>
      <c r="F62" s="21">
        <f>'Monthly Data'!CT62</f>
        <v>20</v>
      </c>
      <c r="G62" s="21">
        <f>'Monthly Data'!CL62</f>
        <v>0</v>
      </c>
      <c r="I62" s="11">
        <f>'GS Co Gen Predicted Monthly'!$R$10</f>
        <v>-1091818.61931381</v>
      </c>
      <c r="J62" s="11">
        <f ca="1">E62*'GS Co Gen Predicted Monthly'!$R$11</f>
        <v>0</v>
      </c>
      <c r="K62" s="11">
        <f>F62*'GS Co Gen Predicted Monthly'!$R$12</f>
        <v>3324649.41879594</v>
      </c>
      <c r="L62" s="11">
        <f>G62*'GS Co Gen Predicted Monthly'!$R$13</f>
        <v>0</v>
      </c>
      <c r="M62" s="11">
        <f t="shared" ca="1" si="2"/>
        <v>2232830.79948213</v>
      </c>
    </row>
    <row r="63" spans="1:13" x14ac:dyDescent="0.2">
      <c r="A63" s="8">
        <f>'Monthly Data'!A63</f>
        <v>44593</v>
      </c>
      <c r="B63">
        <f t="shared" si="0"/>
        <v>2022</v>
      </c>
      <c r="C63">
        <f t="shared" si="1"/>
        <v>2</v>
      </c>
      <c r="D63" s="18">
        <f>'Monthly Data'!S63</f>
        <v>1744892.6852793817</v>
      </c>
      <c r="E63" s="21">
        <f t="shared" ca="1" si="6"/>
        <v>0</v>
      </c>
      <c r="F63" s="21">
        <f>'Monthly Data'!CT63</f>
        <v>19</v>
      </c>
      <c r="G63" s="21">
        <f>'Monthly Data'!CL63</f>
        <v>0</v>
      </c>
      <c r="I63" s="11">
        <f>'GS Co Gen Predicted Monthly'!$R$10</f>
        <v>-1091818.61931381</v>
      </c>
      <c r="J63" s="11">
        <f ca="1">E63*'GS Co Gen Predicted Monthly'!$R$11</f>
        <v>0</v>
      </c>
      <c r="K63" s="11">
        <f>F63*'GS Co Gen Predicted Monthly'!$R$12</f>
        <v>3158416.9478561431</v>
      </c>
      <c r="L63" s="11">
        <f>G63*'GS Co Gen Predicted Monthly'!$R$13</f>
        <v>0</v>
      </c>
      <c r="M63" s="11">
        <f t="shared" ca="1" si="2"/>
        <v>2066598.3285423331</v>
      </c>
    </row>
    <row r="64" spans="1:13" x14ac:dyDescent="0.2">
      <c r="A64" s="8">
        <f>'Monthly Data'!A64</f>
        <v>44621</v>
      </c>
      <c r="B64">
        <f t="shared" si="0"/>
        <v>2022</v>
      </c>
      <c r="C64">
        <f t="shared" si="1"/>
        <v>3</v>
      </c>
      <c r="D64" s="18">
        <f>'Monthly Data'!S64</f>
        <v>1190079.078040208</v>
      </c>
      <c r="E64" s="21">
        <f t="shared" ca="1" si="6"/>
        <v>0</v>
      </c>
      <c r="F64" s="21">
        <f>'Monthly Data'!CT64</f>
        <v>23</v>
      </c>
      <c r="G64" s="21">
        <f>'Monthly Data'!CL64</f>
        <v>0</v>
      </c>
      <c r="I64" s="11">
        <f>'GS Co Gen Predicted Monthly'!$R$10</f>
        <v>-1091818.61931381</v>
      </c>
      <c r="J64" s="11">
        <f ca="1">E64*'GS Co Gen Predicted Monthly'!$R$11</f>
        <v>0</v>
      </c>
      <c r="K64" s="11">
        <f>F64*'GS Co Gen Predicted Monthly'!$R$12</f>
        <v>3823346.8316153311</v>
      </c>
      <c r="L64" s="11">
        <f>G64*'GS Co Gen Predicted Monthly'!$R$13</f>
        <v>0</v>
      </c>
      <c r="M64" s="11">
        <f t="shared" ca="1" si="2"/>
        <v>2731528.2123015211</v>
      </c>
    </row>
    <row r="65" spans="1:13" x14ac:dyDescent="0.2">
      <c r="A65" s="8">
        <f>'Monthly Data'!A65</f>
        <v>44652</v>
      </c>
      <c r="B65">
        <f t="shared" si="0"/>
        <v>2022</v>
      </c>
      <c r="C65">
        <f t="shared" si="1"/>
        <v>4</v>
      </c>
      <c r="D65" s="18">
        <f>'Monthly Data'!S65</f>
        <v>1361343.5260930443</v>
      </c>
      <c r="E65" s="21">
        <f t="shared" ca="1" si="6"/>
        <v>6.5650000000000031</v>
      </c>
      <c r="F65" s="21">
        <f>'Monthly Data'!CT65</f>
        <v>20</v>
      </c>
      <c r="G65" s="21">
        <f>'Monthly Data'!CL65</f>
        <v>0</v>
      </c>
      <c r="I65" s="11">
        <f>'GS Co Gen Predicted Monthly'!$R$10</f>
        <v>-1091818.61931381</v>
      </c>
      <c r="J65" s="11">
        <f ca="1">E65*'GS Co Gen Predicted Monthly'!$R$11</f>
        <v>111632.86410458865</v>
      </c>
      <c r="K65" s="11">
        <f>F65*'GS Co Gen Predicted Monthly'!$R$12</f>
        <v>3324649.41879594</v>
      </c>
      <c r="L65" s="11">
        <f>G65*'GS Co Gen Predicted Monthly'!$R$13</f>
        <v>0</v>
      </c>
      <c r="M65" s="11">
        <f t="shared" ca="1" si="2"/>
        <v>2344463.6635867185</v>
      </c>
    </row>
    <row r="66" spans="1:13" x14ac:dyDescent="0.2">
      <c r="A66" s="8">
        <f>'Monthly Data'!A66</f>
        <v>44682</v>
      </c>
      <c r="B66">
        <f t="shared" ref="B66:B121" si="7">YEAR(A66)</f>
        <v>2022</v>
      </c>
      <c r="C66">
        <f t="shared" ref="C66:C121" si="8">MONTH(A66)</f>
        <v>5</v>
      </c>
      <c r="D66" s="18">
        <f>'Monthly Data'!S66</f>
        <v>5350720.1149436207</v>
      </c>
      <c r="E66" s="21">
        <f t="shared" ca="1" si="6"/>
        <v>59.300416666666649</v>
      </c>
      <c r="F66" s="21">
        <f>'Monthly Data'!CT66</f>
        <v>21</v>
      </c>
      <c r="G66" s="21">
        <f>'Monthly Data'!CL66</f>
        <v>0</v>
      </c>
      <c r="I66" s="11">
        <f>'GS Co Gen Predicted Monthly'!$R$10</f>
        <v>-1091818.61931381</v>
      </c>
      <c r="J66" s="11">
        <f ca="1">E66*'GS Co Gen Predicted Monthly'!$R$11</f>
        <v>1008358.7745766152</v>
      </c>
      <c r="K66" s="11">
        <f>F66*'GS Co Gen Predicted Monthly'!$R$12</f>
        <v>3490881.8897357369</v>
      </c>
      <c r="L66" s="11">
        <f>G66*'GS Co Gen Predicted Monthly'!$R$13</f>
        <v>0</v>
      </c>
      <c r="M66" s="11">
        <f t="shared" ca="1" si="2"/>
        <v>3407422.0449985419</v>
      </c>
    </row>
    <row r="67" spans="1:13" x14ac:dyDescent="0.2">
      <c r="A67" s="8">
        <f>'Monthly Data'!A67</f>
        <v>44713</v>
      </c>
      <c r="B67">
        <f t="shared" si="7"/>
        <v>2022</v>
      </c>
      <c r="C67">
        <f t="shared" si="8"/>
        <v>6</v>
      </c>
      <c r="D67" s="18">
        <f>'Monthly Data'!S67</f>
        <v>4689316.800036367</v>
      </c>
      <c r="E67" s="21">
        <f t="shared" ca="1" si="6"/>
        <v>157.17000000000002</v>
      </c>
      <c r="F67" s="21">
        <f>'Monthly Data'!CT67</f>
        <v>22</v>
      </c>
      <c r="G67" s="21">
        <f>'Monthly Data'!CL67</f>
        <v>0</v>
      </c>
      <c r="I67" s="11">
        <f>'GS Co Gen Predicted Monthly'!$R$10</f>
        <v>-1091818.61931381</v>
      </c>
      <c r="J67" s="11">
        <f ca="1">E67*'GS Co Gen Predicted Monthly'!$R$11</f>
        <v>2672557.083216785</v>
      </c>
      <c r="K67" s="11">
        <f>F67*'GS Co Gen Predicted Monthly'!$R$12</f>
        <v>3657114.3606755342</v>
      </c>
      <c r="L67" s="11">
        <f>G67*'GS Co Gen Predicted Monthly'!$R$13</f>
        <v>0</v>
      </c>
      <c r="M67" s="11">
        <f t="shared" ref="M67:M130" ca="1" si="9">SUM(I67:L67)</f>
        <v>5237852.8245785087</v>
      </c>
    </row>
    <row r="68" spans="1:13" x14ac:dyDescent="0.2">
      <c r="A68" s="8">
        <f>'Monthly Data'!A68</f>
        <v>44743</v>
      </c>
      <c r="B68">
        <f t="shared" si="7"/>
        <v>2022</v>
      </c>
      <c r="C68">
        <f t="shared" si="8"/>
        <v>7</v>
      </c>
      <c r="D68" s="18">
        <f>'Monthly Data'!S68</f>
        <v>5115119.137130823</v>
      </c>
      <c r="E68" s="21">
        <f t="shared" ca="1" si="6"/>
        <v>231.27145833333333</v>
      </c>
      <c r="F68" s="21">
        <f>'Monthly Data'!CT68</f>
        <v>20</v>
      </c>
      <c r="G68" s="21">
        <f>'Monthly Data'!CL68</f>
        <v>1</v>
      </c>
      <c r="I68" s="11">
        <f>'GS Co Gen Predicted Monthly'!$R$10</f>
        <v>-1091818.61931381</v>
      </c>
      <c r="J68" s="11">
        <f ca="1">E68*'GS Co Gen Predicted Monthly'!$R$11</f>
        <v>3932596.3868080769</v>
      </c>
      <c r="K68" s="11">
        <f>F68*'GS Co Gen Predicted Monthly'!$R$12</f>
        <v>3324649.41879594</v>
      </c>
      <c r="L68" s="11">
        <f>G68*'GS Co Gen Predicted Monthly'!$R$13</f>
        <v>-689077.09586613998</v>
      </c>
      <c r="M68" s="11">
        <f t="shared" ca="1" si="9"/>
        <v>5476350.0904240664</v>
      </c>
    </row>
    <row r="69" spans="1:13" x14ac:dyDescent="0.2">
      <c r="A69" s="8">
        <f>'Monthly Data'!A69</f>
        <v>44774</v>
      </c>
      <c r="B69">
        <f t="shared" si="7"/>
        <v>2022</v>
      </c>
      <c r="C69">
        <f t="shared" si="8"/>
        <v>8</v>
      </c>
      <c r="D69" s="18">
        <f>'Monthly Data'!S69</f>
        <v>7061111.8252039393</v>
      </c>
      <c r="E69" s="21">
        <f t="shared" ca="1" si="6"/>
        <v>196.13625000000002</v>
      </c>
      <c r="F69" s="21">
        <f>'Monthly Data'!CT69</f>
        <v>22</v>
      </c>
      <c r="G69" s="21">
        <f>'Monthly Data'!CL69</f>
        <v>1</v>
      </c>
      <c r="I69" s="11">
        <f>'GS Co Gen Predicted Monthly'!$R$10</f>
        <v>-1091818.61931381</v>
      </c>
      <c r="J69" s="11">
        <f ca="1">E69*'GS Co Gen Predicted Monthly'!$R$11</f>
        <v>3335148.7193044354</v>
      </c>
      <c r="K69" s="11">
        <f>F69*'GS Co Gen Predicted Monthly'!$R$12</f>
        <v>3657114.3606755342</v>
      </c>
      <c r="L69" s="11">
        <f>G69*'GS Co Gen Predicted Monthly'!$R$13</f>
        <v>-689077.09586613998</v>
      </c>
      <c r="M69" s="11">
        <f t="shared" ca="1" si="9"/>
        <v>5211367.3648000192</v>
      </c>
    </row>
    <row r="70" spans="1:13" x14ac:dyDescent="0.2">
      <c r="A70" s="8">
        <f>'Monthly Data'!A70</f>
        <v>44805</v>
      </c>
      <c r="B70">
        <f t="shared" si="7"/>
        <v>2022</v>
      </c>
      <c r="C70">
        <f t="shared" si="8"/>
        <v>9</v>
      </c>
      <c r="D70" s="18">
        <f>'Monthly Data'!S70</f>
        <v>5290385.8347192556</v>
      </c>
      <c r="E70" s="21">
        <f t="shared" ca="1" si="6"/>
        <v>104.19854166666664</v>
      </c>
      <c r="F70" s="21">
        <f>'Monthly Data'!CT70</f>
        <v>20</v>
      </c>
      <c r="G70" s="21">
        <f>'Monthly Data'!CL70</f>
        <v>0</v>
      </c>
      <c r="I70" s="11">
        <f>'GS Co Gen Predicted Monthly'!$R$10</f>
        <v>-1091818.61931381</v>
      </c>
      <c r="J70" s="11">
        <f ca="1">E70*'GS Co Gen Predicted Monthly'!$R$11</f>
        <v>1771817.4625698873</v>
      </c>
      <c r="K70" s="11">
        <f>F70*'GS Co Gen Predicted Monthly'!$R$12</f>
        <v>3324649.41879594</v>
      </c>
      <c r="L70" s="11">
        <f>G70*'GS Co Gen Predicted Monthly'!$R$13</f>
        <v>0</v>
      </c>
      <c r="M70" s="11">
        <f t="shared" ca="1" si="9"/>
        <v>4004648.2620520173</v>
      </c>
    </row>
    <row r="71" spans="1:13" x14ac:dyDescent="0.2">
      <c r="A71" s="8">
        <f>'Monthly Data'!A71</f>
        <v>44835</v>
      </c>
      <c r="B71">
        <f t="shared" si="7"/>
        <v>2022</v>
      </c>
      <c r="C71">
        <f t="shared" si="8"/>
        <v>10</v>
      </c>
      <c r="D71" s="18">
        <f>'Monthly Data'!S71</f>
        <v>4236739.3971533719</v>
      </c>
      <c r="E71" s="21">
        <f t="shared" ca="1" si="6"/>
        <v>24.703125000000007</v>
      </c>
      <c r="F71" s="21">
        <f>'Monthly Data'!CT71</f>
        <v>20</v>
      </c>
      <c r="G71" s="21">
        <f>'Monthly Data'!CL71</f>
        <v>0</v>
      </c>
      <c r="I71" s="11">
        <f>'GS Co Gen Predicted Monthly'!$R$10</f>
        <v>-1091818.61931381</v>
      </c>
      <c r="J71" s="11">
        <f ca="1">E71*'GS Co Gen Predicted Monthly'!$R$11</f>
        <v>420057.97350855538</v>
      </c>
      <c r="K71" s="11">
        <f>F71*'GS Co Gen Predicted Monthly'!$R$12</f>
        <v>3324649.41879594</v>
      </c>
      <c r="L71" s="11">
        <f>G71*'GS Co Gen Predicted Monthly'!$R$13</f>
        <v>0</v>
      </c>
      <c r="M71" s="11">
        <f t="shared" ca="1" si="9"/>
        <v>2652888.7729906854</v>
      </c>
    </row>
    <row r="72" spans="1:13" x14ac:dyDescent="0.2">
      <c r="A72" s="8">
        <f>'Monthly Data'!A72</f>
        <v>44866</v>
      </c>
      <c r="B72">
        <f t="shared" si="7"/>
        <v>2022</v>
      </c>
      <c r="C72">
        <f t="shared" si="8"/>
        <v>11</v>
      </c>
      <c r="D72" s="18">
        <f>'Monthly Data'!S72</f>
        <v>5119153.7080734884</v>
      </c>
      <c r="E72" s="21">
        <f t="shared" ca="1" si="6"/>
        <v>1.6454166666666665</v>
      </c>
      <c r="F72" s="21">
        <f>'Monthly Data'!CT72</f>
        <v>22</v>
      </c>
      <c r="G72" s="21">
        <f>'Monthly Data'!CL72</f>
        <v>0</v>
      </c>
      <c r="I72" s="11">
        <f>'GS Co Gen Predicted Monthly'!$R$10</f>
        <v>-1091818.61931381</v>
      </c>
      <c r="J72" s="11">
        <f ca="1">E72*'GS Co Gen Predicted Monthly'!$R$11</f>
        <v>27979.067044238407</v>
      </c>
      <c r="K72" s="11">
        <f>F72*'GS Co Gen Predicted Monthly'!$R$12</f>
        <v>3657114.3606755342</v>
      </c>
      <c r="L72" s="11">
        <f>G72*'GS Co Gen Predicted Monthly'!$R$13</f>
        <v>0</v>
      </c>
      <c r="M72" s="11">
        <f t="shared" ca="1" si="9"/>
        <v>2593274.8084059628</v>
      </c>
    </row>
    <row r="73" spans="1:13" x14ac:dyDescent="0.2">
      <c r="A73" s="8">
        <f>'Monthly Data'!A73</f>
        <v>44896</v>
      </c>
      <c r="B73">
        <f t="shared" si="7"/>
        <v>2022</v>
      </c>
      <c r="C73">
        <f t="shared" si="8"/>
        <v>12</v>
      </c>
      <c r="D73" s="18">
        <f>'Monthly Data'!S73</f>
        <v>2153000.0512014646</v>
      </c>
      <c r="E73" s="21">
        <f t="shared" ca="1" si="6"/>
        <v>0</v>
      </c>
      <c r="F73" s="21">
        <f>'Monthly Data'!CT73</f>
        <v>20</v>
      </c>
      <c r="G73" s="21">
        <f>'Monthly Data'!CL73</f>
        <v>0</v>
      </c>
      <c r="I73" s="11">
        <f>'GS Co Gen Predicted Monthly'!$R$10</f>
        <v>-1091818.61931381</v>
      </c>
      <c r="J73" s="11">
        <f ca="1">E73*'GS Co Gen Predicted Monthly'!$R$11</f>
        <v>0</v>
      </c>
      <c r="K73" s="11">
        <f>F73*'GS Co Gen Predicted Monthly'!$R$12</f>
        <v>3324649.41879594</v>
      </c>
      <c r="L73" s="11">
        <f>G73*'GS Co Gen Predicted Monthly'!$R$13</f>
        <v>0</v>
      </c>
      <c r="M73" s="11">
        <f t="shared" ca="1" si="9"/>
        <v>2232830.79948213</v>
      </c>
    </row>
    <row r="74" spans="1:13" x14ac:dyDescent="0.2">
      <c r="A74" s="8">
        <f>'Monthly Data'!A74</f>
        <v>44927</v>
      </c>
      <c r="B74">
        <f t="shared" si="7"/>
        <v>2023</v>
      </c>
      <c r="C74">
        <f t="shared" si="8"/>
        <v>1</v>
      </c>
      <c r="D74" s="18">
        <f>'Monthly Data'!S74</f>
        <v>2475906.2124542031</v>
      </c>
      <c r="E74" s="21">
        <f t="shared" ca="1" si="6"/>
        <v>0</v>
      </c>
      <c r="F74" s="21">
        <f>'Monthly Data'!CT74</f>
        <v>21</v>
      </c>
      <c r="G74" s="21">
        <f>'Monthly Data'!CL74</f>
        <v>0</v>
      </c>
      <c r="I74" s="11">
        <f>'GS Co Gen Predicted Monthly'!$R$10</f>
        <v>-1091818.61931381</v>
      </c>
      <c r="J74" s="11">
        <f ca="1">E74*'GS Co Gen Predicted Monthly'!$R$11</f>
        <v>0</v>
      </c>
      <c r="K74" s="11">
        <f>F74*'GS Co Gen Predicted Monthly'!$R$12</f>
        <v>3490881.8897357369</v>
      </c>
      <c r="L74" s="11">
        <f>G74*'GS Co Gen Predicted Monthly'!$R$13</f>
        <v>0</v>
      </c>
      <c r="M74" s="11">
        <f t="shared" ca="1" si="9"/>
        <v>2399063.2704219269</v>
      </c>
    </row>
    <row r="75" spans="1:13" x14ac:dyDescent="0.2">
      <c r="A75" s="8">
        <f>'Monthly Data'!A75</f>
        <v>44958</v>
      </c>
      <c r="B75">
        <f t="shared" si="7"/>
        <v>2023</v>
      </c>
      <c r="C75">
        <f t="shared" si="8"/>
        <v>2</v>
      </c>
      <c r="D75" s="18">
        <f>'Monthly Data'!S75</f>
        <v>3051393.3752032155</v>
      </c>
      <c r="E75" s="21">
        <f t="shared" ca="1" si="6"/>
        <v>0</v>
      </c>
      <c r="F75" s="21">
        <f>'Monthly Data'!CT75</f>
        <v>19</v>
      </c>
      <c r="G75" s="21">
        <f>'Monthly Data'!CL75</f>
        <v>0</v>
      </c>
      <c r="I75" s="11">
        <f>'GS Co Gen Predicted Monthly'!$R$10</f>
        <v>-1091818.61931381</v>
      </c>
      <c r="J75" s="11">
        <f ca="1">E75*'GS Co Gen Predicted Monthly'!$R$11</f>
        <v>0</v>
      </c>
      <c r="K75" s="11">
        <f>F75*'GS Co Gen Predicted Monthly'!$R$12</f>
        <v>3158416.9478561431</v>
      </c>
      <c r="L75" s="11">
        <f>G75*'GS Co Gen Predicted Monthly'!$R$13</f>
        <v>0</v>
      </c>
      <c r="M75" s="11">
        <f t="shared" ca="1" si="9"/>
        <v>2066598.3285423331</v>
      </c>
    </row>
    <row r="76" spans="1:13" x14ac:dyDescent="0.2">
      <c r="A76" s="8">
        <f>'Monthly Data'!A76</f>
        <v>44986</v>
      </c>
      <c r="B76">
        <f t="shared" si="7"/>
        <v>2023</v>
      </c>
      <c r="C76">
        <f t="shared" si="8"/>
        <v>3</v>
      </c>
      <c r="D76" s="18">
        <f>'Monthly Data'!S76</f>
        <v>4360884.6742221788</v>
      </c>
      <c r="E76" s="21">
        <f t="shared" ca="1" si="6"/>
        <v>0</v>
      </c>
      <c r="F76" s="21">
        <f>'Monthly Data'!CT76</f>
        <v>23</v>
      </c>
      <c r="G76" s="21">
        <f>'Monthly Data'!CL76</f>
        <v>0</v>
      </c>
      <c r="I76" s="11">
        <f>'GS Co Gen Predicted Monthly'!$R$10</f>
        <v>-1091818.61931381</v>
      </c>
      <c r="J76" s="11">
        <f ca="1">E76*'GS Co Gen Predicted Monthly'!$R$11</f>
        <v>0</v>
      </c>
      <c r="K76" s="11">
        <f>F76*'GS Co Gen Predicted Monthly'!$R$12</f>
        <v>3823346.8316153311</v>
      </c>
      <c r="L76" s="11">
        <f>G76*'GS Co Gen Predicted Monthly'!$R$13</f>
        <v>0</v>
      </c>
      <c r="M76" s="11">
        <f t="shared" ca="1" si="9"/>
        <v>2731528.2123015211</v>
      </c>
    </row>
    <row r="77" spans="1:13" x14ac:dyDescent="0.2">
      <c r="A77" s="8">
        <f>'Monthly Data'!A77</f>
        <v>45017</v>
      </c>
      <c r="B77">
        <f t="shared" si="7"/>
        <v>2023</v>
      </c>
      <c r="C77">
        <f t="shared" si="8"/>
        <v>4</v>
      </c>
      <c r="D77" s="18">
        <f>'Monthly Data'!S77</f>
        <v>1982541.2606718806</v>
      </c>
      <c r="E77" s="21">
        <f t="shared" ca="1" si="6"/>
        <v>6.5650000000000031</v>
      </c>
      <c r="F77" s="21">
        <f>'Monthly Data'!CT77</f>
        <v>19</v>
      </c>
      <c r="G77" s="21">
        <f>'Monthly Data'!CL77</f>
        <v>0</v>
      </c>
      <c r="I77" s="11">
        <f>'GS Co Gen Predicted Monthly'!$R$10</f>
        <v>-1091818.61931381</v>
      </c>
      <c r="J77" s="11">
        <f ca="1">E77*'GS Co Gen Predicted Monthly'!$R$11</f>
        <v>111632.86410458865</v>
      </c>
      <c r="K77" s="11">
        <f>F77*'GS Co Gen Predicted Monthly'!$R$12</f>
        <v>3158416.9478561431</v>
      </c>
      <c r="L77" s="11">
        <f>G77*'GS Co Gen Predicted Monthly'!$R$13</f>
        <v>0</v>
      </c>
      <c r="M77" s="11">
        <f t="shared" ca="1" si="9"/>
        <v>2178231.1926469216</v>
      </c>
    </row>
    <row r="78" spans="1:13" x14ac:dyDescent="0.2">
      <c r="A78" s="8">
        <f>'Monthly Data'!A78</f>
        <v>45047</v>
      </c>
      <c r="B78">
        <f t="shared" si="7"/>
        <v>2023</v>
      </c>
      <c r="C78">
        <f t="shared" si="8"/>
        <v>5</v>
      </c>
      <c r="D78" s="18">
        <f>'Monthly Data'!S78</f>
        <v>5249179.5430356627</v>
      </c>
      <c r="E78" s="21">
        <f t="shared" ref="E78:E93" ca="1" si="10">E66</f>
        <v>59.300416666666649</v>
      </c>
      <c r="F78" s="21">
        <f>'Monthly Data'!CT78</f>
        <v>22</v>
      </c>
      <c r="G78" s="21">
        <f>'Monthly Data'!CL78</f>
        <v>0</v>
      </c>
      <c r="I78" s="11">
        <f>'GS Co Gen Predicted Monthly'!$R$10</f>
        <v>-1091818.61931381</v>
      </c>
      <c r="J78" s="11">
        <f ca="1">E78*'GS Co Gen Predicted Monthly'!$R$11</f>
        <v>1008358.7745766152</v>
      </c>
      <c r="K78" s="11">
        <f>F78*'GS Co Gen Predicted Monthly'!$R$12</f>
        <v>3657114.3606755342</v>
      </c>
      <c r="L78" s="11">
        <f>G78*'GS Co Gen Predicted Monthly'!$R$13</f>
        <v>0</v>
      </c>
      <c r="M78" s="11">
        <f t="shared" ca="1" si="9"/>
        <v>3573654.5159383393</v>
      </c>
    </row>
    <row r="79" spans="1:13" x14ac:dyDescent="0.2">
      <c r="A79" s="8">
        <f>'Monthly Data'!A79</f>
        <v>45078</v>
      </c>
      <c r="B79">
        <f t="shared" si="7"/>
        <v>2023</v>
      </c>
      <c r="C79">
        <f t="shared" si="8"/>
        <v>6</v>
      </c>
      <c r="D79" s="18">
        <f>'Monthly Data'!S79</f>
        <v>5648220.3218985656</v>
      </c>
      <c r="E79" s="21">
        <f t="shared" ca="1" si="10"/>
        <v>157.17000000000002</v>
      </c>
      <c r="F79" s="21">
        <f>'Monthly Data'!CT79</f>
        <v>22</v>
      </c>
      <c r="G79" s="21">
        <f>'Monthly Data'!CL79</f>
        <v>0</v>
      </c>
      <c r="I79" s="11">
        <f>'GS Co Gen Predicted Monthly'!$R$10</f>
        <v>-1091818.61931381</v>
      </c>
      <c r="J79" s="11">
        <f ca="1">E79*'GS Co Gen Predicted Monthly'!$R$11</f>
        <v>2672557.083216785</v>
      </c>
      <c r="K79" s="11">
        <f>F79*'GS Co Gen Predicted Monthly'!$R$12</f>
        <v>3657114.3606755342</v>
      </c>
      <c r="L79" s="11">
        <f>G79*'GS Co Gen Predicted Monthly'!$R$13</f>
        <v>0</v>
      </c>
      <c r="M79" s="11">
        <f t="shared" ca="1" si="9"/>
        <v>5237852.8245785087</v>
      </c>
    </row>
    <row r="80" spans="1:13" x14ac:dyDescent="0.2">
      <c r="A80" s="8">
        <f>'Monthly Data'!A80</f>
        <v>45108</v>
      </c>
      <c r="B80">
        <f t="shared" si="7"/>
        <v>2023</v>
      </c>
      <c r="C80">
        <f t="shared" si="8"/>
        <v>7</v>
      </c>
      <c r="D80" s="18">
        <f>'Monthly Data'!S80</f>
        <v>6322903.5001553874</v>
      </c>
      <c r="E80" s="21">
        <f t="shared" ca="1" si="10"/>
        <v>231.27145833333333</v>
      </c>
      <c r="F80" s="21">
        <f>'Monthly Data'!CT80</f>
        <v>20</v>
      </c>
      <c r="G80" s="21">
        <f>'Monthly Data'!CL80</f>
        <v>1</v>
      </c>
      <c r="I80" s="11">
        <f>'GS Co Gen Predicted Monthly'!$R$10</f>
        <v>-1091818.61931381</v>
      </c>
      <c r="J80" s="11">
        <f ca="1">E80*'GS Co Gen Predicted Monthly'!$R$11</f>
        <v>3932596.3868080769</v>
      </c>
      <c r="K80" s="11">
        <f>F80*'GS Co Gen Predicted Monthly'!$R$12</f>
        <v>3324649.41879594</v>
      </c>
      <c r="L80" s="11">
        <f>G80*'GS Co Gen Predicted Monthly'!$R$13</f>
        <v>-689077.09586613998</v>
      </c>
      <c r="M80" s="11">
        <f t="shared" ca="1" si="9"/>
        <v>5476350.0904240664</v>
      </c>
    </row>
    <row r="81" spans="1:13" x14ac:dyDescent="0.2">
      <c r="A81" s="8">
        <f>'Monthly Data'!A81</f>
        <v>45139</v>
      </c>
      <c r="B81">
        <f t="shared" si="7"/>
        <v>2023</v>
      </c>
      <c r="C81">
        <f t="shared" si="8"/>
        <v>8</v>
      </c>
      <c r="D81" s="18">
        <f>'Monthly Data'!S81</f>
        <v>6992371.2423237106</v>
      </c>
      <c r="E81" s="21">
        <f t="shared" ca="1" si="10"/>
        <v>196.13625000000002</v>
      </c>
      <c r="F81" s="21">
        <f>'Monthly Data'!CT81</f>
        <v>22</v>
      </c>
      <c r="G81" s="21">
        <f>'Monthly Data'!CL81</f>
        <v>1</v>
      </c>
      <c r="I81" s="11">
        <f>'GS Co Gen Predicted Monthly'!$R$10</f>
        <v>-1091818.61931381</v>
      </c>
      <c r="J81" s="11">
        <f ca="1">E81*'GS Co Gen Predicted Monthly'!$R$11</f>
        <v>3335148.7193044354</v>
      </c>
      <c r="K81" s="11">
        <f>F81*'GS Co Gen Predicted Monthly'!$R$12</f>
        <v>3657114.3606755342</v>
      </c>
      <c r="L81" s="11">
        <f>G81*'GS Co Gen Predicted Monthly'!$R$13</f>
        <v>-689077.09586613998</v>
      </c>
      <c r="M81" s="11">
        <f t="shared" ca="1" si="9"/>
        <v>5211367.3648000192</v>
      </c>
    </row>
    <row r="82" spans="1:13" x14ac:dyDescent="0.2">
      <c r="A82" s="8">
        <f>'Monthly Data'!A82</f>
        <v>45170</v>
      </c>
      <c r="B82">
        <f t="shared" si="7"/>
        <v>2023</v>
      </c>
      <c r="C82">
        <f t="shared" si="8"/>
        <v>9</v>
      </c>
      <c r="D82" s="18">
        <f>'Monthly Data'!S82</f>
        <v>5494894.0473569827</v>
      </c>
      <c r="E82" s="21">
        <f t="shared" ca="1" si="10"/>
        <v>104.19854166666664</v>
      </c>
      <c r="F82" s="21">
        <f>'Monthly Data'!CT82</f>
        <v>20</v>
      </c>
      <c r="G82" s="21">
        <f>'Monthly Data'!CL82</f>
        <v>0</v>
      </c>
      <c r="I82" s="11">
        <f>'GS Co Gen Predicted Monthly'!$R$10</f>
        <v>-1091818.61931381</v>
      </c>
      <c r="J82" s="11">
        <f ca="1">E82*'GS Co Gen Predicted Monthly'!$R$11</f>
        <v>1771817.4625698873</v>
      </c>
      <c r="K82" s="11">
        <f>F82*'GS Co Gen Predicted Monthly'!$R$12</f>
        <v>3324649.41879594</v>
      </c>
      <c r="L82" s="11">
        <f>G82*'GS Co Gen Predicted Monthly'!$R$13</f>
        <v>0</v>
      </c>
      <c r="M82" s="11">
        <f t="shared" ca="1" si="9"/>
        <v>4004648.2620520173</v>
      </c>
    </row>
    <row r="83" spans="1:13" x14ac:dyDescent="0.2">
      <c r="A83" s="8">
        <f>'Monthly Data'!A83</f>
        <v>45200</v>
      </c>
      <c r="B83">
        <f t="shared" si="7"/>
        <v>2023</v>
      </c>
      <c r="C83">
        <f t="shared" si="8"/>
        <v>10</v>
      </c>
      <c r="D83" s="18">
        <f>'Monthly Data'!S83</f>
        <v>4240327.1673253356</v>
      </c>
      <c r="E83" s="21">
        <f t="shared" ca="1" si="10"/>
        <v>24.703125000000007</v>
      </c>
      <c r="F83" s="21">
        <f>'Monthly Data'!CT83</f>
        <v>21</v>
      </c>
      <c r="G83" s="21">
        <f>'Monthly Data'!CL83</f>
        <v>0</v>
      </c>
      <c r="I83" s="11">
        <f>'GS Co Gen Predicted Monthly'!$R$10</f>
        <v>-1091818.61931381</v>
      </c>
      <c r="J83" s="11">
        <f ca="1">E83*'GS Co Gen Predicted Monthly'!$R$11</f>
        <v>420057.97350855538</v>
      </c>
      <c r="K83" s="11">
        <f>F83*'GS Co Gen Predicted Monthly'!$R$12</f>
        <v>3490881.8897357369</v>
      </c>
      <c r="L83" s="11">
        <f>G83*'GS Co Gen Predicted Monthly'!$R$13</f>
        <v>0</v>
      </c>
      <c r="M83" s="11">
        <f t="shared" ca="1" si="9"/>
        <v>2819121.2439304823</v>
      </c>
    </row>
    <row r="84" spans="1:13" x14ac:dyDescent="0.2">
      <c r="A84" s="8">
        <f>'Monthly Data'!A84</f>
        <v>45231</v>
      </c>
      <c r="B84">
        <f t="shared" si="7"/>
        <v>2023</v>
      </c>
      <c r="C84">
        <f t="shared" si="8"/>
        <v>11</v>
      </c>
      <c r="D84" s="18">
        <f>'Monthly Data'!S84</f>
        <v>3874440.0590346674</v>
      </c>
      <c r="E84" s="21">
        <f t="shared" ca="1" si="10"/>
        <v>1.6454166666666665</v>
      </c>
      <c r="F84" s="21">
        <f>'Monthly Data'!CT84</f>
        <v>22</v>
      </c>
      <c r="G84" s="21">
        <f>'Monthly Data'!CL84</f>
        <v>0</v>
      </c>
      <c r="I84" s="11">
        <f>'GS Co Gen Predicted Monthly'!$R$10</f>
        <v>-1091818.61931381</v>
      </c>
      <c r="J84" s="11">
        <f ca="1">E84*'GS Co Gen Predicted Monthly'!$R$11</f>
        <v>27979.067044238407</v>
      </c>
      <c r="K84" s="11">
        <f>F84*'GS Co Gen Predicted Monthly'!$R$12</f>
        <v>3657114.3606755342</v>
      </c>
      <c r="L84" s="11">
        <f>G84*'GS Co Gen Predicted Monthly'!$R$13</f>
        <v>0</v>
      </c>
      <c r="M84" s="11">
        <f t="shared" ca="1" si="9"/>
        <v>2593274.8084059628</v>
      </c>
    </row>
    <row r="85" spans="1:13" x14ac:dyDescent="0.2">
      <c r="A85" s="8">
        <f>'Monthly Data'!A85</f>
        <v>45261</v>
      </c>
      <c r="B85">
        <f t="shared" si="7"/>
        <v>2023</v>
      </c>
      <c r="C85">
        <f t="shared" si="8"/>
        <v>12</v>
      </c>
      <c r="D85" s="18">
        <f>'Monthly Data'!S85</f>
        <v>3620292.7286042501</v>
      </c>
      <c r="E85" s="21">
        <f t="shared" ca="1" si="10"/>
        <v>0</v>
      </c>
      <c r="F85" s="21">
        <f>'Monthly Data'!CT85</f>
        <v>19</v>
      </c>
      <c r="G85" s="21">
        <f>'Monthly Data'!CL85</f>
        <v>0</v>
      </c>
      <c r="I85" s="11">
        <f>'GS Co Gen Predicted Monthly'!$R$10</f>
        <v>-1091818.61931381</v>
      </c>
      <c r="J85" s="11">
        <f ca="1">E85*'GS Co Gen Predicted Monthly'!$R$11</f>
        <v>0</v>
      </c>
      <c r="K85" s="11">
        <f>F85*'GS Co Gen Predicted Monthly'!$R$12</f>
        <v>3158416.9478561431</v>
      </c>
      <c r="L85" s="11">
        <f>G85*'GS Co Gen Predicted Monthly'!$R$13</f>
        <v>0</v>
      </c>
      <c r="M85" s="11">
        <f t="shared" ca="1" si="9"/>
        <v>2066598.3285423331</v>
      </c>
    </row>
    <row r="86" spans="1:13" x14ac:dyDescent="0.2">
      <c r="A86" s="8">
        <f>'Monthly Data'!A86</f>
        <v>45292</v>
      </c>
      <c r="B86">
        <f t="shared" si="7"/>
        <v>2024</v>
      </c>
      <c r="C86">
        <f t="shared" si="8"/>
        <v>1</v>
      </c>
      <c r="D86" s="18">
        <f>'Monthly Data'!S86</f>
        <v>4134836.494755582</v>
      </c>
      <c r="E86" s="21">
        <f t="shared" ca="1" si="10"/>
        <v>0</v>
      </c>
      <c r="F86" s="21">
        <f>'Monthly Data'!CT86</f>
        <v>22</v>
      </c>
      <c r="G86" s="21">
        <f>'Monthly Data'!CL86</f>
        <v>0</v>
      </c>
      <c r="I86" s="11">
        <f>'GS Co Gen Predicted Monthly'!$R$10</f>
        <v>-1091818.61931381</v>
      </c>
      <c r="J86" s="11">
        <f ca="1">E86*'GS Co Gen Predicted Monthly'!$R$11</f>
        <v>0</v>
      </c>
      <c r="K86" s="11">
        <f>F86*'GS Co Gen Predicted Monthly'!$R$12</f>
        <v>3657114.3606755342</v>
      </c>
      <c r="L86" s="11">
        <f>G86*'GS Co Gen Predicted Monthly'!$R$13</f>
        <v>0</v>
      </c>
      <c r="M86" s="11">
        <f t="shared" ca="1" si="9"/>
        <v>2565295.7413617242</v>
      </c>
    </row>
    <row r="87" spans="1:13" x14ac:dyDescent="0.2">
      <c r="A87" s="8">
        <f>'Monthly Data'!A87</f>
        <v>45323</v>
      </c>
      <c r="B87">
        <f t="shared" si="7"/>
        <v>2024</v>
      </c>
      <c r="C87">
        <f t="shared" si="8"/>
        <v>2</v>
      </c>
      <c r="D87" s="18">
        <f>'Monthly Data'!S87</f>
        <v>3340371.8788483315</v>
      </c>
      <c r="E87" s="21">
        <f t="shared" ca="1" si="10"/>
        <v>0</v>
      </c>
      <c r="F87" s="21">
        <f>'Monthly Data'!CT87</f>
        <v>20</v>
      </c>
      <c r="G87" s="21">
        <f>'Monthly Data'!CL87</f>
        <v>0</v>
      </c>
      <c r="I87" s="11">
        <f>'GS Co Gen Predicted Monthly'!$R$10</f>
        <v>-1091818.61931381</v>
      </c>
      <c r="J87" s="11">
        <f ca="1">E87*'GS Co Gen Predicted Monthly'!$R$11</f>
        <v>0</v>
      </c>
      <c r="K87" s="11">
        <f>F87*'GS Co Gen Predicted Monthly'!$R$12</f>
        <v>3324649.41879594</v>
      </c>
      <c r="L87" s="11">
        <f>G87*'GS Co Gen Predicted Monthly'!$R$13</f>
        <v>0</v>
      </c>
      <c r="M87" s="11">
        <f t="shared" ca="1" si="9"/>
        <v>2232830.79948213</v>
      </c>
    </row>
    <row r="88" spans="1:13" x14ac:dyDescent="0.2">
      <c r="A88" s="8">
        <f>'Monthly Data'!A88</f>
        <v>45352</v>
      </c>
      <c r="B88">
        <f t="shared" si="7"/>
        <v>2024</v>
      </c>
      <c r="C88">
        <f t="shared" si="8"/>
        <v>3</v>
      </c>
      <c r="D88" s="18">
        <f>'Monthly Data'!S88</f>
        <v>3571437.4403881808</v>
      </c>
      <c r="E88" s="21">
        <f t="shared" ca="1" si="10"/>
        <v>0</v>
      </c>
      <c r="F88" s="21">
        <f>'Monthly Data'!CT88</f>
        <v>20</v>
      </c>
      <c r="G88" s="21">
        <f>'Monthly Data'!CL88</f>
        <v>0</v>
      </c>
      <c r="I88" s="11">
        <f>'GS Co Gen Predicted Monthly'!$R$10</f>
        <v>-1091818.61931381</v>
      </c>
      <c r="J88" s="11">
        <f ca="1">E88*'GS Co Gen Predicted Monthly'!$R$11</f>
        <v>0</v>
      </c>
      <c r="K88" s="11">
        <f>F88*'GS Co Gen Predicted Monthly'!$R$12</f>
        <v>3324649.41879594</v>
      </c>
      <c r="L88" s="11">
        <f>G88*'GS Co Gen Predicted Monthly'!$R$13</f>
        <v>0</v>
      </c>
      <c r="M88" s="11">
        <f t="shared" ca="1" si="9"/>
        <v>2232830.79948213</v>
      </c>
    </row>
    <row r="89" spans="1:13" x14ac:dyDescent="0.2">
      <c r="A89" s="8">
        <f>'Monthly Data'!A89</f>
        <v>45383</v>
      </c>
      <c r="B89">
        <f t="shared" si="7"/>
        <v>2024</v>
      </c>
      <c r="C89">
        <f t="shared" si="8"/>
        <v>4</v>
      </c>
      <c r="D89" s="18">
        <f>'Monthly Data'!S89</f>
        <v>3559296.6426970703</v>
      </c>
      <c r="E89" s="21">
        <f t="shared" ca="1" si="10"/>
        <v>6.5650000000000031</v>
      </c>
      <c r="F89" s="21">
        <f>'Monthly Data'!CT89</f>
        <v>22</v>
      </c>
      <c r="G89" s="21">
        <f>'Monthly Data'!CL89</f>
        <v>0</v>
      </c>
      <c r="I89" s="11">
        <f>'GS Co Gen Predicted Monthly'!$R$10</f>
        <v>-1091818.61931381</v>
      </c>
      <c r="J89" s="11">
        <f ca="1">E89*'GS Co Gen Predicted Monthly'!$R$11</f>
        <v>111632.86410458865</v>
      </c>
      <c r="K89" s="11">
        <f>F89*'GS Co Gen Predicted Monthly'!$R$12</f>
        <v>3657114.3606755342</v>
      </c>
      <c r="L89" s="11">
        <f>G89*'GS Co Gen Predicted Monthly'!$R$13</f>
        <v>0</v>
      </c>
      <c r="M89" s="11">
        <f t="shared" ca="1" si="9"/>
        <v>2676928.6054663127</v>
      </c>
    </row>
    <row r="90" spans="1:13" x14ac:dyDescent="0.2">
      <c r="A90" s="8">
        <f>'Monthly Data'!A90</f>
        <v>45413</v>
      </c>
      <c r="B90">
        <f t="shared" si="7"/>
        <v>2024</v>
      </c>
      <c r="C90">
        <f t="shared" si="8"/>
        <v>5</v>
      </c>
      <c r="D90" s="18">
        <f>'Monthly Data'!S90</f>
        <v>3685994.6039710096</v>
      </c>
      <c r="E90" s="21">
        <f t="shared" ca="1" si="10"/>
        <v>59.300416666666649</v>
      </c>
      <c r="F90" s="21">
        <f>'Monthly Data'!CT90</f>
        <v>22</v>
      </c>
      <c r="G90" s="21">
        <f>'Monthly Data'!CL90</f>
        <v>0</v>
      </c>
      <c r="I90" s="11">
        <f>'GS Co Gen Predicted Monthly'!$R$10</f>
        <v>-1091818.61931381</v>
      </c>
      <c r="J90" s="11">
        <f ca="1">E90*'GS Co Gen Predicted Monthly'!$R$11</f>
        <v>1008358.7745766152</v>
      </c>
      <c r="K90" s="11">
        <f>F90*'GS Co Gen Predicted Monthly'!$R$12</f>
        <v>3657114.3606755342</v>
      </c>
      <c r="L90" s="11">
        <f>G90*'GS Co Gen Predicted Monthly'!$R$13</f>
        <v>0</v>
      </c>
      <c r="M90" s="11">
        <f t="shared" ca="1" si="9"/>
        <v>3573654.5159383393</v>
      </c>
    </row>
    <row r="91" spans="1:13" x14ac:dyDescent="0.2">
      <c r="A91" s="8">
        <f>'Monthly Data'!A91</f>
        <v>45444</v>
      </c>
      <c r="B91">
        <f t="shared" si="7"/>
        <v>2024</v>
      </c>
      <c r="C91">
        <f t="shared" si="8"/>
        <v>6</v>
      </c>
      <c r="D91" s="18">
        <f>'Monthly Data'!S91</f>
        <v>4407100.2006814191</v>
      </c>
      <c r="E91" s="21">
        <f t="shared" ca="1" si="10"/>
        <v>157.17000000000002</v>
      </c>
      <c r="F91" s="21">
        <f>'Monthly Data'!CT91</f>
        <v>20</v>
      </c>
      <c r="G91" s="21">
        <f>'Monthly Data'!CL91</f>
        <v>0</v>
      </c>
      <c r="I91" s="11">
        <f>'GS Co Gen Predicted Monthly'!$R$10</f>
        <v>-1091818.61931381</v>
      </c>
      <c r="J91" s="11">
        <f ca="1">E91*'GS Co Gen Predicted Monthly'!$R$11</f>
        <v>2672557.083216785</v>
      </c>
      <c r="K91" s="11">
        <f>F91*'GS Co Gen Predicted Monthly'!$R$12</f>
        <v>3324649.41879594</v>
      </c>
      <c r="L91" s="11">
        <f>G91*'GS Co Gen Predicted Monthly'!$R$13</f>
        <v>0</v>
      </c>
      <c r="M91" s="11">
        <f t="shared" ca="1" si="9"/>
        <v>4905387.882698915</v>
      </c>
    </row>
    <row r="92" spans="1:13" x14ac:dyDescent="0.2">
      <c r="A92" s="8">
        <f>'Monthly Data'!A92</f>
        <v>45474</v>
      </c>
      <c r="B92">
        <f t="shared" si="7"/>
        <v>2024</v>
      </c>
      <c r="C92">
        <f t="shared" si="8"/>
        <v>7</v>
      </c>
      <c r="D92" s="18">
        <f>'Monthly Data'!S92</f>
        <v>2729070.3712969488</v>
      </c>
      <c r="E92" s="21">
        <f t="shared" ca="1" si="10"/>
        <v>231.27145833333333</v>
      </c>
      <c r="F92" s="21">
        <f>'Monthly Data'!CT92</f>
        <v>22</v>
      </c>
      <c r="G92" s="21">
        <f>'Monthly Data'!CL92</f>
        <v>1</v>
      </c>
      <c r="I92" s="11">
        <f>'GS Co Gen Predicted Monthly'!$R$10</f>
        <v>-1091818.61931381</v>
      </c>
      <c r="J92" s="11">
        <f ca="1">E92*'GS Co Gen Predicted Monthly'!$R$11</f>
        <v>3932596.3868080769</v>
      </c>
      <c r="K92" s="11">
        <f>F92*'GS Co Gen Predicted Monthly'!$R$12</f>
        <v>3657114.3606755342</v>
      </c>
      <c r="L92" s="11">
        <f>G92*'GS Co Gen Predicted Monthly'!$R$13</f>
        <v>-689077.09586613998</v>
      </c>
      <c r="M92" s="11">
        <f t="shared" ca="1" si="9"/>
        <v>5808815.0323036611</v>
      </c>
    </row>
    <row r="93" spans="1:13" x14ac:dyDescent="0.2">
      <c r="A93" s="8">
        <f>'Monthly Data'!A93</f>
        <v>45505</v>
      </c>
      <c r="B93">
        <f t="shared" si="7"/>
        <v>2024</v>
      </c>
      <c r="C93">
        <f t="shared" si="8"/>
        <v>8</v>
      </c>
      <c r="D93" s="18">
        <f>'Monthly Data'!S93</f>
        <v>2759475.7435549381</v>
      </c>
      <c r="E93" s="21">
        <f t="shared" ca="1" si="10"/>
        <v>196.13625000000002</v>
      </c>
      <c r="F93" s="21">
        <f>'Monthly Data'!CT93</f>
        <v>22</v>
      </c>
      <c r="G93" s="21">
        <f>'Monthly Data'!CL93</f>
        <v>1</v>
      </c>
      <c r="I93" s="11">
        <f>'GS Co Gen Predicted Monthly'!$R$10</f>
        <v>-1091818.61931381</v>
      </c>
      <c r="J93" s="11">
        <f ca="1">E93*'GS Co Gen Predicted Monthly'!$R$11</f>
        <v>3335148.7193044354</v>
      </c>
      <c r="K93" s="11">
        <f>F93*'GS Co Gen Predicted Monthly'!$R$12</f>
        <v>3657114.3606755342</v>
      </c>
      <c r="L93" s="11">
        <f>G93*'GS Co Gen Predicted Monthly'!$R$13</f>
        <v>-689077.09586613998</v>
      </c>
      <c r="M93" s="11">
        <f t="shared" ca="1" si="9"/>
        <v>5211367.3648000192</v>
      </c>
    </row>
    <row r="94" spans="1:13" x14ac:dyDescent="0.2">
      <c r="A94" s="8">
        <f>'Monthly Data'!A94</f>
        <v>45536</v>
      </c>
      <c r="B94">
        <f t="shared" si="7"/>
        <v>2024</v>
      </c>
      <c r="C94">
        <f t="shared" si="8"/>
        <v>9</v>
      </c>
      <c r="D94" s="18">
        <f>'Monthly Data'!S94</f>
        <v>2325797.1800787374</v>
      </c>
      <c r="E94" s="21">
        <f t="shared" ref="E94:E109" ca="1" si="11">E82</f>
        <v>104.19854166666664</v>
      </c>
      <c r="F94" s="21">
        <f>'Monthly Data'!CT94</f>
        <v>20</v>
      </c>
      <c r="G94" s="21">
        <f>'Monthly Data'!CL94</f>
        <v>0</v>
      </c>
      <c r="I94" s="11">
        <f>'GS Co Gen Predicted Monthly'!$R$10</f>
        <v>-1091818.61931381</v>
      </c>
      <c r="J94" s="11">
        <f ca="1">E94*'GS Co Gen Predicted Monthly'!$R$11</f>
        <v>1771817.4625698873</v>
      </c>
      <c r="K94" s="11">
        <f>F94*'GS Co Gen Predicted Monthly'!$R$12</f>
        <v>3324649.41879594</v>
      </c>
      <c r="L94" s="11">
        <f>G94*'GS Co Gen Predicted Monthly'!$R$13</f>
        <v>0</v>
      </c>
      <c r="M94" s="11">
        <f t="shared" ca="1" si="9"/>
        <v>4004648.2620520173</v>
      </c>
    </row>
    <row r="95" spans="1:13" x14ac:dyDescent="0.2">
      <c r="A95" s="8">
        <f>'Monthly Data'!A95</f>
        <v>45566</v>
      </c>
      <c r="B95">
        <f t="shared" si="7"/>
        <v>2024</v>
      </c>
      <c r="C95">
        <f t="shared" si="8"/>
        <v>10</v>
      </c>
      <c r="D95" s="18">
        <f>'Monthly Data'!S95</f>
        <v>1986048.5879870269</v>
      </c>
      <c r="E95" s="21">
        <f t="shared" ca="1" si="11"/>
        <v>24.703125000000007</v>
      </c>
      <c r="F95" s="21">
        <f>'Monthly Data'!CT95</f>
        <v>22</v>
      </c>
      <c r="G95" s="21">
        <f>'Monthly Data'!CL95</f>
        <v>0</v>
      </c>
      <c r="I95" s="11">
        <f>'GS Co Gen Predicted Monthly'!$R$10</f>
        <v>-1091818.61931381</v>
      </c>
      <c r="J95" s="11">
        <f ca="1">E95*'GS Co Gen Predicted Monthly'!$R$11</f>
        <v>420057.97350855538</v>
      </c>
      <c r="K95" s="11">
        <f>F95*'GS Co Gen Predicted Monthly'!$R$12</f>
        <v>3657114.3606755342</v>
      </c>
      <c r="L95" s="11">
        <f>G95*'GS Co Gen Predicted Monthly'!$R$13</f>
        <v>0</v>
      </c>
      <c r="M95" s="11">
        <f t="shared" ca="1" si="9"/>
        <v>2985353.7148702797</v>
      </c>
    </row>
    <row r="96" spans="1:13" x14ac:dyDescent="0.2">
      <c r="A96" s="8">
        <f>'Monthly Data'!A96</f>
        <v>45597</v>
      </c>
      <c r="B96">
        <f t="shared" si="7"/>
        <v>2024</v>
      </c>
      <c r="C96">
        <f t="shared" si="8"/>
        <v>11</v>
      </c>
      <c r="D96" s="18">
        <f>'Monthly Data'!S96</f>
        <v>2700816.8671933762</v>
      </c>
      <c r="E96" s="21">
        <f t="shared" ca="1" si="11"/>
        <v>1.6454166666666665</v>
      </c>
      <c r="F96" s="21">
        <f>'Monthly Data'!CT96</f>
        <v>21</v>
      </c>
      <c r="G96" s="21">
        <f>'Monthly Data'!CL96</f>
        <v>0</v>
      </c>
      <c r="I96" s="11">
        <f>'GS Co Gen Predicted Monthly'!$R$10</f>
        <v>-1091818.61931381</v>
      </c>
      <c r="J96" s="11">
        <f ca="1">E96*'GS Co Gen Predicted Monthly'!$R$11</f>
        <v>27979.067044238407</v>
      </c>
      <c r="K96" s="11">
        <f>F96*'GS Co Gen Predicted Monthly'!$R$12</f>
        <v>3490881.8897357369</v>
      </c>
      <c r="L96" s="11">
        <f>G96*'GS Co Gen Predicted Monthly'!$R$13</f>
        <v>0</v>
      </c>
      <c r="M96" s="11">
        <f t="shared" ca="1" si="9"/>
        <v>2427042.3374661654</v>
      </c>
    </row>
    <row r="97" spans="1:16" x14ac:dyDescent="0.2">
      <c r="A97" s="8">
        <f>'Monthly Data'!A97</f>
        <v>45627</v>
      </c>
      <c r="B97">
        <f t="shared" si="7"/>
        <v>2024</v>
      </c>
      <c r="C97">
        <f t="shared" si="8"/>
        <v>12</v>
      </c>
      <c r="D97" s="18">
        <f>'Monthly Data'!S97</f>
        <v>1434683.3089578557</v>
      </c>
      <c r="E97" s="21">
        <f t="shared" ca="1" si="11"/>
        <v>0</v>
      </c>
      <c r="F97" s="21">
        <f>'Monthly Data'!CT97</f>
        <v>20</v>
      </c>
      <c r="G97" s="21">
        <f>'Monthly Data'!CL97</f>
        <v>0</v>
      </c>
      <c r="I97" s="11">
        <f>'GS Co Gen Predicted Monthly'!$R$10</f>
        <v>-1091818.61931381</v>
      </c>
      <c r="J97" s="11">
        <f ca="1">E97*'GS Co Gen Predicted Monthly'!$R$11</f>
        <v>0</v>
      </c>
      <c r="K97" s="11">
        <f>F97*'GS Co Gen Predicted Monthly'!$R$12</f>
        <v>3324649.41879594</v>
      </c>
      <c r="L97" s="11">
        <f>G97*'GS Co Gen Predicted Monthly'!$R$13</f>
        <v>0</v>
      </c>
      <c r="M97" s="11">
        <f t="shared" ca="1" si="9"/>
        <v>2232830.79948213</v>
      </c>
    </row>
    <row r="98" spans="1:16" x14ac:dyDescent="0.2">
      <c r="A98" s="8">
        <f>'Monthly Data'!A98</f>
        <v>45658</v>
      </c>
      <c r="B98">
        <f t="shared" ref="B98:B109" si="12">YEAR(A98)</f>
        <v>2025</v>
      </c>
      <c r="C98">
        <f t="shared" ref="C98:C109" si="13">MONTH(A98)</f>
        <v>1</v>
      </c>
      <c r="D98" s="18">
        <f>'Monthly Data'!S98</f>
        <v>744626.86911603797</v>
      </c>
      <c r="E98" s="21">
        <f t="shared" ca="1" si="11"/>
        <v>0</v>
      </c>
      <c r="F98" s="21">
        <f>'Monthly Data'!CT98</f>
        <v>22</v>
      </c>
      <c r="G98" s="21">
        <f>'Monthly Data'!CL98</f>
        <v>0</v>
      </c>
      <c r="I98" s="11">
        <f>'GS Co Gen Predicted Monthly'!$R$10</f>
        <v>-1091818.61931381</v>
      </c>
      <c r="J98" s="11">
        <f ca="1">E98*'GS Co Gen Predicted Monthly'!$R$11</f>
        <v>0</v>
      </c>
      <c r="K98" s="11">
        <f>F98*'GS Co Gen Predicted Monthly'!$R$12</f>
        <v>3657114.3606755342</v>
      </c>
      <c r="L98" s="11">
        <f>G98*'GS Co Gen Predicted Monthly'!$R$13</f>
        <v>0</v>
      </c>
      <c r="M98" s="11">
        <f t="shared" ca="1" si="9"/>
        <v>2565295.7413617242</v>
      </c>
    </row>
    <row r="99" spans="1:16" x14ac:dyDescent="0.2">
      <c r="A99" s="8">
        <f>'Monthly Data'!A99</f>
        <v>45689</v>
      </c>
      <c r="B99">
        <f t="shared" si="12"/>
        <v>2025</v>
      </c>
      <c r="C99">
        <f t="shared" si="13"/>
        <v>2</v>
      </c>
      <c r="D99" s="18">
        <f>'Monthly Data'!S99</f>
        <v>934363.69084218494</v>
      </c>
      <c r="E99" s="21">
        <f t="shared" ca="1" si="11"/>
        <v>0</v>
      </c>
      <c r="F99" s="21">
        <f>'Monthly Data'!CT99</f>
        <v>19</v>
      </c>
      <c r="G99" s="21">
        <f>'Monthly Data'!CL99</f>
        <v>0</v>
      </c>
      <c r="I99" s="11">
        <f>'GS Co Gen Predicted Monthly'!$R$10</f>
        <v>-1091818.61931381</v>
      </c>
      <c r="J99" s="11">
        <f ca="1">E99*'GS Co Gen Predicted Monthly'!$R$11</f>
        <v>0</v>
      </c>
      <c r="K99" s="11">
        <f>F99*'GS Co Gen Predicted Monthly'!$R$12</f>
        <v>3158416.9478561431</v>
      </c>
      <c r="L99" s="11">
        <f>G99*'GS Co Gen Predicted Monthly'!$R$13</f>
        <v>0</v>
      </c>
      <c r="M99" s="11">
        <f t="shared" ca="1" si="9"/>
        <v>2066598.3285423331</v>
      </c>
    </row>
    <row r="100" spans="1:16" x14ac:dyDescent="0.2">
      <c r="A100" s="8">
        <f>'Monthly Data'!A100</f>
        <v>45717</v>
      </c>
      <c r="B100">
        <f t="shared" si="12"/>
        <v>2025</v>
      </c>
      <c r="C100">
        <f t="shared" si="13"/>
        <v>3</v>
      </c>
      <c r="D100" s="18">
        <f>'Monthly Data'!S100</f>
        <v>1463704.6201513631</v>
      </c>
      <c r="E100" s="21">
        <f t="shared" ca="1" si="11"/>
        <v>0</v>
      </c>
      <c r="F100" s="21">
        <f>'Monthly Data'!CT100</f>
        <v>21</v>
      </c>
      <c r="G100" s="21">
        <f>'Monthly Data'!CL100</f>
        <v>0</v>
      </c>
      <c r="I100" s="11">
        <f>'GS Co Gen Predicted Monthly'!$R$10</f>
        <v>-1091818.61931381</v>
      </c>
      <c r="J100" s="11">
        <f ca="1">E100*'GS Co Gen Predicted Monthly'!$R$11</f>
        <v>0</v>
      </c>
      <c r="K100" s="11">
        <f>F100*'GS Co Gen Predicted Monthly'!$R$12</f>
        <v>3490881.8897357369</v>
      </c>
      <c r="L100" s="11">
        <f>G100*'GS Co Gen Predicted Monthly'!$R$13</f>
        <v>0</v>
      </c>
      <c r="M100" s="11">
        <f t="shared" ca="1" si="9"/>
        <v>2399063.2704219269</v>
      </c>
      <c r="O100" s="11"/>
      <c r="P100" s="22"/>
    </row>
    <row r="101" spans="1:16" x14ac:dyDescent="0.2">
      <c r="A101" s="8">
        <f>'Monthly Data'!A101</f>
        <v>45748</v>
      </c>
      <c r="B101">
        <f t="shared" si="12"/>
        <v>2025</v>
      </c>
      <c r="C101">
        <f t="shared" si="13"/>
        <v>4</v>
      </c>
      <c r="D101" s="18">
        <f>'Monthly Data'!S101</f>
        <v>3015672.0979135549</v>
      </c>
      <c r="E101" s="21">
        <f t="shared" ca="1" si="11"/>
        <v>6.5650000000000031</v>
      </c>
      <c r="F101" s="21">
        <f>'Monthly Data'!CT101</f>
        <v>21</v>
      </c>
      <c r="G101" s="21">
        <f>'Monthly Data'!CL101</f>
        <v>0</v>
      </c>
      <c r="I101" s="11">
        <f>'GS Co Gen Predicted Monthly'!$R$10</f>
        <v>-1091818.61931381</v>
      </c>
      <c r="J101" s="11">
        <f ca="1">E101*'GS Co Gen Predicted Monthly'!$R$11</f>
        <v>111632.86410458865</v>
      </c>
      <c r="K101" s="11">
        <f>F101*'GS Co Gen Predicted Monthly'!$R$12</f>
        <v>3490881.8897357369</v>
      </c>
      <c r="L101" s="11">
        <f>G101*'GS Co Gen Predicted Monthly'!$R$13</f>
        <v>0</v>
      </c>
      <c r="M101" s="11">
        <f t="shared" ca="1" si="9"/>
        <v>2510696.1345265154</v>
      </c>
      <c r="O101" s="11"/>
      <c r="P101" s="22"/>
    </row>
    <row r="102" spans="1:16" x14ac:dyDescent="0.2">
      <c r="A102" s="8">
        <f>'Monthly Data'!A102</f>
        <v>45778</v>
      </c>
      <c r="B102">
        <f t="shared" si="12"/>
        <v>2025</v>
      </c>
      <c r="C102">
        <f t="shared" si="13"/>
        <v>5</v>
      </c>
      <c r="D102" s="18">
        <f>'Monthly Data'!S102</f>
        <v>2717419.6950709871</v>
      </c>
      <c r="E102" s="21">
        <f t="shared" ca="1" si="11"/>
        <v>59.300416666666649</v>
      </c>
      <c r="F102" s="21">
        <f>'Monthly Data'!CT102</f>
        <v>21</v>
      </c>
      <c r="G102" s="21">
        <f>'Monthly Data'!CL102</f>
        <v>0</v>
      </c>
      <c r="I102" s="11">
        <f>'GS Co Gen Predicted Monthly'!$R$10</f>
        <v>-1091818.61931381</v>
      </c>
      <c r="J102" s="11">
        <f ca="1">E102*'GS Co Gen Predicted Monthly'!$R$11</f>
        <v>1008358.7745766152</v>
      </c>
      <c r="K102" s="11">
        <f>F102*'GS Co Gen Predicted Monthly'!$R$12</f>
        <v>3490881.8897357369</v>
      </c>
      <c r="L102" s="11">
        <f>G102*'GS Co Gen Predicted Monthly'!$R$13</f>
        <v>0</v>
      </c>
      <c r="M102" s="11">
        <f t="shared" ca="1" si="9"/>
        <v>3407422.0449985419</v>
      </c>
      <c r="O102" s="11"/>
      <c r="P102" s="22"/>
    </row>
    <row r="103" spans="1:16" x14ac:dyDescent="0.2">
      <c r="A103" s="8">
        <f>'Monthly Data'!A103</f>
        <v>45809</v>
      </c>
      <c r="B103">
        <f t="shared" si="12"/>
        <v>2025</v>
      </c>
      <c r="C103">
        <f t="shared" si="13"/>
        <v>6</v>
      </c>
      <c r="D103" s="18">
        <f>'Monthly Data'!S103</f>
        <v>6664300.3948202198</v>
      </c>
      <c r="E103" s="21">
        <f t="shared" ca="1" si="11"/>
        <v>157.17000000000002</v>
      </c>
      <c r="F103" s="21">
        <f>'Monthly Data'!CT103</f>
        <v>21</v>
      </c>
      <c r="G103" s="21">
        <f>'Monthly Data'!CL103</f>
        <v>0</v>
      </c>
      <c r="I103" s="11">
        <f>'GS Co Gen Predicted Monthly'!$R$10</f>
        <v>-1091818.61931381</v>
      </c>
      <c r="J103" s="11">
        <f ca="1">E103*'GS Co Gen Predicted Monthly'!$R$11</f>
        <v>2672557.083216785</v>
      </c>
      <c r="K103" s="11">
        <f>F103*'GS Co Gen Predicted Monthly'!$R$12</f>
        <v>3490881.8897357369</v>
      </c>
      <c r="L103" s="11">
        <f>G103*'GS Co Gen Predicted Monthly'!$R$13</f>
        <v>0</v>
      </c>
      <c r="M103" s="11">
        <f t="shared" ca="1" si="9"/>
        <v>5071620.3536387123</v>
      </c>
      <c r="O103" s="11"/>
      <c r="P103" s="22"/>
    </row>
    <row r="104" spans="1:16" x14ac:dyDescent="0.2">
      <c r="A104" s="8">
        <f>'Monthly Data'!A104</f>
        <v>45839</v>
      </c>
      <c r="B104">
        <f t="shared" si="12"/>
        <v>2025</v>
      </c>
      <c r="C104">
        <f t="shared" si="13"/>
        <v>7</v>
      </c>
      <c r="D104" s="18">
        <f>'Monthly Data'!S104</f>
        <v>5559636.5173280817</v>
      </c>
      <c r="E104" s="21">
        <f t="shared" ca="1" si="11"/>
        <v>231.27145833333333</v>
      </c>
      <c r="F104" s="21">
        <f>'Monthly Data'!CT104</f>
        <v>22</v>
      </c>
      <c r="G104" s="21">
        <f>'Monthly Data'!CL104</f>
        <v>1</v>
      </c>
      <c r="I104" s="11">
        <f>'GS Co Gen Predicted Monthly'!$R$10</f>
        <v>-1091818.61931381</v>
      </c>
      <c r="J104" s="11">
        <f ca="1">E104*'GS Co Gen Predicted Monthly'!$R$11</f>
        <v>3932596.3868080769</v>
      </c>
      <c r="K104" s="11">
        <f>F104*'GS Co Gen Predicted Monthly'!$R$12</f>
        <v>3657114.3606755342</v>
      </c>
      <c r="L104" s="11">
        <f>G104*'GS Co Gen Predicted Monthly'!$R$13</f>
        <v>-689077.09586613998</v>
      </c>
      <c r="M104" s="11">
        <f t="shared" ca="1" si="9"/>
        <v>5808815.0323036611</v>
      </c>
      <c r="O104" s="11"/>
      <c r="P104" s="22"/>
    </row>
    <row r="105" spans="1:16" x14ac:dyDescent="0.2">
      <c r="A105" s="8">
        <f>'Monthly Data'!A105</f>
        <v>45870</v>
      </c>
      <c r="B105">
        <f t="shared" si="12"/>
        <v>2025</v>
      </c>
      <c r="C105">
        <f t="shared" si="13"/>
        <v>8</v>
      </c>
      <c r="D105" s="18">
        <f>'Monthly Data'!S105</f>
        <v>4475437.8092067335</v>
      </c>
      <c r="E105" s="21">
        <f t="shared" ca="1" si="11"/>
        <v>196.13625000000002</v>
      </c>
      <c r="F105" s="21">
        <f>'Monthly Data'!CT105</f>
        <v>21</v>
      </c>
      <c r="G105" s="21">
        <f>'Monthly Data'!CL105</f>
        <v>1</v>
      </c>
      <c r="I105" s="11">
        <f>'GS Co Gen Predicted Monthly'!$R$10</f>
        <v>-1091818.61931381</v>
      </c>
      <c r="J105" s="11">
        <f ca="1">E105*'GS Co Gen Predicted Monthly'!$R$11</f>
        <v>3335148.7193044354</v>
      </c>
      <c r="K105" s="11">
        <f>F105*'GS Co Gen Predicted Monthly'!$R$12</f>
        <v>3490881.8897357369</v>
      </c>
      <c r="L105" s="11">
        <f>G105*'GS Co Gen Predicted Monthly'!$R$13</f>
        <v>-689077.09586613998</v>
      </c>
      <c r="M105" s="11">
        <f t="shared" ca="1" si="9"/>
        <v>5045134.8938602228</v>
      </c>
      <c r="O105" s="11"/>
      <c r="P105" s="22"/>
    </row>
    <row r="106" spans="1:16" x14ac:dyDescent="0.2">
      <c r="A106" s="8">
        <f>'Monthly Data'!A106</f>
        <v>45901</v>
      </c>
      <c r="B106">
        <f t="shared" si="12"/>
        <v>2025</v>
      </c>
      <c r="C106">
        <f t="shared" si="13"/>
        <v>9</v>
      </c>
      <c r="D106" s="18">
        <f>'Monthly Data'!S106</f>
        <v>2469394.5411401149</v>
      </c>
      <c r="E106" s="21">
        <f t="shared" ca="1" si="11"/>
        <v>104.19854166666664</v>
      </c>
      <c r="F106" s="21">
        <f>'Monthly Data'!CT106</f>
        <v>21</v>
      </c>
      <c r="G106" s="21">
        <f>'Monthly Data'!CL106</f>
        <v>0</v>
      </c>
      <c r="I106" s="11">
        <f>'GS Co Gen Predicted Monthly'!$R$10</f>
        <v>-1091818.61931381</v>
      </c>
      <c r="J106" s="11">
        <f ca="1">E106*'GS Co Gen Predicted Monthly'!$R$11</f>
        <v>1771817.4625698873</v>
      </c>
      <c r="K106" s="11">
        <f>F106*'GS Co Gen Predicted Monthly'!$R$12</f>
        <v>3490881.8897357369</v>
      </c>
      <c r="L106" s="11">
        <f>G106*'GS Co Gen Predicted Monthly'!$R$13</f>
        <v>0</v>
      </c>
      <c r="M106" s="11">
        <f t="shared" ca="1" si="9"/>
        <v>4170880.7329918141</v>
      </c>
      <c r="O106" s="11"/>
      <c r="P106" s="22"/>
    </row>
    <row r="107" spans="1:16" x14ac:dyDescent="0.2">
      <c r="A107" s="8">
        <f>'Monthly Data'!A107</f>
        <v>45931</v>
      </c>
      <c r="B107">
        <f t="shared" si="12"/>
        <v>2025</v>
      </c>
      <c r="C107">
        <f t="shared" si="13"/>
        <v>10</v>
      </c>
      <c r="D107" s="18">
        <f>'Monthly Data'!S107</f>
        <v>2893984.997376537</v>
      </c>
      <c r="E107" s="21">
        <f t="shared" ca="1" si="11"/>
        <v>24.703125000000007</v>
      </c>
      <c r="F107" s="21">
        <f>'Monthly Data'!CT107</f>
        <v>22</v>
      </c>
      <c r="G107" s="21">
        <f>'Monthly Data'!CL107</f>
        <v>0</v>
      </c>
      <c r="I107" s="11">
        <f>'GS Co Gen Predicted Monthly'!$R$10</f>
        <v>-1091818.61931381</v>
      </c>
      <c r="J107" s="11">
        <f ca="1">E107*'GS Co Gen Predicted Monthly'!$R$11</f>
        <v>420057.97350855538</v>
      </c>
      <c r="K107" s="11">
        <f>F107*'GS Co Gen Predicted Monthly'!$R$12</f>
        <v>3657114.3606755342</v>
      </c>
      <c r="L107" s="11">
        <f>G107*'GS Co Gen Predicted Monthly'!$R$13</f>
        <v>0</v>
      </c>
      <c r="M107" s="11">
        <f t="shared" ca="1" si="9"/>
        <v>2985353.7148702797</v>
      </c>
      <c r="O107" s="11"/>
      <c r="P107" s="22"/>
    </row>
    <row r="108" spans="1:16" x14ac:dyDescent="0.2">
      <c r="A108" s="8">
        <f>'Monthly Data'!A108</f>
        <v>45962</v>
      </c>
      <c r="B108">
        <f t="shared" si="12"/>
        <v>2025</v>
      </c>
      <c r="C108">
        <f t="shared" si="13"/>
        <v>11</v>
      </c>
      <c r="D108" s="18">
        <f>'Monthly Data'!S108</f>
        <v>1206040.1878856791</v>
      </c>
      <c r="E108" s="21">
        <f t="shared" ca="1" si="11"/>
        <v>1.6454166666666665</v>
      </c>
      <c r="F108" s="21">
        <f>'Monthly Data'!CT108</f>
        <v>20</v>
      </c>
      <c r="G108" s="21">
        <f>'Monthly Data'!CL108</f>
        <v>0</v>
      </c>
      <c r="I108" s="11">
        <f>'GS Co Gen Predicted Monthly'!$R$10</f>
        <v>-1091818.61931381</v>
      </c>
      <c r="J108" s="11">
        <f ca="1">E108*'GS Co Gen Predicted Monthly'!$R$11</f>
        <v>27979.067044238407</v>
      </c>
      <c r="K108" s="11">
        <f>F108*'GS Co Gen Predicted Monthly'!$R$12</f>
        <v>3324649.41879594</v>
      </c>
      <c r="L108" s="11">
        <f>G108*'GS Co Gen Predicted Monthly'!$R$13</f>
        <v>0</v>
      </c>
      <c r="M108" s="11">
        <f t="shared" ca="1" si="9"/>
        <v>2260809.8665263681</v>
      </c>
      <c r="O108" s="11"/>
      <c r="P108" s="22"/>
    </row>
    <row r="109" spans="1:16" x14ac:dyDescent="0.2">
      <c r="A109" s="8">
        <f>'Monthly Data'!A109</f>
        <v>45992</v>
      </c>
      <c r="B109">
        <f t="shared" si="12"/>
        <v>2025</v>
      </c>
      <c r="C109">
        <f t="shared" si="13"/>
        <v>12</v>
      </c>
      <c r="D109" s="18">
        <f>'Monthly Data'!S109</f>
        <v>1366926.3633808512</v>
      </c>
      <c r="E109" s="21">
        <f t="shared" ca="1" si="11"/>
        <v>0</v>
      </c>
      <c r="F109" s="21">
        <f>'Monthly Data'!CT109</f>
        <v>21</v>
      </c>
      <c r="G109" s="21">
        <f>'Monthly Data'!CL109</f>
        <v>0</v>
      </c>
      <c r="I109" s="11">
        <f>'GS Co Gen Predicted Monthly'!$R$10</f>
        <v>-1091818.61931381</v>
      </c>
      <c r="J109" s="11">
        <f ca="1">E109*'GS Co Gen Predicted Monthly'!$R$11</f>
        <v>0</v>
      </c>
      <c r="K109" s="11">
        <f>F109*'GS Co Gen Predicted Monthly'!$R$12</f>
        <v>3490881.8897357369</v>
      </c>
      <c r="L109" s="11">
        <f>G109*'GS Co Gen Predicted Monthly'!$R$13</f>
        <v>0</v>
      </c>
      <c r="M109" s="11">
        <f t="shared" ca="1" si="9"/>
        <v>2399063.2704219269</v>
      </c>
      <c r="N109" s="18"/>
      <c r="O109" s="11"/>
      <c r="P109" s="22"/>
    </row>
    <row r="110" spans="1:16" s="59" customFormat="1" x14ac:dyDescent="0.2">
      <c r="A110" s="506">
        <f t="shared" ref="A110:A133" si="14">EOMONTH(A109,0)+1</f>
        <v>46023</v>
      </c>
      <c r="B110" s="59">
        <f t="shared" si="7"/>
        <v>2026</v>
      </c>
      <c r="C110" s="59">
        <f t="shared" si="8"/>
        <v>1</v>
      </c>
      <c r="D110" s="178"/>
      <c r="E110" s="177">
        <f t="shared" ref="E110:E125" ca="1" si="15">E98</f>
        <v>0</v>
      </c>
      <c r="F110" s="177">
        <v>21</v>
      </c>
      <c r="G110" s="177">
        <f>G98</f>
        <v>0</v>
      </c>
      <c r="I110" s="188">
        <f>'GS Co Gen Predicted Monthly'!$R$10</f>
        <v>-1091818.61931381</v>
      </c>
      <c r="J110" s="188">
        <f ca="1">E110*'GS Co Gen Predicted Monthly'!$R$11</f>
        <v>0</v>
      </c>
      <c r="K110" s="188">
        <f>F110*'GS Co Gen Predicted Monthly'!$R$12</f>
        <v>3490881.8897357369</v>
      </c>
      <c r="L110" s="188">
        <f>G110*'GS Co Gen Predicted Monthly'!$R$13</f>
        <v>0</v>
      </c>
      <c r="M110" s="188">
        <f t="shared" ca="1" si="9"/>
        <v>2399063.2704219269</v>
      </c>
      <c r="N110" s="178"/>
      <c r="O110" s="188"/>
      <c r="P110" s="510"/>
    </row>
    <row r="111" spans="1:16" s="59" customFormat="1" x14ac:dyDescent="0.2">
      <c r="A111" s="506">
        <f t="shared" si="14"/>
        <v>46054</v>
      </c>
      <c r="B111" s="59">
        <f t="shared" si="7"/>
        <v>2026</v>
      </c>
      <c r="C111" s="59">
        <f t="shared" si="8"/>
        <v>2</v>
      </c>
      <c r="D111" s="178"/>
      <c r="E111" s="177">
        <f t="shared" ca="1" si="15"/>
        <v>0</v>
      </c>
      <c r="F111" s="177">
        <v>19</v>
      </c>
      <c r="G111" s="177">
        <f t="shared" ref="G111:G133" si="16">G99</f>
        <v>0</v>
      </c>
      <c r="I111" s="188">
        <f>'GS Co Gen Predicted Monthly'!$R$10</f>
        <v>-1091818.61931381</v>
      </c>
      <c r="J111" s="188">
        <f ca="1">E111*'GS Co Gen Predicted Monthly'!$R$11</f>
        <v>0</v>
      </c>
      <c r="K111" s="188">
        <f>F111*'GS Co Gen Predicted Monthly'!$R$12</f>
        <v>3158416.9478561431</v>
      </c>
      <c r="L111" s="188">
        <f>G111*'GS Co Gen Predicted Monthly'!$R$13</f>
        <v>0</v>
      </c>
      <c r="M111" s="188">
        <f t="shared" ca="1" si="9"/>
        <v>2066598.3285423331</v>
      </c>
      <c r="N111" s="178"/>
      <c r="O111" s="188"/>
      <c r="P111" s="510"/>
    </row>
    <row r="112" spans="1:16" s="59" customFormat="1" x14ac:dyDescent="0.2">
      <c r="A112" s="506">
        <f t="shared" si="14"/>
        <v>46082</v>
      </c>
      <c r="B112" s="59">
        <f t="shared" si="7"/>
        <v>2026</v>
      </c>
      <c r="C112" s="59">
        <f t="shared" si="8"/>
        <v>3</v>
      </c>
      <c r="D112" s="178"/>
      <c r="E112" s="177">
        <f t="shared" ca="1" si="15"/>
        <v>0</v>
      </c>
      <c r="F112" s="177">
        <v>22</v>
      </c>
      <c r="G112" s="177">
        <f t="shared" si="16"/>
        <v>0</v>
      </c>
      <c r="I112" s="188">
        <f>'GS Co Gen Predicted Monthly'!$R$10</f>
        <v>-1091818.61931381</v>
      </c>
      <c r="J112" s="188">
        <f ca="1">E112*'GS Co Gen Predicted Monthly'!$R$11</f>
        <v>0</v>
      </c>
      <c r="K112" s="188">
        <f>F112*'GS Co Gen Predicted Monthly'!$R$12</f>
        <v>3657114.3606755342</v>
      </c>
      <c r="L112" s="188">
        <f>G112*'GS Co Gen Predicted Monthly'!$R$13</f>
        <v>0</v>
      </c>
      <c r="M112" s="188">
        <f t="shared" ca="1" si="9"/>
        <v>2565295.7413617242</v>
      </c>
      <c r="N112" s="178"/>
    </row>
    <row r="113" spans="1:15" s="59" customFormat="1" x14ac:dyDescent="0.2">
      <c r="A113" s="506">
        <f t="shared" si="14"/>
        <v>46113</v>
      </c>
      <c r="B113" s="59">
        <f t="shared" si="7"/>
        <v>2026</v>
      </c>
      <c r="C113" s="59">
        <f t="shared" si="8"/>
        <v>4</v>
      </c>
      <c r="D113" s="178"/>
      <c r="E113" s="177">
        <f t="shared" ca="1" si="15"/>
        <v>6.5650000000000031</v>
      </c>
      <c r="F113" s="177">
        <v>21</v>
      </c>
      <c r="G113" s="177">
        <f t="shared" si="16"/>
        <v>0</v>
      </c>
      <c r="I113" s="188">
        <f>'GS Co Gen Predicted Monthly'!$R$10</f>
        <v>-1091818.61931381</v>
      </c>
      <c r="J113" s="188">
        <f ca="1">E113*'GS Co Gen Predicted Monthly'!$R$11</f>
        <v>111632.86410458865</v>
      </c>
      <c r="K113" s="188">
        <f>F113*'GS Co Gen Predicted Monthly'!$R$12</f>
        <v>3490881.8897357369</v>
      </c>
      <c r="L113" s="188">
        <f>G113*'GS Co Gen Predicted Monthly'!$R$13</f>
        <v>0</v>
      </c>
      <c r="M113" s="188">
        <f t="shared" ca="1" si="9"/>
        <v>2510696.1345265154</v>
      </c>
      <c r="N113" s="178"/>
      <c r="O113" s="188"/>
    </row>
    <row r="114" spans="1:15" s="59" customFormat="1" x14ac:dyDescent="0.2">
      <c r="A114" s="506">
        <f t="shared" si="14"/>
        <v>46143</v>
      </c>
      <c r="B114" s="59">
        <f t="shared" si="7"/>
        <v>2026</v>
      </c>
      <c r="C114" s="59">
        <f t="shared" si="8"/>
        <v>5</v>
      </c>
      <c r="D114" s="178"/>
      <c r="E114" s="177">
        <f t="shared" ca="1" si="15"/>
        <v>59.300416666666649</v>
      </c>
      <c r="F114" s="177">
        <v>20</v>
      </c>
      <c r="G114" s="177">
        <f t="shared" si="16"/>
        <v>0</v>
      </c>
      <c r="I114" s="188">
        <f>'GS Co Gen Predicted Monthly'!$R$10</f>
        <v>-1091818.61931381</v>
      </c>
      <c r="J114" s="188">
        <f ca="1">E114*'GS Co Gen Predicted Monthly'!$R$11</f>
        <v>1008358.7745766152</v>
      </c>
      <c r="K114" s="188">
        <f>F114*'GS Co Gen Predicted Monthly'!$R$12</f>
        <v>3324649.41879594</v>
      </c>
      <c r="L114" s="188">
        <f>G114*'GS Co Gen Predicted Monthly'!$R$13</f>
        <v>0</v>
      </c>
      <c r="M114" s="188">
        <f t="shared" ca="1" si="9"/>
        <v>3241189.5740587451</v>
      </c>
      <c r="N114" s="178"/>
      <c r="O114" s="188"/>
    </row>
    <row r="115" spans="1:15" s="59" customFormat="1" x14ac:dyDescent="0.2">
      <c r="A115" s="506">
        <f t="shared" si="14"/>
        <v>46174</v>
      </c>
      <c r="B115" s="59">
        <f t="shared" si="7"/>
        <v>2026</v>
      </c>
      <c r="C115" s="59">
        <f t="shared" si="8"/>
        <v>6</v>
      </c>
      <c r="D115" s="178"/>
      <c r="E115" s="177">
        <f t="shared" ca="1" si="15"/>
        <v>157.17000000000002</v>
      </c>
      <c r="F115" s="177">
        <v>22</v>
      </c>
      <c r="G115" s="177">
        <f t="shared" si="16"/>
        <v>0</v>
      </c>
      <c r="I115" s="188">
        <f>'GS Co Gen Predicted Monthly'!$R$10</f>
        <v>-1091818.61931381</v>
      </c>
      <c r="J115" s="188">
        <f ca="1">E115*'GS Co Gen Predicted Monthly'!$R$11</f>
        <v>2672557.083216785</v>
      </c>
      <c r="K115" s="188">
        <f>F115*'GS Co Gen Predicted Monthly'!$R$12</f>
        <v>3657114.3606755342</v>
      </c>
      <c r="L115" s="188">
        <f>G115*'GS Co Gen Predicted Monthly'!$R$13</f>
        <v>0</v>
      </c>
      <c r="M115" s="188">
        <f t="shared" ca="1" si="9"/>
        <v>5237852.8245785087</v>
      </c>
      <c r="N115" s="178"/>
      <c r="O115" s="188"/>
    </row>
    <row r="116" spans="1:15" s="59" customFormat="1" x14ac:dyDescent="0.2">
      <c r="A116" s="506">
        <f t="shared" si="14"/>
        <v>46204</v>
      </c>
      <c r="B116" s="59">
        <f t="shared" si="7"/>
        <v>2026</v>
      </c>
      <c r="C116" s="59">
        <f t="shared" si="8"/>
        <v>7</v>
      </c>
      <c r="D116" s="178"/>
      <c r="E116" s="177">
        <f t="shared" ca="1" si="15"/>
        <v>231.27145833333333</v>
      </c>
      <c r="F116" s="177">
        <v>22</v>
      </c>
      <c r="G116" s="177">
        <f t="shared" si="16"/>
        <v>1</v>
      </c>
      <c r="I116" s="188">
        <f>'GS Co Gen Predicted Monthly'!$R$10</f>
        <v>-1091818.61931381</v>
      </c>
      <c r="J116" s="188">
        <f ca="1">E116*'GS Co Gen Predicted Monthly'!$R$11</f>
        <v>3932596.3868080769</v>
      </c>
      <c r="K116" s="188">
        <f>F116*'GS Co Gen Predicted Monthly'!$R$12</f>
        <v>3657114.3606755342</v>
      </c>
      <c r="L116" s="188">
        <f>G116*'GS Co Gen Predicted Monthly'!$R$13</f>
        <v>-689077.09586613998</v>
      </c>
      <c r="M116" s="188">
        <f t="shared" ca="1" si="9"/>
        <v>5808815.0323036611</v>
      </c>
      <c r="N116" s="178"/>
      <c r="O116" s="188"/>
    </row>
    <row r="117" spans="1:15" s="59" customFormat="1" x14ac:dyDescent="0.2">
      <c r="A117" s="506">
        <f t="shared" si="14"/>
        <v>46235</v>
      </c>
      <c r="B117" s="59">
        <f t="shared" si="7"/>
        <v>2026</v>
      </c>
      <c r="C117" s="59">
        <f t="shared" si="8"/>
        <v>8</v>
      </c>
      <c r="D117" s="178"/>
      <c r="E117" s="177">
        <f t="shared" ca="1" si="15"/>
        <v>196.13625000000002</v>
      </c>
      <c r="F117" s="177">
        <v>21</v>
      </c>
      <c r="G117" s="177">
        <f t="shared" si="16"/>
        <v>1</v>
      </c>
      <c r="I117" s="188">
        <f>'GS Co Gen Predicted Monthly'!$R$10</f>
        <v>-1091818.61931381</v>
      </c>
      <c r="J117" s="188">
        <f ca="1">E117*'GS Co Gen Predicted Monthly'!$R$11</f>
        <v>3335148.7193044354</v>
      </c>
      <c r="K117" s="188">
        <f>F117*'GS Co Gen Predicted Monthly'!$R$12</f>
        <v>3490881.8897357369</v>
      </c>
      <c r="L117" s="188">
        <f>G117*'GS Co Gen Predicted Monthly'!$R$13</f>
        <v>-689077.09586613998</v>
      </c>
      <c r="M117" s="188">
        <f t="shared" ca="1" si="9"/>
        <v>5045134.8938602228</v>
      </c>
      <c r="O117" s="188"/>
    </row>
    <row r="118" spans="1:15" s="59" customFormat="1" x14ac:dyDescent="0.2">
      <c r="A118" s="506">
        <f t="shared" si="14"/>
        <v>46266</v>
      </c>
      <c r="B118" s="59">
        <f t="shared" si="7"/>
        <v>2026</v>
      </c>
      <c r="C118" s="59">
        <f t="shared" si="8"/>
        <v>9</v>
      </c>
      <c r="D118" s="178"/>
      <c r="E118" s="177">
        <f t="shared" ca="1" si="15"/>
        <v>104.19854166666664</v>
      </c>
      <c r="F118" s="177">
        <v>21</v>
      </c>
      <c r="G118" s="177">
        <f t="shared" si="16"/>
        <v>0</v>
      </c>
      <c r="I118" s="188">
        <f>'GS Co Gen Predicted Monthly'!$R$10</f>
        <v>-1091818.61931381</v>
      </c>
      <c r="J118" s="188">
        <f ca="1">E118*'GS Co Gen Predicted Monthly'!$R$11</f>
        <v>1771817.4625698873</v>
      </c>
      <c r="K118" s="188">
        <f>F118*'GS Co Gen Predicted Monthly'!$R$12</f>
        <v>3490881.8897357369</v>
      </c>
      <c r="L118" s="188">
        <f>G118*'GS Co Gen Predicted Monthly'!$R$13</f>
        <v>0</v>
      </c>
      <c r="M118" s="188">
        <f t="shared" ca="1" si="9"/>
        <v>4170880.7329918141</v>
      </c>
      <c r="O118" s="188"/>
    </row>
    <row r="119" spans="1:15" s="59" customFormat="1" x14ac:dyDescent="0.2">
      <c r="A119" s="506">
        <f t="shared" si="14"/>
        <v>46296</v>
      </c>
      <c r="B119" s="59">
        <f t="shared" si="7"/>
        <v>2026</v>
      </c>
      <c r="C119" s="59">
        <f t="shared" si="8"/>
        <v>10</v>
      </c>
      <c r="D119" s="178"/>
      <c r="E119" s="177">
        <f t="shared" ca="1" si="15"/>
        <v>24.703125000000007</v>
      </c>
      <c r="F119" s="177">
        <v>21</v>
      </c>
      <c r="G119" s="177">
        <f t="shared" si="16"/>
        <v>0</v>
      </c>
      <c r="I119" s="188">
        <f>'GS Co Gen Predicted Monthly'!$R$10</f>
        <v>-1091818.61931381</v>
      </c>
      <c r="J119" s="188">
        <f ca="1">E119*'GS Co Gen Predicted Monthly'!$R$11</f>
        <v>420057.97350855538</v>
      </c>
      <c r="K119" s="188">
        <f>F119*'GS Co Gen Predicted Monthly'!$R$12</f>
        <v>3490881.8897357369</v>
      </c>
      <c r="L119" s="188">
        <f>G119*'GS Co Gen Predicted Monthly'!$R$13</f>
        <v>0</v>
      </c>
      <c r="M119" s="188">
        <f t="shared" ca="1" si="9"/>
        <v>2819121.2439304823</v>
      </c>
      <c r="O119" s="188"/>
    </row>
    <row r="120" spans="1:15" s="59" customFormat="1" x14ac:dyDescent="0.2">
      <c r="A120" s="506">
        <f t="shared" si="14"/>
        <v>46327</v>
      </c>
      <c r="B120" s="59">
        <f t="shared" si="7"/>
        <v>2026</v>
      </c>
      <c r="C120" s="59">
        <f t="shared" si="8"/>
        <v>11</v>
      </c>
      <c r="D120" s="178"/>
      <c r="E120" s="177">
        <f t="shared" ca="1" si="15"/>
        <v>1.6454166666666665</v>
      </c>
      <c r="F120" s="177">
        <v>21</v>
      </c>
      <c r="G120" s="177">
        <f t="shared" si="16"/>
        <v>0</v>
      </c>
      <c r="I120" s="188">
        <f>'GS Co Gen Predicted Monthly'!$R$10</f>
        <v>-1091818.61931381</v>
      </c>
      <c r="J120" s="188">
        <f ca="1">E120*'GS Co Gen Predicted Monthly'!$R$11</f>
        <v>27979.067044238407</v>
      </c>
      <c r="K120" s="188">
        <f>F120*'GS Co Gen Predicted Monthly'!$R$12</f>
        <v>3490881.8897357369</v>
      </c>
      <c r="L120" s="188">
        <f>G120*'GS Co Gen Predicted Monthly'!$R$13</f>
        <v>0</v>
      </c>
      <c r="M120" s="188">
        <f t="shared" ca="1" si="9"/>
        <v>2427042.3374661654</v>
      </c>
      <c r="O120" s="188"/>
    </row>
    <row r="121" spans="1:15" s="59" customFormat="1" x14ac:dyDescent="0.2">
      <c r="A121" s="506">
        <f t="shared" si="14"/>
        <v>46357</v>
      </c>
      <c r="B121" s="59">
        <f t="shared" si="7"/>
        <v>2026</v>
      </c>
      <c r="C121" s="59">
        <f t="shared" si="8"/>
        <v>12</v>
      </c>
      <c r="D121" s="178"/>
      <c r="E121" s="177">
        <f t="shared" ca="1" si="15"/>
        <v>0</v>
      </c>
      <c r="F121" s="177">
        <v>21</v>
      </c>
      <c r="G121" s="177">
        <f t="shared" si="16"/>
        <v>0</v>
      </c>
      <c r="I121" s="188">
        <f>'GS Co Gen Predicted Monthly'!$R$10</f>
        <v>-1091818.61931381</v>
      </c>
      <c r="J121" s="188">
        <f ca="1">E121*'GS Co Gen Predicted Monthly'!$R$11</f>
        <v>0</v>
      </c>
      <c r="K121" s="188">
        <f>F121*'GS Co Gen Predicted Monthly'!$R$12</f>
        <v>3490881.8897357369</v>
      </c>
      <c r="L121" s="188">
        <f>G121*'GS Co Gen Predicted Monthly'!$R$13</f>
        <v>0</v>
      </c>
      <c r="M121" s="188">
        <f t="shared" ca="1" si="9"/>
        <v>2399063.2704219269</v>
      </c>
      <c r="O121" s="188"/>
    </row>
    <row r="122" spans="1:15" s="59" customFormat="1" x14ac:dyDescent="0.2">
      <c r="A122" s="506">
        <f t="shared" si="14"/>
        <v>46388</v>
      </c>
      <c r="B122" s="59">
        <f>YEAR(A122)</f>
        <v>2027</v>
      </c>
      <c r="C122" s="59">
        <f>MONTH(A122)</f>
        <v>1</v>
      </c>
      <c r="D122" s="178"/>
      <c r="E122" s="177">
        <f t="shared" ca="1" si="15"/>
        <v>0</v>
      </c>
      <c r="F122" s="177">
        <v>20</v>
      </c>
      <c r="G122" s="177">
        <f t="shared" si="16"/>
        <v>0</v>
      </c>
      <c r="I122" s="188">
        <f>'GS Co Gen Predicted Monthly'!$R$10</f>
        <v>-1091818.61931381</v>
      </c>
      <c r="J122" s="188">
        <f ca="1">E122*'GS Co Gen Predicted Monthly'!$R$11</f>
        <v>0</v>
      </c>
      <c r="K122" s="188">
        <f>F122*'GS Co Gen Predicted Monthly'!$R$12</f>
        <v>3324649.41879594</v>
      </c>
      <c r="L122" s="188">
        <f>G122*'GS Co Gen Predicted Monthly'!$R$13</f>
        <v>0</v>
      </c>
      <c r="M122" s="188">
        <f t="shared" ca="1" si="9"/>
        <v>2232830.79948213</v>
      </c>
      <c r="O122" s="188"/>
    </row>
    <row r="123" spans="1:15" s="59" customFormat="1" x14ac:dyDescent="0.2">
      <c r="A123" s="506">
        <f t="shared" si="14"/>
        <v>46419</v>
      </c>
      <c r="B123" s="59">
        <f>YEAR(A123)</f>
        <v>2027</v>
      </c>
      <c r="C123" s="59">
        <f>MONTH(A123)</f>
        <v>2</v>
      </c>
      <c r="D123" s="178"/>
      <c r="E123" s="177">
        <f t="shared" ca="1" si="15"/>
        <v>0</v>
      </c>
      <c r="F123" s="177">
        <v>19</v>
      </c>
      <c r="G123" s="177">
        <f t="shared" si="16"/>
        <v>0</v>
      </c>
      <c r="I123" s="188">
        <f>'GS Co Gen Predicted Monthly'!$R$10</f>
        <v>-1091818.61931381</v>
      </c>
      <c r="J123" s="188">
        <f ca="1">E123*'GS Co Gen Predicted Monthly'!$R$11</f>
        <v>0</v>
      </c>
      <c r="K123" s="188">
        <f>F123*'GS Co Gen Predicted Monthly'!$R$12</f>
        <v>3158416.9478561431</v>
      </c>
      <c r="L123" s="188">
        <f>G123*'GS Co Gen Predicted Monthly'!$R$13</f>
        <v>0</v>
      </c>
      <c r="M123" s="188">
        <f t="shared" ca="1" si="9"/>
        <v>2066598.3285423331</v>
      </c>
      <c r="O123" s="188"/>
    </row>
    <row r="124" spans="1:15" s="59" customFormat="1" x14ac:dyDescent="0.2">
      <c r="A124" s="506">
        <f t="shared" si="14"/>
        <v>46447</v>
      </c>
      <c r="B124" s="59">
        <f>YEAR(A124)</f>
        <v>2027</v>
      </c>
      <c r="C124" s="59">
        <f>MONTH(A124)</f>
        <v>3</v>
      </c>
      <c r="D124" s="178"/>
      <c r="E124" s="177">
        <f t="shared" ca="1" si="15"/>
        <v>0</v>
      </c>
      <c r="F124" s="177">
        <v>22</v>
      </c>
      <c r="G124" s="177">
        <f t="shared" si="16"/>
        <v>0</v>
      </c>
      <c r="I124" s="188">
        <f>'GS Co Gen Predicted Monthly'!$R$10</f>
        <v>-1091818.61931381</v>
      </c>
      <c r="J124" s="188">
        <f ca="1">E124*'GS Co Gen Predicted Monthly'!$R$11</f>
        <v>0</v>
      </c>
      <c r="K124" s="188">
        <f>F124*'GS Co Gen Predicted Monthly'!$R$12</f>
        <v>3657114.3606755342</v>
      </c>
      <c r="L124" s="188">
        <f>G124*'GS Co Gen Predicted Monthly'!$R$13</f>
        <v>0</v>
      </c>
      <c r="M124" s="188">
        <f t="shared" ca="1" si="9"/>
        <v>2565295.7413617242</v>
      </c>
      <c r="O124" s="188"/>
    </row>
    <row r="125" spans="1:15" s="59" customFormat="1" x14ac:dyDescent="0.2">
      <c r="A125" s="506">
        <f t="shared" si="14"/>
        <v>46478</v>
      </c>
      <c r="B125" s="59">
        <f>YEAR(A125)</f>
        <v>2027</v>
      </c>
      <c r="C125" s="59">
        <f>MONTH(A125)</f>
        <v>4</v>
      </c>
      <c r="D125" s="178"/>
      <c r="E125" s="177">
        <f t="shared" ca="1" si="15"/>
        <v>6.5650000000000031</v>
      </c>
      <c r="F125" s="177">
        <v>22</v>
      </c>
      <c r="G125" s="177">
        <f t="shared" si="16"/>
        <v>0</v>
      </c>
      <c r="I125" s="188">
        <f>'GS Co Gen Predicted Monthly'!$R$10</f>
        <v>-1091818.61931381</v>
      </c>
      <c r="J125" s="188">
        <f ca="1">E125*'GS Co Gen Predicted Monthly'!$R$11</f>
        <v>111632.86410458865</v>
      </c>
      <c r="K125" s="188">
        <f>F125*'GS Co Gen Predicted Monthly'!$R$12</f>
        <v>3657114.3606755342</v>
      </c>
      <c r="L125" s="188">
        <f>G125*'GS Co Gen Predicted Monthly'!$R$13</f>
        <v>0</v>
      </c>
      <c r="M125" s="188">
        <f t="shared" ca="1" si="9"/>
        <v>2676928.6054663127</v>
      </c>
    </row>
    <row r="126" spans="1:15" s="59" customFormat="1" x14ac:dyDescent="0.2">
      <c r="A126" s="506">
        <f t="shared" si="14"/>
        <v>46508</v>
      </c>
      <c r="B126" s="59">
        <f>YEAR(A126)</f>
        <v>2027</v>
      </c>
      <c r="C126" s="59">
        <f>MONTH(A126)</f>
        <v>5</v>
      </c>
      <c r="D126" s="178"/>
      <c r="E126" s="177">
        <f t="shared" ref="E126:E133" ca="1" si="17">E114</f>
        <v>59.300416666666649</v>
      </c>
      <c r="F126" s="177">
        <v>20</v>
      </c>
      <c r="G126" s="177">
        <f t="shared" si="16"/>
        <v>0</v>
      </c>
      <c r="I126" s="188">
        <f>'GS Co Gen Predicted Monthly'!$R$10</f>
        <v>-1091818.61931381</v>
      </c>
      <c r="J126" s="188">
        <f ca="1">E126*'GS Co Gen Predicted Monthly'!$R$11</f>
        <v>1008358.7745766152</v>
      </c>
      <c r="K126" s="188">
        <f>F126*'GS Co Gen Predicted Monthly'!$R$12</f>
        <v>3324649.41879594</v>
      </c>
      <c r="L126" s="188">
        <f>G126*'GS Co Gen Predicted Monthly'!$R$13</f>
        <v>0</v>
      </c>
      <c r="M126" s="188">
        <f t="shared" ca="1" si="9"/>
        <v>3241189.5740587451</v>
      </c>
    </row>
    <row r="127" spans="1:15" s="59" customFormat="1" x14ac:dyDescent="0.2">
      <c r="A127" s="506">
        <f t="shared" si="14"/>
        <v>46539</v>
      </c>
      <c r="B127" s="59">
        <f t="shared" ref="B127:B133" si="18">YEAR(A127)</f>
        <v>2027</v>
      </c>
      <c r="C127" s="59">
        <f t="shared" ref="C127:C133" si="19">MONTH(A127)</f>
        <v>6</v>
      </c>
      <c r="D127" s="178"/>
      <c r="E127" s="177">
        <f t="shared" ca="1" si="17"/>
        <v>157.17000000000002</v>
      </c>
      <c r="F127" s="177">
        <v>22</v>
      </c>
      <c r="G127" s="177">
        <f t="shared" si="16"/>
        <v>0</v>
      </c>
      <c r="I127" s="188">
        <f>'GS Co Gen Predicted Monthly'!$R$10</f>
        <v>-1091818.61931381</v>
      </c>
      <c r="J127" s="188">
        <f ca="1">E127*'GS Co Gen Predicted Monthly'!$R$11</f>
        <v>2672557.083216785</v>
      </c>
      <c r="K127" s="188">
        <f>F127*'GS Co Gen Predicted Monthly'!$R$12</f>
        <v>3657114.3606755342</v>
      </c>
      <c r="L127" s="188">
        <f>G127*'GS Co Gen Predicted Monthly'!$R$13</f>
        <v>0</v>
      </c>
      <c r="M127" s="188">
        <f t="shared" ca="1" si="9"/>
        <v>5237852.8245785087</v>
      </c>
    </row>
    <row r="128" spans="1:15" s="59" customFormat="1" x14ac:dyDescent="0.2">
      <c r="A128" s="506">
        <f t="shared" si="14"/>
        <v>46569</v>
      </c>
      <c r="B128" s="59">
        <f t="shared" si="18"/>
        <v>2027</v>
      </c>
      <c r="C128" s="59">
        <f t="shared" si="19"/>
        <v>7</v>
      </c>
      <c r="D128" s="178"/>
      <c r="E128" s="177">
        <f t="shared" ca="1" si="17"/>
        <v>231.27145833333333</v>
      </c>
      <c r="F128" s="177">
        <v>21</v>
      </c>
      <c r="G128" s="177">
        <f t="shared" si="16"/>
        <v>1</v>
      </c>
      <c r="I128" s="188">
        <f>'GS Co Gen Predicted Monthly'!$R$10</f>
        <v>-1091818.61931381</v>
      </c>
      <c r="J128" s="188">
        <f ca="1">E128*'GS Co Gen Predicted Monthly'!$R$11</f>
        <v>3932596.3868080769</v>
      </c>
      <c r="K128" s="188">
        <f>F128*'GS Co Gen Predicted Monthly'!$R$12</f>
        <v>3490881.8897357369</v>
      </c>
      <c r="L128" s="188">
        <f>G128*'GS Co Gen Predicted Monthly'!$R$13</f>
        <v>-689077.09586613998</v>
      </c>
      <c r="M128" s="188">
        <f t="shared" ca="1" si="9"/>
        <v>5642582.5613638638</v>
      </c>
    </row>
    <row r="129" spans="1:13" s="59" customFormat="1" x14ac:dyDescent="0.2">
      <c r="A129" s="506">
        <f t="shared" si="14"/>
        <v>46600</v>
      </c>
      <c r="B129" s="59">
        <f t="shared" si="18"/>
        <v>2027</v>
      </c>
      <c r="C129" s="59">
        <f t="shared" si="19"/>
        <v>8</v>
      </c>
      <c r="D129" s="178"/>
      <c r="E129" s="177">
        <f t="shared" ca="1" si="17"/>
        <v>196.13625000000002</v>
      </c>
      <c r="F129" s="177">
        <v>22</v>
      </c>
      <c r="G129" s="177">
        <f t="shared" si="16"/>
        <v>1</v>
      </c>
      <c r="I129" s="188">
        <f>'GS Co Gen Predicted Monthly'!$R$10</f>
        <v>-1091818.61931381</v>
      </c>
      <c r="J129" s="188">
        <f ca="1">E129*'GS Co Gen Predicted Monthly'!$R$11</f>
        <v>3335148.7193044354</v>
      </c>
      <c r="K129" s="188">
        <f>F129*'GS Co Gen Predicted Monthly'!$R$12</f>
        <v>3657114.3606755342</v>
      </c>
      <c r="L129" s="188">
        <f>G129*'GS Co Gen Predicted Monthly'!$R$13</f>
        <v>-689077.09586613998</v>
      </c>
      <c r="M129" s="188">
        <f t="shared" ca="1" si="9"/>
        <v>5211367.3648000192</v>
      </c>
    </row>
    <row r="130" spans="1:13" s="59" customFormat="1" x14ac:dyDescent="0.2">
      <c r="A130" s="506">
        <f t="shared" si="14"/>
        <v>46631</v>
      </c>
      <c r="B130" s="59">
        <f t="shared" si="18"/>
        <v>2027</v>
      </c>
      <c r="C130" s="59">
        <f t="shared" si="19"/>
        <v>9</v>
      </c>
      <c r="D130" s="178"/>
      <c r="E130" s="177">
        <f t="shared" ca="1" si="17"/>
        <v>104.19854166666664</v>
      </c>
      <c r="F130" s="177">
        <v>21</v>
      </c>
      <c r="G130" s="177">
        <f t="shared" si="16"/>
        <v>0</v>
      </c>
      <c r="I130" s="188">
        <f>'GS Co Gen Predicted Monthly'!$R$10</f>
        <v>-1091818.61931381</v>
      </c>
      <c r="J130" s="188">
        <f ca="1">E130*'GS Co Gen Predicted Monthly'!$R$11</f>
        <v>1771817.4625698873</v>
      </c>
      <c r="K130" s="188">
        <f>F130*'GS Co Gen Predicted Monthly'!$R$12</f>
        <v>3490881.8897357369</v>
      </c>
      <c r="L130" s="188">
        <f>G130*'GS Co Gen Predicted Monthly'!$R$13</f>
        <v>0</v>
      </c>
      <c r="M130" s="188">
        <f t="shared" ca="1" si="9"/>
        <v>4170880.7329918141</v>
      </c>
    </row>
    <row r="131" spans="1:13" s="59" customFormat="1" x14ac:dyDescent="0.2">
      <c r="A131" s="506">
        <f t="shared" si="14"/>
        <v>46661</v>
      </c>
      <c r="B131" s="59">
        <f t="shared" si="18"/>
        <v>2027</v>
      </c>
      <c r="C131" s="59">
        <f t="shared" si="19"/>
        <v>10</v>
      </c>
      <c r="D131" s="178"/>
      <c r="E131" s="177">
        <f t="shared" ca="1" si="17"/>
        <v>24.703125000000007</v>
      </c>
      <c r="F131" s="177">
        <v>20</v>
      </c>
      <c r="G131" s="177">
        <f t="shared" si="16"/>
        <v>0</v>
      </c>
      <c r="I131" s="188">
        <f>'GS Co Gen Predicted Monthly'!$R$10</f>
        <v>-1091818.61931381</v>
      </c>
      <c r="J131" s="188">
        <f ca="1">E131*'GS Co Gen Predicted Monthly'!$R$11</f>
        <v>420057.97350855538</v>
      </c>
      <c r="K131" s="188">
        <f>F131*'GS Co Gen Predicted Monthly'!$R$12</f>
        <v>3324649.41879594</v>
      </c>
      <c r="L131" s="188">
        <f>G131*'GS Co Gen Predicted Monthly'!$R$13</f>
        <v>0</v>
      </c>
      <c r="M131" s="188">
        <f ca="1">SUM(I131:L131)</f>
        <v>2652888.7729906854</v>
      </c>
    </row>
    <row r="132" spans="1:13" s="59" customFormat="1" x14ac:dyDescent="0.2">
      <c r="A132" s="506">
        <f t="shared" si="14"/>
        <v>46692</v>
      </c>
      <c r="B132" s="59">
        <f t="shared" si="18"/>
        <v>2027</v>
      </c>
      <c r="C132" s="59">
        <f t="shared" si="19"/>
        <v>11</v>
      </c>
      <c r="D132" s="178"/>
      <c r="E132" s="177">
        <f t="shared" ca="1" si="17"/>
        <v>1.6454166666666665</v>
      </c>
      <c r="F132" s="177">
        <v>22</v>
      </c>
      <c r="G132" s="177">
        <f t="shared" si="16"/>
        <v>0</v>
      </c>
      <c r="I132" s="188">
        <f>'GS Co Gen Predicted Monthly'!$R$10</f>
        <v>-1091818.61931381</v>
      </c>
      <c r="J132" s="188">
        <f ca="1">E132*'GS Co Gen Predicted Monthly'!$R$11</f>
        <v>27979.067044238407</v>
      </c>
      <c r="K132" s="188">
        <f>F132*'GS Co Gen Predicted Monthly'!$R$12</f>
        <v>3657114.3606755342</v>
      </c>
      <c r="L132" s="188">
        <f>G132*'GS Co Gen Predicted Monthly'!$R$13</f>
        <v>0</v>
      </c>
      <c r="M132" s="188">
        <f ca="1">SUM(I132:L132)</f>
        <v>2593274.8084059628</v>
      </c>
    </row>
    <row r="133" spans="1:13" s="59" customFormat="1" x14ac:dyDescent="0.2">
      <c r="A133" s="506">
        <f t="shared" si="14"/>
        <v>46722</v>
      </c>
      <c r="B133" s="59">
        <f t="shared" si="18"/>
        <v>2027</v>
      </c>
      <c r="C133" s="59">
        <f t="shared" si="19"/>
        <v>12</v>
      </c>
      <c r="D133" s="178"/>
      <c r="E133" s="177">
        <f t="shared" ca="1" si="17"/>
        <v>0</v>
      </c>
      <c r="F133" s="177">
        <v>20</v>
      </c>
      <c r="G133" s="177">
        <f t="shared" si="16"/>
        <v>0</v>
      </c>
      <c r="I133" s="188">
        <f>'GS Co Gen Predicted Monthly'!$R$10</f>
        <v>-1091818.61931381</v>
      </c>
      <c r="J133" s="188">
        <f ca="1">E133*'GS Co Gen Predicted Monthly'!$R$11</f>
        <v>0</v>
      </c>
      <c r="K133" s="188">
        <f>F133*'GS Co Gen Predicted Monthly'!$R$12</f>
        <v>3324649.41879594</v>
      </c>
      <c r="L133" s="188">
        <f>G133*'GS Co Gen Predicted Monthly'!$R$13</f>
        <v>0</v>
      </c>
      <c r="M133" s="188">
        <f ca="1">SUM(I133:L133)</f>
        <v>2232830.79948213</v>
      </c>
    </row>
    <row r="134" spans="1:13" x14ac:dyDescent="0.2">
      <c r="A134" s="8"/>
      <c r="D134" s="18"/>
      <c r="E134" s="21"/>
      <c r="F134" s="21"/>
      <c r="G134" s="21"/>
      <c r="I134" s="11"/>
      <c r="J134" s="11"/>
      <c r="K134" s="11"/>
      <c r="L134" s="11"/>
      <c r="M134" s="11"/>
    </row>
    <row r="135" spans="1:13" x14ac:dyDescent="0.2">
      <c r="A135" s="8"/>
      <c r="D135" s="18"/>
      <c r="E135" s="21"/>
      <c r="F135" s="21"/>
      <c r="G135" s="21"/>
      <c r="I135" s="11"/>
      <c r="J135" s="11"/>
      <c r="K135" s="11"/>
      <c r="L135" s="11"/>
      <c r="M135" s="11"/>
    </row>
    <row r="136" spans="1:13" x14ac:dyDescent="0.2">
      <c r="A136" s="8"/>
      <c r="D136" s="18"/>
      <c r="E136" s="21"/>
      <c r="F136" s="21"/>
      <c r="G136" s="21"/>
      <c r="I136" s="11"/>
      <c r="J136" s="11"/>
      <c r="K136" s="11"/>
      <c r="L136" s="11"/>
      <c r="M136" s="11"/>
    </row>
    <row r="137" spans="1:13" x14ac:dyDescent="0.2">
      <c r="A137" s="8"/>
      <c r="D137" s="18"/>
      <c r="E137" s="21"/>
      <c r="F137" s="21"/>
      <c r="G137" s="21"/>
      <c r="I137" s="11"/>
      <c r="J137" s="11"/>
      <c r="K137" s="11"/>
      <c r="L137" s="11"/>
      <c r="M137" s="11"/>
    </row>
    <row r="138" spans="1:13" x14ac:dyDescent="0.2">
      <c r="A138" s="8"/>
      <c r="D138" s="18"/>
      <c r="E138" s="21"/>
      <c r="F138" s="21"/>
      <c r="G138" s="21"/>
      <c r="I138" s="11"/>
      <c r="J138" s="11"/>
      <c r="K138" s="11"/>
      <c r="L138" s="11"/>
      <c r="M138" s="11"/>
    </row>
    <row r="139" spans="1:13" x14ac:dyDescent="0.2">
      <c r="A139" s="8"/>
      <c r="D139" s="18"/>
      <c r="E139" s="21"/>
      <c r="F139" s="21"/>
      <c r="G139" s="21"/>
      <c r="I139" s="11"/>
      <c r="J139" s="11"/>
      <c r="K139" s="11"/>
      <c r="L139" s="11"/>
      <c r="M139" s="11"/>
    </row>
    <row r="140" spans="1:13" x14ac:dyDescent="0.2">
      <c r="A140" s="8"/>
      <c r="D140" s="18"/>
      <c r="E140" s="21"/>
      <c r="F140" s="21"/>
      <c r="G140" s="21"/>
      <c r="I140" s="11"/>
      <c r="J140" s="11"/>
      <c r="K140" s="11"/>
      <c r="L140" s="11"/>
      <c r="M140" s="11"/>
    </row>
    <row r="141" spans="1:13" x14ac:dyDescent="0.2">
      <c r="A141" s="8"/>
      <c r="D141" s="18"/>
      <c r="E141" s="21"/>
      <c r="F141" s="21"/>
      <c r="G141" s="21"/>
      <c r="I141" s="11"/>
      <c r="J141" s="11"/>
      <c r="K141" s="11"/>
      <c r="L141" s="11"/>
      <c r="M141" s="11"/>
    </row>
    <row r="142" spans="1:13" x14ac:dyDescent="0.2">
      <c r="A142" s="8"/>
      <c r="D142" s="18"/>
      <c r="E142" s="21"/>
      <c r="F142" s="21"/>
      <c r="G142" s="21"/>
      <c r="I142" s="11"/>
      <c r="J142" s="11"/>
      <c r="K142" s="11"/>
      <c r="L142" s="11"/>
      <c r="M142" s="11"/>
    </row>
    <row r="143" spans="1:13" x14ac:dyDescent="0.2">
      <c r="A143" s="8"/>
      <c r="D143" s="18"/>
      <c r="E143" s="21"/>
      <c r="F143" s="21"/>
      <c r="G143" s="21"/>
      <c r="I143" s="11"/>
      <c r="J143" s="11"/>
      <c r="K143" s="11"/>
      <c r="L143" s="11"/>
      <c r="M143" s="11"/>
    </row>
    <row r="144" spans="1:13" x14ac:dyDescent="0.2">
      <c r="A144" s="8"/>
      <c r="D144" s="18"/>
      <c r="E144" s="21"/>
      <c r="F144" s="21"/>
      <c r="G144" s="21"/>
      <c r="I144" s="11"/>
      <c r="J144" s="11"/>
      <c r="K144" s="11"/>
      <c r="L144" s="11"/>
      <c r="M144" s="11"/>
    </row>
    <row r="145" spans="1:13" x14ac:dyDescent="0.2">
      <c r="A145" s="8"/>
      <c r="D145" s="18"/>
      <c r="E145" s="21"/>
      <c r="F145" s="21"/>
      <c r="G145" s="21"/>
      <c r="I145" s="11"/>
      <c r="J145" s="11"/>
      <c r="K145" s="11"/>
      <c r="L145" s="11"/>
      <c r="M145" s="11"/>
    </row>
    <row r="195" spans="9:16" x14ac:dyDescent="0.2">
      <c r="J195" s="11"/>
      <c r="K195" s="11"/>
      <c r="L195" s="11"/>
      <c r="M195" s="11"/>
      <c r="N195" s="11"/>
      <c r="O195" s="11"/>
      <c r="P195" s="11"/>
    </row>
    <row r="196" spans="9:16" x14ac:dyDescent="0.2">
      <c r="J196" s="11"/>
      <c r="K196" s="11"/>
      <c r="L196" s="11"/>
      <c r="M196" s="11"/>
      <c r="N196" s="11"/>
      <c r="O196" s="11"/>
      <c r="P196" s="11"/>
    </row>
    <row r="197" spans="9:16" x14ac:dyDescent="0.2">
      <c r="J197" s="11"/>
      <c r="K197" s="11"/>
      <c r="L197" s="11"/>
      <c r="M197" s="11"/>
      <c r="N197" s="11"/>
      <c r="O197" s="11"/>
      <c r="P197" s="11"/>
    </row>
    <row r="198" spans="9:16" x14ac:dyDescent="0.2">
      <c r="J198" s="11"/>
      <c r="K198" s="11"/>
      <c r="L198" s="11"/>
      <c r="M198" s="11"/>
      <c r="N198" s="11"/>
      <c r="O198" s="11"/>
      <c r="P198" s="11"/>
    </row>
    <row r="199" spans="9:16" x14ac:dyDescent="0.2">
      <c r="J199" s="11"/>
      <c r="K199" s="11"/>
      <c r="L199" s="11"/>
      <c r="M199" s="11"/>
      <c r="N199" s="11"/>
      <c r="O199" s="11"/>
      <c r="P199" s="11"/>
    </row>
    <row r="200" spans="9:16" x14ac:dyDescent="0.2">
      <c r="J200" s="11"/>
      <c r="K200" s="11"/>
      <c r="L200" s="11"/>
      <c r="M200" s="11"/>
      <c r="N200" s="11"/>
      <c r="O200" s="11"/>
      <c r="P200" s="11"/>
    </row>
    <row r="201" spans="9:16" x14ac:dyDescent="0.2">
      <c r="J201" s="11"/>
      <c r="K201" s="11"/>
      <c r="L201" s="11"/>
      <c r="M201" s="11"/>
      <c r="N201" s="11"/>
      <c r="O201" s="11"/>
      <c r="P201" s="11"/>
    </row>
    <row r="202" spans="9:16" x14ac:dyDescent="0.2">
      <c r="J202" s="11"/>
      <c r="K202" s="11"/>
      <c r="L202" s="11"/>
      <c r="M202" s="11"/>
      <c r="N202" s="11"/>
      <c r="O202" s="11"/>
      <c r="P202" s="11"/>
    </row>
    <row r="204" spans="9:16" x14ac:dyDescent="0.2">
      <c r="I204" s="19"/>
      <c r="J204" s="19"/>
      <c r="K204" s="19"/>
      <c r="L204" s="19"/>
      <c r="M204" s="19"/>
      <c r="N204" s="19"/>
      <c r="O204" s="19"/>
      <c r="P204" s="19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EC6B5-7595-4709-82FC-67E8A1518CC7}">
  <dimension ref="A1:Z204"/>
  <sheetViews>
    <sheetView topLeftCell="A104" workbookViewId="0">
      <selection activeCell="L126" sqref="L126"/>
    </sheetView>
  </sheetViews>
  <sheetFormatPr defaultColWidth="9.33203125" defaultRowHeight="12.75" x14ac:dyDescent="0.2"/>
  <cols>
    <col min="1" max="1" width="10.33203125" bestFit="1" customWidth="1"/>
    <col min="2" max="3" width="9.5" bestFit="1" customWidth="1"/>
    <col min="4" max="4" width="17.5" style="19" customWidth="1"/>
    <col min="5" max="5" width="7.1640625" style="19" bestFit="1" customWidth="1"/>
    <col min="6" max="12" width="9.5" bestFit="1" customWidth="1"/>
    <col min="14" max="14" width="14.83203125" bestFit="1" customWidth="1"/>
    <col min="15" max="15" width="14.6640625" customWidth="1"/>
    <col min="16" max="16" width="13.83203125" bestFit="1" customWidth="1"/>
    <col min="17" max="22" width="13.83203125" customWidth="1"/>
    <col min="23" max="23" width="19.6640625" customWidth="1"/>
    <col min="24" max="24" width="13.83203125" bestFit="1" customWidth="1"/>
    <col min="25" max="25" width="12.5" bestFit="1" customWidth="1"/>
  </cols>
  <sheetData>
    <row r="1" spans="1:23" x14ac:dyDescent="0.2">
      <c r="A1" s="179" t="str">
        <f>'Monthly Data'!A1</f>
        <v>Date</v>
      </c>
      <c r="B1" s="171" t="s">
        <v>0</v>
      </c>
      <c r="C1" s="171" t="s">
        <v>23</v>
      </c>
      <c r="D1" s="352" t="str">
        <f>'Monthly Data'!X1</f>
        <v>Large_Use_NoCDM</v>
      </c>
      <c r="E1" s="181" t="str">
        <f>'Monthly Data'!BJ1</f>
        <v>HDD14</v>
      </c>
      <c r="F1" s="181" t="str">
        <f>'Monthly Data'!BM1</f>
        <v>CDD12</v>
      </c>
      <c r="G1" s="181" t="str">
        <f>'Monthly Data'!Z1</f>
        <v>Large_Use_Customers</v>
      </c>
      <c r="H1" s="181" t="str">
        <f>'Monthly Data'!CF1</f>
        <v>Fall</v>
      </c>
      <c r="I1" s="181" t="str">
        <f>'Monthly Data'!CV1</f>
        <v>COVID_AM</v>
      </c>
      <c r="J1" s="181" t="str">
        <f>'Monthly Data'!CS1</f>
        <v>Month Days</v>
      </c>
      <c r="K1" s="181" t="str">
        <f>'Monthly Data'!CM1</f>
        <v>Trend</v>
      </c>
      <c r="L1" s="181" t="str">
        <f>'Monthly Data'!CK1</f>
        <v>Summer</v>
      </c>
      <c r="N1" s="171" t="s">
        <v>65</v>
      </c>
      <c r="O1" s="181" t="str">
        <f t="shared" ref="O1:V1" si="0">E1</f>
        <v>HDD14</v>
      </c>
      <c r="P1" s="181" t="str">
        <f t="shared" si="0"/>
        <v>CDD12</v>
      </c>
      <c r="Q1" s="181" t="str">
        <f t="shared" si="0"/>
        <v>Large_Use_Customers</v>
      </c>
      <c r="R1" s="181" t="str">
        <f t="shared" si="0"/>
        <v>Fall</v>
      </c>
      <c r="S1" s="181" t="str">
        <f t="shared" si="0"/>
        <v>COVID_AM</v>
      </c>
      <c r="T1" s="181" t="str">
        <f t="shared" si="0"/>
        <v>Month Days</v>
      </c>
      <c r="U1" s="181" t="str">
        <f t="shared" si="0"/>
        <v>Trend</v>
      </c>
      <c r="V1" s="181" t="str">
        <f t="shared" si="0"/>
        <v>Summer</v>
      </c>
      <c r="W1" s="171" t="s">
        <v>373</v>
      </c>
    </row>
    <row r="2" spans="1:23" x14ac:dyDescent="0.2">
      <c r="A2" s="8">
        <f>'Monthly Data'!A2</f>
        <v>42736</v>
      </c>
      <c r="B2">
        <f t="shared" ref="B2:B65" si="1">YEAR(A2)</f>
        <v>2017</v>
      </c>
      <c r="C2">
        <f t="shared" ref="C2:C65" si="2">MONTH(A2)</f>
        <v>1</v>
      </c>
      <c r="D2" s="19">
        <f>'Monthly Data'!X2</f>
        <v>8999446.6822758783</v>
      </c>
      <c r="E2" s="504">
        <f ca="1">Weather!BQ34</f>
        <v>566.30416666666667</v>
      </c>
      <c r="F2" s="290">
        <f ca="1">Weather!CF34</f>
        <v>0</v>
      </c>
      <c r="G2" s="21">
        <f>'Monthly Data'!Z2</f>
        <v>1</v>
      </c>
      <c r="H2" s="21">
        <f>'Monthly Data'!CF2</f>
        <v>0</v>
      </c>
      <c r="I2" s="21">
        <f>'Monthly Data'!CV2</f>
        <v>0</v>
      </c>
      <c r="J2" s="21">
        <f>'Monthly Data'!CS2</f>
        <v>31</v>
      </c>
      <c r="K2" s="21">
        <f>'Monthly Data'!CM2</f>
        <v>1</v>
      </c>
      <c r="L2" s="21">
        <f>'Monthly Data'!CK2</f>
        <v>0</v>
      </c>
      <c r="N2" s="11">
        <f>'Large Use Predicted Monthly'!$AB$10</f>
        <v>-5783820.4539120998</v>
      </c>
      <c r="O2" s="11">
        <f ca="1">E2*'Large Use Predicted Monthly'!$AB$11</f>
        <v>349276.13038041285</v>
      </c>
      <c r="P2" s="11">
        <f ca="1">F2*'Large Use Predicted Monthly'!$AB$12</f>
        <v>0</v>
      </c>
      <c r="Q2" s="11">
        <f>G2*'Large Use Predicted Monthly'!$AB$13</f>
        <v>3499999.8575587198</v>
      </c>
      <c r="R2" s="11">
        <f>H2*'Large Use Predicted Monthly'!$AB$14</f>
        <v>0</v>
      </c>
      <c r="S2" s="11">
        <f>I2*'Large Use Predicted Monthly'!$AB$15</f>
        <v>0</v>
      </c>
      <c r="T2" s="11">
        <f>J2*'Large Use Predicted Monthly'!$AB$16</f>
        <v>10482494.861430187</v>
      </c>
      <c r="U2" s="11">
        <f>K2*'Large Use Predicted Monthly'!$AB$17</f>
        <v>17220.3884116954</v>
      </c>
      <c r="V2" s="11">
        <f>L2*'Large Use Predicted Monthly'!$AB$18</f>
        <v>0</v>
      </c>
      <c r="W2" s="11">
        <f ca="1">SUM(N2:V2)</f>
        <v>8565170.7838689145</v>
      </c>
    </row>
    <row r="3" spans="1:23" x14ac:dyDescent="0.2">
      <c r="A3" s="8">
        <f>'Monthly Data'!A3</f>
        <v>42767</v>
      </c>
      <c r="B3">
        <f t="shared" si="1"/>
        <v>2017</v>
      </c>
      <c r="C3">
        <f t="shared" si="2"/>
        <v>2</v>
      </c>
      <c r="D3" s="19">
        <f>'Monthly Data'!X3</f>
        <v>8124930.9065793287</v>
      </c>
      <c r="E3" s="504">
        <f ca="1">Weather!BQ35</f>
        <v>483.54541666666665</v>
      </c>
      <c r="F3" s="290">
        <f ca="1">Weather!CF35</f>
        <v>0</v>
      </c>
      <c r="G3" s="21">
        <f>'Monthly Data'!Z3</f>
        <v>1</v>
      </c>
      <c r="H3" s="21">
        <f>'Monthly Data'!CF3</f>
        <v>0</v>
      </c>
      <c r="I3" s="21">
        <f>'Monthly Data'!CV3</f>
        <v>0</v>
      </c>
      <c r="J3" s="21">
        <f>'Monthly Data'!CS3</f>
        <v>28</v>
      </c>
      <c r="K3" s="21">
        <f>'Monthly Data'!CM3</f>
        <v>2</v>
      </c>
      <c r="L3" s="21">
        <f>'Monthly Data'!CK3</f>
        <v>0</v>
      </c>
      <c r="N3" s="11">
        <f>'Large Use Predicted Monthly'!$AB$10</f>
        <v>-5783820.4539120998</v>
      </c>
      <c r="O3" s="11">
        <f ca="1">E3*'Large Use Predicted Monthly'!$AB$11</f>
        <v>298233.49701032462</v>
      </c>
      <c r="P3" s="11">
        <f ca="1">F3*'Large Use Predicted Monthly'!$AB$12</f>
        <v>0</v>
      </c>
      <c r="Q3" s="11">
        <f>G3*'Large Use Predicted Monthly'!$AB$13</f>
        <v>3499999.8575587198</v>
      </c>
      <c r="R3" s="11">
        <f>H3*'Large Use Predicted Monthly'!$AB$14</f>
        <v>0</v>
      </c>
      <c r="S3" s="11">
        <f>I3*'Large Use Predicted Monthly'!$AB$15</f>
        <v>0</v>
      </c>
      <c r="T3" s="11">
        <f>J3*'Large Use Predicted Monthly'!$AB$16</f>
        <v>9468059.8748401683</v>
      </c>
      <c r="U3" s="11">
        <f>K3*'Large Use Predicted Monthly'!$AB$17</f>
        <v>34440.776823390799</v>
      </c>
      <c r="V3" s="11">
        <f>L3*'Large Use Predicted Monthly'!$AB$18</f>
        <v>0</v>
      </c>
      <c r="W3" s="11">
        <f t="shared" ref="W3:W66" ca="1" si="3">SUM(N3:V3)</f>
        <v>7516913.5523205036</v>
      </c>
    </row>
    <row r="4" spans="1:23" x14ac:dyDescent="0.2">
      <c r="A4" s="8">
        <f>'Monthly Data'!A4</f>
        <v>42795</v>
      </c>
      <c r="B4">
        <f t="shared" si="1"/>
        <v>2017</v>
      </c>
      <c r="C4">
        <f t="shared" si="2"/>
        <v>3</v>
      </c>
      <c r="D4" s="19">
        <f>'Monthly Data'!X4</f>
        <v>9234224.1308827791</v>
      </c>
      <c r="E4" s="504">
        <f ca="1">Weather!BQ36</f>
        <v>393.96333333333331</v>
      </c>
      <c r="F4" s="290">
        <f ca="1">Weather!CF36</f>
        <v>0.93041666666666656</v>
      </c>
      <c r="G4" s="21">
        <f>'Monthly Data'!Z4</f>
        <v>1</v>
      </c>
      <c r="H4" s="21">
        <f>'Monthly Data'!CF4</f>
        <v>0</v>
      </c>
      <c r="I4" s="21">
        <f>'Monthly Data'!CV4</f>
        <v>0</v>
      </c>
      <c r="J4" s="21">
        <f>'Monthly Data'!CS4</f>
        <v>31</v>
      </c>
      <c r="K4" s="21">
        <f>'Monthly Data'!CM4</f>
        <v>3</v>
      </c>
      <c r="L4" s="21">
        <f>'Monthly Data'!CK4</f>
        <v>0</v>
      </c>
      <c r="N4" s="11">
        <f>'Large Use Predicted Monthly'!$AB$10</f>
        <v>-5783820.4539120998</v>
      </c>
      <c r="O4" s="11">
        <f ca="1">E4*'Large Use Predicted Monthly'!$AB$11</f>
        <v>242982.47598702469</v>
      </c>
      <c r="P4" s="11">
        <f ca="1">F4*'Large Use Predicted Monthly'!$AB$12</f>
        <v>12723.445625875136</v>
      </c>
      <c r="Q4" s="11">
        <f>G4*'Large Use Predicted Monthly'!$AB$13</f>
        <v>3499999.8575587198</v>
      </c>
      <c r="R4" s="11">
        <f>H4*'Large Use Predicted Monthly'!$AB$14</f>
        <v>0</v>
      </c>
      <c r="S4" s="11">
        <f>I4*'Large Use Predicted Monthly'!$AB$15</f>
        <v>0</v>
      </c>
      <c r="T4" s="11">
        <f>J4*'Large Use Predicted Monthly'!$AB$16</f>
        <v>10482494.861430187</v>
      </c>
      <c r="U4" s="11">
        <f>K4*'Large Use Predicted Monthly'!$AB$17</f>
        <v>51661.165235086199</v>
      </c>
      <c r="V4" s="11">
        <f>L4*'Large Use Predicted Monthly'!$AB$18</f>
        <v>0</v>
      </c>
      <c r="W4" s="11">
        <f t="shared" ca="1" si="3"/>
        <v>8506041.3519247919</v>
      </c>
    </row>
    <row r="5" spans="1:23" x14ac:dyDescent="0.2">
      <c r="A5" s="8">
        <f>'Monthly Data'!A5</f>
        <v>42826</v>
      </c>
      <c r="B5">
        <f t="shared" si="1"/>
        <v>2017</v>
      </c>
      <c r="C5">
        <f t="shared" si="2"/>
        <v>4</v>
      </c>
      <c r="D5" s="19">
        <f>'Monthly Data'!X5</f>
        <v>8840028.3551862296</v>
      </c>
      <c r="E5" s="504">
        <f ca="1">Weather!BQ37</f>
        <v>226.60145833333337</v>
      </c>
      <c r="F5" s="290">
        <f ca="1">Weather!CF37</f>
        <v>13.944166666666669</v>
      </c>
      <c r="G5" s="21">
        <f>'Monthly Data'!Z5</f>
        <v>1</v>
      </c>
      <c r="H5" s="21">
        <f>'Monthly Data'!CF5</f>
        <v>0</v>
      </c>
      <c r="I5" s="21">
        <f>'Monthly Data'!CV5</f>
        <v>0</v>
      </c>
      <c r="J5" s="21">
        <f>'Monthly Data'!CS5</f>
        <v>30</v>
      </c>
      <c r="K5" s="21">
        <f>'Monthly Data'!CM5</f>
        <v>4</v>
      </c>
      <c r="L5" s="21">
        <f>'Monthly Data'!CK5</f>
        <v>0</v>
      </c>
      <c r="N5" s="11">
        <f>'Large Use Predicted Monthly'!$AB$10</f>
        <v>-5783820.4539120998</v>
      </c>
      <c r="O5" s="11">
        <f ca="1">E5*'Large Use Predicted Monthly'!$AB$11</f>
        <v>139759.66479478791</v>
      </c>
      <c r="P5" s="11">
        <f ca="1">F5*'Large Use Predicted Monthly'!$AB$12</f>
        <v>190686.44483454432</v>
      </c>
      <c r="Q5" s="11">
        <f>G5*'Large Use Predicted Monthly'!$AB$13</f>
        <v>3499999.8575587198</v>
      </c>
      <c r="R5" s="11">
        <f>H5*'Large Use Predicted Monthly'!$AB$14</f>
        <v>0</v>
      </c>
      <c r="S5" s="11">
        <f>I5*'Large Use Predicted Monthly'!$AB$15</f>
        <v>0</v>
      </c>
      <c r="T5" s="11">
        <f>J5*'Large Use Predicted Monthly'!$AB$16</f>
        <v>10144349.865900181</v>
      </c>
      <c r="U5" s="11">
        <f>K5*'Large Use Predicted Monthly'!$AB$17</f>
        <v>68881.553646781598</v>
      </c>
      <c r="V5" s="11">
        <f>L5*'Large Use Predicted Monthly'!$AB$18</f>
        <v>0</v>
      </c>
      <c r="W5" s="11">
        <f t="shared" ca="1" si="3"/>
        <v>8259856.9328229148</v>
      </c>
    </row>
    <row r="6" spans="1:23" x14ac:dyDescent="0.2">
      <c r="A6" s="8">
        <f>'Monthly Data'!A6</f>
        <v>42856</v>
      </c>
      <c r="B6">
        <f t="shared" si="1"/>
        <v>2017</v>
      </c>
      <c r="C6">
        <f t="shared" si="2"/>
        <v>5</v>
      </c>
      <c r="D6" s="19">
        <f>'Monthly Data'!X6</f>
        <v>9326722.57948968</v>
      </c>
      <c r="E6" s="504">
        <f ca="1">Weather!BQ38</f>
        <v>65.335833333333326</v>
      </c>
      <c r="F6" s="290">
        <f ca="1">Weather!CF38</f>
        <v>93.837916666666644</v>
      </c>
      <c r="G6" s="21">
        <f>'Monthly Data'!Z6</f>
        <v>1</v>
      </c>
      <c r="H6" s="21">
        <f>'Monthly Data'!CF6</f>
        <v>0</v>
      </c>
      <c r="I6" s="21">
        <f>'Monthly Data'!CV6</f>
        <v>0</v>
      </c>
      <c r="J6" s="21">
        <f>'Monthly Data'!CS6</f>
        <v>31</v>
      </c>
      <c r="K6" s="21">
        <f>'Monthly Data'!CM6</f>
        <v>5</v>
      </c>
      <c r="L6" s="21">
        <f>'Monthly Data'!CK6</f>
        <v>1</v>
      </c>
      <c r="N6" s="11">
        <f>'Large Use Predicted Monthly'!$AB$10</f>
        <v>-5783820.4539120998</v>
      </c>
      <c r="O6" s="11">
        <f ca="1">E6*'Large Use Predicted Monthly'!$AB$11</f>
        <v>40296.802292960208</v>
      </c>
      <c r="P6" s="11">
        <f ca="1">F6*'Large Use Predicted Monthly'!$AB$12</f>
        <v>1283233.2793770556</v>
      </c>
      <c r="Q6" s="11">
        <f>G6*'Large Use Predicted Monthly'!$AB$13</f>
        <v>3499999.8575587198</v>
      </c>
      <c r="R6" s="11">
        <f>H6*'Large Use Predicted Monthly'!$AB$14</f>
        <v>0</v>
      </c>
      <c r="S6" s="11">
        <f>I6*'Large Use Predicted Monthly'!$AB$15</f>
        <v>0</v>
      </c>
      <c r="T6" s="11">
        <f>J6*'Large Use Predicted Monthly'!$AB$16</f>
        <v>10482494.861430187</v>
      </c>
      <c r="U6" s="11">
        <f>K6*'Large Use Predicted Monthly'!$AB$17</f>
        <v>86101.942058476998</v>
      </c>
      <c r="V6" s="11">
        <f>L6*'Large Use Predicted Monthly'!$AB$18</f>
        <v>-352058.92944720201</v>
      </c>
      <c r="W6" s="11">
        <f t="shared" ca="1" si="3"/>
        <v>9256247.3593580965</v>
      </c>
    </row>
    <row r="7" spans="1:23" x14ac:dyDescent="0.2">
      <c r="A7" s="8">
        <f>'Monthly Data'!A7</f>
        <v>42887</v>
      </c>
      <c r="B7">
        <f t="shared" si="1"/>
        <v>2017</v>
      </c>
      <c r="C7">
        <f t="shared" si="2"/>
        <v>6</v>
      </c>
      <c r="D7" s="19">
        <f>'Monthly Data'!X7</f>
        <v>10997553.80379313</v>
      </c>
      <c r="E7" s="504">
        <f ca="1">Weather!BQ39</f>
        <v>3.0447916666666672</v>
      </c>
      <c r="F7" s="290">
        <f ca="1">Weather!CF39</f>
        <v>214.81645833333337</v>
      </c>
      <c r="G7" s="21">
        <f>'Monthly Data'!Z7</f>
        <v>1</v>
      </c>
      <c r="H7" s="21">
        <f>'Monthly Data'!CF7</f>
        <v>0</v>
      </c>
      <c r="I7" s="21">
        <f>'Monthly Data'!CV7</f>
        <v>0</v>
      </c>
      <c r="J7" s="21">
        <f>'Monthly Data'!CS7</f>
        <v>30</v>
      </c>
      <c r="K7" s="21">
        <f>'Monthly Data'!CM7</f>
        <v>6</v>
      </c>
      <c r="L7" s="21">
        <f>'Monthly Data'!CK7</f>
        <v>1</v>
      </c>
      <c r="N7" s="11">
        <f>'Large Use Predicted Monthly'!$AB$10</f>
        <v>-5783820.4539120998</v>
      </c>
      <c r="O7" s="11">
        <f ca="1">E7*'Large Use Predicted Monthly'!$AB$11</f>
        <v>1877.9184645728276</v>
      </c>
      <c r="P7" s="11">
        <f ca="1">F7*'Large Use Predicted Monthly'!$AB$12</f>
        <v>2937614.5388058103</v>
      </c>
      <c r="Q7" s="11">
        <f>G7*'Large Use Predicted Monthly'!$AB$13</f>
        <v>3499999.8575587198</v>
      </c>
      <c r="R7" s="11">
        <f>H7*'Large Use Predicted Monthly'!$AB$14</f>
        <v>0</v>
      </c>
      <c r="S7" s="11">
        <f>I7*'Large Use Predicted Monthly'!$AB$15</f>
        <v>0</v>
      </c>
      <c r="T7" s="11">
        <f>J7*'Large Use Predicted Monthly'!$AB$16</f>
        <v>10144349.865900181</v>
      </c>
      <c r="U7" s="11">
        <f>K7*'Large Use Predicted Monthly'!$AB$17</f>
        <v>103322.3304701724</v>
      </c>
      <c r="V7" s="11">
        <f>L7*'Large Use Predicted Monthly'!$AB$18</f>
        <v>-352058.92944720201</v>
      </c>
      <c r="W7" s="11">
        <f t="shared" ca="1" si="3"/>
        <v>10551285.127840156</v>
      </c>
    </row>
    <row r="8" spans="1:23" x14ac:dyDescent="0.2">
      <c r="A8" s="8">
        <f>'Monthly Data'!A8</f>
        <v>42917</v>
      </c>
      <c r="B8">
        <f t="shared" si="1"/>
        <v>2017</v>
      </c>
      <c r="C8">
        <f t="shared" si="2"/>
        <v>7</v>
      </c>
      <c r="D8" s="19">
        <f>'Monthly Data'!X8</f>
        <v>12310894.028096581</v>
      </c>
      <c r="E8" s="504">
        <f ca="1">Weather!BQ40</f>
        <v>0</v>
      </c>
      <c r="F8" s="290">
        <f ca="1">Weather!CF40</f>
        <v>293.27145833333327</v>
      </c>
      <c r="G8" s="21">
        <f>'Monthly Data'!Z8</f>
        <v>1</v>
      </c>
      <c r="H8" s="21">
        <f>'Monthly Data'!CF8</f>
        <v>0</v>
      </c>
      <c r="I8" s="21">
        <f>'Monthly Data'!CV8</f>
        <v>0</v>
      </c>
      <c r="J8" s="21">
        <f>'Monthly Data'!CS8</f>
        <v>31</v>
      </c>
      <c r="K8" s="21">
        <f>'Monthly Data'!CM8</f>
        <v>7</v>
      </c>
      <c r="L8" s="21">
        <f>'Monthly Data'!CK8</f>
        <v>1</v>
      </c>
      <c r="N8" s="11">
        <f>'Large Use Predicted Monthly'!$AB$10</f>
        <v>-5783820.4539120998</v>
      </c>
      <c r="O8" s="11">
        <f ca="1">E8*'Large Use Predicted Monthly'!$AB$11</f>
        <v>0</v>
      </c>
      <c r="P8" s="11">
        <f ca="1">F8*'Large Use Predicted Monthly'!$AB$12</f>
        <v>4010486.4706406863</v>
      </c>
      <c r="Q8" s="11">
        <f>G8*'Large Use Predicted Monthly'!$AB$13</f>
        <v>3499999.8575587198</v>
      </c>
      <c r="R8" s="11">
        <f>H8*'Large Use Predicted Monthly'!$AB$14</f>
        <v>0</v>
      </c>
      <c r="S8" s="11">
        <f>I8*'Large Use Predicted Monthly'!$AB$15</f>
        <v>0</v>
      </c>
      <c r="T8" s="11">
        <f>J8*'Large Use Predicted Monthly'!$AB$16</f>
        <v>10482494.861430187</v>
      </c>
      <c r="U8" s="11">
        <f>K8*'Large Use Predicted Monthly'!$AB$17</f>
        <v>120542.7188818678</v>
      </c>
      <c r="V8" s="11">
        <f>L8*'Large Use Predicted Monthly'!$AB$18</f>
        <v>-352058.92944720201</v>
      </c>
      <c r="W8" s="11">
        <f t="shared" ca="1" si="3"/>
        <v>11977644.52515216</v>
      </c>
    </row>
    <row r="9" spans="1:23" x14ac:dyDescent="0.2">
      <c r="A9" s="8">
        <f>'Monthly Data'!A9</f>
        <v>42948</v>
      </c>
      <c r="B9">
        <f t="shared" si="1"/>
        <v>2017</v>
      </c>
      <c r="C9">
        <f t="shared" si="2"/>
        <v>8</v>
      </c>
      <c r="D9" s="19">
        <f>'Monthly Data'!X9</f>
        <v>11685596.252400031</v>
      </c>
      <c r="E9" s="504">
        <f ca="1">Weather!BQ41</f>
        <v>0.27875000000000066</v>
      </c>
      <c r="F9" s="290">
        <f ca="1">Weather!CF41</f>
        <v>257.85749999999996</v>
      </c>
      <c r="G9" s="21">
        <f>'Monthly Data'!Z9</f>
        <v>1</v>
      </c>
      <c r="H9" s="21">
        <f>'Monthly Data'!CF9</f>
        <v>0</v>
      </c>
      <c r="I9" s="21">
        <f>'Monthly Data'!CV9</f>
        <v>0</v>
      </c>
      <c r="J9" s="21">
        <f>'Monthly Data'!CS9</f>
        <v>31</v>
      </c>
      <c r="K9" s="21">
        <f>'Monthly Data'!CM9</f>
        <v>8</v>
      </c>
      <c r="L9" s="21">
        <f>'Monthly Data'!CK9</f>
        <v>1</v>
      </c>
      <c r="N9" s="11">
        <f>'Large Use Predicted Monthly'!$AB$10</f>
        <v>-5783820.4539120998</v>
      </c>
      <c r="O9" s="11">
        <f ca="1">E9*'Large Use Predicted Monthly'!$AB$11</f>
        <v>171.92301783088942</v>
      </c>
      <c r="P9" s="11">
        <f ca="1">F9*'Large Use Predicted Monthly'!$AB$12</f>
        <v>3526200.677625542</v>
      </c>
      <c r="Q9" s="11">
        <f>G9*'Large Use Predicted Monthly'!$AB$13</f>
        <v>3499999.8575587198</v>
      </c>
      <c r="R9" s="11">
        <f>H9*'Large Use Predicted Monthly'!$AB$14</f>
        <v>0</v>
      </c>
      <c r="S9" s="11">
        <f>I9*'Large Use Predicted Monthly'!$AB$15</f>
        <v>0</v>
      </c>
      <c r="T9" s="11">
        <f>J9*'Large Use Predicted Monthly'!$AB$16</f>
        <v>10482494.861430187</v>
      </c>
      <c r="U9" s="11">
        <f>K9*'Large Use Predicted Monthly'!$AB$17</f>
        <v>137763.1072935632</v>
      </c>
      <c r="V9" s="11">
        <f>L9*'Large Use Predicted Monthly'!$AB$18</f>
        <v>-352058.92944720201</v>
      </c>
      <c r="W9" s="11">
        <f t="shared" ca="1" si="3"/>
        <v>11510751.04356654</v>
      </c>
    </row>
    <row r="10" spans="1:23" x14ac:dyDescent="0.2">
      <c r="A10" s="8">
        <f>'Monthly Data'!A10</f>
        <v>42979</v>
      </c>
      <c r="B10">
        <f t="shared" si="1"/>
        <v>2017</v>
      </c>
      <c r="C10">
        <f t="shared" si="2"/>
        <v>9</v>
      </c>
      <c r="D10" s="19">
        <f>'Monthly Data'!X10</f>
        <v>11271867.476703482</v>
      </c>
      <c r="E10" s="504">
        <f ca="1">Weather!BQ42</f>
        <v>11.319999999999997</v>
      </c>
      <c r="F10" s="290">
        <f ca="1">Weather!CF42</f>
        <v>155.75020833333332</v>
      </c>
      <c r="G10" s="21">
        <f>'Monthly Data'!Z10</f>
        <v>1</v>
      </c>
      <c r="H10" s="21">
        <f>'Monthly Data'!CF10</f>
        <v>1</v>
      </c>
      <c r="I10" s="21">
        <f>'Monthly Data'!CV10</f>
        <v>0</v>
      </c>
      <c r="J10" s="21">
        <f>'Monthly Data'!CS10</f>
        <v>30</v>
      </c>
      <c r="K10" s="21">
        <f>'Monthly Data'!CM10</f>
        <v>9</v>
      </c>
      <c r="L10" s="21">
        <f>'Monthly Data'!CK10</f>
        <v>0</v>
      </c>
      <c r="N10" s="11">
        <f>'Large Use Predicted Monthly'!$AB$10</f>
        <v>-5783820.4539120998</v>
      </c>
      <c r="O10" s="11">
        <f ca="1">E10*'Large Use Predicted Monthly'!$AB$11</f>
        <v>6981.7706254552941</v>
      </c>
      <c r="P10" s="11">
        <f ca="1">F10*'Large Use Predicted Monthly'!$AB$12</f>
        <v>2129883.7154836268</v>
      </c>
      <c r="Q10" s="11">
        <f>G10*'Large Use Predicted Monthly'!$AB$13</f>
        <v>3499999.8575587198</v>
      </c>
      <c r="R10" s="11">
        <f>H10*'Large Use Predicted Monthly'!$AB$14</f>
        <v>387000.72715245897</v>
      </c>
      <c r="S10" s="11">
        <f>I10*'Large Use Predicted Monthly'!$AB$15</f>
        <v>0</v>
      </c>
      <c r="T10" s="11">
        <f>J10*'Large Use Predicted Monthly'!$AB$16</f>
        <v>10144349.865900181</v>
      </c>
      <c r="U10" s="11">
        <f>K10*'Large Use Predicted Monthly'!$AB$17</f>
        <v>154983.4957052586</v>
      </c>
      <c r="V10" s="11">
        <f>L10*'Large Use Predicted Monthly'!$AB$18</f>
        <v>0</v>
      </c>
      <c r="W10" s="11">
        <f t="shared" ca="1" si="3"/>
        <v>10539378.9785136</v>
      </c>
    </row>
    <row r="11" spans="1:23" x14ac:dyDescent="0.2">
      <c r="A11" s="8">
        <f>'Monthly Data'!A11</f>
        <v>43009</v>
      </c>
      <c r="B11">
        <f t="shared" si="1"/>
        <v>2017</v>
      </c>
      <c r="C11">
        <f t="shared" si="2"/>
        <v>10</v>
      </c>
      <c r="D11" s="19">
        <f>'Monthly Data'!X11</f>
        <v>9994517.7010069322</v>
      </c>
      <c r="E11" s="504">
        <f ca="1">Weather!BQ43</f>
        <v>126.12583333333332</v>
      </c>
      <c r="F11" s="290">
        <f ca="1">Weather!CF43</f>
        <v>45.238541666666677</v>
      </c>
      <c r="G11" s="21">
        <f>'Monthly Data'!Z11</f>
        <v>1</v>
      </c>
      <c r="H11" s="21">
        <f>'Monthly Data'!CF11</f>
        <v>1</v>
      </c>
      <c r="I11" s="21">
        <f>'Monthly Data'!CV11</f>
        <v>0</v>
      </c>
      <c r="J11" s="21">
        <f>'Monthly Data'!CS11</f>
        <v>31</v>
      </c>
      <c r="K11" s="21">
        <f>'Monthly Data'!CM11</f>
        <v>10</v>
      </c>
      <c r="L11" s="21">
        <f>'Monthly Data'!CK11</f>
        <v>0</v>
      </c>
      <c r="N11" s="11">
        <f>'Large Use Predicted Monthly'!$AB$10</f>
        <v>-5783820.4539120998</v>
      </c>
      <c r="O11" s="11">
        <f ca="1">E11*'Large Use Predicted Monthly'!$AB$11</f>
        <v>77789.897374358392</v>
      </c>
      <c r="P11" s="11">
        <f ca="1">F11*'Large Use Predicted Monthly'!$AB$12</f>
        <v>618636.94590923819</v>
      </c>
      <c r="Q11" s="11">
        <f>G11*'Large Use Predicted Monthly'!$AB$13</f>
        <v>3499999.8575587198</v>
      </c>
      <c r="R11" s="11">
        <f>H11*'Large Use Predicted Monthly'!$AB$14</f>
        <v>387000.72715245897</v>
      </c>
      <c r="S11" s="11">
        <f>I11*'Large Use Predicted Monthly'!$AB$15</f>
        <v>0</v>
      </c>
      <c r="T11" s="11">
        <f>J11*'Large Use Predicted Monthly'!$AB$16</f>
        <v>10482494.861430187</v>
      </c>
      <c r="U11" s="11">
        <f>K11*'Large Use Predicted Monthly'!$AB$17</f>
        <v>172203.884116954</v>
      </c>
      <c r="V11" s="11">
        <f>L11*'Large Use Predicted Monthly'!$AB$18</f>
        <v>0</v>
      </c>
      <c r="W11" s="11">
        <f t="shared" ca="1" si="3"/>
        <v>9454305.7196298148</v>
      </c>
    </row>
    <row r="12" spans="1:23" x14ac:dyDescent="0.2">
      <c r="A12" s="8">
        <f>'Monthly Data'!A12</f>
        <v>43040</v>
      </c>
      <c r="B12">
        <f t="shared" si="1"/>
        <v>2017</v>
      </c>
      <c r="C12">
        <f t="shared" si="2"/>
        <v>11</v>
      </c>
      <c r="D12" s="19">
        <f>'Monthly Data'!X12</f>
        <v>8686801.9253103826</v>
      </c>
      <c r="E12" s="504">
        <f ca="1">Weather!BQ44</f>
        <v>312.40687500000001</v>
      </c>
      <c r="F12" s="290">
        <f ca="1">Weather!CF44</f>
        <v>3.6587500000000004</v>
      </c>
      <c r="G12" s="21">
        <f>'Monthly Data'!Z12</f>
        <v>1</v>
      </c>
      <c r="H12" s="21">
        <f>'Monthly Data'!CF12</f>
        <v>1</v>
      </c>
      <c r="I12" s="21">
        <f>'Monthly Data'!CV12</f>
        <v>0</v>
      </c>
      <c r="J12" s="21">
        <f>'Monthly Data'!CS12</f>
        <v>30</v>
      </c>
      <c r="K12" s="21">
        <f>'Monthly Data'!CM12</f>
        <v>11</v>
      </c>
      <c r="L12" s="21">
        <f>'Monthly Data'!CK12</f>
        <v>0</v>
      </c>
      <c r="N12" s="11">
        <f>'Large Use Predicted Monthly'!$AB$10</f>
        <v>-5783820.4539120998</v>
      </c>
      <c r="O12" s="11">
        <f ca="1">E12*'Large Use Predicted Monthly'!$AB$11</f>
        <v>192681.37306230428</v>
      </c>
      <c r="P12" s="11">
        <f ca="1">F12*'Large Use Predicted Monthly'!$AB$12</f>
        <v>50033.39724174187</v>
      </c>
      <c r="Q12" s="11">
        <f>G12*'Large Use Predicted Monthly'!$AB$13</f>
        <v>3499999.8575587198</v>
      </c>
      <c r="R12" s="11">
        <f>H12*'Large Use Predicted Monthly'!$AB$14</f>
        <v>387000.72715245897</v>
      </c>
      <c r="S12" s="11">
        <f>I12*'Large Use Predicted Monthly'!$AB$15</f>
        <v>0</v>
      </c>
      <c r="T12" s="11">
        <f>J12*'Large Use Predicted Monthly'!$AB$16</f>
        <v>10144349.865900181</v>
      </c>
      <c r="U12" s="11">
        <f>K12*'Large Use Predicted Monthly'!$AB$17</f>
        <v>189424.2725286494</v>
      </c>
      <c r="V12" s="11">
        <f>L12*'Large Use Predicted Monthly'!$AB$18</f>
        <v>0</v>
      </c>
      <c r="W12" s="11">
        <f t="shared" ca="1" si="3"/>
        <v>8679669.0395319555</v>
      </c>
    </row>
    <row r="13" spans="1:23" x14ac:dyDescent="0.2">
      <c r="A13" s="8">
        <f>'Monthly Data'!A13</f>
        <v>43070</v>
      </c>
      <c r="B13">
        <f t="shared" si="1"/>
        <v>2017</v>
      </c>
      <c r="C13">
        <f t="shared" si="2"/>
        <v>12</v>
      </c>
      <c r="D13" s="19">
        <f>'Monthly Data'!X13</f>
        <v>8551960.1496138331</v>
      </c>
      <c r="E13" s="504">
        <f ca="1">Weather!BQ45</f>
        <v>473.52499999999998</v>
      </c>
      <c r="F13" s="290">
        <f ca="1">Weather!CF45</f>
        <v>0</v>
      </c>
      <c r="G13" s="21">
        <f>'Monthly Data'!Z13</f>
        <v>1</v>
      </c>
      <c r="H13" s="21">
        <f>'Monthly Data'!CF13</f>
        <v>0</v>
      </c>
      <c r="I13" s="21">
        <f>'Monthly Data'!CV13</f>
        <v>0</v>
      </c>
      <c r="J13" s="21">
        <f>'Monthly Data'!CS13</f>
        <v>31</v>
      </c>
      <c r="K13" s="21">
        <f>'Monthly Data'!CM13</f>
        <v>12</v>
      </c>
      <c r="L13" s="21">
        <f>'Monthly Data'!CK13</f>
        <v>0</v>
      </c>
      <c r="N13" s="11">
        <f>'Large Use Predicted Monthly'!$AB$10</f>
        <v>-5783820.4539120998</v>
      </c>
      <c r="O13" s="11">
        <f ca="1">E13*'Large Use Predicted Monthly'!$AB$11</f>
        <v>292053.26284617657</v>
      </c>
      <c r="P13" s="11">
        <f ca="1">F13*'Large Use Predicted Monthly'!$AB$12</f>
        <v>0</v>
      </c>
      <c r="Q13" s="11">
        <f>G13*'Large Use Predicted Monthly'!$AB$13</f>
        <v>3499999.8575587198</v>
      </c>
      <c r="R13" s="11">
        <f>H13*'Large Use Predicted Monthly'!$AB$14</f>
        <v>0</v>
      </c>
      <c r="S13" s="11">
        <f>I13*'Large Use Predicted Monthly'!$AB$15</f>
        <v>0</v>
      </c>
      <c r="T13" s="11">
        <f>J13*'Large Use Predicted Monthly'!$AB$16</f>
        <v>10482494.861430187</v>
      </c>
      <c r="U13" s="11">
        <f>K13*'Large Use Predicted Monthly'!$AB$17</f>
        <v>206644.66094034479</v>
      </c>
      <c r="V13" s="11">
        <f>L13*'Large Use Predicted Monthly'!$AB$18</f>
        <v>0</v>
      </c>
      <c r="W13" s="11">
        <f t="shared" ca="1" si="3"/>
        <v>8697372.1888633296</v>
      </c>
    </row>
    <row r="14" spans="1:23" x14ac:dyDescent="0.2">
      <c r="A14" s="8">
        <f>'Monthly Data'!A14</f>
        <v>43101</v>
      </c>
      <c r="B14">
        <f t="shared" si="1"/>
        <v>2018</v>
      </c>
      <c r="C14">
        <f t="shared" si="2"/>
        <v>1</v>
      </c>
      <c r="D14" s="19">
        <f>'Monthly Data'!X14</f>
        <v>9103066.0429361481</v>
      </c>
      <c r="E14" s="21">
        <f ca="1">E2</f>
        <v>566.30416666666667</v>
      </c>
      <c r="F14" s="21">
        <f ca="1">F2</f>
        <v>0</v>
      </c>
      <c r="G14" s="21">
        <f>'Monthly Data'!Z14</f>
        <v>1</v>
      </c>
      <c r="H14" s="21">
        <f>'Monthly Data'!CF14</f>
        <v>0</v>
      </c>
      <c r="I14" s="21">
        <f>'Monthly Data'!CV14</f>
        <v>0</v>
      </c>
      <c r="J14" s="21">
        <f>'Monthly Data'!CS14</f>
        <v>31</v>
      </c>
      <c r="K14" s="21">
        <f>'Monthly Data'!CM14</f>
        <v>13</v>
      </c>
      <c r="L14" s="21">
        <f>'Monthly Data'!CK14</f>
        <v>0</v>
      </c>
      <c r="N14" s="11">
        <f>'Large Use Predicted Monthly'!$AB$10</f>
        <v>-5783820.4539120998</v>
      </c>
      <c r="O14" s="11">
        <f ca="1">E14*'Large Use Predicted Monthly'!$AB$11</f>
        <v>349276.13038041285</v>
      </c>
      <c r="P14" s="11">
        <f ca="1">F14*'Large Use Predicted Monthly'!$AB$12</f>
        <v>0</v>
      </c>
      <c r="Q14" s="11">
        <f>G14*'Large Use Predicted Monthly'!$AB$13</f>
        <v>3499999.8575587198</v>
      </c>
      <c r="R14" s="11">
        <f>H14*'Large Use Predicted Monthly'!$AB$14</f>
        <v>0</v>
      </c>
      <c r="S14" s="11">
        <f>I14*'Large Use Predicted Monthly'!$AB$15</f>
        <v>0</v>
      </c>
      <c r="T14" s="11">
        <f>J14*'Large Use Predicted Monthly'!$AB$16</f>
        <v>10482494.861430187</v>
      </c>
      <c r="U14" s="11">
        <f>K14*'Large Use Predicted Monthly'!$AB$17</f>
        <v>223865.04935204019</v>
      </c>
      <c r="V14" s="11">
        <f>L14*'Large Use Predicted Monthly'!$AB$18</f>
        <v>0</v>
      </c>
      <c r="W14" s="11">
        <f t="shared" ca="1" si="3"/>
        <v>8771815.4448092598</v>
      </c>
    </row>
    <row r="15" spans="1:23" x14ac:dyDescent="0.2">
      <c r="A15" s="8">
        <f>'Monthly Data'!A15</f>
        <v>43132</v>
      </c>
      <c r="B15">
        <f t="shared" si="1"/>
        <v>2018</v>
      </c>
      <c r="C15">
        <f t="shared" si="2"/>
        <v>2</v>
      </c>
      <c r="D15" s="19">
        <f>'Monthly Data'!X15</f>
        <v>8069983.3265349884</v>
      </c>
      <c r="E15" s="21">
        <f t="shared" ref="E15:E78" ca="1" si="4">E3</f>
        <v>483.54541666666665</v>
      </c>
      <c r="F15" s="21">
        <f t="shared" ref="F15:F77" ca="1" si="5">F3</f>
        <v>0</v>
      </c>
      <c r="G15" s="21">
        <f>'Monthly Data'!Z15</f>
        <v>1</v>
      </c>
      <c r="H15" s="21">
        <f>'Monthly Data'!CF15</f>
        <v>0</v>
      </c>
      <c r="I15" s="21">
        <f>'Monthly Data'!CV15</f>
        <v>0</v>
      </c>
      <c r="J15" s="21">
        <f>'Monthly Data'!CS15</f>
        <v>28</v>
      </c>
      <c r="K15" s="21">
        <f>'Monthly Data'!CM15</f>
        <v>14</v>
      </c>
      <c r="L15" s="21">
        <f>'Monthly Data'!CK15</f>
        <v>0</v>
      </c>
      <c r="N15" s="11">
        <f>'Large Use Predicted Monthly'!$AB$10</f>
        <v>-5783820.4539120998</v>
      </c>
      <c r="O15" s="11">
        <f ca="1">E15*'Large Use Predicted Monthly'!$AB$11</f>
        <v>298233.49701032462</v>
      </c>
      <c r="P15" s="11">
        <f ca="1">F15*'Large Use Predicted Monthly'!$AB$12</f>
        <v>0</v>
      </c>
      <c r="Q15" s="11">
        <f>G15*'Large Use Predicted Monthly'!$AB$13</f>
        <v>3499999.8575587198</v>
      </c>
      <c r="R15" s="11">
        <f>H15*'Large Use Predicted Monthly'!$AB$14</f>
        <v>0</v>
      </c>
      <c r="S15" s="11">
        <f>I15*'Large Use Predicted Monthly'!$AB$15</f>
        <v>0</v>
      </c>
      <c r="T15" s="11">
        <f>J15*'Large Use Predicted Monthly'!$AB$16</f>
        <v>9468059.8748401683</v>
      </c>
      <c r="U15" s="11">
        <f>K15*'Large Use Predicted Monthly'!$AB$17</f>
        <v>241085.43776373559</v>
      </c>
      <c r="V15" s="11">
        <f>L15*'Large Use Predicted Monthly'!$AB$18</f>
        <v>0</v>
      </c>
      <c r="W15" s="11">
        <f t="shared" ca="1" si="3"/>
        <v>7723558.2132608481</v>
      </c>
    </row>
    <row r="16" spans="1:23" x14ac:dyDescent="0.2">
      <c r="A16" s="8">
        <f>'Monthly Data'!A16</f>
        <v>43160</v>
      </c>
      <c r="B16">
        <f t="shared" si="1"/>
        <v>2018</v>
      </c>
      <c r="C16">
        <f t="shared" si="2"/>
        <v>3</v>
      </c>
      <c r="D16" s="19">
        <f>'Monthly Data'!X16</f>
        <v>9022606.6101338267</v>
      </c>
      <c r="E16" s="21">
        <f t="shared" ca="1" si="4"/>
        <v>393.96333333333331</v>
      </c>
      <c r="F16" s="21">
        <f t="shared" ca="1" si="5"/>
        <v>0.93041666666666656</v>
      </c>
      <c r="G16" s="21">
        <f>'Monthly Data'!Z16</f>
        <v>1</v>
      </c>
      <c r="H16" s="21">
        <f>'Monthly Data'!CF16</f>
        <v>0</v>
      </c>
      <c r="I16" s="21">
        <f>'Monthly Data'!CV16</f>
        <v>0</v>
      </c>
      <c r="J16" s="21">
        <f>'Monthly Data'!CS16</f>
        <v>31</v>
      </c>
      <c r="K16" s="21">
        <f>'Monthly Data'!CM16</f>
        <v>15</v>
      </c>
      <c r="L16" s="21">
        <f>'Monthly Data'!CK16</f>
        <v>0</v>
      </c>
      <c r="N16" s="11">
        <f>'Large Use Predicted Monthly'!$AB$10</f>
        <v>-5783820.4539120998</v>
      </c>
      <c r="O16" s="11">
        <f ca="1">E16*'Large Use Predicted Monthly'!$AB$11</f>
        <v>242982.47598702469</v>
      </c>
      <c r="P16" s="11">
        <f ca="1">F16*'Large Use Predicted Monthly'!$AB$12</f>
        <v>12723.445625875136</v>
      </c>
      <c r="Q16" s="11">
        <f>G16*'Large Use Predicted Monthly'!$AB$13</f>
        <v>3499999.8575587198</v>
      </c>
      <c r="R16" s="11">
        <f>H16*'Large Use Predicted Monthly'!$AB$14</f>
        <v>0</v>
      </c>
      <c r="S16" s="11">
        <f>I16*'Large Use Predicted Monthly'!$AB$15</f>
        <v>0</v>
      </c>
      <c r="T16" s="11">
        <f>J16*'Large Use Predicted Monthly'!$AB$16</f>
        <v>10482494.861430187</v>
      </c>
      <c r="U16" s="11">
        <f>K16*'Large Use Predicted Monthly'!$AB$17</f>
        <v>258305.82617543099</v>
      </c>
      <c r="V16" s="11">
        <f>L16*'Large Use Predicted Monthly'!$AB$18</f>
        <v>0</v>
      </c>
      <c r="W16" s="11">
        <f t="shared" ca="1" si="3"/>
        <v>8712686.0128651373</v>
      </c>
    </row>
    <row r="17" spans="1:24" x14ac:dyDescent="0.2">
      <c r="A17" s="8">
        <f>'Monthly Data'!A17</f>
        <v>43191</v>
      </c>
      <c r="B17">
        <f t="shared" si="1"/>
        <v>2018</v>
      </c>
      <c r="C17">
        <f t="shared" si="2"/>
        <v>4</v>
      </c>
      <c r="D17" s="19">
        <f>'Monthly Data'!X17</f>
        <v>8607346.893732667</v>
      </c>
      <c r="E17" s="21">
        <f t="shared" ca="1" si="4"/>
        <v>226.60145833333337</v>
      </c>
      <c r="F17" s="21">
        <f t="shared" ca="1" si="5"/>
        <v>13.944166666666669</v>
      </c>
      <c r="G17" s="21">
        <f>'Monthly Data'!Z17</f>
        <v>1</v>
      </c>
      <c r="H17" s="21">
        <f>'Monthly Data'!CF17</f>
        <v>0</v>
      </c>
      <c r="I17" s="21">
        <f>'Monthly Data'!CV17</f>
        <v>0</v>
      </c>
      <c r="J17" s="21">
        <f>'Monthly Data'!CS17</f>
        <v>30</v>
      </c>
      <c r="K17" s="21">
        <f>'Monthly Data'!CM17</f>
        <v>16</v>
      </c>
      <c r="L17" s="21">
        <f>'Monthly Data'!CK17</f>
        <v>0</v>
      </c>
      <c r="N17" s="11">
        <f>'Large Use Predicted Monthly'!$AB$10</f>
        <v>-5783820.4539120998</v>
      </c>
      <c r="O17" s="11">
        <f ca="1">E17*'Large Use Predicted Monthly'!$AB$11</f>
        <v>139759.66479478791</v>
      </c>
      <c r="P17" s="11">
        <f ca="1">F17*'Large Use Predicted Monthly'!$AB$12</f>
        <v>190686.44483454432</v>
      </c>
      <c r="Q17" s="11">
        <f>G17*'Large Use Predicted Monthly'!$AB$13</f>
        <v>3499999.8575587198</v>
      </c>
      <c r="R17" s="11">
        <f>H17*'Large Use Predicted Monthly'!$AB$14</f>
        <v>0</v>
      </c>
      <c r="S17" s="11">
        <f>I17*'Large Use Predicted Monthly'!$AB$15</f>
        <v>0</v>
      </c>
      <c r="T17" s="11">
        <f>J17*'Large Use Predicted Monthly'!$AB$16</f>
        <v>10144349.865900181</v>
      </c>
      <c r="U17" s="11">
        <f>K17*'Large Use Predicted Monthly'!$AB$17</f>
        <v>275526.21458712639</v>
      </c>
      <c r="V17" s="11">
        <f>L17*'Large Use Predicted Monthly'!$AB$18</f>
        <v>0</v>
      </c>
      <c r="W17" s="11">
        <f t="shared" ca="1" si="3"/>
        <v>8466501.5937632602</v>
      </c>
    </row>
    <row r="18" spans="1:24" x14ac:dyDescent="0.2">
      <c r="A18" s="8">
        <f>'Monthly Data'!A18</f>
        <v>43221</v>
      </c>
      <c r="B18">
        <f t="shared" si="1"/>
        <v>2018</v>
      </c>
      <c r="C18">
        <f t="shared" si="2"/>
        <v>5</v>
      </c>
      <c r="D18" s="19">
        <f>'Monthly Data'!X18</f>
        <v>10249196.177331505</v>
      </c>
      <c r="E18" s="21">
        <f t="shared" ca="1" si="4"/>
        <v>65.335833333333326</v>
      </c>
      <c r="F18" s="21">
        <f t="shared" ca="1" si="5"/>
        <v>93.837916666666644</v>
      </c>
      <c r="G18" s="21">
        <f>'Monthly Data'!Z18</f>
        <v>1</v>
      </c>
      <c r="H18" s="21">
        <f>'Monthly Data'!CF18</f>
        <v>0</v>
      </c>
      <c r="I18" s="21">
        <f>'Monthly Data'!CV18</f>
        <v>0</v>
      </c>
      <c r="J18" s="21">
        <f>'Monthly Data'!CS18</f>
        <v>31</v>
      </c>
      <c r="K18" s="21">
        <f>'Monthly Data'!CM18</f>
        <v>17</v>
      </c>
      <c r="L18" s="21">
        <f>'Monthly Data'!CK18</f>
        <v>1</v>
      </c>
      <c r="N18" s="11">
        <f>'Large Use Predicted Monthly'!$AB$10</f>
        <v>-5783820.4539120998</v>
      </c>
      <c r="O18" s="11">
        <f ca="1">E18*'Large Use Predicted Monthly'!$AB$11</f>
        <v>40296.802292960208</v>
      </c>
      <c r="P18" s="11">
        <f ca="1">F18*'Large Use Predicted Monthly'!$AB$12</f>
        <v>1283233.2793770556</v>
      </c>
      <c r="Q18" s="11">
        <f>G18*'Large Use Predicted Monthly'!$AB$13</f>
        <v>3499999.8575587198</v>
      </c>
      <c r="R18" s="11">
        <f>H18*'Large Use Predicted Monthly'!$AB$14</f>
        <v>0</v>
      </c>
      <c r="S18" s="11">
        <f>I18*'Large Use Predicted Monthly'!$AB$15</f>
        <v>0</v>
      </c>
      <c r="T18" s="11">
        <f>J18*'Large Use Predicted Monthly'!$AB$16</f>
        <v>10482494.861430187</v>
      </c>
      <c r="U18" s="11">
        <f>K18*'Large Use Predicted Monthly'!$AB$17</f>
        <v>292746.60299882176</v>
      </c>
      <c r="V18" s="11">
        <f>L18*'Large Use Predicted Monthly'!$AB$18</f>
        <v>-352058.92944720201</v>
      </c>
      <c r="W18" s="11">
        <f t="shared" ca="1" si="3"/>
        <v>9462892.02029844</v>
      </c>
    </row>
    <row r="19" spans="1:24" x14ac:dyDescent="0.2">
      <c r="A19" s="8">
        <f>'Monthly Data'!A19</f>
        <v>43252</v>
      </c>
      <c r="B19">
        <f t="shared" si="1"/>
        <v>2018</v>
      </c>
      <c r="C19">
        <f t="shared" si="2"/>
        <v>6</v>
      </c>
      <c r="D19" s="19">
        <f>'Monthly Data'!X19</f>
        <v>10702581.460930346</v>
      </c>
      <c r="E19" s="21">
        <f t="shared" ca="1" si="4"/>
        <v>3.0447916666666672</v>
      </c>
      <c r="F19" s="21">
        <f t="shared" ca="1" si="5"/>
        <v>214.81645833333337</v>
      </c>
      <c r="G19" s="21">
        <f>'Monthly Data'!Z19</f>
        <v>1</v>
      </c>
      <c r="H19" s="21">
        <f>'Monthly Data'!CF19</f>
        <v>0</v>
      </c>
      <c r="I19" s="21">
        <f>'Monthly Data'!CV19</f>
        <v>0</v>
      </c>
      <c r="J19" s="21">
        <f>'Monthly Data'!CS19</f>
        <v>30</v>
      </c>
      <c r="K19" s="21">
        <f>'Monthly Data'!CM19</f>
        <v>18</v>
      </c>
      <c r="L19" s="21">
        <f>'Monthly Data'!CK19</f>
        <v>1</v>
      </c>
      <c r="N19" s="11">
        <f>'Large Use Predicted Monthly'!$AB$10</f>
        <v>-5783820.4539120998</v>
      </c>
      <c r="O19" s="11">
        <f ca="1">E19*'Large Use Predicted Monthly'!$AB$11</f>
        <v>1877.9184645728276</v>
      </c>
      <c r="P19" s="11">
        <f ca="1">F19*'Large Use Predicted Monthly'!$AB$12</f>
        <v>2937614.5388058103</v>
      </c>
      <c r="Q19" s="11">
        <f>G19*'Large Use Predicted Monthly'!$AB$13</f>
        <v>3499999.8575587198</v>
      </c>
      <c r="R19" s="11">
        <f>H19*'Large Use Predicted Monthly'!$AB$14</f>
        <v>0</v>
      </c>
      <c r="S19" s="11">
        <f>I19*'Large Use Predicted Monthly'!$AB$15</f>
        <v>0</v>
      </c>
      <c r="T19" s="11">
        <f>J19*'Large Use Predicted Monthly'!$AB$16</f>
        <v>10144349.865900181</v>
      </c>
      <c r="U19" s="11">
        <f>K19*'Large Use Predicted Monthly'!$AB$17</f>
        <v>309966.99141051719</v>
      </c>
      <c r="V19" s="11">
        <f>L19*'Large Use Predicted Monthly'!$AB$18</f>
        <v>-352058.92944720201</v>
      </c>
      <c r="W19" s="11">
        <f t="shared" ca="1" si="3"/>
        <v>10757929.788780501</v>
      </c>
      <c r="X19" s="60"/>
    </row>
    <row r="20" spans="1:24" x14ac:dyDescent="0.2">
      <c r="A20" s="8">
        <f>'Monthly Data'!A20</f>
        <v>43282</v>
      </c>
      <c r="B20">
        <f t="shared" si="1"/>
        <v>2018</v>
      </c>
      <c r="C20">
        <f t="shared" si="2"/>
        <v>7</v>
      </c>
      <c r="D20" s="19">
        <f>'Monthly Data'!X20</f>
        <v>12327687.744529184</v>
      </c>
      <c r="E20" s="21">
        <f t="shared" ca="1" si="4"/>
        <v>0</v>
      </c>
      <c r="F20" s="21">
        <f t="shared" ca="1" si="5"/>
        <v>293.27145833333327</v>
      </c>
      <c r="G20" s="21">
        <f>'Monthly Data'!Z20</f>
        <v>1</v>
      </c>
      <c r="H20" s="21">
        <f>'Monthly Data'!CF20</f>
        <v>0</v>
      </c>
      <c r="I20" s="21">
        <f>'Monthly Data'!CV20</f>
        <v>0</v>
      </c>
      <c r="J20" s="21">
        <f>'Monthly Data'!CS20</f>
        <v>31</v>
      </c>
      <c r="K20" s="21">
        <f>'Monthly Data'!CM20</f>
        <v>19</v>
      </c>
      <c r="L20" s="21">
        <f>'Monthly Data'!CK20</f>
        <v>1</v>
      </c>
      <c r="N20" s="11">
        <f>'Large Use Predicted Monthly'!$AB$10</f>
        <v>-5783820.4539120998</v>
      </c>
      <c r="O20" s="11">
        <f ca="1">E20*'Large Use Predicted Monthly'!$AB$11</f>
        <v>0</v>
      </c>
      <c r="P20" s="11">
        <f ca="1">F20*'Large Use Predicted Monthly'!$AB$12</f>
        <v>4010486.4706406863</v>
      </c>
      <c r="Q20" s="11">
        <f>G20*'Large Use Predicted Monthly'!$AB$13</f>
        <v>3499999.8575587198</v>
      </c>
      <c r="R20" s="11">
        <f>H20*'Large Use Predicted Monthly'!$AB$14</f>
        <v>0</v>
      </c>
      <c r="S20" s="11">
        <f>I20*'Large Use Predicted Monthly'!$AB$15</f>
        <v>0</v>
      </c>
      <c r="T20" s="11">
        <f>J20*'Large Use Predicted Monthly'!$AB$16</f>
        <v>10482494.861430187</v>
      </c>
      <c r="U20" s="11">
        <f>K20*'Large Use Predicted Monthly'!$AB$17</f>
        <v>327187.37982221262</v>
      </c>
      <c r="V20" s="11">
        <f>L20*'Large Use Predicted Monthly'!$AB$18</f>
        <v>-352058.92944720201</v>
      </c>
      <c r="W20" s="11">
        <f t="shared" ca="1" si="3"/>
        <v>12184289.186092505</v>
      </c>
    </row>
    <row r="21" spans="1:24" x14ac:dyDescent="0.2">
      <c r="A21" s="8">
        <f>'Monthly Data'!A21</f>
        <v>43313</v>
      </c>
      <c r="B21">
        <f t="shared" si="1"/>
        <v>2018</v>
      </c>
      <c r="C21">
        <f t="shared" si="2"/>
        <v>8</v>
      </c>
      <c r="D21" s="19">
        <f>'Monthly Data'!X21</f>
        <v>12834453.028128022</v>
      </c>
      <c r="E21" s="21">
        <f t="shared" ca="1" si="4"/>
        <v>0.27875000000000066</v>
      </c>
      <c r="F21" s="21">
        <f t="shared" ca="1" si="5"/>
        <v>257.85749999999996</v>
      </c>
      <c r="G21" s="21">
        <f>'Monthly Data'!Z21</f>
        <v>1</v>
      </c>
      <c r="H21" s="21">
        <f>'Monthly Data'!CF21</f>
        <v>0</v>
      </c>
      <c r="I21" s="21">
        <f>'Monthly Data'!CV21</f>
        <v>0</v>
      </c>
      <c r="J21" s="21">
        <f>'Monthly Data'!CS21</f>
        <v>31</v>
      </c>
      <c r="K21" s="21">
        <f>'Monthly Data'!CM21</f>
        <v>20</v>
      </c>
      <c r="L21" s="21">
        <f>'Monthly Data'!CK21</f>
        <v>1</v>
      </c>
      <c r="N21" s="11">
        <f>'Large Use Predicted Monthly'!$AB$10</f>
        <v>-5783820.4539120998</v>
      </c>
      <c r="O21" s="11">
        <f ca="1">E21*'Large Use Predicted Monthly'!$AB$11</f>
        <v>171.92301783088942</v>
      </c>
      <c r="P21" s="11">
        <f ca="1">F21*'Large Use Predicted Monthly'!$AB$12</f>
        <v>3526200.677625542</v>
      </c>
      <c r="Q21" s="11">
        <f>G21*'Large Use Predicted Monthly'!$AB$13</f>
        <v>3499999.8575587198</v>
      </c>
      <c r="R21" s="11">
        <f>H21*'Large Use Predicted Monthly'!$AB$14</f>
        <v>0</v>
      </c>
      <c r="S21" s="11">
        <f>I21*'Large Use Predicted Monthly'!$AB$15</f>
        <v>0</v>
      </c>
      <c r="T21" s="11">
        <f>J21*'Large Use Predicted Monthly'!$AB$16</f>
        <v>10482494.861430187</v>
      </c>
      <c r="U21" s="11">
        <f>K21*'Large Use Predicted Monthly'!$AB$17</f>
        <v>344407.76823390799</v>
      </c>
      <c r="V21" s="11">
        <f>L21*'Large Use Predicted Monthly'!$AB$18</f>
        <v>-352058.92944720201</v>
      </c>
      <c r="W21" s="11">
        <f t="shared" ca="1" si="3"/>
        <v>11717395.704506885</v>
      </c>
    </row>
    <row r="22" spans="1:24" x14ac:dyDescent="0.2">
      <c r="A22" s="8">
        <f>'Monthly Data'!A22</f>
        <v>43344</v>
      </c>
      <c r="B22">
        <f t="shared" si="1"/>
        <v>2018</v>
      </c>
      <c r="C22">
        <f t="shared" si="2"/>
        <v>9</v>
      </c>
      <c r="D22" s="19">
        <f>'Monthly Data'!X22</f>
        <v>11555740.311726863</v>
      </c>
      <c r="E22" s="21">
        <f t="shared" ca="1" si="4"/>
        <v>11.319999999999997</v>
      </c>
      <c r="F22" s="21">
        <f t="shared" ca="1" si="5"/>
        <v>155.75020833333332</v>
      </c>
      <c r="G22" s="21">
        <f>'Monthly Data'!Z22</f>
        <v>1</v>
      </c>
      <c r="H22" s="21">
        <f>'Monthly Data'!CF22</f>
        <v>1</v>
      </c>
      <c r="I22" s="21">
        <f>'Monthly Data'!CV22</f>
        <v>0</v>
      </c>
      <c r="J22" s="21">
        <f>'Monthly Data'!CS22</f>
        <v>30</v>
      </c>
      <c r="K22" s="21">
        <f>'Monthly Data'!CM22</f>
        <v>21</v>
      </c>
      <c r="L22" s="21">
        <f>'Monthly Data'!CK22</f>
        <v>0</v>
      </c>
      <c r="N22" s="11">
        <f>'Large Use Predicted Monthly'!$AB$10</f>
        <v>-5783820.4539120998</v>
      </c>
      <c r="O22" s="11">
        <f ca="1">E22*'Large Use Predicted Monthly'!$AB$11</f>
        <v>6981.7706254552941</v>
      </c>
      <c r="P22" s="11">
        <f ca="1">F22*'Large Use Predicted Monthly'!$AB$12</f>
        <v>2129883.7154836268</v>
      </c>
      <c r="Q22" s="11">
        <f>G22*'Large Use Predicted Monthly'!$AB$13</f>
        <v>3499999.8575587198</v>
      </c>
      <c r="R22" s="11">
        <f>H22*'Large Use Predicted Monthly'!$AB$14</f>
        <v>387000.72715245897</v>
      </c>
      <c r="S22" s="11">
        <f>I22*'Large Use Predicted Monthly'!$AB$15</f>
        <v>0</v>
      </c>
      <c r="T22" s="11">
        <f>J22*'Large Use Predicted Monthly'!$AB$16</f>
        <v>10144349.865900181</v>
      </c>
      <c r="U22" s="11">
        <f>K22*'Large Use Predicted Monthly'!$AB$17</f>
        <v>361628.15664560336</v>
      </c>
      <c r="V22" s="11">
        <f>L22*'Large Use Predicted Monthly'!$AB$18</f>
        <v>0</v>
      </c>
      <c r="W22" s="11">
        <f t="shared" ca="1" si="3"/>
        <v>10746023.639453946</v>
      </c>
    </row>
    <row r="23" spans="1:24" x14ac:dyDescent="0.2">
      <c r="A23" s="8">
        <f>'Monthly Data'!A23</f>
        <v>43374</v>
      </c>
      <c r="B23">
        <f t="shared" si="1"/>
        <v>2018</v>
      </c>
      <c r="C23">
        <f t="shared" si="2"/>
        <v>10</v>
      </c>
      <c r="D23" s="19">
        <f>'Monthly Data'!X23</f>
        <v>9663556.5953257009</v>
      </c>
      <c r="E23" s="21">
        <f t="shared" ca="1" si="4"/>
        <v>126.12583333333332</v>
      </c>
      <c r="F23" s="21">
        <f t="shared" ca="1" si="5"/>
        <v>45.238541666666677</v>
      </c>
      <c r="G23" s="21">
        <f>'Monthly Data'!Z23</f>
        <v>1</v>
      </c>
      <c r="H23" s="21">
        <f>'Monthly Data'!CF23</f>
        <v>1</v>
      </c>
      <c r="I23" s="21">
        <f>'Monthly Data'!CV23</f>
        <v>0</v>
      </c>
      <c r="J23" s="21">
        <f>'Monthly Data'!CS23</f>
        <v>31</v>
      </c>
      <c r="K23" s="21">
        <f>'Monthly Data'!CM23</f>
        <v>22</v>
      </c>
      <c r="L23" s="21">
        <f>'Monthly Data'!CK23</f>
        <v>0</v>
      </c>
      <c r="N23" s="11">
        <f>'Large Use Predicted Monthly'!$AB$10</f>
        <v>-5783820.4539120998</v>
      </c>
      <c r="O23" s="11">
        <f ca="1">E23*'Large Use Predicted Monthly'!$AB$11</f>
        <v>77789.897374358392</v>
      </c>
      <c r="P23" s="11">
        <f ca="1">F23*'Large Use Predicted Monthly'!$AB$12</f>
        <v>618636.94590923819</v>
      </c>
      <c r="Q23" s="11">
        <f>G23*'Large Use Predicted Monthly'!$AB$13</f>
        <v>3499999.8575587198</v>
      </c>
      <c r="R23" s="11">
        <f>H23*'Large Use Predicted Monthly'!$AB$14</f>
        <v>387000.72715245897</v>
      </c>
      <c r="S23" s="11">
        <f>I23*'Large Use Predicted Monthly'!$AB$15</f>
        <v>0</v>
      </c>
      <c r="T23" s="11">
        <f>J23*'Large Use Predicted Monthly'!$AB$16</f>
        <v>10482494.861430187</v>
      </c>
      <c r="U23" s="11">
        <f>K23*'Large Use Predicted Monthly'!$AB$17</f>
        <v>378848.54505729879</v>
      </c>
      <c r="V23" s="11">
        <f>L23*'Large Use Predicted Monthly'!$AB$18</f>
        <v>0</v>
      </c>
      <c r="W23" s="11">
        <f t="shared" ca="1" si="3"/>
        <v>9660950.3805701602</v>
      </c>
    </row>
    <row r="24" spans="1:24" x14ac:dyDescent="0.2">
      <c r="A24" s="8">
        <f>'Monthly Data'!A24</f>
        <v>43405</v>
      </c>
      <c r="B24">
        <f t="shared" si="1"/>
        <v>2018</v>
      </c>
      <c r="C24">
        <f t="shared" si="2"/>
        <v>11</v>
      </c>
      <c r="D24" s="19">
        <f>'Monthly Data'!X24</f>
        <v>8876990.8789245412</v>
      </c>
      <c r="E24" s="21">
        <f t="shared" ca="1" si="4"/>
        <v>312.40687500000001</v>
      </c>
      <c r="F24" s="21">
        <f t="shared" ca="1" si="5"/>
        <v>3.6587500000000004</v>
      </c>
      <c r="G24" s="21">
        <f>'Monthly Data'!Z24</f>
        <v>1</v>
      </c>
      <c r="H24" s="21">
        <f>'Monthly Data'!CF24</f>
        <v>1</v>
      </c>
      <c r="I24" s="21">
        <f>'Monthly Data'!CV24</f>
        <v>0</v>
      </c>
      <c r="J24" s="21">
        <f>'Monthly Data'!CS24</f>
        <v>30</v>
      </c>
      <c r="K24" s="21">
        <f>'Monthly Data'!CM24</f>
        <v>23</v>
      </c>
      <c r="L24" s="21">
        <f>'Monthly Data'!CK24</f>
        <v>0</v>
      </c>
      <c r="N24" s="11">
        <f>'Large Use Predicted Monthly'!$AB$10</f>
        <v>-5783820.4539120998</v>
      </c>
      <c r="O24" s="11">
        <f ca="1">E24*'Large Use Predicted Monthly'!$AB$11</f>
        <v>192681.37306230428</v>
      </c>
      <c r="P24" s="11">
        <f ca="1">F24*'Large Use Predicted Monthly'!$AB$12</f>
        <v>50033.39724174187</v>
      </c>
      <c r="Q24" s="11">
        <f>G24*'Large Use Predicted Monthly'!$AB$13</f>
        <v>3499999.8575587198</v>
      </c>
      <c r="R24" s="11">
        <f>H24*'Large Use Predicted Monthly'!$AB$14</f>
        <v>387000.72715245897</v>
      </c>
      <c r="S24" s="11">
        <f>I24*'Large Use Predicted Monthly'!$AB$15</f>
        <v>0</v>
      </c>
      <c r="T24" s="11">
        <f>J24*'Large Use Predicted Monthly'!$AB$16</f>
        <v>10144349.865900181</v>
      </c>
      <c r="U24" s="11">
        <f>K24*'Large Use Predicted Monthly'!$AB$17</f>
        <v>396068.93346899422</v>
      </c>
      <c r="V24" s="11">
        <f>L24*'Large Use Predicted Monthly'!$AB$18</f>
        <v>0</v>
      </c>
      <c r="W24" s="11">
        <f t="shared" ca="1" si="3"/>
        <v>8886313.700472299</v>
      </c>
    </row>
    <row r="25" spans="1:24" x14ac:dyDescent="0.2">
      <c r="A25" s="8">
        <f>'Monthly Data'!A25</f>
        <v>43435</v>
      </c>
      <c r="B25">
        <f t="shared" si="1"/>
        <v>2018</v>
      </c>
      <c r="C25">
        <f t="shared" si="2"/>
        <v>12</v>
      </c>
      <c r="D25" s="19">
        <f>'Monthly Data'!X25</f>
        <v>8567404.1625233795</v>
      </c>
      <c r="E25" s="21">
        <f t="shared" ca="1" si="4"/>
        <v>473.52499999999998</v>
      </c>
      <c r="F25" s="21">
        <f t="shared" ca="1" si="5"/>
        <v>0</v>
      </c>
      <c r="G25" s="21">
        <f>'Monthly Data'!Z25</f>
        <v>1</v>
      </c>
      <c r="H25" s="21">
        <f>'Monthly Data'!CF25</f>
        <v>0</v>
      </c>
      <c r="I25" s="21">
        <f>'Monthly Data'!CV25</f>
        <v>0</v>
      </c>
      <c r="J25" s="21">
        <f>'Monthly Data'!CS25</f>
        <v>31</v>
      </c>
      <c r="K25" s="21">
        <f>'Monthly Data'!CM25</f>
        <v>24</v>
      </c>
      <c r="L25" s="21">
        <f>'Monthly Data'!CK25</f>
        <v>0</v>
      </c>
      <c r="N25" s="11">
        <f>'Large Use Predicted Monthly'!$AB$10</f>
        <v>-5783820.4539120998</v>
      </c>
      <c r="O25" s="11">
        <f ca="1">E25*'Large Use Predicted Monthly'!$AB$11</f>
        <v>292053.26284617657</v>
      </c>
      <c r="P25" s="11">
        <f ca="1">F25*'Large Use Predicted Monthly'!$AB$12</f>
        <v>0</v>
      </c>
      <c r="Q25" s="11">
        <f>G25*'Large Use Predicted Monthly'!$AB$13</f>
        <v>3499999.8575587198</v>
      </c>
      <c r="R25" s="11">
        <f>H25*'Large Use Predicted Monthly'!$AB$14</f>
        <v>0</v>
      </c>
      <c r="S25" s="11">
        <f>I25*'Large Use Predicted Monthly'!$AB$15</f>
        <v>0</v>
      </c>
      <c r="T25" s="11">
        <f>J25*'Large Use Predicted Monthly'!$AB$16</f>
        <v>10482494.861430187</v>
      </c>
      <c r="U25" s="11">
        <f>K25*'Large Use Predicted Monthly'!$AB$17</f>
        <v>413289.32188068959</v>
      </c>
      <c r="V25" s="11">
        <f>L25*'Large Use Predicted Monthly'!$AB$18</f>
        <v>0</v>
      </c>
      <c r="W25" s="11">
        <f t="shared" ca="1" si="3"/>
        <v>8904016.8498036731</v>
      </c>
    </row>
    <row r="26" spans="1:24" x14ac:dyDescent="0.2">
      <c r="A26" s="8">
        <f>'Monthly Data'!A26</f>
        <v>43466</v>
      </c>
      <c r="B26">
        <f t="shared" si="1"/>
        <v>2019</v>
      </c>
      <c r="C26">
        <f t="shared" si="2"/>
        <v>1</v>
      </c>
      <c r="D26" s="19">
        <f>'Monthly Data'!X26</f>
        <v>8989278.2746889144</v>
      </c>
      <c r="E26" s="21">
        <f t="shared" ca="1" si="4"/>
        <v>566.30416666666667</v>
      </c>
      <c r="F26" s="21">
        <f t="shared" ca="1" si="5"/>
        <v>0</v>
      </c>
      <c r="G26" s="21">
        <f>'Monthly Data'!Z26</f>
        <v>1</v>
      </c>
      <c r="H26" s="21">
        <f>'Monthly Data'!CF26</f>
        <v>0</v>
      </c>
      <c r="I26" s="21">
        <f>'Monthly Data'!CV26</f>
        <v>0</v>
      </c>
      <c r="J26" s="21">
        <f>'Monthly Data'!CS26</f>
        <v>31</v>
      </c>
      <c r="K26" s="21">
        <f>'Monthly Data'!CM26</f>
        <v>25</v>
      </c>
      <c r="L26" s="21">
        <f>'Monthly Data'!CK26</f>
        <v>0</v>
      </c>
      <c r="N26" s="11">
        <f>'Large Use Predicted Monthly'!$AB$10</f>
        <v>-5783820.4539120998</v>
      </c>
      <c r="O26" s="11">
        <f ca="1">E26*'Large Use Predicted Monthly'!$AB$11</f>
        <v>349276.13038041285</v>
      </c>
      <c r="P26" s="11">
        <f ca="1">F26*'Large Use Predicted Monthly'!$AB$12</f>
        <v>0</v>
      </c>
      <c r="Q26" s="11">
        <f>G26*'Large Use Predicted Monthly'!$AB$13</f>
        <v>3499999.8575587198</v>
      </c>
      <c r="R26" s="11">
        <f>H26*'Large Use Predicted Monthly'!$AB$14</f>
        <v>0</v>
      </c>
      <c r="S26" s="11">
        <f>I26*'Large Use Predicted Monthly'!$AB$15</f>
        <v>0</v>
      </c>
      <c r="T26" s="11">
        <f>J26*'Large Use Predicted Monthly'!$AB$16</f>
        <v>10482494.861430187</v>
      </c>
      <c r="U26" s="11">
        <f>K26*'Large Use Predicted Monthly'!$AB$17</f>
        <v>430509.71029238496</v>
      </c>
      <c r="V26" s="11">
        <f>L26*'Large Use Predicted Monthly'!$AB$18</f>
        <v>0</v>
      </c>
      <c r="W26" s="11">
        <f t="shared" ca="1" si="3"/>
        <v>8978460.1057496034</v>
      </c>
    </row>
    <row r="27" spans="1:24" x14ac:dyDescent="0.2">
      <c r="A27" s="8">
        <f>'Monthly Data'!A27</f>
        <v>43497</v>
      </c>
      <c r="B27">
        <f t="shared" si="1"/>
        <v>2019</v>
      </c>
      <c r="C27">
        <f t="shared" si="2"/>
        <v>2</v>
      </c>
      <c r="D27" s="19">
        <f>'Monthly Data'!X27</f>
        <v>8097545.3515033722</v>
      </c>
      <c r="E27" s="21">
        <f t="shared" ca="1" si="4"/>
        <v>483.54541666666665</v>
      </c>
      <c r="F27" s="21">
        <f t="shared" ca="1" si="5"/>
        <v>0</v>
      </c>
      <c r="G27" s="21">
        <f>'Monthly Data'!Z27</f>
        <v>1</v>
      </c>
      <c r="H27" s="21">
        <f>'Monthly Data'!CF27</f>
        <v>0</v>
      </c>
      <c r="I27" s="21">
        <f>'Monthly Data'!CV27</f>
        <v>0</v>
      </c>
      <c r="J27" s="21">
        <f>'Monthly Data'!CS27</f>
        <v>28</v>
      </c>
      <c r="K27" s="21">
        <f>'Monthly Data'!CM27</f>
        <v>26</v>
      </c>
      <c r="L27" s="21">
        <f>'Monthly Data'!CK27</f>
        <v>0</v>
      </c>
      <c r="N27" s="11">
        <f>'Large Use Predicted Monthly'!$AB$10</f>
        <v>-5783820.4539120998</v>
      </c>
      <c r="O27" s="11">
        <f ca="1">E27*'Large Use Predicted Monthly'!$AB$11</f>
        <v>298233.49701032462</v>
      </c>
      <c r="P27" s="11">
        <f ca="1">F27*'Large Use Predicted Monthly'!$AB$12</f>
        <v>0</v>
      </c>
      <c r="Q27" s="11">
        <f>G27*'Large Use Predicted Monthly'!$AB$13</f>
        <v>3499999.8575587198</v>
      </c>
      <c r="R27" s="11">
        <f>H27*'Large Use Predicted Monthly'!$AB$14</f>
        <v>0</v>
      </c>
      <c r="S27" s="11">
        <f>I27*'Large Use Predicted Monthly'!$AB$15</f>
        <v>0</v>
      </c>
      <c r="T27" s="11">
        <f>J27*'Large Use Predicted Monthly'!$AB$16</f>
        <v>9468059.8748401683</v>
      </c>
      <c r="U27" s="11">
        <f>K27*'Large Use Predicted Monthly'!$AB$17</f>
        <v>447730.09870408039</v>
      </c>
      <c r="V27" s="11">
        <f>L27*'Large Use Predicted Monthly'!$AB$18</f>
        <v>0</v>
      </c>
      <c r="W27" s="11">
        <f t="shared" ca="1" si="3"/>
        <v>7930202.8742011925</v>
      </c>
    </row>
    <row r="28" spans="1:24" x14ac:dyDescent="0.2">
      <c r="A28" s="8">
        <f>'Monthly Data'!A28</f>
        <v>43525</v>
      </c>
      <c r="B28">
        <f t="shared" si="1"/>
        <v>2019</v>
      </c>
      <c r="C28">
        <f t="shared" si="2"/>
        <v>3</v>
      </c>
      <c r="D28" s="19">
        <f>'Monthly Data'!X28</f>
        <v>8985392.6473651007</v>
      </c>
      <c r="E28" s="21">
        <f t="shared" ca="1" si="4"/>
        <v>393.96333333333331</v>
      </c>
      <c r="F28" s="21">
        <f t="shared" ca="1" si="5"/>
        <v>0.93041666666666656</v>
      </c>
      <c r="G28" s="21">
        <f>'Monthly Data'!Z28</f>
        <v>1</v>
      </c>
      <c r="H28" s="21">
        <f>'Monthly Data'!CF28</f>
        <v>0</v>
      </c>
      <c r="I28" s="21">
        <f>'Monthly Data'!CV28</f>
        <v>0</v>
      </c>
      <c r="J28" s="21">
        <f>'Monthly Data'!CS28</f>
        <v>31</v>
      </c>
      <c r="K28" s="21">
        <f>'Monthly Data'!CM28</f>
        <v>27</v>
      </c>
      <c r="L28" s="21">
        <f>'Monthly Data'!CK28</f>
        <v>0</v>
      </c>
      <c r="N28" s="11">
        <f>'Large Use Predicted Monthly'!$AB$10</f>
        <v>-5783820.4539120998</v>
      </c>
      <c r="O28" s="11">
        <f ca="1">E28*'Large Use Predicted Monthly'!$AB$11</f>
        <v>242982.47598702469</v>
      </c>
      <c r="P28" s="11">
        <f ca="1">F28*'Large Use Predicted Monthly'!$AB$12</f>
        <v>12723.445625875136</v>
      </c>
      <c r="Q28" s="11">
        <f>G28*'Large Use Predicted Monthly'!$AB$13</f>
        <v>3499999.8575587198</v>
      </c>
      <c r="R28" s="11">
        <f>H28*'Large Use Predicted Monthly'!$AB$14</f>
        <v>0</v>
      </c>
      <c r="S28" s="11">
        <f>I28*'Large Use Predicted Monthly'!$AB$15</f>
        <v>0</v>
      </c>
      <c r="T28" s="11">
        <f>J28*'Large Use Predicted Monthly'!$AB$16</f>
        <v>10482494.861430187</v>
      </c>
      <c r="U28" s="11">
        <f>K28*'Large Use Predicted Monthly'!$AB$17</f>
        <v>464950.48711577582</v>
      </c>
      <c r="V28" s="11">
        <f>L28*'Large Use Predicted Monthly'!$AB$18</f>
        <v>0</v>
      </c>
      <c r="W28" s="11">
        <f t="shared" ca="1" si="3"/>
        <v>8919330.6738054827</v>
      </c>
    </row>
    <row r="29" spans="1:24" x14ac:dyDescent="0.2">
      <c r="A29" s="8">
        <f>'Monthly Data'!A29</f>
        <v>43556</v>
      </c>
      <c r="B29">
        <f t="shared" si="1"/>
        <v>2019</v>
      </c>
      <c r="C29">
        <f t="shared" si="2"/>
        <v>4</v>
      </c>
      <c r="D29" s="19">
        <f>'Monthly Data'!X29</f>
        <v>8504581.5898450892</v>
      </c>
      <c r="E29" s="21">
        <f t="shared" ca="1" si="4"/>
        <v>226.60145833333337</v>
      </c>
      <c r="F29" s="21">
        <f t="shared" ca="1" si="5"/>
        <v>13.944166666666669</v>
      </c>
      <c r="G29" s="21">
        <f>'Monthly Data'!Z29</f>
        <v>1</v>
      </c>
      <c r="H29" s="21">
        <f>'Monthly Data'!CF29</f>
        <v>0</v>
      </c>
      <c r="I29" s="21">
        <f>'Monthly Data'!CV29</f>
        <v>0</v>
      </c>
      <c r="J29" s="21">
        <f>'Monthly Data'!CS29</f>
        <v>30</v>
      </c>
      <c r="K29" s="21">
        <f>'Monthly Data'!CM29</f>
        <v>28</v>
      </c>
      <c r="L29" s="21">
        <f>'Monthly Data'!CK29</f>
        <v>0</v>
      </c>
      <c r="N29" s="11">
        <f>'Large Use Predicted Monthly'!$AB$10</f>
        <v>-5783820.4539120998</v>
      </c>
      <c r="O29" s="11">
        <f ca="1">E29*'Large Use Predicted Monthly'!$AB$11</f>
        <v>139759.66479478791</v>
      </c>
      <c r="P29" s="11">
        <f ca="1">F29*'Large Use Predicted Monthly'!$AB$12</f>
        <v>190686.44483454432</v>
      </c>
      <c r="Q29" s="11">
        <f>G29*'Large Use Predicted Monthly'!$AB$13</f>
        <v>3499999.8575587198</v>
      </c>
      <c r="R29" s="11">
        <f>H29*'Large Use Predicted Monthly'!$AB$14</f>
        <v>0</v>
      </c>
      <c r="S29" s="11">
        <f>I29*'Large Use Predicted Monthly'!$AB$15</f>
        <v>0</v>
      </c>
      <c r="T29" s="11">
        <f>J29*'Large Use Predicted Monthly'!$AB$16</f>
        <v>10144349.865900181</v>
      </c>
      <c r="U29" s="11">
        <f>K29*'Large Use Predicted Monthly'!$AB$17</f>
        <v>482170.87552747119</v>
      </c>
      <c r="V29" s="11">
        <f>L29*'Large Use Predicted Monthly'!$AB$18</f>
        <v>0</v>
      </c>
      <c r="W29" s="11">
        <f t="shared" ca="1" si="3"/>
        <v>8673146.2547036037</v>
      </c>
    </row>
    <row r="30" spans="1:24" x14ac:dyDescent="0.2">
      <c r="A30" s="8">
        <f>'Monthly Data'!A30</f>
        <v>43586</v>
      </c>
      <c r="B30">
        <f t="shared" si="1"/>
        <v>2019</v>
      </c>
      <c r="C30">
        <f t="shared" si="2"/>
        <v>5</v>
      </c>
      <c r="D30" s="19">
        <f>'Monthly Data'!X30</f>
        <v>9087651.3384452276</v>
      </c>
      <c r="E30" s="21">
        <f t="shared" ca="1" si="4"/>
        <v>65.335833333333326</v>
      </c>
      <c r="F30" s="21">
        <f t="shared" ca="1" si="5"/>
        <v>93.837916666666644</v>
      </c>
      <c r="G30" s="21">
        <f>'Monthly Data'!Z30</f>
        <v>1</v>
      </c>
      <c r="H30" s="21">
        <f>'Monthly Data'!CF30</f>
        <v>0</v>
      </c>
      <c r="I30" s="21">
        <f>'Monthly Data'!CV30</f>
        <v>0</v>
      </c>
      <c r="J30" s="21">
        <f>'Monthly Data'!CS30</f>
        <v>31</v>
      </c>
      <c r="K30" s="21">
        <f>'Monthly Data'!CM30</f>
        <v>29</v>
      </c>
      <c r="L30" s="21">
        <f>'Monthly Data'!CK30</f>
        <v>1</v>
      </c>
      <c r="N30" s="11">
        <f>'Large Use Predicted Monthly'!$AB$10</f>
        <v>-5783820.4539120998</v>
      </c>
      <c r="O30" s="11">
        <f ca="1">E30*'Large Use Predicted Monthly'!$AB$11</f>
        <v>40296.802292960208</v>
      </c>
      <c r="P30" s="11">
        <f ca="1">F30*'Large Use Predicted Monthly'!$AB$12</f>
        <v>1283233.2793770556</v>
      </c>
      <c r="Q30" s="11">
        <f>G30*'Large Use Predicted Monthly'!$AB$13</f>
        <v>3499999.8575587198</v>
      </c>
      <c r="R30" s="11">
        <f>H30*'Large Use Predicted Monthly'!$AB$14</f>
        <v>0</v>
      </c>
      <c r="S30" s="11">
        <f>I30*'Large Use Predicted Monthly'!$AB$15</f>
        <v>0</v>
      </c>
      <c r="T30" s="11">
        <f>J30*'Large Use Predicted Monthly'!$AB$16</f>
        <v>10482494.861430187</v>
      </c>
      <c r="U30" s="11">
        <f>K30*'Large Use Predicted Monthly'!$AB$17</f>
        <v>499391.26393916656</v>
      </c>
      <c r="V30" s="11">
        <f>L30*'Large Use Predicted Monthly'!$AB$18</f>
        <v>-352058.92944720201</v>
      </c>
      <c r="W30" s="11">
        <f t="shared" ca="1" si="3"/>
        <v>9669536.6812387854</v>
      </c>
    </row>
    <row r="31" spans="1:24" x14ac:dyDescent="0.2">
      <c r="A31" s="8">
        <f>'Monthly Data'!A31</f>
        <v>43617</v>
      </c>
      <c r="B31">
        <f t="shared" si="1"/>
        <v>2019</v>
      </c>
      <c r="C31">
        <f t="shared" si="2"/>
        <v>6</v>
      </c>
      <c r="D31" s="19">
        <f>'Monthly Data'!X31</f>
        <v>10150109.924780237</v>
      </c>
      <c r="E31" s="21">
        <f t="shared" ca="1" si="4"/>
        <v>3.0447916666666672</v>
      </c>
      <c r="F31" s="21">
        <f t="shared" ca="1" si="5"/>
        <v>214.81645833333337</v>
      </c>
      <c r="G31" s="21">
        <f>'Monthly Data'!Z31</f>
        <v>1</v>
      </c>
      <c r="H31" s="21">
        <f>'Monthly Data'!CF31</f>
        <v>0</v>
      </c>
      <c r="I31" s="21">
        <f>'Monthly Data'!CV31</f>
        <v>0</v>
      </c>
      <c r="J31" s="21">
        <f>'Monthly Data'!CS31</f>
        <v>30</v>
      </c>
      <c r="K31" s="21">
        <f>'Monthly Data'!CM31</f>
        <v>30</v>
      </c>
      <c r="L31" s="21">
        <f>'Monthly Data'!CK31</f>
        <v>1</v>
      </c>
      <c r="N31" s="11">
        <f>'Large Use Predicted Monthly'!$AB$10</f>
        <v>-5783820.4539120998</v>
      </c>
      <c r="O31" s="11">
        <f ca="1">E31*'Large Use Predicted Monthly'!$AB$11</f>
        <v>1877.9184645728276</v>
      </c>
      <c r="P31" s="11">
        <f ca="1">F31*'Large Use Predicted Monthly'!$AB$12</f>
        <v>2937614.5388058103</v>
      </c>
      <c r="Q31" s="11">
        <f>G31*'Large Use Predicted Monthly'!$AB$13</f>
        <v>3499999.8575587198</v>
      </c>
      <c r="R31" s="11">
        <f>H31*'Large Use Predicted Monthly'!$AB$14</f>
        <v>0</v>
      </c>
      <c r="S31" s="11">
        <f>I31*'Large Use Predicted Monthly'!$AB$15</f>
        <v>0</v>
      </c>
      <c r="T31" s="11">
        <f>J31*'Large Use Predicted Monthly'!$AB$16</f>
        <v>10144349.865900181</v>
      </c>
      <c r="U31" s="11">
        <f>K31*'Large Use Predicted Monthly'!$AB$17</f>
        <v>516611.65235086199</v>
      </c>
      <c r="V31" s="11">
        <f>L31*'Large Use Predicted Monthly'!$AB$18</f>
        <v>-352058.92944720201</v>
      </c>
      <c r="W31" s="11">
        <f t="shared" ca="1" si="3"/>
        <v>10964574.449720845</v>
      </c>
    </row>
    <row r="32" spans="1:24" x14ac:dyDescent="0.2">
      <c r="A32" s="8">
        <f>'Monthly Data'!A32</f>
        <v>43647</v>
      </c>
      <c r="B32">
        <f t="shared" si="1"/>
        <v>2019</v>
      </c>
      <c r="C32">
        <f t="shared" si="2"/>
        <v>7</v>
      </c>
      <c r="D32" s="19">
        <f>'Monthly Data'!X32</f>
        <v>12285416.778856665</v>
      </c>
      <c r="E32" s="21">
        <f t="shared" ca="1" si="4"/>
        <v>0</v>
      </c>
      <c r="F32" s="21">
        <f t="shared" ca="1" si="5"/>
        <v>293.27145833333327</v>
      </c>
      <c r="G32" s="21">
        <f>'Monthly Data'!Z32</f>
        <v>1</v>
      </c>
      <c r="H32" s="21">
        <f>'Monthly Data'!CF32</f>
        <v>0</v>
      </c>
      <c r="I32" s="21">
        <f>'Monthly Data'!CV32</f>
        <v>0</v>
      </c>
      <c r="J32" s="21">
        <f>'Monthly Data'!CS32</f>
        <v>31</v>
      </c>
      <c r="K32" s="21">
        <f>'Monthly Data'!CM32</f>
        <v>31</v>
      </c>
      <c r="L32" s="21">
        <f>'Monthly Data'!CK32</f>
        <v>1</v>
      </c>
      <c r="N32" s="11">
        <f>'Large Use Predicted Monthly'!$AB$10</f>
        <v>-5783820.4539120998</v>
      </c>
      <c r="O32" s="11">
        <f ca="1">E32*'Large Use Predicted Monthly'!$AB$11</f>
        <v>0</v>
      </c>
      <c r="P32" s="11">
        <f ca="1">F32*'Large Use Predicted Monthly'!$AB$12</f>
        <v>4010486.4706406863</v>
      </c>
      <c r="Q32" s="11">
        <f>G32*'Large Use Predicted Monthly'!$AB$13</f>
        <v>3499999.8575587198</v>
      </c>
      <c r="R32" s="11">
        <f>H32*'Large Use Predicted Monthly'!$AB$14</f>
        <v>0</v>
      </c>
      <c r="S32" s="11">
        <f>I32*'Large Use Predicted Monthly'!$AB$15</f>
        <v>0</v>
      </c>
      <c r="T32" s="11">
        <f>J32*'Large Use Predicted Monthly'!$AB$16</f>
        <v>10482494.861430187</v>
      </c>
      <c r="U32" s="11">
        <f>K32*'Large Use Predicted Monthly'!$AB$17</f>
        <v>533832.04076255742</v>
      </c>
      <c r="V32" s="11">
        <f>L32*'Large Use Predicted Monthly'!$AB$18</f>
        <v>-352058.92944720201</v>
      </c>
      <c r="W32" s="11">
        <f t="shared" ca="1" si="3"/>
        <v>12390933.847032849</v>
      </c>
    </row>
    <row r="33" spans="1:23" x14ac:dyDescent="0.2">
      <c r="A33" s="8">
        <f>'Monthly Data'!A33</f>
        <v>43678</v>
      </c>
      <c r="B33">
        <f t="shared" si="1"/>
        <v>2019</v>
      </c>
      <c r="C33">
        <f t="shared" si="2"/>
        <v>8</v>
      </c>
      <c r="D33" s="19">
        <f>'Monthly Data'!X33</f>
        <v>11478159.279289683</v>
      </c>
      <c r="E33" s="21">
        <f t="shared" ca="1" si="4"/>
        <v>0.27875000000000066</v>
      </c>
      <c r="F33" s="21">
        <f t="shared" ca="1" si="5"/>
        <v>257.85749999999996</v>
      </c>
      <c r="G33" s="21">
        <f>'Monthly Data'!Z33</f>
        <v>1</v>
      </c>
      <c r="H33" s="21">
        <f>'Monthly Data'!CF33</f>
        <v>0</v>
      </c>
      <c r="I33" s="21">
        <f>'Monthly Data'!CV33</f>
        <v>0</v>
      </c>
      <c r="J33" s="21">
        <f>'Monthly Data'!CS33</f>
        <v>31</v>
      </c>
      <c r="K33" s="21">
        <f>'Monthly Data'!CM33</f>
        <v>32</v>
      </c>
      <c r="L33" s="21">
        <f>'Monthly Data'!CK33</f>
        <v>1</v>
      </c>
      <c r="N33" s="11">
        <f>'Large Use Predicted Monthly'!$AB$10</f>
        <v>-5783820.4539120998</v>
      </c>
      <c r="O33" s="11">
        <f ca="1">E33*'Large Use Predicted Monthly'!$AB$11</f>
        <v>171.92301783088942</v>
      </c>
      <c r="P33" s="11">
        <f ca="1">F33*'Large Use Predicted Monthly'!$AB$12</f>
        <v>3526200.677625542</v>
      </c>
      <c r="Q33" s="11">
        <f>G33*'Large Use Predicted Monthly'!$AB$13</f>
        <v>3499999.8575587198</v>
      </c>
      <c r="R33" s="11">
        <f>H33*'Large Use Predicted Monthly'!$AB$14</f>
        <v>0</v>
      </c>
      <c r="S33" s="11">
        <f>I33*'Large Use Predicted Monthly'!$AB$15</f>
        <v>0</v>
      </c>
      <c r="T33" s="11">
        <f>J33*'Large Use Predicted Monthly'!$AB$16</f>
        <v>10482494.861430187</v>
      </c>
      <c r="U33" s="11">
        <f>K33*'Large Use Predicted Monthly'!$AB$17</f>
        <v>551052.42917425279</v>
      </c>
      <c r="V33" s="11">
        <f>L33*'Large Use Predicted Monthly'!$AB$18</f>
        <v>-352058.92944720201</v>
      </c>
      <c r="W33" s="11">
        <f t="shared" ca="1" si="3"/>
        <v>11924040.365447229</v>
      </c>
    </row>
    <row r="34" spans="1:23" x14ac:dyDescent="0.2">
      <c r="A34" s="8">
        <f>'Monthly Data'!A34</f>
        <v>43709</v>
      </c>
      <c r="B34">
        <f t="shared" si="1"/>
        <v>2019</v>
      </c>
      <c r="C34">
        <f t="shared" si="2"/>
        <v>9</v>
      </c>
      <c r="D34" s="19">
        <f>'Monthly Data'!X34</f>
        <v>10722555.998619301</v>
      </c>
      <c r="E34" s="21">
        <f t="shared" ca="1" si="4"/>
        <v>11.319999999999997</v>
      </c>
      <c r="F34" s="21">
        <f t="shared" ca="1" si="5"/>
        <v>155.75020833333332</v>
      </c>
      <c r="G34" s="21">
        <f>'Monthly Data'!Z34</f>
        <v>1</v>
      </c>
      <c r="H34" s="21">
        <f>'Monthly Data'!CF34</f>
        <v>1</v>
      </c>
      <c r="I34" s="21">
        <f>'Monthly Data'!CV34</f>
        <v>0</v>
      </c>
      <c r="J34" s="21">
        <f>'Monthly Data'!CS34</f>
        <v>30</v>
      </c>
      <c r="K34" s="21">
        <f>'Monthly Data'!CM34</f>
        <v>33</v>
      </c>
      <c r="L34" s="21">
        <f>'Monthly Data'!CK34</f>
        <v>0</v>
      </c>
      <c r="N34" s="11">
        <f>'Large Use Predicted Monthly'!$AB$10</f>
        <v>-5783820.4539120998</v>
      </c>
      <c r="O34" s="11">
        <f ca="1">E34*'Large Use Predicted Monthly'!$AB$11</f>
        <v>6981.7706254552941</v>
      </c>
      <c r="P34" s="11">
        <f ca="1">F34*'Large Use Predicted Monthly'!$AB$12</f>
        <v>2129883.7154836268</v>
      </c>
      <c r="Q34" s="11">
        <f>G34*'Large Use Predicted Monthly'!$AB$13</f>
        <v>3499999.8575587198</v>
      </c>
      <c r="R34" s="11">
        <f>H34*'Large Use Predicted Monthly'!$AB$14</f>
        <v>387000.72715245897</v>
      </c>
      <c r="S34" s="11">
        <f>I34*'Large Use Predicted Monthly'!$AB$15</f>
        <v>0</v>
      </c>
      <c r="T34" s="11">
        <f>J34*'Large Use Predicted Monthly'!$AB$16</f>
        <v>10144349.865900181</v>
      </c>
      <c r="U34" s="11">
        <f>K34*'Large Use Predicted Monthly'!$AB$17</f>
        <v>568272.81758594816</v>
      </c>
      <c r="V34" s="11">
        <f>L34*'Large Use Predicted Monthly'!$AB$18</f>
        <v>0</v>
      </c>
      <c r="W34" s="11">
        <f t="shared" ca="1" si="3"/>
        <v>10952668.300394291</v>
      </c>
    </row>
    <row r="35" spans="1:23" x14ac:dyDescent="0.2">
      <c r="A35" s="8">
        <f>'Monthly Data'!A35</f>
        <v>43739</v>
      </c>
      <c r="B35">
        <f t="shared" si="1"/>
        <v>2019</v>
      </c>
      <c r="C35">
        <f t="shared" si="2"/>
        <v>10</v>
      </c>
      <c r="D35" s="19">
        <f>'Monthly Data'!X35</f>
        <v>9195841.3160605505</v>
      </c>
      <c r="E35" s="21">
        <f t="shared" ca="1" si="4"/>
        <v>126.12583333333332</v>
      </c>
      <c r="F35" s="21">
        <f t="shared" ca="1" si="5"/>
        <v>45.238541666666677</v>
      </c>
      <c r="G35" s="21">
        <f>'Monthly Data'!Z35</f>
        <v>1</v>
      </c>
      <c r="H35" s="21">
        <f>'Monthly Data'!CF35</f>
        <v>1</v>
      </c>
      <c r="I35" s="21">
        <f>'Monthly Data'!CV35</f>
        <v>0</v>
      </c>
      <c r="J35" s="21">
        <f>'Monthly Data'!CS35</f>
        <v>31</v>
      </c>
      <c r="K35" s="21">
        <f>'Monthly Data'!CM35</f>
        <v>34</v>
      </c>
      <c r="L35" s="21">
        <f>'Monthly Data'!CK35</f>
        <v>0</v>
      </c>
      <c r="N35" s="11">
        <f>'Large Use Predicted Monthly'!$AB$10</f>
        <v>-5783820.4539120998</v>
      </c>
      <c r="O35" s="11">
        <f ca="1">E35*'Large Use Predicted Monthly'!$AB$11</f>
        <v>77789.897374358392</v>
      </c>
      <c r="P35" s="11">
        <f ca="1">F35*'Large Use Predicted Monthly'!$AB$12</f>
        <v>618636.94590923819</v>
      </c>
      <c r="Q35" s="11">
        <f>G35*'Large Use Predicted Monthly'!$AB$13</f>
        <v>3499999.8575587198</v>
      </c>
      <c r="R35" s="11">
        <f>H35*'Large Use Predicted Monthly'!$AB$14</f>
        <v>387000.72715245897</v>
      </c>
      <c r="S35" s="11">
        <f>I35*'Large Use Predicted Monthly'!$AB$15</f>
        <v>0</v>
      </c>
      <c r="T35" s="11">
        <f>J35*'Large Use Predicted Monthly'!$AB$16</f>
        <v>10482494.861430187</v>
      </c>
      <c r="U35" s="11">
        <f>K35*'Large Use Predicted Monthly'!$AB$17</f>
        <v>585493.20599764353</v>
      </c>
      <c r="V35" s="11">
        <f>L35*'Large Use Predicted Monthly'!$AB$18</f>
        <v>0</v>
      </c>
      <c r="W35" s="11">
        <f t="shared" ca="1" si="3"/>
        <v>9867595.0415105056</v>
      </c>
    </row>
    <row r="36" spans="1:23" x14ac:dyDescent="0.2">
      <c r="A36" s="8">
        <f>'Monthly Data'!A36</f>
        <v>43770</v>
      </c>
      <c r="B36">
        <f t="shared" si="1"/>
        <v>2019</v>
      </c>
      <c r="C36">
        <f t="shared" si="2"/>
        <v>11</v>
      </c>
      <c r="D36" s="19">
        <f>'Monthly Data'!X36</f>
        <v>8525347.6827713586</v>
      </c>
      <c r="E36" s="21">
        <f t="shared" ca="1" si="4"/>
        <v>312.40687500000001</v>
      </c>
      <c r="F36" s="21">
        <f t="shared" ca="1" si="5"/>
        <v>3.6587500000000004</v>
      </c>
      <c r="G36" s="21">
        <f>'Monthly Data'!Z36</f>
        <v>1</v>
      </c>
      <c r="H36" s="21">
        <f>'Monthly Data'!CF36</f>
        <v>1</v>
      </c>
      <c r="I36" s="21">
        <f>'Monthly Data'!CV36</f>
        <v>0</v>
      </c>
      <c r="J36" s="21">
        <f>'Monthly Data'!CS36</f>
        <v>30</v>
      </c>
      <c r="K36" s="21">
        <f>'Monthly Data'!CM36</f>
        <v>35</v>
      </c>
      <c r="L36" s="21">
        <f>'Monthly Data'!CK36</f>
        <v>0</v>
      </c>
      <c r="N36" s="11">
        <f>'Large Use Predicted Monthly'!$AB$10</f>
        <v>-5783820.4539120998</v>
      </c>
      <c r="O36" s="11">
        <f ca="1">E36*'Large Use Predicted Monthly'!$AB$11</f>
        <v>192681.37306230428</v>
      </c>
      <c r="P36" s="11">
        <f ca="1">F36*'Large Use Predicted Monthly'!$AB$12</f>
        <v>50033.39724174187</v>
      </c>
      <c r="Q36" s="11">
        <f>G36*'Large Use Predicted Monthly'!$AB$13</f>
        <v>3499999.8575587198</v>
      </c>
      <c r="R36" s="11">
        <f>H36*'Large Use Predicted Monthly'!$AB$14</f>
        <v>387000.72715245897</v>
      </c>
      <c r="S36" s="11">
        <f>I36*'Large Use Predicted Monthly'!$AB$15</f>
        <v>0</v>
      </c>
      <c r="T36" s="11">
        <f>J36*'Large Use Predicted Monthly'!$AB$16</f>
        <v>10144349.865900181</v>
      </c>
      <c r="U36" s="11">
        <f>K36*'Large Use Predicted Monthly'!$AB$17</f>
        <v>602713.59440933901</v>
      </c>
      <c r="V36" s="11">
        <f>L36*'Large Use Predicted Monthly'!$AB$18</f>
        <v>0</v>
      </c>
      <c r="W36" s="11">
        <f t="shared" ca="1" si="3"/>
        <v>9092958.3614126444</v>
      </c>
    </row>
    <row r="37" spans="1:23" x14ac:dyDescent="0.2">
      <c r="A37" s="8">
        <f>'Monthly Data'!A37</f>
        <v>43800</v>
      </c>
      <c r="B37">
        <f t="shared" si="1"/>
        <v>2019</v>
      </c>
      <c r="C37">
        <f t="shared" si="2"/>
        <v>12</v>
      </c>
      <c r="D37" s="19">
        <f>'Monthly Data'!X37</f>
        <v>8302879.6970118778</v>
      </c>
      <c r="E37" s="21">
        <f t="shared" ca="1" si="4"/>
        <v>473.52499999999998</v>
      </c>
      <c r="F37" s="21">
        <f t="shared" ca="1" si="5"/>
        <v>0</v>
      </c>
      <c r="G37" s="21">
        <f>'Monthly Data'!Z37</f>
        <v>1</v>
      </c>
      <c r="H37" s="21">
        <f>'Monthly Data'!CF37</f>
        <v>0</v>
      </c>
      <c r="I37" s="21">
        <f>'Monthly Data'!CV37</f>
        <v>0</v>
      </c>
      <c r="J37" s="21">
        <f>'Monthly Data'!CS37</f>
        <v>31</v>
      </c>
      <c r="K37" s="21">
        <f>'Monthly Data'!CM37</f>
        <v>36</v>
      </c>
      <c r="L37" s="21">
        <f>'Monthly Data'!CK37</f>
        <v>0</v>
      </c>
      <c r="N37" s="11">
        <f>'Large Use Predicted Monthly'!$AB$10</f>
        <v>-5783820.4539120998</v>
      </c>
      <c r="O37" s="11">
        <f ca="1">E37*'Large Use Predicted Monthly'!$AB$11</f>
        <v>292053.26284617657</v>
      </c>
      <c r="P37" s="11">
        <f ca="1">F37*'Large Use Predicted Monthly'!$AB$12</f>
        <v>0</v>
      </c>
      <c r="Q37" s="11">
        <f>G37*'Large Use Predicted Monthly'!$AB$13</f>
        <v>3499999.8575587198</v>
      </c>
      <c r="R37" s="11">
        <f>H37*'Large Use Predicted Monthly'!$AB$14</f>
        <v>0</v>
      </c>
      <c r="S37" s="11">
        <f>I37*'Large Use Predicted Monthly'!$AB$15</f>
        <v>0</v>
      </c>
      <c r="T37" s="11">
        <f>J37*'Large Use Predicted Monthly'!$AB$16</f>
        <v>10482494.861430187</v>
      </c>
      <c r="U37" s="11">
        <f>K37*'Large Use Predicted Monthly'!$AB$17</f>
        <v>619933.98282103438</v>
      </c>
      <c r="V37" s="11">
        <f>L37*'Large Use Predicted Monthly'!$AB$18</f>
        <v>0</v>
      </c>
      <c r="W37" s="11">
        <f t="shared" ca="1" si="3"/>
        <v>9110661.5107440185</v>
      </c>
    </row>
    <row r="38" spans="1:23" x14ac:dyDescent="0.2">
      <c r="A38" s="8">
        <f>'Monthly Data'!A38</f>
        <v>43831</v>
      </c>
      <c r="B38">
        <f t="shared" si="1"/>
        <v>2020</v>
      </c>
      <c r="C38">
        <f t="shared" si="2"/>
        <v>1</v>
      </c>
      <c r="D38" s="19">
        <f>'Monthly Data'!X38</f>
        <v>8600262.0200518575</v>
      </c>
      <c r="E38" s="21">
        <f t="shared" ca="1" si="4"/>
        <v>566.30416666666667</v>
      </c>
      <c r="F38" s="21">
        <f t="shared" ca="1" si="5"/>
        <v>0</v>
      </c>
      <c r="G38" s="21">
        <f>'Monthly Data'!Z38</f>
        <v>1</v>
      </c>
      <c r="H38" s="21">
        <f>'Monthly Data'!CF38</f>
        <v>0</v>
      </c>
      <c r="I38" s="21">
        <f>'Monthly Data'!CV38</f>
        <v>0</v>
      </c>
      <c r="J38" s="21">
        <f>'Monthly Data'!CS38</f>
        <v>31</v>
      </c>
      <c r="K38" s="21">
        <f>'Monthly Data'!CM38</f>
        <v>37</v>
      </c>
      <c r="L38" s="21">
        <f>'Monthly Data'!CK38</f>
        <v>0</v>
      </c>
      <c r="N38" s="11">
        <f>'Large Use Predicted Monthly'!$AB$10</f>
        <v>-5783820.4539120998</v>
      </c>
      <c r="O38" s="11">
        <f ca="1">E38*'Large Use Predicted Monthly'!$AB$11</f>
        <v>349276.13038041285</v>
      </c>
      <c r="P38" s="11">
        <f ca="1">F38*'Large Use Predicted Monthly'!$AB$12</f>
        <v>0</v>
      </c>
      <c r="Q38" s="11">
        <f>G38*'Large Use Predicted Monthly'!$AB$13</f>
        <v>3499999.8575587198</v>
      </c>
      <c r="R38" s="11">
        <f>H38*'Large Use Predicted Monthly'!$AB$14</f>
        <v>0</v>
      </c>
      <c r="S38" s="11">
        <f>I38*'Large Use Predicted Monthly'!$AB$15</f>
        <v>0</v>
      </c>
      <c r="T38" s="11">
        <f>J38*'Large Use Predicted Monthly'!$AB$16</f>
        <v>10482494.861430187</v>
      </c>
      <c r="U38" s="11">
        <f>K38*'Large Use Predicted Monthly'!$AB$17</f>
        <v>637154.37123272975</v>
      </c>
      <c r="V38" s="11">
        <f>L38*'Large Use Predicted Monthly'!$AB$18</f>
        <v>0</v>
      </c>
      <c r="W38" s="11">
        <f t="shared" ca="1" si="3"/>
        <v>9185104.7666899487</v>
      </c>
    </row>
    <row r="39" spans="1:23" x14ac:dyDescent="0.2">
      <c r="A39" s="8">
        <f>'Monthly Data'!A39</f>
        <v>43862</v>
      </c>
      <c r="B39">
        <f t="shared" si="1"/>
        <v>2020</v>
      </c>
      <c r="C39">
        <f t="shared" si="2"/>
        <v>2</v>
      </c>
      <c r="D39" s="19">
        <f>'Monthly Data'!X39</f>
        <v>8180470.246807198</v>
      </c>
      <c r="E39" s="21">
        <f t="shared" ca="1" si="4"/>
        <v>483.54541666666665</v>
      </c>
      <c r="F39" s="21">
        <f t="shared" ca="1" si="5"/>
        <v>0</v>
      </c>
      <c r="G39" s="21">
        <f>'Monthly Data'!Z39</f>
        <v>1</v>
      </c>
      <c r="H39" s="21">
        <f>'Monthly Data'!CF39</f>
        <v>0</v>
      </c>
      <c r="I39" s="21">
        <f>'Monthly Data'!CV39</f>
        <v>0</v>
      </c>
      <c r="J39" s="21">
        <f>'Monthly Data'!CS39</f>
        <v>29</v>
      </c>
      <c r="K39" s="21">
        <f>'Monthly Data'!CM39</f>
        <v>38</v>
      </c>
      <c r="L39" s="21">
        <f>'Monthly Data'!CK39</f>
        <v>0</v>
      </c>
      <c r="N39" s="11">
        <f>'Large Use Predicted Monthly'!$AB$10</f>
        <v>-5783820.4539120998</v>
      </c>
      <c r="O39" s="11">
        <f ca="1">E39*'Large Use Predicted Monthly'!$AB$11</f>
        <v>298233.49701032462</v>
      </c>
      <c r="P39" s="11">
        <f ca="1">F39*'Large Use Predicted Monthly'!$AB$12</f>
        <v>0</v>
      </c>
      <c r="Q39" s="11">
        <f>G39*'Large Use Predicted Monthly'!$AB$13</f>
        <v>3499999.8575587198</v>
      </c>
      <c r="R39" s="11">
        <f>H39*'Large Use Predicted Monthly'!$AB$14</f>
        <v>0</v>
      </c>
      <c r="S39" s="11">
        <f>I39*'Large Use Predicted Monthly'!$AB$15</f>
        <v>0</v>
      </c>
      <c r="T39" s="11">
        <f>J39*'Large Use Predicted Monthly'!$AB$16</f>
        <v>9806204.8703701738</v>
      </c>
      <c r="U39" s="11">
        <f>K39*'Large Use Predicted Monthly'!$AB$17</f>
        <v>654374.75964442524</v>
      </c>
      <c r="V39" s="11">
        <f>L39*'Large Use Predicted Monthly'!$AB$18</f>
        <v>0</v>
      </c>
      <c r="W39" s="11">
        <f t="shared" ca="1" si="3"/>
        <v>8474992.5306715425</v>
      </c>
    </row>
    <row r="40" spans="1:23" x14ac:dyDescent="0.2">
      <c r="A40" s="8">
        <f>'Monthly Data'!A40</f>
        <v>43891</v>
      </c>
      <c r="B40">
        <f t="shared" si="1"/>
        <v>2020</v>
      </c>
      <c r="C40">
        <f t="shared" si="2"/>
        <v>3</v>
      </c>
      <c r="D40" s="19">
        <f>'Monthly Data'!X40</f>
        <v>8146171.5943440981</v>
      </c>
      <c r="E40" s="21">
        <f t="shared" ca="1" si="4"/>
        <v>393.96333333333331</v>
      </c>
      <c r="F40" s="21">
        <f t="shared" ca="1" si="5"/>
        <v>0.93041666666666656</v>
      </c>
      <c r="G40" s="21">
        <f>'Monthly Data'!Z40</f>
        <v>1</v>
      </c>
      <c r="H40" s="21">
        <f>'Monthly Data'!CF40</f>
        <v>0</v>
      </c>
      <c r="I40" s="21">
        <f>'Monthly Data'!CV40</f>
        <v>0.5</v>
      </c>
      <c r="J40" s="21">
        <f>'Monthly Data'!CS40</f>
        <v>31</v>
      </c>
      <c r="K40" s="21">
        <f>'Monthly Data'!CM40</f>
        <v>39</v>
      </c>
      <c r="L40" s="21">
        <f>'Monthly Data'!CK40</f>
        <v>0</v>
      </c>
      <c r="N40" s="11">
        <f>'Large Use Predicted Monthly'!$AB$10</f>
        <v>-5783820.4539120998</v>
      </c>
      <c r="O40" s="11">
        <f ca="1">E40*'Large Use Predicted Monthly'!$AB$11</f>
        <v>242982.47598702469</v>
      </c>
      <c r="P40" s="11">
        <f ca="1">F40*'Large Use Predicted Monthly'!$AB$12</f>
        <v>12723.445625875136</v>
      </c>
      <c r="Q40" s="11">
        <f>G40*'Large Use Predicted Monthly'!$AB$13</f>
        <v>3499999.8575587198</v>
      </c>
      <c r="R40" s="11">
        <f>H40*'Large Use Predicted Monthly'!$AB$14</f>
        <v>0</v>
      </c>
      <c r="S40" s="11">
        <f>I40*'Large Use Predicted Monthly'!$AB$15</f>
        <v>-494560.31311656401</v>
      </c>
      <c r="T40" s="11">
        <f>J40*'Large Use Predicted Monthly'!$AB$16</f>
        <v>10482494.861430187</v>
      </c>
      <c r="U40" s="11">
        <f>K40*'Large Use Predicted Monthly'!$AB$17</f>
        <v>671595.14805612061</v>
      </c>
      <c r="V40" s="11">
        <f>L40*'Large Use Predicted Monthly'!$AB$18</f>
        <v>0</v>
      </c>
      <c r="W40" s="11">
        <f t="shared" ca="1" si="3"/>
        <v>8631415.0216292627</v>
      </c>
    </row>
    <row r="41" spans="1:23" x14ac:dyDescent="0.2">
      <c r="A41" s="8">
        <f>'Monthly Data'!A41</f>
        <v>43922</v>
      </c>
      <c r="B41">
        <f t="shared" si="1"/>
        <v>2020</v>
      </c>
      <c r="C41">
        <f t="shared" si="2"/>
        <v>4</v>
      </c>
      <c r="D41" s="19">
        <f>'Monthly Data'!X41</f>
        <v>7110674.2288400885</v>
      </c>
      <c r="E41" s="21">
        <f t="shared" ca="1" si="4"/>
        <v>226.60145833333337</v>
      </c>
      <c r="F41" s="21">
        <f t="shared" ca="1" si="5"/>
        <v>13.944166666666669</v>
      </c>
      <c r="G41" s="21">
        <f>'Monthly Data'!Z41</f>
        <v>1</v>
      </c>
      <c r="H41" s="21">
        <f>'Monthly Data'!CF41</f>
        <v>0</v>
      </c>
      <c r="I41" s="21">
        <f>'Monthly Data'!CV41</f>
        <v>1</v>
      </c>
      <c r="J41" s="21">
        <f>'Monthly Data'!CS41</f>
        <v>30</v>
      </c>
      <c r="K41" s="21">
        <f>'Monthly Data'!CM41</f>
        <v>40</v>
      </c>
      <c r="L41" s="21">
        <f>'Monthly Data'!CK41</f>
        <v>0</v>
      </c>
      <c r="N41" s="11">
        <f>'Large Use Predicted Monthly'!$AB$10</f>
        <v>-5783820.4539120998</v>
      </c>
      <c r="O41" s="11">
        <f ca="1">E41*'Large Use Predicted Monthly'!$AB$11</f>
        <v>139759.66479478791</v>
      </c>
      <c r="P41" s="11">
        <f ca="1">F41*'Large Use Predicted Monthly'!$AB$12</f>
        <v>190686.44483454432</v>
      </c>
      <c r="Q41" s="11">
        <f>G41*'Large Use Predicted Monthly'!$AB$13</f>
        <v>3499999.8575587198</v>
      </c>
      <c r="R41" s="11">
        <f>H41*'Large Use Predicted Monthly'!$AB$14</f>
        <v>0</v>
      </c>
      <c r="S41" s="11">
        <f>I41*'Large Use Predicted Monthly'!$AB$15</f>
        <v>-989120.62623312802</v>
      </c>
      <c r="T41" s="11">
        <f>J41*'Large Use Predicted Monthly'!$AB$16</f>
        <v>10144349.865900181</v>
      </c>
      <c r="U41" s="11">
        <f>K41*'Large Use Predicted Monthly'!$AB$17</f>
        <v>688815.53646781598</v>
      </c>
      <c r="V41" s="11">
        <f>L41*'Large Use Predicted Monthly'!$AB$18</f>
        <v>0</v>
      </c>
      <c r="W41" s="11">
        <f t="shared" ca="1" si="3"/>
        <v>7890670.2894108212</v>
      </c>
    </row>
    <row r="42" spans="1:23" x14ac:dyDescent="0.2">
      <c r="A42" s="8">
        <f>'Monthly Data'!A42</f>
        <v>43952</v>
      </c>
      <c r="B42">
        <f t="shared" si="1"/>
        <v>2020</v>
      </c>
      <c r="C42">
        <f t="shared" si="2"/>
        <v>5</v>
      </c>
      <c r="D42" s="19">
        <f>'Monthly Data'!X42</f>
        <v>8099810.9285269296</v>
      </c>
      <c r="E42" s="21">
        <f t="shared" ca="1" si="4"/>
        <v>65.335833333333326</v>
      </c>
      <c r="F42" s="21">
        <f t="shared" ca="1" si="5"/>
        <v>93.837916666666644</v>
      </c>
      <c r="G42" s="21">
        <f>'Monthly Data'!Z42</f>
        <v>1</v>
      </c>
      <c r="H42" s="21">
        <f>'Monthly Data'!CF42</f>
        <v>0</v>
      </c>
      <c r="I42" s="21">
        <f>'Monthly Data'!CV42</f>
        <v>1</v>
      </c>
      <c r="J42" s="21">
        <f>'Monthly Data'!CS42</f>
        <v>31</v>
      </c>
      <c r="K42" s="21">
        <f>'Monthly Data'!CM42</f>
        <v>41</v>
      </c>
      <c r="L42" s="21">
        <f>'Monthly Data'!CK42</f>
        <v>1</v>
      </c>
      <c r="N42" s="11">
        <f>'Large Use Predicted Monthly'!$AB$10</f>
        <v>-5783820.4539120998</v>
      </c>
      <c r="O42" s="11">
        <f ca="1">E42*'Large Use Predicted Monthly'!$AB$11</f>
        <v>40296.802292960208</v>
      </c>
      <c r="P42" s="11">
        <f ca="1">F42*'Large Use Predicted Monthly'!$AB$12</f>
        <v>1283233.2793770556</v>
      </c>
      <c r="Q42" s="11">
        <f>G42*'Large Use Predicted Monthly'!$AB$13</f>
        <v>3499999.8575587198</v>
      </c>
      <c r="R42" s="11">
        <f>H42*'Large Use Predicted Monthly'!$AB$14</f>
        <v>0</v>
      </c>
      <c r="S42" s="11">
        <f>I42*'Large Use Predicted Monthly'!$AB$15</f>
        <v>-989120.62623312802</v>
      </c>
      <c r="T42" s="11">
        <f>J42*'Large Use Predicted Monthly'!$AB$16</f>
        <v>10482494.861430187</v>
      </c>
      <c r="U42" s="11">
        <f>K42*'Large Use Predicted Monthly'!$AB$17</f>
        <v>706035.92487951135</v>
      </c>
      <c r="V42" s="11">
        <f>L42*'Large Use Predicted Monthly'!$AB$18</f>
        <v>-352058.92944720201</v>
      </c>
      <c r="W42" s="11">
        <f t="shared" ca="1" si="3"/>
        <v>8887060.7159460038</v>
      </c>
    </row>
    <row r="43" spans="1:23" x14ac:dyDescent="0.2">
      <c r="A43" s="8">
        <f>'Monthly Data'!A43</f>
        <v>43983</v>
      </c>
      <c r="B43">
        <f t="shared" si="1"/>
        <v>2020</v>
      </c>
      <c r="C43">
        <f t="shared" si="2"/>
        <v>6</v>
      </c>
      <c r="D43" s="19">
        <f>'Monthly Data'!X43</f>
        <v>9661634.6249788105</v>
      </c>
      <c r="E43" s="21">
        <f t="shared" ca="1" si="4"/>
        <v>3.0447916666666672</v>
      </c>
      <c r="F43" s="21">
        <f t="shared" ca="1" si="5"/>
        <v>214.81645833333337</v>
      </c>
      <c r="G43" s="21">
        <f>'Monthly Data'!Z43</f>
        <v>1</v>
      </c>
      <c r="H43" s="21">
        <f>'Monthly Data'!CF43</f>
        <v>0</v>
      </c>
      <c r="I43" s="21">
        <f>'Monthly Data'!CV43</f>
        <v>0.5</v>
      </c>
      <c r="J43" s="21">
        <f>'Monthly Data'!CS43</f>
        <v>30</v>
      </c>
      <c r="K43" s="21">
        <f>'Monthly Data'!CM43</f>
        <v>42</v>
      </c>
      <c r="L43" s="21">
        <f>'Monthly Data'!CK43</f>
        <v>1</v>
      </c>
      <c r="N43" s="11">
        <f>'Large Use Predicted Monthly'!$AB$10</f>
        <v>-5783820.4539120998</v>
      </c>
      <c r="O43" s="11">
        <f ca="1">E43*'Large Use Predicted Monthly'!$AB$11</f>
        <v>1877.9184645728276</v>
      </c>
      <c r="P43" s="11">
        <f ca="1">F43*'Large Use Predicted Monthly'!$AB$12</f>
        <v>2937614.5388058103</v>
      </c>
      <c r="Q43" s="11">
        <f>G43*'Large Use Predicted Monthly'!$AB$13</f>
        <v>3499999.8575587198</v>
      </c>
      <c r="R43" s="11">
        <f>H43*'Large Use Predicted Monthly'!$AB$14</f>
        <v>0</v>
      </c>
      <c r="S43" s="11">
        <f>I43*'Large Use Predicted Monthly'!$AB$15</f>
        <v>-494560.31311656401</v>
      </c>
      <c r="T43" s="11">
        <f>J43*'Large Use Predicted Monthly'!$AB$16</f>
        <v>10144349.865900181</v>
      </c>
      <c r="U43" s="11">
        <f>K43*'Large Use Predicted Monthly'!$AB$17</f>
        <v>723256.31329120672</v>
      </c>
      <c r="V43" s="11">
        <f>L43*'Large Use Predicted Monthly'!$AB$18</f>
        <v>-352058.92944720201</v>
      </c>
      <c r="W43" s="11">
        <f t="shared" ca="1" si="3"/>
        <v>10676658.797544625</v>
      </c>
    </row>
    <row r="44" spans="1:23" x14ac:dyDescent="0.2">
      <c r="A44" s="8">
        <f>'Monthly Data'!A44</f>
        <v>44013</v>
      </c>
      <c r="B44">
        <f t="shared" si="1"/>
        <v>2020</v>
      </c>
      <c r="C44">
        <f t="shared" si="2"/>
        <v>7</v>
      </c>
      <c r="D44" s="19">
        <f>'Monthly Data'!X44</f>
        <v>11633464.73742496</v>
      </c>
      <c r="E44" s="21">
        <f t="shared" ca="1" si="4"/>
        <v>0</v>
      </c>
      <c r="F44" s="21">
        <f t="shared" ca="1" si="5"/>
        <v>293.27145833333327</v>
      </c>
      <c r="G44" s="21">
        <f>'Monthly Data'!Z44</f>
        <v>1</v>
      </c>
      <c r="H44" s="21">
        <f>'Monthly Data'!CF44</f>
        <v>0</v>
      </c>
      <c r="I44" s="21">
        <f>'Monthly Data'!CV44</f>
        <v>0.5</v>
      </c>
      <c r="J44" s="21">
        <f>'Monthly Data'!CS44</f>
        <v>31</v>
      </c>
      <c r="K44" s="21">
        <f>'Monthly Data'!CM44</f>
        <v>43</v>
      </c>
      <c r="L44" s="21">
        <f>'Monthly Data'!CK44</f>
        <v>1</v>
      </c>
      <c r="N44" s="11">
        <f>'Large Use Predicted Monthly'!$AB$10</f>
        <v>-5783820.4539120998</v>
      </c>
      <c r="O44" s="11">
        <f ca="1">E44*'Large Use Predicted Monthly'!$AB$11</f>
        <v>0</v>
      </c>
      <c r="P44" s="11">
        <f ca="1">F44*'Large Use Predicted Monthly'!$AB$12</f>
        <v>4010486.4706406863</v>
      </c>
      <c r="Q44" s="11">
        <f>G44*'Large Use Predicted Monthly'!$AB$13</f>
        <v>3499999.8575587198</v>
      </c>
      <c r="R44" s="11">
        <f>H44*'Large Use Predicted Monthly'!$AB$14</f>
        <v>0</v>
      </c>
      <c r="S44" s="11">
        <f>I44*'Large Use Predicted Monthly'!$AB$15</f>
        <v>-494560.31311656401</v>
      </c>
      <c r="T44" s="11">
        <f>J44*'Large Use Predicted Monthly'!$AB$16</f>
        <v>10482494.861430187</v>
      </c>
      <c r="U44" s="11">
        <f>K44*'Large Use Predicted Monthly'!$AB$17</f>
        <v>740476.70170290221</v>
      </c>
      <c r="V44" s="11">
        <f>L44*'Large Use Predicted Monthly'!$AB$18</f>
        <v>-352058.92944720201</v>
      </c>
      <c r="W44" s="11">
        <f t="shared" ca="1" si="3"/>
        <v>12103018.194856629</v>
      </c>
    </row>
    <row r="45" spans="1:23" x14ac:dyDescent="0.2">
      <c r="A45" s="8">
        <f>'Monthly Data'!A45</f>
        <v>44044</v>
      </c>
      <c r="B45">
        <f t="shared" si="1"/>
        <v>2020</v>
      </c>
      <c r="C45">
        <f t="shared" si="2"/>
        <v>8</v>
      </c>
      <c r="D45" s="19">
        <f>'Monthly Data'!X45</f>
        <v>10881748.22689686</v>
      </c>
      <c r="E45" s="21">
        <f t="shared" ca="1" si="4"/>
        <v>0.27875000000000066</v>
      </c>
      <c r="F45" s="21">
        <f t="shared" ca="1" si="5"/>
        <v>257.85749999999996</v>
      </c>
      <c r="G45" s="21">
        <f>'Monthly Data'!Z45</f>
        <v>1</v>
      </c>
      <c r="H45" s="21">
        <f>'Monthly Data'!CF45</f>
        <v>0</v>
      </c>
      <c r="I45" s="21">
        <f>'Monthly Data'!CV45</f>
        <v>0.5</v>
      </c>
      <c r="J45" s="21">
        <f>'Monthly Data'!CS45</f>
        <v>31</v>
      </c>
      <c r="K45" s="21">
        <f>'Monthly Data'!CM45</f>
        <v>44</v>
      </c>
      <c r="L45" s="21">
        <f>'Monthly Data'!CK45</f>
        <v>1</v>
      </c>
      <c r="N45" s="11">
        <f>'Large Use Predicted Monthly'!$AB$10</f>
        <v>-5783820.4539120998</v>
      </c>
      <c r="O45" s="11">
        <f ca="1">E45*'Large Use Predicted Monthly'!$AB$11</f>
        <v>171.92301783088942</v>
      </c>
      <c r="P45" s="11">
        <f ca="1">F45*'Large Use Predicted Monthly'!$AB$12</f>
        <v>3526200.677625542</v>
      </c>
      <c r="Q45" s="11">
        <f>G45*'Large Use Predicted Monthly'!$AB$13</f>
        <v>3499999.8575587198</v>
      </c>
      <c r="R45" s="11">
        <f>H45*'Large Use Predicted Monthly'!$AB$14</f>
        <v>0</v>
      </c>
      <c r="S45" s="11">
        <f>I45*'Large Use Predicted Monthly'!$AB$15</f>
        <v>-494560.31311656401</v>
      </c>
      <c r="T45" s="11">
        <f>J45*'Large Use Predicted Monthly'!$AB$16</f>
        <v>10482494.861430187</v>
      </c>
      <c r="U45" s="11">
        <f>K45*'Large Use Predicted Monthly'!$AB$17</f>
        <v>757697.09011459758</v>
      </c>
      <c r="V45" s="11">
        <f>L45*'Large Use Predicted Monthly'!$AB$18</f>
        <v>-352058.92944720201</v>
      </c>
      <c r="W45" s="11">
        <f t="shared" ca="1" si="3"/>
        <v>11636124.713271011</v>
      </c>
    </row>
    <row r="46" spans="1:23" x14ac:dyDescent="0.2">
      <c r="A46" s="8">
        <f>'Monthly Data'!A46</f>
        <v>44075</v>
      </c>
      <c r="B46">
        <f t="shared" si="1"/>
        <v>2020</v>
      </c>
      <c r="C46">
        <f t="shared" si="2"/>
        <v>9</v>
      </c>
      <c r="D46" s="19">
        <f>'Monthly Data'!X46</f>
        <v>9412013.6198623907</v>
      </c>
      <c r="E46" s="21">
        <f t="shared" ca="1" si="4"/>
        <v>11.319999999999997</v>
      </c>
      <c r="F46" s="21">
        <f t="shared" ca="1" si="5"/>
        <v>155.75020833333332</v>
      </c>
      <c r="G46" s="21">
        <f>'Monthly Data'!Z46</f>
        <v>1</v>
      </c>
      <c r="H46" s="21">
        <f>'Monthly Data'!CF46</f>
        <v>1</v>
      </c>
      <c r="I46" s="21">
        <f>'Monthly Data'!CV46</f>
        <v>0.5</v>
      </c>
      <c r="J46" s="21">
        <f>'Monthly Data'!CS46</f>
        <v>30</v>
      </c>
      <c r="K46" s="21">
        <f>'Monthly Data'!CM46</f>
        <v>45</v>
      </c>
      <c r="L46" s="21">
        <f>'Monthly Data'!CK46</f>
        <v>0</v>
      </c>
      <c r="N46" s="11">
        <f>'Large Use Predicted Monthly'!$AB$10</f>
        <v>-5783820.4539120998</v>
      </c>
      <c r="O46" s="11">
        <f ca="1">E46*'Large Use Predicted Monthly'!$AB$11</f>
        <v>6981.7706254552941</v>
      </c>
      <c r="P46" s="11">
        <f ca="1">F46*'Large Use Predicted Monthly'!$AB$12</f>
        <v>2129883.7154836268</v>
      </c>
      <c r="Q46" s="11">
        <f>G46*'Large Use Predicted Monthly'!$AB$13</f>
        <v>3499999.8575587198</v>
      </c>
      <c r="R46" s="11">
        <f>H46*'Large Use Predicted Monthly'!$AB$14</f>
        <v>387000.72715245897</v>
      </c>
      <c r="S46" s="11">
        <f>I46*'Large Use Predicted Monthly'!$AB$15</f>
        <v>-494560.31311656401</v>
      </c>
      <c r="T46" s="11">
        <f>J46*'Large Use Predicted Monthly'!$AB$16</f>
        <v>10144349.865900181</v>
      </c>
      <c r="U46" s="11">
        <f>K46*'Large Use Predicted Monthly'!$AB$17</f>
        <v>774917.47852629295</v>
      </c>
      <c r="V46" s="11">
        <f>L46*'Large Use Predicted Monthly'!$AB$18</f>
        <v>0</v>
      </c>
      <c r="W46" s="11">
        <f t="shared" ca="1" si="3"/>
        <v>10664752.648218071</v>
      </c>
    </row>
    <row r="47" spans="1:23" x14ac:dyDescent="0.2">
      <c r="A47" s="8">
        <f>'Monthly Data'!A47</f>
        <v>44105</v>
      </c>
      <c r="B47">
        <f t="shared" si="1"/>
        <v>2020</v>
      </c>
      <c r="C47">
        <f t="shared" si="2"/>
        <v>10</v>
      </c>
      <c r="D47" s="19">
        <f>'Monthly Data'!X47</f>
        <v>8181488.4837523811</v>
      </c>
      <c r="E47" s="21">
        <f t="shared" ca="1" si="4"/>
        <v>126.12583333333332</v>
      </c>
      <c r="F47" s="21">
        <f t="shared" ca="1" si="5"/>
        <v>45.238541666666677</v>
      </c>
      <c r="G47" s="21">
        <f>'Monthly Data'!Z47</f>
        <v>1</v>
      </c>
      <c r="H47" s="21">
        <f>'Monthly Data'!CF47</f>
        <v>1</v>
      </c>
      <c r="I47" s="21">
        <f>'Monthly Data'!CV47</f>
        <v>0.5</v>
      </c>
      <c r="J47" s="21">
        <f>'Monthly Data'!CS47</f>
        <v>31</v>
      </c>
      <c r="K47" s="21">
        <f>'Monthly Data'!CM47</f>
        <v>46</v>
      </c>
      <c r="L47" s="21">
        <f>'Monthly Data'!CK47</f>
        <v>0</v>
      </c>
      <c r="N47" s="11">
        <f>'Large Use Predicted Monthly'!$AB$10</f>
        <v>-5783820.4539120998</v>
      </c>
      <c r="O47" s="11">
        <f ca="1">E47*'Large Use Predicted Monthly'!$AB$11</f>
        <v>77789.897374358392</v>
      </c>
      <c r="P47" s="11">
        <f ca="1">F47*'Large Use Predicted Monthly'!$AB$12</f>
        <v>618636.94590923819</v>
      </c>
      <c r="Q47" s="11">
        <f>G47*'Large Use Predicted Monthly'!$AB$13</f>
        <v>3499999.8575587198</v>
      </c>
      <c r="R47" s="11">
        <f>H47*'Large Use Predicted Monthly'!$AB$14</f>
        <v>387000.72715245897</v>
      </c>
      <c r="S47" s="11">
        <f>I47*'Large Use Predicted Monthly'!$AB$15</f>
        <v>-494560.31311656401</v>
      </c>
      <c r="T47" s="11">
        <f>J47*'Large Use Predicted Monthly'!$AB$16</f>
        <v>10482494.861430187</v>
      </c>
      <c r="U47" s="11">
        <f>K47*'Large Use Predicted Monthly'!$AB$17</f>
        <v>792137.86693798844</v>
      </c>
      <c r="V47" s="11">
        <f>L47*'Large Use Predicted Monthly'!$AB$18</f>
        <v>0</v>
      </c>
      <c r="W47" s="11">
        <f t="shared" ca="1" si="3"/>
        <v>9579679.3893342875</v>
      </c>
    </row>
    <row r="48" spans="1:23" x14ac:dyDescent="0.2">
      <c r="A48" s="8">
        <f>'Monthly Data'!A48</f>
        <v>44136</v>
      </c>
      <c r="B48">
        <f t="shared" si="1"/>
        <v>2020</v>
      </c>
      <c r="C48">
        <f t="shared" si="2"/>
        <v>11</v>
      </c>
      <c r="D48" s="19">
        <f>'Monthly Data'!X48</f>
        <v>7873386.2840596009</v>
      </c>
      <c r="E48" s="21">
        <f t="shared" ca="1" si="4"/>
        <v>312.40687500000001</v>
      </c>
      <c r="F48" s="21">
        <f t="shared" ca="1" si="5"/>
        <v>3.6587500000000004</v>
      </c>
      <c r="G48" s="21">
        <f>'Monthly Data'!Z48</f>
        <v>1</v>
      </c>
      <c r="H48" s="21">
        <f>'Monthly Data'!CF48</f>
        <v>1</v>
      </c>
      <c r="I48" s="21">
        <f>'Monthly Data'!CV48</f>
        <v>0.5</v>
      </c>
      <c r="J48" s="21">
        <f>'Monthly Data'!CS48</f>
        <v>30</v>
      </c>
      <c r="K48" s="21">
        <f>'Monthly Data'!CM48</f>
        <v>47</v>
      </c>
      <c r="L48" s="21">
        <f>'Monthly Data'!CK48</f>
        <v>0</v>
      </c>
      <c r="N48" s="11">
        <f>'Large Use Predicted Monthly'!$AB$10</f>
        <v>-5783820.4539120998</v>
      </c>
      <c r="O48" s="11">
        <f ca="1">E48*'Large Use Predicted Monthly'!$AB$11</f>
        <v>192681.37306230428</v>
      </c>
      <c r="P48" s="11">
        <f ca="1">F48*'Large Use Predicted Monthly'!$AB$12</f>
        <v>50033.39724174187</v>
      </c>
      <c r="Q48" s="11">
        <f>G48*'Large Use Predicted Monthly'!$AB$13</f>
        <v>3499999.8575587198</v>
      </c>
      <c r="R48" s="11">
        <f>H48*'Large Use Predicted Monthly'!$AB$14</f>
        <v>387000.72715245897</v>
      </c>
      <c r="S48" s="11">
        <f>I48*'Large Use Predicted Monthly'!$AB$15</f>
        <v>-494560.31311656401</v>
      </c>
      <c r="T48" s="11">
        <f>J48*'Large Use Predicted Monthly'!$AB$16</f>
        <v>10144349.865900181</v>
      </c>
      <c r="U48" s="11">
        <f>K48*'Large Use Predicted Monthly'!$AB$17</f>
        <v>809358.25534968381</v>
      </c>
      <c r="V48" s="11">
        <f>L48*'Large Use Predicted Monthly'!$AB$18</f>
        <v>0</v>
      </c>
      <c r="W48" s="11">
        <f t="shared" ca="1" si="3"/>
        <v>8805042.7092364263</v>
      </c>
    </row>
    <row r="49" spans="1:23" x14ac:dyDescent="0.2">
      <c r="A49" s="8">
        <f>'Monthly Data'!A49</f>
        <v>44166</v>
      </c>
      <c r="B49">
        <f t="shared" si="1"/>
        <v>2020</v>
      </c>
      <c r="C49">
        <f t="shared" si="2"/>
        <v>12</v>
      </c>
      <c r="D49" s="19">
        <f>'Monthly Data'!X49</f>
        <v>8025859.8760891212</v>
      </c>
      <c r="E49" s="21">
        <f t="shared" ca="1" si="4"/>
        <v>473.52499999999998</v>
      </c>
      <c r="F49" s="21">
        <f t="shared" ca="1" si="5"/>
        <v>0</v>
      </c>
      <c r="G49" s="21">
        <f>'Monthly Data'!Z49</f>
        <v>1</v>
      </c>
      <c r="H49" s="21">
        <f>'Monthly Data'!CF49</f>
        <v>0</v>
      </c>
      <c r="I49" s="21">
        <f>'Monthly Data'!CV49</f>
        <v>0.5</v>
      </c>
      <c r="J49" s="21">
        <f>'Monthly Data'!CS49</f>
        <v>31</v>
      </c>
      <c r="K49" s="21">
        <f>'Monthly Data'!CM49</f>
        <v>48</v>
      </c>
      <c r="L49" s="21">
        <f>'Monthly Data'!CK49</f>
        <v>0</v>
      </c>
      <c r="N49" s="11">
        <f>'Large Use Predicted Monthly'!$AB$10</f>
        <v>-5783820.4539120998</v>
      </c>
      <c r="O49" s="11">
        <f ca="1">E49*'Large Use Predicted Monthly'!$AB$11</f>
        <v>292053.26284617657</v>
      </c>
      <c r="P49" s="11">
        <f ca="1">F49*'Large Use Predicted Monthly'!$AB$12</f>
        <v>0</v>
      </c>
      <c r="Q49" s="11">
        <f>G49*'Large Use Predicted Monthly'!$AB$13</f>
        <v>3499999.8575587198</v>
      </c>
      <c r="R49" s="11">
        <f>H49*'Large Use Predicted Monthly'!$AB$14</f>
        <v>0</v>
      </c>
      <c r="S49" s="11">
        <f>I49*'Large Use Predicted Monthly'!$AB$15</f>
        <v>-494560.31311656401</v>
      </c>
      <c r="T49" s="11">
        <f>J49*'Large Use Predicted Monthly'!$AB$16</f>
        <v>10482494.861430187</v>
      </c>
      <c r="U49" s="11">
        <f>K49*'Large Use Predicted Monthly'!$AB$17</f>
        <v>826578.64376137918</v>
      </c>
      <c r="V49" s="11">
        <f>L49*'Large Use Predicted Monthly'!$AB$18</f>
        <v>0</v>
      </c>
      <c r="W49" s="11">
        <f t="shared" ca="1" si="3"/>
        <v>8822745.8585677985</v>
      </c>
    </row>
    <row r="50" spans="1:23" x14ac:dyDescent="0.2">
      <c r="A50" s="8">
        <f>'Monthly Data'!A50</f>
        <v>44197</v>
      </c>
      <c r="B50">
        <f t="shared" si="1"/>
        <v>2021</v>
      </c>
      <c r="C50">
        <f t="shared" si="2"/>
        <v>1</v>
      </c>
      <c r="D50" s="19">
        <f>'Monthly Data'!X50</f>
        <v>8267121.5026186379</v>
      </c>
      <c r="E50" s="21">
        <f t="shared" ca="1" si="4"/>
        <v>566.30416666666667</v>
      </c>
      <c r="F50" s="21">
        <f t="shared" ca="1" si="5"/>
        <v>0</v>
      </c>
      <c r="G50" s="21">
        <f>'Monthly Data'!Z50</f>
        <v>1</v>
      </c>
      <c r="H50" s="21">
        <f>'Monthly Data'!CF50</f>
        <v>0</v>
      </c>
      <c r="I50" s="21">
        <f>'Monthly Data'!CV50</f>
        <v>0.5</v>
      </c>
      <c r="J50" s="21">
        <f>'Monthly Data'!CS50</f>
        <v>31</v>
      </c>
      <c r="K50" s="21">
        <f>'Monthly Data'!CM50</f>
        <v>49</v>
      </c>
      <c r="L50" s="21">
        <f>'Monthly Data'!CK50</f>
        <v>0</v>
      </c>
      <c r="N50" s="11">
        <f>'Large Use Predicted Monthly'!$AB$10</f>
        <v>-5783820.4539120998</v>
      </c>
      <c r="O50" s="11">
        <f ca="1">E50*'Large Use Predicted Monthly'!$AB$11</f>
        <v>349276.13038041285</v>
      </c>
      <c r="P50" s="11">
        <f ca="1">F50*'Large Use Predicted Monthly'!$AB$12</f>
        <v>0</v>
      </c>
      <c r="Q50" s="11">
        <f>G50*'Large Use Predicted Monthly'!$AB$13</f>
        <v>3499999.8575587198</v>
      </c>
      <c r="R50" s="11">
        <f>H50*'Large Use Predicted Monthly'!$AB$14</f>
        <v>0</v>
      </c>
      <c r="S50" s="11">
        <f>I50*'Large Use Predicted Monthly'!$AB$15</f>
        <v>-494560.31311656401</v>
      </c>
      <c r="T50" s="11">
        <f>J50*'Large Use Predicted Monthly'!$AB$16</f>
        <v>10482494.861430187</v>
      </c>
      <c r="U50" s="11">
        <f>K50*'Large Use Predicted Monthly'!$AB$17</f>
        <v>843799.03217307455</v>
      </c>
      <c r="V50" s="11">
        <f>L50*'Large Use Predicted Monthly'!$AB$18</f>
        <v>0</v>
      </c>
      <c r="W50" s="11">
        <f t="shared" ca="1" si="3"/>
        <v>8897189.1145137306</v>
      </c>
    </row>
    <row r="51" spans="1:23" x14ac:dyDescent="0.2">
      <c r="A51" s="8">
        <f>'Monthly Data'!A51</f>
        <v>44228</v>
      </c>
      <c r="B51">
        <f t="shared" si="1"/>
        <v>2021</v>
      </c>
      <c r="C51">
        <f t="shared" si="2"/>
        <v>2</v>
      </c>
      <c r="D51" s="19">
        <f>'Monthly Data'!X51</f>
        <v>7860890.0394344553</v>
      </c>
      <c r="E51" s="21">
        <f t="shared" ca="1" si="4"/>
        <v>483.54541666666665</v>
      </c>
      <c r="F51" s="21">
        <f t="shared" ca="1" si="5"/>
        <v>0</v>
      </c>
      <c r="G51" s="21">
        <f>'Monthly Data'!Z51</f>
        <v>1</v>
      </c>
      <c r="H51" s="21">
        <f>'Monthly Data'!CF51</f>
        <v>0</v>
      </c>
      <c r="I51" s="21">
        <f>'Monthly Data'!CV51</f>
        <v>0.5</v>
      </c>
      <c r="J51" s="21">
        <f>'Monthly Data'!CS51</f>
        <v>28</v>
      </c>
      <c r="K51" s="21">
        <f>'Monthly Data'!CM51</f>
        <v>50</v>
      </c>
      <c r="L51" s="21">
        <f>'Monthly Data'!CK51</f>
        <v>0</v>
      </c>
      <c r="N51" s="11">
        <f>'Large Use Predicted Monthly'!$AB$10</f>
        <v>-5783820.4539120998</v>
      </c>
      <c r="O51" s="11">
        <f ca="1">E51*'Large Use Predicted Monthly'!$AB$11</f>
        <v>298233.49701032462</v>
      </c>
      <c r="P51" s="11">
        <f ca="1">F51*'Large Use Predicted Monthly'!$AB$12</f>
        <v>0</v>
      </c>
      <c r="Q51" s="11">
        <f>G51*'Large Use Predicted Monthly'!$AB$13</f>
        <v>3499999.8575587198</v>
      </c>
      <c r="R51" s="11">
        <f>H51*'Large Use Predicted Monthly'!$AB$14</f>
        <v>0</v>
      </c>
      <c r="S51" s="11">
        <f>I51*'Large Use Predicted Monthly'!$AB$15</f>
        <v>-494560.31311656401</v>
      </c>
      <c r="T51" s="11">
        <f>J51*'Large Use Predicted Monthly'!$AB$16</f>
        <v>9468059.8748401683</v>
      </c>
      <c r="U51" s="11">
        <f>K51*'Large Use Predicted Monthly'!$AB$17</f>
        <v>861019.42058476992</v>
      </c>
      <c r="V51" s="11">
        <f>L51*'Large Use Predicted Monthly'!$AB$18</f>
        <v>0</v>
      </c>
      <c r="W51" s="11">
        <f t="shared" ca="1" si="3"/>
        <v>7848931.8829653189</v>
      </c>
    </row>
    <row r="52" spans="1:23" x14ac:dyDescent="0.2">
      <c r="A52" s="8">
        <f>'Monthly Data'!A52</f>
        <v>44256</v>
      </c>
      <c r="B52">
        <f t="shared" si="1"/>
        <v>2021</v>
      </c>
      <c r="C52">
        <f t="shared" si="2"/>
        <v>3</v>
      </c>
      <c r="D52" s="19">
        <f>'Monthly Data'!X52</f>
        <v>8617027.7213605233</v>
      </c>
      <c r="E52" s="21">
        <f t="shared" ca="1" si="4"/>
        <v>393.96333333333331</v>
      </c>
      <c r="F52" s="21">
        <f t="shared" ca="1" si="5"/>
        <v>0.93041666666666656</v>
      </c>
      <c r="G52" s="21">
        <f>'Monthly Data'!Z52</f>
        <v>1</v>
      </c>
      <c r="H52" s="21">
        <f>'Monthly Data'!CF52</f>
        <v>0</v>
      </c>
      <c r="I52" s="21">
        <f>'Monthly Data'!CV52</f>
        <v>0.5</v>
      </c>
      <c r="J52" s="21">
        <f>'Monthly Data'!CS52</f>
        <v>31</v>
      </c>
      <c r="K52" s="21">
        <f>'Monthly Data'!CM52</f>
        <v>51</v>
      </c>
      <c r="L52" s="21">
        <f>'Monthly Data'!CK52</f>
        <v>0</v>
      </c>
      <c r="N52" s="11">
        <f>'Large Use Predicted Monthly'!$AB$10</f>
        <v>-5783820.4539120998</v>
      </c>
      <c r="O52" s="11">
        <f ca="1">E52*'Large Use Predicted Monthly'!$AB$11</f>
        <v>242982.47598702469</v>
      </c>
      <c r="P52" s="11">
        <f ca="1">F52*'Large Use Predicted Monthly'!$AB$12</f>
        <v>12723.445625875136</v>
      </c>
      <c r="Q52" s="11">
        <f>G52*'Large Use Predicted Monthly'!$AB$13</f>
        <v>3499999.8575587198</v>
      </c>
      <c r="R52" s="11">
        <f>H52*'Large Use Predicted Monthly'!$AB$14</f>
        <v>0</v>
      </c>
      <c r="S52" s="11">
        <f>I52*'Large Use Predicted Monthly'!$AB$15</f>
        <v>-494560.31311656401</v>
      </c>
      <c r="T52" s="11">
        <f>J52*'Large Use Predicted Monthly'!$AB$16</f>
        <v>10482494.861430187</v>
      </c>
      <c r="U52" s="11">
        <f>K52*'Large Use Predicted Monthly'!$AB$17</f>
        <v>878239.80899646541</v>
      </c>
      <c r="V52" s="11">
        <f>L52*'Large Use Predicted Monthly'!$AB$18</f>
        <v>0</v>
      </c>
      <c r="W52" s="11">
        <f t="shared" ca="1" si="3"/>
        <v>8838059.6825696081</v>
      </c>
    </row>
    <row r="53" spans="1:23" x14ac:dyDescent="0.2">
      <c r="A53" s="8">
        <f>'Monthly Data'!A53</f>
        <v>44287</v>
      </c>
      <c r="B53">
        <f t="shared" si="1"/>
        <v>2021</v>
      </c>
      <c r="C53">
        <f t="shared" si="2"/>
        <v>4</v>
      </c>
      <c r="D53" s="19">
        <f>'Monthly Data'!X53</f>
        <v>8151550.2276455313</v>
      </c>
      <c r="E53" s="21">
        <f t="shared" ca="1" si="4"/>
        <v>226.60145833333337</v>
      </c>
      <c r="F53" s="21">
        <f t="shared" ca="1" si="5"/>
        <v>13.944166666666669</v>
      </c>
      <c r="G53" s="21">
        <f>'Monthly Data'!Z53</f>
        <v>1</v>
      </c>
      <c r="H53" s="21">
        <f>'Monthly Data'!CF53</f>
        <v>0</v>
      </c>
      <c r="I53" s="21">
        <f>'Monthly Data'!CV53</f>
        <v>0.5</v>
      </c>
      <c r="J53" s="21">
        <f>'Monthly Data'!CS53</f>
        <v>30</v>
      </c>
      <c r="K53" s="21">
        <f>'Monthly Data'!CM53</f>
        <v>52</v>
      </c>
      <c r="L53" s="21">
        <f>'Monthly Data'!CK53</f>
        <v>0</v>
      </c>
      <c r="N53" s="11">
        <f>'Large Use Predicted Monthly'!$AB$10</f>
        <v>-5783820.4539120998</v>
      </c>
      <c r="O53" s="11">
        <f ca="1">E53*'Large Use Predicted Monthly'!$AB$11</f>
        <v>139759.66479478791</v>
      </c>
      <c r="P53" s="11">
        <f ca="1">F53*'Large Use Predicted Monthly'!$AB$12</f>
        <v>190686.44483454432</v>
      </c>
      <c r="Q53" s="11">
        <f>G53*'Large Use Predicted Monthly'!$AB$13</f>
        <v>3499999.8575587198</v>
      </c>
      <c r="R53" s="11">
        <f>H53*'Large Use Predicted Monthly'!$AB$14</f>
        <v>0</v>
      </c>
      <c r="S53" s="11">
        <f>I53*'Large Use Predicted Monthly'!$AB$15</f>
        <v>-494560.31311656401</v>
      </c>
      <c r="T53" s="11">
        <f>J53*'Large Use Predicted Monthly'!$AB$16</f>
        <v>10144349.865900181</v>
      </c>
      <c r="U53" s="11">
        <f>K53*'Large Use Predicted Monthly'!$AB$17</f>
        <v>895460.19740816078</v>
      </c>
      <c r="V53" s="11">
        <f>L53*'Large Use Predicted Monthly'!$AB$18</f>
        <v>0</v>
      </c>
      <c r="W53" s="11">
        <f t="shared" ca="1" si="3"/>
        <v>8591875.2634677291</v>
      </c>
    </row>
    <row r="54" spans="1:23" x14ac:dyDescent="0.2">
      <c r="A54" s="8">
        <f>'Monthly Data'!A54</f>
        <v>44317</v>
      </c>
      <c r="B54">
        <f t="shared" si="1"/>
        <v>2021</v>
      </c>
      <c r="C54">
        <f t="shared" si="2"/>
        <v>5</v>
      </c>
      <c r="D54" s="19">
        <f>'Monthly Data'!X54</f>
        <v>9085951.214230109</v>
      </c>
      <c r="E54" s="21">
        <f t="shared" ca="1" si="4"/>
        <v>65.335833333333326</v>
      </c>
      <c r="F54" s="21">
        <f t="shared" ca="1" si="5"/>
        <v>93.837916666666644</v>
      </c>
      <c r="G54" s="21">
        <f>'Monthly Data'!Z54</f>
        <v>1</v>
      </c>
      <c r="H54" s="21">
        <f>'Monthly Data'!CF54</f>
        <v>0</v>
      </c>
      <c r="I54" s="21">
        <f>'Monthly Data'!CV54</f>
        <v>0.5</v>
      </c>
      <c r="J54" s="21">
        <f>'Monthly Data'!CS54</f>
        <v>31</v>
      </c>
      <c r="K54" s="21">
        <f>'Monthly Data'!CM54</f>
        <v>53</v>
      </c>
      <c r="L54" s="21">
        <f>'Monthly Data'!CK54</f>
        <v>1</v>
      </c>
      <c r="N54" s="11">
        <f>'Large Use Predicted Monthly'!$AB$10</f>
        <v>-5783820.4539120998</v>
      </c>
      <c r="O54" s="11">
        <f ca="1">E54*'Large Use Predicted Monthly'!$AB$11</f>
        <v>40296.802292960208</v>
      </c>
      <c r="P54" s="11">
        <f ca="1">F54*'Large Use Predicted Monthly'!$AB$12</f>
        <v>1283233.2793770556</v>
      </c>
      <c r="Q54" s="11">
        <f>G54*'Large Use Predicted Monthly'!$AB$13</f>
        <v>3499999.8575587198</v>
      </c>
      <c r="R54" s="11">
        <f>H54*'Large Use Predicted Monthly'!$AB$14</f>
        <v>0</v>
      </c>
      <c r="S54" s="11">
        <f>I54*'Large Use Predicted Monthly'!$AB$15</f>
        <v>-494560.31311656401</v>
      </c>
      <c r="T54" s="11">
        <f>J54*'Large Use Predicted Monthly'!$AB$16</f>
        <v>10482494.861430187</v>
      </c>
      <c r="U54" s="11">
        <f>K54*'Large Use Predicted Monthly'!$AB$17</f>
        <v>912680.58581985615</v>
      </c>
      <c r="V54" s="11">
        <f>L54*'Large Use Predicted Monthly'!$AB$18</f>
        <v>-352058.92944720201</v>
      </c>
      <c r="W54" s="11">
        <f t="shared" ca="1" si="3"/>
        <v>9588265.6900029108</v>
      </c>
    </row>
    <row r="55" spans="1:23" x14ac:dyDescent="0.2">
      <c r="A55" s="8">
        <f>'Monthly Data'!A55</f>
        <v>44348</v>
      </c>
      <c r="B55">
        <f t="shared" si="1"/>
        <v>2021</v>
      </c>
      <c r="C55">
        <f t="shared" si="2"/>
        <v>6</v>
      </c>
      <c r="D55" s="19">
        <f>'Monthly Data'!X55</f>
        <v>10943993.453054408</v>
      </c>
      <c r="E55" s="21">
        <f t="shared" ca="1" si="4"/>
        <v>3.0447916666666672</v>
      </c>
      <c r="F55" s="21">
        <f t="shared" ca="1" si="5"/>
        <v>214.81645833333337</v>
      </c>
      <c r="G55" s="21">
        <f>'Monthly Data'!Z55</f>
        <v>1</v>
      </c>
      <c r="H55" s="21">
        <f>'Monthly Data'!CF55</f>
        <v>0</v>
      </c>
      <c r="I55" s="21">
        <f>'Monthly Data'!CV55</f>
        <v>0.5</v>
      </c>
      <c r="J55" s="21">
        <f>'Monthly Data'!CS55</f>
        <v>30</v>
      </c>
      <c r="K55" s="21">
        <f>'Monthly Data'!CM55</f>
        <v>54</v>
      </c>
      <c r="L55" s="21">
        <f>'Monthly Data'!CK55</f>
        <v>1</v>
      </c>
      <c r="N55" s="11">
        <f>'Large Use Predicted Monthly'!$AB$10</f>
        <v>-5783820.4539120998</v>
      </c>
      <c r="O55" s="11">
        <f ca="1">E55*'Large Use Predicted Monthly'!$AB$11</f>
        <v>1877.9184645728276</v>
      </c>
      <c r="P55" s="11">
        <f ca="1">F55*'Large Use Predicted Monthly'!$AB$12</f>
        <v>2937614.5388058103</v>
      </c>
      <c r="Q55" s="11">
        <f>G55*'Large Use Predicted Monthly'!$AB$13</f>
        <v>3499999.8575587198</v>
      </c>
      <c r="R55" s="11">
        <f>H55*'Large Use Predicted Monthly'!$AB$14</f>
        <v>0</v>
      </c>
      <c r="S55" s="11">
        <f>I55*'Large Use Predicted Monthly'!$AB$15</f>
        <v>-494560.31311656401</v>
      </c>
      <c r="T55" s="11">
        <f>J55*'Large Use Predicted Monthly'!$AB$16</f>
        <v>10144349.865900181</v>
      </c>
      <c r="U55" s="11">
        <f>K55*'Large Use Predicted Monthly'!$AB$17</f>
        <v>929900.97423155163</v>
      </c>
      <c r="V55" s="11">
        <f>L55*'Large Use Predicted Monthly'!$AB$18</f>
        <v>-352058.92944720201</v>
      </c>
      <c r="W55" s="11">
        <f t="shared" ca="1" si="3"/>
        <v>10883303.45848497</v>
      </c>
    </row>
    <row r="56" spans="1:23" x14ac:dyDescent="0.2">
      <c r="A56" s="8">
        <f>'Monthly Data'!A56</f>
        <v>44378</v>
      </c>
      <c r="B56">
        <f t="shared" si="1"/>
        <v>2021</v>
      </c>
      <c r="C56">
        <f t="shared" si="2"/>
        <v>7</v>
      </c>
      <c r="D56" s="19">
        <f>'Monthly Data'!X56</f>
        <v>11368752.713587916</v>
      </c>
      <c r="E56" s="21">
        <f t="shared" ca="1" si="4"/>
        <v>0</v>
      </c>
      <c r="F56" s="21">
        <f t="shared" ca="1" si="5"/>
        <v>293.27145833333327</v>
      </c>
      <c r="G56" s="21">
        <f>'Monthly Data'!Z56</f>
        <v>1</v>
      </c>
      <c r="H56" s="21">
        <f>'Monthly Data'!CF56</f>
        <v>0</v>
      </c>
      <c r="I56" s="21">
        <f>'Monthly Data'!CV56</f>
        <v>0.5</v>
      </c>
      <c r="J56" s="21">
        <f>'Monthly Data'!CS56</f>
        <v>31</v>
      </c>
      <c r="K56" s="21">
        <f>'Monthly Data'!CM56</f>
        <v>55</v>
      </c>
      <c r="L56" s="21">
        <f>'Monthly Data'!CK56</f>
        <v>1</v>
      </c>
      <c r="N56" s="11">
        <f>'Large Use Predicted Monthly'!$AB$10</f>
        <v>-5783820.4539120998</v>
      </c>
      <c r="O56" s="11">
        <f ca="1">E56*'Large Use Predicted Monthly'!$AB$11</f>
        <v>0</v>
      </c>
      <c r="P56" s="11">
        <f ca="1">F56*'Large Use Predicted Monthly'!$AB$12</f>
        <v>4010486.4706406863</v>
      </c>
      <c r="Q56" s="11">
        <f>G56*'Large Use Predicted Monthly'!$AB$13</f>
        <v>3499999.8575587198</v>
      </c>
      <c r="R56" s="11">
        <f>H56*'Large Use Predicted Monthly'!$AB$14</f>
        <v>0</v>
      </c>
      <c r="S56" s="11">
        <f>I56*'Large Use Predicted Monthly'!$AB$15</f>
        <v>-494560.31311656401</v>
      </c>
      <c r="T56" s="11">
        <f>J56*'Large Use Predicted Monthly'!$AB$16</f>
        <v>10482494.861430187</v>
      </c>
      <c r="U56" s="11">
        <f>K56*'Large Use Predicted Monthly'!$AB$17</f>
        <v>947121.362643247</v>
      </c>
      <c r="V56" s="11">
        <f>L56*'Large Use Predicted Monthly'!$AB$18</f>
        <v>-352058.92944720201</v>
      </c>
      <c r="W56" s="11">
        <f t="shared" ca="1" si="3"/>
        <v>12309662.855796974</v>
      </c>
    </row>
    <row r="57" spans="1:23" x14ac:dyDescent="0.2">
      <c r="A57" s="8">
        <f>'Monthly Data'!A57</f>
        <v>44409</v>
      </c>
      <c r="B57">
        <f t="shared" si="1"/>
        <v>2021</v>
      </c>
      <c r="C57">
        <f t="shared" si="2"/>
        <v>8</v>
      </c>
      <c r="D57" s="19">
        <f>'Monthly Data'!X57</f>
        <v>12536881.909072623</v>
      </c>
      <c r="E57" s="21">
        <f t="shared" ca="1" si="4"/>
        <v>0.27875000000000066</v>
      </c>
      <c r="F57" s="21">
        <f t="shared" ca="1" si="5"/>
        <v>257.85749999999996</v>
      </c>
      <c r="G57" s="21">
        <f>'Monthly Data'!Z57</f>
        <v>1</v>
      </c>
      <c r="H57" s="21">
        <f>'Monthly Data'!CF57</f>
        <v>0</v>
      </c>
      <c r="I57" s="21">
        <f>'Monthly Data'!CV57</f>
        <v>0.5</v>
      </c>
      <c r="J57" s="21">
        <f>'Monthly Data'!CS57</f>
        <v>31</v>
      </c>
      <c r="K57" s="21">
        <f>'Monthly Data'!CM57</f>
        <v>56</v>
      </c>
      <c r="L57" s="21">
        <f>'Monthly Data'!CK57</f>
        <v>1</v>
      </c>
      <c r="N57" s="11">
        <f>'Large Use Predicted Monthly'!$AB$10</f>
        <v>-5783820.4539120998</v>
      </c>
      <c r="O57" s="11">
        <f ca="1">E57*'Large Use Predicted Monthly'!$AB$11</f>
        <v>171.92301783088942</v>
      </c>
      <c r="P57" s="11">
        <f ca="1">F57*'Large Use Predicted Monthly'!$AB$12</f>
        <v>3526200.677625542</v>
      </c>
      <c r="Q57" s="11">
        <f>G57*'Large Use Predicted Monthly'!$AB$13</f>
        <v>3499999.8575587198</v>
      </c>
      <c r="R57" s="11">
        <f>H57*'Large Use Predicted Monthly'!$AB$14</f>
        <v>0</v>
      </c>
      <c r="S57" s="11">
        <f>I57*'Large Use Predicted Monthly'!$AB$15</f>
        <v>-494560.31311656401</v>
      </c>
      <c r="T57" s="11">
        <f>J57*'Large Use Predicted Monthly'!$AB$16</f>
        <v>10482494.861430187</v>
      </c>
      <c r="U57" s="11">
        <f>K57*'Large Use Predicted Monthly'!$AB$17</f>
        <v>964341.75105494238</v>
      </c>
      <c r="V57" s="11">
        <f>L57*'Large Use Predicted Monthly'!$AB$18</f>
        <v>-352058.92944720201</v>
      </c>
      <c r="W57" s="11">
        <f t="shared" ca="1" si="3"/>
        <v>11842769.374211356</v>
      </c>
    </row>
    <row r="58" spans="1:23" x14ac:dyDescent="0.2">
      <c r="A58" s="8">
        <f>'Monthly Data'!A58</f>
        <v>44440</v>
      </c>
      <c r="B58">
        <f t="shared" si="1"/>
        <v>2021</v>
      </c>
      <c r="C58">
        <f t="shared" si="2"/>
        <v>9</v>
      </c>
      <c r="D58" s="19">
        <f>'Monthly Data'!X58</f>
        <v>10749580.623415139</v>
      </c>
      <c r="E58" s="21">
        <f t="shared" ca="1" si="4"/>
        <v>11.319999999999997</v>
      </c>
      <c r="F58" s="21">
        <f t="shared" ca="1" si="5"/>
        <v>155.75020833333332</v>
      </c>
      <c r="G58" s="21">
        <f>'Monthly Data'!Z58</f>
        <v>1</v>
      </c>
      <c r="H58" s="21">
        <f>'Monthly Data'!CF58</f>
        <v>1</v>
      </c>
      <c r="I58" s="21">
        <f>'Monthly Data'!CV58</f>
        <v>0.5</v>
      </c>
      <c r="J58" s="21">
        <f>'Monthly Data'!CS58</f>
        <v>30</v>
      </c>
      <c r="K58" s="21">
        <f>'Monthly Data'!CM58</f>
        <v>57</v>
      </c>
      <c r="L58" s="21">
        <f>'Monthly Data'!CK58</f>
        <v>0</v>
      </c>
      <c r="N58" s="11">
        <f>'Large Use Predicted Monthly'!$AB$10</f>
        <v>-5783820.4539120998</v>
      </c>
      <c r="O58" s="11">
        <f ca="1">E58*'Large Use Predicted Monthly'!$AB$11</f>
        <v>6981.7706254552941</v>
      </c>
      <c r="P58" s="11">
        <f ca="1">F58*'Large Use Predicted Monthly'!$AB$12</f>
        <v>2129883.7154836268</v>
      </c>
      <c r="Q58" s="11">
        <f>G58*'Large Use Predicted Monthly'!$AB$13</f>
        <v>3499999.8575587198</v>
      </c>
      <c r="R58" s="11">
        <f>H58*'Large Use Predicted Monthly'!$AB$14</f>
        <v>387000.72715245897</v>
      </c>
      <c r="S58" s="11">
        <f>I58*'Large Use Predicted Monthly'!$AB$15</f>
        <v>-494560.31311656401</v>
      </c>
      <c r="T58" s="11">
        <f>J58*'Large Use Predicted Monthly'!$AB$16</f>
        <v>10144349.865900181</v>
      </c>
      <c r="U58" s="11">
        <f>K58*'Large Use Predicted Monthly'!$AB$17</f>
        <v>981562.13946663775</v>
      </c>
      <c r="V58" s="11">
        <f>L58*'Large Use Predicted Monthly'!$AB$18</f>
        <v>0</v>
      </c>
      <c r="W58" s="11">
        <f t="shared" ca="1" si="3"/>
        <v>10871397.309158416</v>
      </c>
    </row>
    <row r="59" spans="1:23" x14ac:dyDescent="0.2">
      <c r="A59" s="8">
        <f>'Monthly Data'!A59</f>
        <v>44470</v>
      </c>
      <c r="B59">
        <f t="shared" si="1"/>
        <v>2021</v>
      </c>
      <c r="C59">
        <f t="shared" si="2"/>
        <v>10</v>
      </c>
      <c r="D59" s="19">
        <f>'Monthly Data'!X59</f>
        <v>10356128.307750057</v>
      </c>
      <c r="E59" s="21">
        <f t="shared" ca="1" si="4"/>
        <v>126.12583333333332</v>
      </c>
      <c r="F59" s="21">
        <f t="shared" ca="1" si="5"/>
        <v>45.238541666666677</v>
      </c>
      <c r="G59" s="21">
        <f>'Monthly Data'!Z59</f>
        <v>1</v>
      </c>
      <c r="H59" s="21">
        <f>'Monthly Data'!CF59</f>
        <v>1</v>
      </c>
      <c r="I59" s="21">
        <f>'Monthly Data'!CV59</f>
        <v>0.5</v>
      </c>
      <c r="J59" s="21">
        <f>'Monthly Data'!CS59</f>
        <v>31</v>
      </c>
      <c r="K59" s="21">
        <f>'Monthly Data'!CM59</f>
        <v>58</v>
      </c>
      <c r="L59" s="21">
        <f>'Monthly Data'!CK59</f>
        <v>0</v>
      </c>
      <c r="N59" s="11">
        <f>'Large Use Predicted Monthly'!$AB$10</f>
        <v>-5783820.4539120998</v>
      </c>
      <c r="O59" s="11">
        <f ca="1">E59*'Large Use Predicted Monthly'!$AB$11</f>
        <v>77789.897374358392</v>
      </c>
      <c r="P59" s="11">
        <f ca="1">F59*'Large Use Predicted Monthly'!$AB$12</f>
        <v>618636.94590923819</v>
      </c>
      <c r="Q59" s="11">
        <f>G59*'Large Use Predicted Monthly'!$AB$13</f>
        <v>3499999.8575587198</v>
      </c>
      <c r="R59" s="11">
        <f>H59*'Large Use Predicted Monthly'!$AB$14</f>
        <v>387000.72715245897</v>
      </c>
      <c r="S59" s="11">
        <f>I59*'Large Use Predicted Monthly'!$AB$15</f>
        <v>-494560.31311656401</v>
      </c>
      <c r="T59" s="11">
        <f>J59*'Large Use Predicted Monthly'!$AB$16</f>
        <v>10482494.861430187</v>
      </c>
      <c r="U59" s="11">
        <f>K59*'Large Use Predicted Monthly'!$AB$17</f>
        <v>998782.52787833312</v>
      </c>
      <c r="V59" s="11">
        <f>L59*'Large Use Predicted Monthly'!$AB$18</f>
        <v>0</v>
      </c>
      <c r="W59" s="11">
        <f t="shared" ca="1" si="3"/>
        <v>9786324.050274631</v>
      </c>
    </row>
    <row r="60" spans="1:23" x14ac:dyDescent="0.2">
      <c r="A60" s="8">
        <f>'Monthly Data'!A60</f>
        <v>44501</v>
      </c>
      <c r="B60">
        <f t="shared" si="1"/>
        <v>2021</v>
      </c>
      <c r="C60">
        <f t="shared" si="2"/>
        <v>11</v>
      </c>
      <c r="D60" s="19">
        <f>'Monthly Data'!X60</f>
        <v>9055135.6095071044</v>
      </c>
      <c r="E60" s="21">
        <f t="shared" ca="1" si="4"/>
        <v>312.40687500000001</v>
      </c>
      <c r="F60" s="21">
        <f t="shared" ca="1" si="5"/>
        <v>3.6587500000000004</v>
      </c>
      <c r="G60" s="21">
        <f>'Monthly Data'!Z60</f>
        <v>1</v>
      </c>
      <c r="H60" s="21">
        <f>'Monthly Data'!CF60</f>
        <v>1</v>
      </c>
      <c r="I60" s="21">
        <f>'Monthly Data'!CV60</f>
        <v>0.5</v>
      </c>
      <c r="J60" s="21">
        <f>'Monthly Data'!CS60</f>
        <v>30</v>
      </c>
      <c r="K60" s="21">
        <f>'Monthly Data'!CM60</f>
        <v>59</v>
      </c>
      <c r="L60" s="21">
        <f>'Monthly Data'!CK60</f>
        <v>0</v>
      </c>
      <c r="N60" s="11">
        <f>'Large Use Predicted Monthly'!$AB$10</f>
        <v>-5783820.4539120998</v>
      </c>
      <c r="O60" s="11">
        <f ca="1">E60*'Large Use Predicted Monthly'!$AB$11</f>
        <v>192681.37306230428</v>
      </c>
      <c r="P60" s="11">
        <f ca="1">F60*'Large Use Predicted Monthly'!$AB$12</f>
        <v>50033.39724174187</v>
      </c>
      <c r="Q60" s="11">
        <f>G60*'Large Use Predicted Monthly'!$AB$13</f>
        <v>3499999.8575587198</v>
      </c>
      <c r="R60" s="11">
        <f>H60*'Large Use Predicted Monthly'!$AB$14</f>
        <v>387000.72715245897</v>
      </c>
      <c r="S60" s="11">
        <f>I60*'Large Use Predicted Monthly'!$AB$15</f>
        <v>-494560.31311656401</v>
      </c>
      <c r="T60" s="11">
        <f>J60*'Large Use Predicted Monthly'!$AB$16</f>
        <v>10144349.865900181</v>
      </c>
      <c r="U60" s="11">
        <f>K60*'Large Use Predicted Monthly'!$AB$17</f>
        <v>1016002.9162900286</v>
      </c>
      <c r="V60" s="11">
        <f>L60*'Large Use Predicted Monthly'!$AB$18</f>
        <v>0</v>
      </c>
      <c r="W60" s="11">
        <f t="shared" ca="1" si="3"/>
        <v>9011687.3701767698</v>
      </c>
    </row>
    <row r="61" spans="1:23" x14ac:dyDescent="0.2">
      <c r="A61" s="8">
        <f>'Monthly Data'!A61</f>
        <v>44531</v>
      </c>
      <c r="B61">
        <f t="shared" si="1"/>
        <v>2021</v>
      </c>
      <c r="C61">
        <f t="shared" si="2"/>
        <v>12</v>
      </c>
      <c r="D61" s="19">
        <f>'Monthly Data'!X61</f>
        <v>9104376.5640171226</v>
      </c>
      <c r="E61" s="21">
        <f t="shared" ca="1" si="4"/>
        <v>473.52499999999998</v>
      </c>
      <c r="F61" s="21">
        <f t="shared" ca="1" si="5"/>
        <v>0</v>
      </c>
      <c r="G61" s="21">
        <f>'Monthly Data'!Z61</f>
        <v>1</v>
      </c>
      <c r="H61" s="21">
        <f>'Monthly Data'!CF61</f>
        <v>0</v>
      </c>
      <c r="I61" s="21">
        <f>'Monthly Data'!CV61</f>
        <v>0.5</v>
      </c>
      <c r="J61" s="21">
        <f>'Monthly Data'!CS61</f>
        <v>31</v>
      </c>
      <c r="K61" s="21">
        <f>'Monthly Data'!CM61</f>
        <v>60</v>
      </c>
      <c r="L61" s="21">
        <f>'Monthly Data'!CK61</f>
        <v>0</v>
      </c>
      <c r="N61" s="11">
        <f>'Large Use Predicted Monthly'!$AB$10</f>
        <v>-5783820.4539120998</v>
      </c>
      <c r="O61" s="11">
        <f ca="1">E61*'Large Use Predicted Monthly'!$AB$11</f>
        <v>292053.26284617657</v>
      </c>
      <c r="P61" s="11">
        <f ca="1">F61*'Large Use Predicted Monthly'!$AB$12</f>
        <v>0</v>
      </c>
      <c r="Q61" s="11">
        <f>G61*'Large Use Predicted Monthly'!$AB$13</f>
        <v>3499999.8575587198</v>
      </c>
      <c r="R61" s="11">
        <f>H61*'Large Use Predicted Monthly'!$AB$14</f>
        <v>0</v>
      </c>
      <c r="S61" s="11">
        <f>I61*'Large Use Predicted Monthly'!$AB$15</f>
        <v>-494560.31311656401</v>
      </c>
      <c r="T61" s="11">
        <f>J61*'Large Use Predicted Monthly'!$AB$16</f>
        <v>10482494.861430187</v>
      </c>
      <c r="U61" s="11">
        <f>K61*'Large Use Predicted Monthly'!$AB$17</f>
        <v>1033223.304701724</v>
      </c>
      <c r="V61" s="11">
        <f>L61*'Large Use Predicted Monthly'!$AB$18</f>
        <v>0</v>
      </c>
      <c r="W61" s="11">
        <f t="shared" ca="1" si="3"/>
        <v>9029390.519508142</v>
      </c>
    </row>
    <row r="62" spans="1:23" x14ac:dyDescent="0.2">
      <c r="A62" s="8">
        <f>'Monthly Data'!A62</f>
        <v>44562</v>
      </c>
      <c r="B62">
        <f t="shared" si="1"/>
        <v>2022</v>
      </c>
      <c r="C62">
        <f t="shared" si="2"/>
        <v>1</v>
      </c>
      <c r="D62" s="19">
        <f>'Monthly Data'!X62</f>
        <v>9110751.0308836643</v>
      </c>
      <c r="E62" s="21">
        <f t="shared" ca="1" si="4"/>
        <v>566.30416666666667</v>
      </c>
      <c r="F62" s="21">
        <f t="shared" ca="1" si="5"/>
        <v>0</v>
      </c>
      <c r="G62" s="21">
        <f>'Monthly Data'!Z62</f>
        <v>1</v>
      </c>
      <c r="H62" s="21">
        <f>'Monthly Data'!CF62</f>
        <v>0</v>
      </c>
      <c r="I62" s="21">
        <f>'Monthly Data'!CV62</f>
        <v>0.25</v>
      </c>
      <c r="J62" s="21">
        <f>'Monthly Data'!CS62</f>
        <v>31</v>
      </c>
      <c r="K62" s="21">
        <f>'Monthly Data'!CM62</f>
        <v>61</v>
      </c>
      <c r="L62" s="21">
        <f>'Monthly Data'!CK62</f>
        <v>0</v>
      </c>
      <c r="N62" s="11">
        <f>'Large Use Predicted Monthly'!$AB$10</f>
        <v>-5783820.4539120998</v>
      </c>
      <c r="O62" s="11">
        <f ca="1">E62*'Large Use Predicted Monthly'!$AB$11</f>
        <v>349276.13038041285</v>
      </c>
      <c r="P62" s="11">
        <f ca="1">F62*'Large Use Predicted Monthly'!$AB$12</f>
        <v>0</v>
      </c>
      <c r="Q62" s="11">
        <f>G62*'Large Use Predicted Monthly'!$AB$13</f>
        <v>3499999.8575587198</v>
      </c>
      <c r="R62" s="11">
        <f>H62*'Large Use Predicted Monthly'!$AB$14</f>
        <v>0</v>
      </c>
      <c r="S62" s="11">
        <f>I62*'Large Use Predicted Monthly'!$AB$15</f>
        <v>-247280.156558282</v>
      </c>
      <c r="T62" s="11">
        <f>J62*'Large Use Predicted Monthly'!$AB$16</f>
        <v>10482494.861430187</v>
      </c>
      <c r="U62" s="11">
        <f>K62*'Large Use Predicted Monthly'!$AB$17</f>
        <v>1050443.6931134195</v>
      </c>
      <c r="V62" s="11">
        <f>L62*'Large Use Predicted Monthly'!$AB$18</f>
        <v>0</v>
      </c>
      <c r="W62" s="11">
        <f t="shared" ca="1" si="3"/>
        <v>9351113.9320123568</v>
      </c>
    </row>
    <row r="63" spans="1:23" x14ac:dyDescent="0.2">
      <c r="A63" s="8">
        <f>'Monthly Data'!A63</f>
        <v>44593</v>
      </c>
      <c r="B63">
        <f t="shared" si="1"/>
        <v>2022</v>
      </c>
      <c r="C63">
        <f t="shared" si="2"/>
        <v>2</v>
      </c>
      <c r="D63" s="19">
        <f>'Monthly Data'!X63</f>
        <v>8626632.1104067359</v>
      </c>
      <c r="E63" s="21">
        <f t="shared" ca="1" si="4"/>
        <v>483.54541666666665</v>
      </c>
      <c r="F63" s="21">
        <f t="shared" ca="1" si="5"/>
        <v>0</v>
      </c>
      <c r="G63" s="21">
        <f>'Monthly Data'!Z63</f>
        <v>1</v>
      </c>
      <c r="H63" s="21">
        <f>'Monthly Data'!CF63</f>
        <v>0</v>
      </c>
      <c r="I63" s="21">
        <f>'Monthly Data'!CV63</f>
        <v>0.25</v>
      </c>
      <c r="J63" s="21">
        <f>'Monthly Data'!CS63</f>
        <v>28</v>
      </c>
      <c r="K63" s="21">
        <f>'Monthly Data'!CM63</f>
        <v>62</v>
      </c>
      <c r="L63" s="21">
        <f>'Monthly Data'!CK63</f>
        <v>0</v>
      </c>
      <c r="N63" s="11">
        <f>'Large Use Predicted Monthly'!$AB$10</f>
        <v>-5783820.4539120998</v>
      </c>
      <c r="O63" s="11">
        <f ca="1">E63*'Large Use Predicted Monthly'!$AB$11</f>
        <v>298233.49701032462</v>
      </c>
      <c r="P63" s="11">
        <f ca="1">F63*'Large Use Predicted Monthly'!$AB$12</f>
        <v>0</v>
      </c>
      <c r="Q63" s="11">
        <f>G63*'Large Use Predicted Monthly'!$AB$13</f>
        <v>3499999.8575587198</v>
      </c>
      <c r="R63" s="11">
        <f>H63*'Large Use Predicted Monthly'!$AB$14</f>
        <v>0</v>
      </c>
      <c r="S63" s="11">
        <f>I63*'Large Use Predicted Monthly'!$AB$15</f>
        <v>-247280.156558282</v>
      </c>
      <c r="T63" s="11">
        <f>J63*'Large Use Predicted Monthly'!$AB$16</f>
        <v>9468059.8748401683</v>
      </c>
      <c r="U63" s="11">
        <f>K63*'Large Use Predicted Monthly'!$AB$17</f>
        <v>1067664.0815251148</v>
      </c>
      <c r="V63" s="11">
        <f>L63*'Large Use Predicted Monthly'!$AB$18</f>
        <v>0</v>
      </c>
      <c r="W63" s="11">
        <f t="shared" ca="1" si="3"/>
        <v>8302856.700463945</v>
      </c>
    </row>
    <row r="64" spans="1:23" x14ac:dyDescent="0.2">
      <c r="A64" s="8">
        <f>'Monthly Data'!A64</f>
        <v>44621</v>
      </c>
      <c r="B64">
        <f t="shared" si="1"/>
        <v>2022</v>
      </c>
      <c r="C64">
        <f t="shared" si="2"/>
        <v>3</v>
      </c>
      <c r="D64" s="19">
        <f>'Monthly Data'!X64</f>
        <v>9589247.0186625384</v>
      </c>
      <c r="E64" s="21">
        <f t="shared" ca="1" si="4"/>
        <v>393.96333333333331</v>
      </c>
      <c r="F64" s="21">
        <f t="shared" ca="1" si="5"/>
        <v>0.93041666666666656</v>
      </c>
      <c r="G64" s="21">
        <f>'Monthly Data'!Z64</f>
        <v>1</v>
      </c>
      <c r="H64" s="21">
        <f>'Monthly Data'!CF64</f>
        <v>0</v>
      </c>
      <c r="I64" s="21">
        <f>'Monthly Data'!CV64</f>
        <v>0.25</v>
      </c>
      <c r="J64" s="21">
        <f>'Monthly Data'!CS64</f>
        <v>31</v>
      </c>
      <c r="K64" s="21">
        <f>'Monthly Data'!CM64</f>
        <v>63</v>
      </c>
      <c r="L64" s="21">
        <f>'Monthly Data'!CK64</f>
        <v>0</v>
      </c>
      <c r="N64" s="11">
        <f>'Large Use Predicted Monthly'!$AB$10</f>
        <v>-5783820.4539120998</v>
      </c>
      <c r="O64" s="11">
        <f ca="1">E64*'Large Use Predicted Monthly'!$AB$11</f>
        <v>242982.47598702469</v>
      </c>
      <c r="P64" s="11">
        <f ca="1">F64*'Large Use Predicted Monthly'!$AB$12</f>
        <v>12723.445625875136</v>
      </c>
      <c r="Q64" s="11">
        <f>G64*'Large Use Predicted Monthly'!$AB$13</f>
        <v>3499999.8575587198</v>
      </c>
      <c r="R64" s="11">
        <f>H64*'Large Use Predicted Monthly'!$AB$14</f>
        <v>0</v>
      </c>
      <c r="S64" s="11">
        <f>I64*'Large Use Predicted Monthly'!$AB$15</f>
        <v>-247280.156558282</v>
      </c>
      <c r="T64" s="11">
        <f>J64*'Large Use Predicted Monthly'!$AB$16</f>
        <v>10482494.861430187</v>
      </c>
      <c r="U64" s="11">
        <f>K64*'Large Use Predicted Monthly'!$AB$17</f>
        <v>1084884.4699368102</v>
      </c>
      <c r="V64" s="11">
        <f>L64*'Large Use Predicted Monthly'!$AB$18</f>
        <v>0</v>
      </c>
      <c r="W64" s="11">
        <f t="shared" ca="1" si="3"/>
        <v>9291984.5000682343</v>
      </c>
    </row>
    <row r="65" spans="1:23" x14ac:dyDescent="0.2">
      <c r="A65" s="8">
        <f>'Monthly Data'!A65</f>
        <v>44652</v>
      </c>
      <c r="B65">
        <f t="shared" si="1"/>
        <v>2022</v>
      </c>
      <c r="C65">
        <f t="shared" si="2"/>
        <v>4</v>
      </c>
      <c r="D65" s="19">
        <f>'Monthly Data'!X65</f>
        <v>9180227.9473527595</v>
      </c>
      <c r="E65" s="21">
        <f t="shared" ca="1" si="4"/>
        <v>226.60145833333337</v>
      </c>
      <c r="F65" s="21">
        <f t="shared" ca="1" si="5"/>
        <v>13.944166666666669</v>
      </c>
      <c r="G65" s="21">
        <f>'Monthly Data'!Z65</f>
        <v>1</v>
      </c>
      <c r="H65" s="21">
        <f>'Monthly Data'!CF65</f>
        <v>0</v>
      </c>
      <c r="I65" s="21">
        <f>'Monthly Data'!CV65</f>
        <v>0.25</v>
      </c>
      <c r="J65" s="21">
        <f>'Monthly Data'!CS65</f>
        <v>30</v>
      </c>
      <c r="K65" s="21">
        <f>'Monthly Data'!CM65</f>
        <v>64</v>
      </c>
      <c r="L65" s="21">
        <f>'Monthly Data'!CK65</f>
        <v>0</v>
      </c>
      <c r="N65" s="11">
        <f>'Large Use Predicted Monthly'!$AB$10</f>
        <v>-5783820.4539120998</v>
      </c>
      <c r="O65" s="11">
        <f ca="1">E65*'Large Use Predicted Monthly'!$AB$11</f>
        <v>139759.66479478791</v>
      </c>
      <c r="P65" s="11">
        <f ca="1">F65*'Large Use Predicted Monthly'!$AB$12</f>
        <v>190686.44483454432</v>
      </c>
      <c r="Q65" s="11">
        <f>G65*'Large Use Predicted Monthly'!$AB$13</f>
        <v>3499999.8575587198</v>
      </c>
      <c r="R65" s="11">
        <f>H65*'Large Use Predicted Monthly'!$AB$14</f>
        <v>0</v>
      </c>
      <c r="S65" s="11">
        <f>I65*'Large Use Predicted Monthly'!$AB$15</f>
        <v>-247280.156558282</v>
      </c>
      <c r="T65" s="11">
        <f>J65*'Large Use Predicted Monthly'!$AB$16</f>
        <v>10144349.865900181</v>
      </c>
      <c r="U65" s="11">
        <f>K65*'Large Use Predicted Monthly'!$AB$17</f>
        <v>1102104.8583485056</v>
      </c>
      <c r="V65" s="11">
        <f>L65*'Large Use Predicted Monthly'!$AB$18</f>
        <v>0</v>
      </c>
      <c r="W65" s="11">
        <f t="shared" ca="1" si="3"/>
        <v>9045800.0809663571</v>
      </c>
    </row>
    <row r="66" spans="1:23" x14ac:dyDescent="0.2">
      <c r="A66" s="8">
        <f>'Monthly Data'!A66</f>
        <v>44682</v>
      </c>
      <c r="B66">
        <f t="shared" ref="B66:B121" si="6">YEAR(A66)</f>
        <v>2022</v>
      </c>
      <c r="C66">
        <f t="shared" ref="C66:C121" si="7">MONTH(A66)</f>
        <v>5</v>
      </c>
      <c r="D66" s="19">
        <f>'Monthly Data'!X66</f>
        <v>10077830.463332593</v>
      </c>
      <c r="E66" s="21">
        <f t="shared" ca="1" si="4"/>
        <v>65.335833333333326</v>
      </c>
      <c r="F66" s="21">
        <f t="shared" ca="1" si="5"/>
        <v>93.837916666666644</v>
      </c>
      <c r="G66" s="21">
        <f>'Monthly Data'!Z66</f>
        <v>1</v>
      </c>
      <c r="H66" s="21">
        <f>'Monthly Data'!CF66</f>
        <v>0</v>
      </c>
      <c r="I66" s="21">
        <f>'Monthly Data'!CV66</f>
        <v>0.25</v>
      </c>
      <c r="J66" s="21">
        <f>'Monthly Data'!CS66</f>
        <v>31</v>
      </c>
      <c r="K66" s="21">
        <f>'Monthly Data'!CM66</f>
        <v>65</v>
      </c>
      <c r="L66" s="21">
        <f>'Monthly Data'!CK66</f>
        <v>1</v>
      </c>
      <c r="N66" s="11">
        <f>'Large Use Predicted Monthly'!$AB$10</f>
        <v>-5783820.4539120998</v>
      </c>
      <c r="O66" s="11">
        <f ca="1">E66*'Large Use Predicted Monthly'!$AB$11</f>
        <v>40296.802292960208</v>
      </c>
      <c r="P66" s="11">
        <f ca="1">F66*'Large Use Predicted Monthly'!$AB$12</f>
        <v>1283233.2793770556</v>
      </c>
      <c r="Q66" s="11">
        <f>G66*'Large Use Predicted Monthly'!$AB$13</f>
        <v>3499999.8575587198</v>
      </c>
      <c r="R66" s="11">
        <f>H66*'Large Use Predicted Monthly'!$AB$14</f>
        <v>0</v>
      </c>
      <c r="S66" s="11">
        <f>I66*'Large Use Predicted Monthly'!$AB$15</f>
        <v>-247280.156558282</v>
      </c>
      <c r="T66" s="11">
        <f>J66*'Large Use Predicted Monthly'!$AB$16</f>
        <v>10482494.861430187</v>
      </c>
      <c r="U66" s="11">
        <f>K66*'Large Use Predicted Monthly'!$AB$17</f>
        <v>1119325.2467602009</v>
      </c>
      <c r="V66" s="11">
        <f>L66*'Large Use Predicted Monthly'!$AB$18</f>
        <v>-352058.92944720201</v>
      </c>
      <c r="W66" s="11">
        <f t="shared" ca="1" si="3"/>
        <v>10042190.507501539</v>
      </c>
    </row>
    <row r="67" spans="1:23" x14ac:dyDescent="0.2">
      <c r="A67" s="8">
        <f>'Monthly Data'!A67</f>
        <v>44713</v>
      </c>
      <c r="B67">
        <f t="shared" si="6"/>
        <v>2022</v>
      </c>
      <c r="C67">
        <f t="shared" si="7"/>
        <v>6</v>
      </c>
      <c r="D67" s="19">
        <f>'Monthly Data'!X67</f>
        <v>10583328.764044672</v>
      </c>
      <c r="E67" s="21">
        <f t="shared" ca="1" si="4"/>
        <v>3.0447916666666672</v>
      </c>
      <c r="F67" s="21">
        <f t="shared" ca="1" si="5"/>
        <v>214.81645833333337</v>
      </c>
      <c r="G67" s="21">
        <f>'Monthly Data'!Z67</f>
        <v>1</v>
      </c>
      <c r="H67" s="21">
        <f>'Monthly Data'!CF67</f>
        <v>0</v>
      </c>
      <c r="I67" s="21">
        <f>'Monthly Data'!CV67</f>
        <v>0.25</v>
      </c>
      <c r="J67" s="21">
        <f>'Monthly Data'!CS67</f>
        <v>30</v>
      </c>
      <c r="K67" s="21">
        <f>'Monthly Data'!CM67</f>
        <v>66</v>
      </c>
      <c r="L67" s="21">
        <f>'Monthly Data'!CK67</f>
        <v>1</v>
      </c>
      <c r="N67" s="11">
        <f>'Large Use Predicted Monthly'!$AB$10</f>
        <v>-5783820.4539120998</v>
      </c>
      <c r="O67" s="11">
        <f ca="1">E67*'Large Use Predicted Monthly'!$AB$11</f>
        <v>1877.9184645728276</v>
      </c>
      <c r="P67" s="11">
        <f ca="1">F67*'Large Use Predicted Monthly'!$AB$12</f>
        <v>2937614.5388058103</v>
      </c>
      <c r="Q67" s="11">
        <f>G67*'Large Use Predicted Monthly'!$AB$13</f>
        <v>3499999.8575587198</v>
      </c>
      <c r="R67" s="11">
        <f>H67*'Large Use Predicted Monthly'!$AB$14</f>
        <v>0</v>
      </c>
      <c r="S67" s="11">
        <f>I67*'Large Use Predicted Monthly'!$AB$15</f>
        <v>-247280.156558282</v>
      </c>
      <c r="T67" s="11">
        <f>J67*'Large Use Predicted Monthly'!$AB$16</f>
        <v>10144349.865900181</v>
      </c>
      <c r="U67" s="11">
        <f>K67*'Large Use Predicted Monthly'!$AB$17</f>
        <v>1136545.6351718963</v>
      </c>
      <c r="V67" s="11">
        <f>L67*'Large Use Predicted Monthly'!$AB$18</f>
        <v>-352058.92944720201</v>
      </c>
      <c r="W67" s="11">
        <f t="shared" ref="W67:W130" ca="1" si="8">SUM(N67:V67)</f>
        <v>11337228.275983596</v>
      </c>
    </row>
    <row r="68" spans="1:23" x14ac:dyDescent="0.2">
      <c r="A68" s="8">
        <f>'Monthly Data'!A68</f>
        <v>44743</v>
      </c>
      <c r="B68">
        <f t="shared" si="6"/>
        <v>2022</v>
      </c>
      <c r="C68">
        <f t="shared" si="7"/>
        <v>7</v>
      </c>
      <c r="D68" s="19">
        <f>'Monthly Data'!X68</f>
        <v>11652875.177961215</v>
      </c>
      <c r="E68" s="21">
        <f t="shared" ca="1" si="4"/>
        <v>0</v>
      </c>
      <c r="F68" s="21">
        <f t="shared" ca="1" si="5"/>
        <v>293.27145833333327</v>
      </c>
      <c r="G68" s="21">
        <f>'Monthly Data'!Z68</f>
        <v>1</v>
      </c>
      <c r="H68" s="21">
        <f>'Monthly Data'!CF68</f>
        <v>0</v>
      </c>
      <c r="I68" s="21">
        <f>'Monthly Data'!CV68</f>
        <v>0.25</v>
      </c>
      <c r="J68" s="21">
        <f>'Monthly Data'!CS68</f>
        <v>31</v>
      </c>
      <c r="K68" s="21">
        <f>'Monthly Data'!CM68</f>
        <v>67</v>
      </c>
      <c r="L68" s="21">
        <f>'Monthly Data'!CK68</f>
        <v>1</v>
      </c>
      <c r="N68" s="11">
        <f>'Large Use Predicted Monthly'!$AB$10</f>
        <v>-5783820.4539120998</v>
      </c>
      <c r="O68" s="11">
        <f ca="1">E68*'Large Use Predicted Monthly'!$AB$11</f>
        <v>0</v>
      </c>
      <c r="P68" s="11">
        <f ca="1">F68*'Large Use Predicted Monthly'!$AB$12</f>
        <v>4010486.4706406863</v>
      </c>
      <c r="Q68" s="11">
        <f>G68*'Large Use Predicted Monthly'!$AB$13</f>
        <v>3499999.8575587198</v>
      </c>
      <c r="R68" s="11">
        <f>H68*'Large Use Predicted Monthly'!$AB$14</f>
        <v>0</v>
      </c>
      <c r="S68" s="11">
        <f>I68*'Large Use Predicted Monthly'!$AB$15</f>
        <v>-247280.156558282</v>
      </c>
      <c r="T68" s="11">
        <f>J68*'Large Use Predicted Monthly'!$AB$16</f>
        <v>10482494.861430187</v>
      </c>
      <c r="U68" s="11">
        <f>K68*'Large Use Predicted Monthly'!$AB$17</f>
        <v>1153766.0235835917</v>
      </c>
      <c r="V68" s="11">
        <f>L68*'Large Use Predicted Monthly'!$AB$18</f>
        <v>-352058.92944720201</v>
      </c>
      <c r="W68" s="11">
        <f t="shared" ca="1" si="8"/>
        <v>12763587.6732956</v>
      </c>
    </row>
    <row r="69" spans="1:23" x14ac:dyDescent="0.2">
      <c r="A69" s="8">
        <f>'Monthly Data'!A69</f>
        <v>44774</v>
      </c>
      <c r="B69">
        <f t="shared" si="6"/>
        <v>2022</v>
      </c>
      <c r="C69">
        <f t="shared" si="7"/>
        <v>8</v>
      </c>
      <c r="D69" s="19">
        <f>'Monthly Data'!X69</f>
        <v>11707751.467102198</v>
      </c>
      <c r="E69" s="21">
        <f t="shared" ca="1" si="4"/>
        <v>0.27875000000000066</v>
      </c>
      <c r="F69" s="21">
        <f t="shared" ca="1" si="5"/>
        <v>257.85749999999996</v>
      </c>
      <c r="G69" s="21">
        <f>'Monthly Data'!Z69</f>
        <v>1</v>
      </c>
      <c r="H69" s="21">
        <f>'Monthly Data'!CF69</f>
        <v>0</v>
      </c>
      <c r="I69" s="21">
        <f>'Monthly Data'!CV69</f>
        <v>0.25</v>
      </c>
      <c r="J69" s="21">
        <f>'Monthly Data'!CS69</f>
        <v>31</v>
      </c>
      <c r="K69" s="21">
        <f>'Monthly Data'!CM69</f>
        <v>68</v>
      </c>
      <c r="L69" s="21">
        <f>'Monthly Data'!CK69</f>
        <v>1</v>
      </c>
      <c r="N69" s="11">
        <f>'Large Use Predicted Monthly'!$AB$10</f>
        <v>-5783820.4539120998</v>
      </c>
      <c r="O69" s="11">
        <f ca="1">E69*'Large Use Predicted Monthly'!$AB$11</f>
        <v>171.92301783088942</v>
      </c>
      <c r="P69" s="11">
        <f ca="1">F69*'Large Use Predicted Monthly'!$AB$12</f>
        <v>3526200.677625542</v>
      </c>
      <c r="Q69" s="11">
        <f>G69*'Large Use Predicted Monthly'!$AB$13</f>
        <v>3499999.8575587198</v>
      </c>
      <c r="R69" s="11">
        <f>H69*'Large Use Predicted Monthly'!$AB$14</f>
        <v>0</v>
      </c>
      <c r="S69" s="11">
        <f>I69*'Large Use Predicted Monthly'!$AB$15</f>
        <v>-247280.156558282</v>
      </c>
      <c r="T69" s="11">
        <f>J69*'Large Use Predicted Monthly'!$AB$16</f>
        <v>10482494.861430187</v>
      </c>
      <c r="U69" s="11">
        <f>K69*'Large Use Predicted Monthly'!$AB$17</f>
        <v>1170986.4119952871</v>
      </c>
      <c r="V69" s="11">
        <f>L69*'Large Use Predicted Monthly'!$AB$18</f>
        <v>-352058.92944720201</v>
      </c>
      <c r="W69" s="11">
        <f t="shared" ca="1" si="8"/>
        <v>12296694.191709982</v>
      </c>
    </row>
    <row r="70" spans="1:23" x14ac:dyDescent="0.2">
      <c r="A70" s="8">
        <f>'Monthly Data'!A70</f>
        <v>44805</v>
      </c>
      <c r="B70">
        <f t="shared" si="6"/>
        <v>2022</v>
      </c>
      <c r="C70">
        <f t="shared" si="7"/>
        <v>9</v>
      </c>
      <c r="D70" s="19">
        <f>'Monthly Data'!X70</f>
        <v>10939336.920596739</v>
      </c>
      <c r="E70" s="21">
        <f t="shared" ca="1" si="4"/>
        <v>11.319999999999997</v>
      </c>
      <c r="F70" s="21">
        <f t="shared" ca="1" si="5"/>
        <v>155.75020833333332</v>
      </c>
      <c r="G70" s="21">
        <f>'Monthly Data'!Z70</f>
        <v>1</v>
      </c>
      <c r="H70" s="21">
        <f>'Monthly Data'!CF70</f>
        <v>1</v>
      </c>
      <c r="I70" s="21">
        <f>'Monthly Data'!CV70</f>
        <v>0.25</v>
      </c>
      <c r="J70" s="21">
        <f>'Monthly Data'!CS70</f>
        <v>30</v>
      </c>
      <c r="K70" s="21">
        <f>'Monthly Data'!CM70</f>
        <v>69</v>
      </c>
      <c r="L70" s="21">
        <f>'Monthly Data'!CK70</f>
        <v>0</v>
      </c>
      <c r="N70" s="11">
        <f>'Large Use Predicted Monthly'!$AB$10</f>
        <v>-5783820.4539120998</v>
      </c>
      <c r="O70" s="11">
        <f ca="1">E70*'Large Use Predicted Monthly'!$AB$11</f>
        <v>6981.7706254552941</v>
      </c>
      <c r="P70" s="11">
        <f ca="1">F70*'Large Use Predicted Monthly'!$AB$12</f>
        <v>2129883.7154836268</v>
      </c>
      <c r="Q70" s="11">
        <f>G70*'Large Use Predicted Monthly'!$AB$13</f>
        <v>3499999.8575587198</v>
      </c>
      <c r="R70" s="11">
        <f>H70*'Large Use Predicted Monthly'!$AB$14</f>
        <v>387000.72715245897</v>
      </c>
      <c r="S70" s="11">
        <f>I70*'Large Use Predicted Monthly'!$AB$15</f>
        <v>-247280.156558282</v>
      </c>
      <c r="T70" s="11">
        <f>J70*'Large Use Predicted Monthly'!$AB$16</f>
        <v>10144349.865900181</v>
      </c>
      <c r="U70" s="11">
        <f>K70*'Large Use Predicted Monthly'!$AB$17</f>
        <v>1188206.8004069827</v>
      </c>
      <c r="V70" s="11">
        <f>L70*'Large Use Predicted Monthly'!$AB$18</f>
        <v>0</v>
      </c>
      <c r="W70" s="11">
        <f t="shared" ca="1" si="8"/>
        <v>11325322.126657043</v>
      </c>
    </row>
    <row r="71" spans="1:23" x14ac:dyDescent="0.2">
      <c r="A71" s="8">
        <f>'Monthly Data'!A71</f>
        <v>44835</v>
      </c>
      <c r="B71">
        <f t="shared" si="6"/>
        <v>2022</v>
      </c>
      <c r="C71">
        <f t="shared" si="7"/>
        <v>10</v>
      </c>
      <c r="D71" s="19">
        <f>'Monthly Data'!X71</f>
        <v>12833984.256122762</v>
      </c>
      <c r="E71" s="21">
        <f t="shared" ca="1" si="4"/>
        <v>126.12583333333332</v>
      </c>
      <c r="F71" s="21">
        <f t="shared" ca="1" si="5"/>
        <v>45.238541666666677</v>
      </c>
      <c r="G71" s="21">
        <f>'Monthly Data'!Z71</f>
        <v>2</v>
      </c>
      <c r="H71" s="21">
        <f>'Monthly Data'!CF71</f>
        <v>1</v>
      </c>
      <c r="I71" s="21">
        <f>'Monthly Data'!CV71</f>
        <v>0.25</v>
      </c>
      <c r="J71" s="21">
        <f>'Monthly Data'!CS71</f>
        <v>31</v>
      </c>
      <c r="K71" s="21">
        <f>'Monthly Data'!CM71</f>
        <v>70</v>
      </c>
      <c r="L71" s="21">
        <f>'Monthly Data'!CK71</f>
        <v>0</v>
      </c>
      <c r="N71" s="11">
        <f>'Large Use Predicted Monthly'!$AB$10</f>
        <v>-5783820.4539120998</v>
      </c>
      <c r="O71" s="11">
        <f ca="1">E71*'Large Use Predicted Monthly'!$AB$11</f>
        <v>77789.897374358392</v>
      </c>
      <c r="P71" s="11">
        <f ca="1">F71*'Large Use Predicted Monthly'!$AB$12</f>
        <v>618636.94590923819</v>
      </c>
      <c r="Q71" s="11">
        <f>G71*'Large Use Predicted Monthly'!$AB$13</f>
        <v>6999999.7151174396</v>
      </c>
      <c r="R71" s="11">
        <f>H71*'Large Use Predicted Monthly'!$AB$14</f>
        <v>387000.72715245897</v>
      </c>
      <c r="S71" s="11">
        <f>I71*'Large Use Predicted Monthly'!$AB$15</f>
        <v>-247280.156558282</v>
      </c>
      <c r="T71" s="11">
        <f>J71*'Large Use Predicted Monthly'!$AB$16</f>
        <v>10482494.861430187</v>
      </c>
      <c r="U71" s="11">
        <f>K71*'Large Use Predicted Monthly'!$AB$17</f>
        <v>1205427.188818678</v>
      </c>
      <c r="V71" s="11">
        <f>L71*'Large Use Predicted Monthly'!$AB$18</f>
        <v>0</v>
      </c>
      <c r="W71" s="11">
        <f t="shared" ca="1" si="8"/>
        <v>13740248.725331979</v>
      </c>
    </row>
    <row r="72" spans="1:23" x14ac:dyDescent="0.2">
      <c r="A72" s="8">
        <f>'Monthly Data'!A72</f>
        <v>44866</v>
      </c>
      <c r="B72">
        <f t="shared" si="6"/>
        <v>2022</v>
      </c>
      <c r="C72">
        <f t="shared" si="7"/>
        <v>11</v>
      </c>
      <c r="D72" s="19">
        <f>'Monthly Data'!X72</f>
        <v>12654963.870489843</v>
      </c>
      <c r="E72" s="21">
        <f t="shared" ca="1" si="4"/>
        <v>312.40687500000001</v>
      </c>
      <c r="F72" s="21">
        <f t="shared" ca="1" si="5"/>
        <v>3.6587500000000004</v>
      </c>
      <c r="G72" s="21">
        <f>'Monthly Data'!Z72</f>
        <v>2</v>
      </c>
      <c r="H72" s="21">
        <f>'Monthly Data'!CF72</f>
        <v>1</v>
      </c>
      <c r="I72" s="21">
        <f>'Monthly Data'!CV72</f>
        <v>0.25</v>
      </c>
      <c r="J72" s="21">
        <f>'Monthly Data'!CS72</f>
        <v>30</v>
      </c>
      <c r="K72" s="21">
        <f>'Monthly Data'!CM72</f>
        <v>71</v>
      </c>
      <c r="L72" s="21">
        <f>'Monthly Data'!CK72</f>
        <v>0</v>
      </c>
      <c r="N72" s="11">
        <f>'Large Use Predicted Monthly'!$AB$10</f>
        <v>-5783820.4539120998</v>
      </c>
      <c r="O72" s="11">
        <f ca="1">E72*'Large Use Predicted Monthly'!$AB$11</f>
        <v>192681.37306230428</v>
      </c>
      <c r="P72" s="11">
        <f ca="1">F72*'Large Use Predicted Monthly'!$AB$12</f>
        <v>50033.39724174187</v>
      </c>
      <c r="Q72" s="11">
        <f>G72*'Large Use Predicted Monthly'!$AB$13</f>
        <v>6999999.7151174396</v>
      </c>
      <c r="R72" s="11">
        <f>H72*'Large Use Predicted Monthly'!$AB$14</f>
        <v>387000.72715245897</v>
      </c>
      <c r="S72" s="11">
        <f>I72*'Large Use Predicted Monthly'!$AB$15</f>
        <v>-247280.156558282</v>
      </c>
      <c r="T72" s="11">
        <f>J72*'Large Use Predicted Monthly'!$AB$16</f>
        <v>10144349.865900181</v>
      </c>
      <c r="U72" s="11">
        <f>K72*'Large Use Predicted Monthly'!$AB$17</f>
        <v>1222647.5772303734</v>
      </c>
      <c r="V72" s="11">
        <f>L72*'Large Use Predicted Monthly'!$AB$18</f>
        <v>0</v>
      </c>
      <c r="W72" s="11">
        <f t="shared" ca="1" si="8"/>
        <v>12965612.045234118</v>
      </c>
    </row>
    <row r="73" spans="1:23" x14ac:dyDescent="0.2">
      <c r="A73" s="8">
        <f>'Monthly Data'!A73</f>
        <v>44896</v>
      </c>
      <c r="B73">
        <f t="shared" si="6"/>
        <v>2022</v>
      </c>
      <c r="C73">
        <f t="shared" si="7"/>
        <v>12</v>
      </c>
      <c r="D73" s="19">
        <f>'Monthly Data'!X73</f>
        <v>12881327.663235825</v>
      </c>
      <c r="E73" s="21">
        <f t="shared" ca="1" si="4"/>
        <v>473.52499999999998</v>
      </c>
      <c r="F73" s="21">
        <f t="shared" ca="1" si="5"/>
        <v>0</v>
      </c>
      <c r="G73" s="21">
        <f>'Monthly Data'!Z73</f>
        <v>2</v>
      </c>
      <c r="H73" s="21">
        <f>'Monthly Data'!CF73</f>
        <v>0</v>
      </c>
      <c r="I73" s="21">
        <f>'Monthly Data'!CV73</f>
        <v>0.25</v>
      </c>
      <c r="J73" s="21">
        <f>'Monthly Data'!CS73</f>
        <v>31</v>
      </c>
      <c r="K73" s="21">
        <f>'Monthly Data'!CM73</f>
        <v>72</v>
      </c>
      <c r="L73" s="21">
        <f>'Monthly Data'!CK73</f>
        <v>0</v>
      </c>
      <c r="N73" s="11">
        <f>'Large Use Predicted Monthly'!$AB$10</f>
        <v>-5783820.4539120998</v>
      </c>
      <c r="O73" s="11">
        <f ca="1">E73*'Large Use Predicted Monthly'!$AB$11</f>
        <v>292053.26284617657</v>
      </c>
      <c r="P73" s="11">
        <f ca="1">F73*'Large Use Predicted Monthly'!$AB$12</f>
        <v>0</v>
      </c>
      <c r="Q73" s="11">
        <f>G73*'Large Use Predicted Monthly'!$AB$13</f>
        <v>6999999.7151174396</v>
      </c>
      <c r="R73" s="11">
        <f>H73*'Large Use Predicted Monthly'!$AB$14</f>
        <v>0</v>
      </c>
      <c r="S73" s="11">
        <f>I73*'Large Use Predicted Monthly'!$AB$15</f>
        <v>-247280.156558282</v>
      </c>
      <c r="T73" s="11">
        <f>J73*'Large Use Predicted Monthly'!$AB$16</f>
        <v>10482494.861430187</v>
      </c>
      <c r="U73" s="11">
        <f>K73*'Large Use Predicted Monthly'!$AB$17</f>
        <v>1239867.9656420688</v>
      </c>
      <c r="V73" s="11">
        <f>L73*'Large Use Predicted Monthly'!$AB$18</f>
        <v>0</v>
      </c>
      <c r="W73" s="11">
        <f t="shared" ca="1" si="8"/>
        <v>12983315.19456549</v>
      </c>
    </row>
    <row r="74" spans="1:23" x14ac:dyDescent="0.2">
      <c r="A74" s="8">
        <f>'Monthly Data'!A74</f>
        <v>44927</v>
      </c>
      <c r="B74">
        <f t="shared" si="6"/>
        <v>2023</v>
      </c>
      <c r="C74">
        <f t="shared" si="7"/>
        <v>1</v>
      </c>
      <c r="D74" s="19">
        <f>'Monthly Data'!X74</f>
        <v>12735778.584634606</v>
      </c>
      <c r="E74" s="21">
        <f t="shared" ca="1" si="4"/>
        <v>566.30416666666667</v>
      </c>
      <c r="F74" s="21">
        <f t="shared" ca="1" si="5"/>
        <v>0</v>
      </c>
      <c r="G74" s="21">
        <f>'Monthly Data'!Z74</f>
        <v>2</v>
      </c>
      <c r="H74" s="21">
        <f>'Monthly Data'!CF74</f>
        <v>0</v>
      </c>
      <c r="I74" s="21">
        <f>'Monthly Data'!CV74</f>
        <v>0</v>
      </c>
      <c r="J74" s="21">
        <f>'Monthly Data'!CS74</f>
        <v>31</v>
      </c>
      <c r="K74" s="21">
        <f>'Monthly Data'!CM74</f>
        <v>73</v>
      </c>
      <c r="L74" s="21">
        <f>'Monthly Data'!CK74</f>
        <v>0</v>
      </c>
      <c r="N74" s="11">
        <f>'Large Use Predicted Monthly'!$AB$10</f>
        <v>-5783820.4539120998</v>
      </c>
      <c r="O74" s="11">
        <f ca="1">E74*'Large Use Predicted Monthly'!$AB$11</f>
        <v>349276.13038041285</v>
      </c>
      <c r="P74" s="11">
        <f ca="1">F74*'Large Use Predicted Monthly'!$AB$12</f>
        <v>0</v>
      </c>
      <c r="Q74" s="11">
        <f>G74*'Large Use Predicted Monthly'!$AB$13</f>
        <v>6999999.7151174396</v>
      </c>
      <c r="R74" s="11">
        <f>H74*'Large Use Predicted Monthly'!$AB$14</f>
        <v>0</v>
      </c>
      <c r="S74" s="11">
        <f>I74*'Large Use Predicted Monthly'!$AB$15</f>
        <v>0</v>
      </c>
      <c r="T74" s="11">
        <f>J74*'Large Use Predicted Monthly'!$AB$16</f>
        <v>10482494.861430187</v>
      </c>
      <c r="U74" s="11">
        <f>K74*'Large Use Predicted Monthly'!$AB$17</f>
        <v>1257088.3540537641</v>
      </c>
      <c r="V74" s="11">
        <f>L74*'Large Use Predicted Monthly'!$AB$18</f>
        <v>0</v>
      </c>
      <c r="W74" s="11">
        <f t="shared" ca="1" si="8"/>
        <v>13305038.607069703</v>
      </c>
    </row>
    <row r="75" spans="1:23" x14ac:dyDescent="0.2">
      <c r="A75" s="8">
        <f>'Monthly Data'!A75</f>
        <v>44958</v>
      </c>
      <c r="B75">
        <f t="shared" si="6"/>
        <v>2023</v>
      </c>
      <c r="C75">
        <f t="shared" si="7"/>
        <v>2</v>
      </c>
      <c r="D75" s="19">
        <f>'Monthly Data'!X75</f>
        <v>11767083.564607263</v>
      </c>
      <c r="E75" s="21">
        <f t="shared" ca="1" si="4"/>
        <v>483.54541666666665</v>
      </c>
      <c r="F75" s="21">
        <f t="shared" ca="1" si="5"/>
        <v>0</v>
      </c>
      <c r="G75" s="21">
        <f>'Monthly Data'!Z75</f>
        <v>2</v>
      </c>
      <c r="H75" s="21">
        <f>'Monthly Data'!CF75</f>
        <v>0</v>
      </c>
      <c r="I75" s="21">
        <f>'Monthly Data'!CV75</f>
        <v>0</v>
      </c>
      <c r="J75" s="21">
        <f>'Monthly Data'!CS75</f>
        <v>28</v>
      </c>
      <c r="K75" s="21">
        <f>'Monthly Data'!CM75</f>
        <v>74</v>
      </c>
      <c r="L75" s="21">
        <f>'Monthly Data'!CK75</f>
        <v>0</v>
      </c>
      <c r="N75" s="11">
        <f>'Large Use Predicted Monthly'!$AB$10</f>
        <v>-5783820.4539120998</v>
      </c>
      <c r="O75" s="11">
        <f ca="1">E75*'Large Use Predicted Monthly'!$AB$11</f>
        <v>298233.49701032462</v>
      </c>
      <c r="P75" s="11">
        <f ca="1">F75*'Large Use Predicted Monthly'!$AB$12</f>
        <v>0</v>
      </c>
      <c r="Q75" s="11">
        <f>G75*'Large Use Predicted Monthly'!$AB$13</f>
        <v>6999999.7151174396</v>
      </c>
      <c r="R75" s="11">
        <f>H75*'Large Use Predicted Monthly'!$AB$14</f>
        <v>0</v>
      </c>
      <c r="S75" s="11">
        <f>I75*'Large Use Predicted Monthly'!$AB$15</f>
        <v>0</v>
      </c>
      <c r="T75" s="11">
        <f>J75*'Large Use Predicted Monthly'!$AB$16</f>
        <v>9468059.8748401683</v>
      </c>
      <c r="U75" s="11">
        <f>K75*'Large Use Predicted Monthly'!$AB$17</f>
        <v>1274308.7424654595</v>
      </c>
      <c r="V75" s="11">
        <f>L75*'Large Use Predicted Monthly'!$AB$18</f>
        <v>0</v>
      </c>
      <c r="W75" s="11">
        <f t="shared" ca="1" si="8"/>
        <v>12256781.375521291</v>
      </c>
    </row>
    <row r="76" spans="1:23" x14ac:dyDescent="0.2">
      <c r="A76" s="8">
        <f>'Monthly Data'!A76</f>
        <v>44986</v>
      </c>
      <c r="B76">
        <f t="shared" si="6"/>
        <v>2023</v>
      </c>
      <c r="C76">
        <f t="shared" si="7"/>
        <v>3</v>
      </c>
      <c r="D76" s="19">
        <f>'Monthly Data'!X76</f>
        <v>13459049.055932319</v>
      </c>
      <c r="E76" s="21">
        <f t="shared" ca="1" si="4"/>
        <v>393.96333333333331</v>
      </c>
      <c r="F76" s="21">
        <f t="shared" ca="1" si="5"/>
        <v>0.93041666666666656</v>
      </c>
      <c r="G76" s="21">
        <f>'Monthly Data'!Z76</f>
        <v>2</v>
      </c>
      <c r="H76" s="21">
        <f>'Monthly Data'!CF76</f>
        <v>0</v>
      </c>
      <c r="I76" s="21">
        <f>'Monthly Data'!CV76</f>
        <v>0</v>
      </c>
      <c r="J76" s="21">
        <f>'Monthly Data'!CS76</f>
        <v>31</v>
      </c>
      <c r="K76" s="21">
        <f>'Monthly Data'!CM76</f>
        <v>75</v>
      </c>
      <c r="L76" s="21">
        <f>'Monthly Data'!CK76</f>
        <v>0</v>
      </c>
      <c r="N76" s="11">
        <f>'Large Use Predicted Monthly'!$AB$10</f>
        <v>-5783820.4539120998</v>
      </c>
      <c r="O76" s="11">
        <f ca="1">E76*'Large Use Predicted Monthly'!$AB$11</f>
        <v>242982.47598702469</v>
      </c>
      <c r="P76" s="11">
        <f ca="1">F76*'Large Use Predicted Monthly'!$AB$12</f>
        <v>12723.445625875136</v>
      </c>
      <c r="Q76" s="11">
        <f>G76*'Large Use Predicted Monthly'!$AB$13</f>
        <v>6999999.7151174396</v>
      </c>
      <c r="R76" s="11">
        <f>H76*'Large Use Predicted Monthly'!$AB$14</f>
        <v>0</v>
      </c>
      <c r="S76" s="11">
        <f>I76*'Large Use Predicted Monthly'!$AB$15</f>
        <v>0</v>
      </c>
      <c r="T76" s="11">
        <f>J76*'Large Use Predicted Monthly'!$AB$16</f>
        <v>10482494.861430187</v>
      </c>
      <c r="U76" s="11">
        <f>K76*'Large Use Predicted Monthly'!$AB$17</f>
        <v>1291529.1308771549</v>
      </c>
      <c r="V76" s="11">
        <f>L76*'Large Use Predicted Monthly'!$AB$18</f>
        <v>0</v>
      </c>
      <c r="W76" s="11">
        <f t="shared" ca="1" si="8"/>
        <v>13245909.17512558</v>
      </c>
    </row>
    <row r="77" spans="1:23" x14ac:dyDescent="0.2">
      <c r="A77" s="8">
        <f>'Monthly Data'!A77</f>
        <v>45017</v>
      </c>
      <c r="B77">
        <f t="shared" si="6"/>
        <v>2023</v>
      </c>
      <c r="C77">
        <f t="shared" si="7"/>
        <v>4</v>
      </c>
      <c r="D77" s="19">
        <f>'Monthly Data'!X77</f>
        <v>13160905.919451777</v>
      </c>
      <c r="E77" s="21">
        <f t="shared" ca="1" si="4"/>
        <v>226.60145833333337</v>
      </c>
      <c r="F77" s="21">
        <f t="shared" ca="1" si="5"/>
        <v>13.944166666666669</v>
      </c>
      <c r="G77" s="21">
        <f>'Monthly Data'!Z77</f>
        <v>2</v>
      </c>
      <c r="H77" s="21">
        <f>'Monthly Data'!CF77</f>
        <v>0</v>
      </c>
      <c r="I77" s="21">
        <f>'Monthly Data'!CV77</f>
        <v>0</v>
      </c>
      <c r="J77" s="21">
        <f>'Monthly Data'!CS77</f>
        <v>30</v>
      </c>
      <c r="K77" s="21">
        <f>'Monthly Data'!CM77</f>
        <v>76</v>
      </c>
      <c r="L77" s="21">
        <f>'Monthly Data'!CK77</f>
        <v>0</v>
      </c>
      <c r="N77" s="11">
        <f>'Large Use Predicted Monthly'!$AB$10</f>
        <v>-5783820.4539120998</v>
      </c>
      <c r="O77" s="11">
        <f ca="1">E77*'Large Use Predicted Monthly'!$AB$11</f>
        <v>139759.66479478791</v>
      </c>
      <c r="P77" s="11">
        <f ca="1">F77*'Large Use Predicted Monthly'!$AB$12</f>
        <v>190686.44483454432</v>
      </c>
      <c r="Q77" s="11">
        <f>G77*'Large Use Predicted Monthly'!$AB$13</f>
        <v>6999999.7151174396</v>
      </c>
      <c r="R77" s="11">
        <f>H77*'Large Use Predicted Monthly'!$AB$14</f>
        <v>0</v>
      </c>
      <c r="S77" s="11">
        <f>I77*'Large Use Predicted Monthly'!$AB$15</f>
        <v>0</v>
      </c>
      <c r="T77" s="11">
        <f>J77*'Large Use Predicted Monthly'!$AB$16</f>
        <v>10144349.865900181</v>
      </c>
      <c r="U77" s="11">
        <f>K77*'Large Use Predicted Monthly'!$AB$17</f>
        <v>1308749.5192888505</v>
      </c>
      <c r="V77" s="11">
        <f>L77*'Large Use Predicted Monthly'!$AB$18</f>
        <v>0</v>
      </c>
      <c r="W77" s="11">
        <f t="shared" ca="1" si="8"/>
        <v>12999724.756023703</v>
      </c>
    </row>
    <row r="78" spans="1:23" x14ac:dyDescent="0.2">
      <c r="A78" s="8">
        <f>'Monthly Data'!A78</f>
        <v>45047</v>
      </c>
      <c r="B78">
        <f t="shared" si="6"/>
        <v>2023</v>
      </c>
      <c r="C78">
        <f t="shared" si="7"/>
        <v>5</v>
      </c>
      <c r="D78" s="19">
        <f>'Monthly Data'!X78</f>
        <v>13788454.644214533</v>
      </c>
      <c r="E78" s="21">
        <f t="shared" ca="1" si="4"/>
        <v>65.335833333333326</v>
      </c>
      <c r="F78" s="21">
        <f t="shared" ref="F78:F133" ca="1" si="9">F66</f>
        <v>93.837916666666644</v>
      </c>
      <c r="G78" s="21">
        <f>'Monthly Data'!Z78</f>
        <v>2</v>
      </c>
      <c r="H78" s="21">
        <f>'Monthly Data'!CF78</f>
        <v>0</v>
      </c>
      <c r="I78" s="21">
        <f>'Monthly Data'!CV78</f>
        <v>0</v>
      </c>
      <c r="J78" s="21">
        <f>'Monthly Data'!CS78</f>
        <v>31</v>
      </c>
      <c r="K78" s="21">
        <f>'Monthly Data'!CM78</f>
        <v>77</v>
      </c>
      <c r="L78" s="21">
        <f>'Monthly Data'!CK78</f>
        <v>1</v>
      </c>
      <c r="N78" s="11">
        <f>'Large Use Predicted Monthly'!$AB$10</f>
        <v>-5783820.4539120998</v>
      </c>
      <c r="O78" s="11">
        <f ca="1">E78*'Large Use Predicted Monthly'!$AB$11</f>
        <v>40296.802292960208</v>
      </c>
      <c r="P78" s="11">
        <f ca="1">F78*'Large Use Predicted Monthly'!$AB$12</f>
        <v>1283233.2793770556</v>
      </c>
      <c r="Q78" s="11">
        <f>G78*'Large Use Predicted Monthly'!$AB$13</f>
        <v>6999999.7151174396</v>
      </c>
      <c r="R78" s="11">
        <f>H78*'Large Use Predicted Monthly'!$AB$14</f>
        <v>0</v>
      </c>
      <c r="S78" s="11">
        <f>I78*'Large Use Predicted Monthly'!$AB$15</f>
        <v>0</v>
      </c>
      <c r="T78" s="11">
        <f>J78*'Large Use Predicted Monthly'!$AB$16</f>
        <v>10482494.861430187</v>
      </c>
      <c r="U78" s="11">
        <f>K78*'Large Use Predicted Monthly'!$AB$17</f>
        <v>1325969.9077005459</v>
      </c>
      <c r="V78" s="11">
        <f>L78*'Large Use Predicted Monthly'!$AB$18</f>
        <v>-352058.92944720201</v>
      </c>
      <c r="W78" s="11">
        <f t="shared" ca="1" si="8"/>
        <v>13996115.182558885</v>
      </c>
    </row>
    <row r="79" spans="1:23" x14ac:dyDescent="0.2">
      <c r="A79" s="8">
        <f>'Monthly Data'!A79</f>
        <v>45078</v>
      </c>
      <c r="B79">
        <f t="shared" si="6"/>
        <v>2023</v>
      </c>
      <c r="C79">
        <f t="shared" si="7"/>
        <v>6</v>
      </c>
      <c r="D79" s="19">
        <f>'Monthly Data'!X79</f>
        <v>14703192.83696259</v>
      </c>
      <c r="E79" s="21">
        <f t="shared" ref="E79:E133" ca="1" si="10">E67</f>
        <v>3.0447916666666672</v>
      </c>
      <c r="F79" s="21">
        <f t="shared" ca="1" si="9"/>
        <v>214.81645833333337</v>
      </c>
      <c r="G79" s="21">
        <f>'Monthly Data'!Z79</f>
        <v>2</v>
      </c>
      <c r="H79" s="21">
        <f>'Monthly Data'!CF79</f>
        <v>0</v>
      </c>
      <c r="I79" s="21">
        <f>'Monthly Data'!CV79</f>
        <v>0</v>
      </c>
      <c r="J79" s="21">
        <f>'Monthly Data'!CS79</f>
        <v>30</v>
      </c>
      <c r="K79" s="21">
        <f>'Monthly Data'!CM79</f>
        <v>78</v>
      </c>
      <c r="L79" s="21">
        <f>'Monthly Data'!CK79</f>
        <v>1</v>
      </c>
      <c r="N79" s="11">
        <f>'Large Use Predicted Monthly'!$AB$10</f>
        <v>-5783820.4539120998</v>
      </c>
      <c r="O79" s="11">
        <f ca="1">E79*'Large Use Predicted Monthly'!$AB$11</f>
        <v>1877.9184645728276</v>
      </c>
      <c r="P79" s="11">
        <f ca="1">F79*'Large Use Predicted Monthly'!$AB$12</f>
        <v>2937614.5388058103</v>
      </c>
      <c r="Q79" s="11">
        <f>G79*'Large Use Predicted Monthly'!$AB$13</f>
        <v>6999999.7151174396</v>
      </c>
      <c r="R79" s="11">
        <f>H79*'Large Use Predicted Monthly'!$AB$14</f>
        <v>0</v>
      </c>
      <c r="S79" s="11">
        <f>I79*'Large Use Predicted Monthly'!$AB$15</f>
        <v>0</v>
      </c>
      <c r="T79" s="11">
        <f>J79*'Large Use Predicted Monthly'!$AB$16</f>
        <v>10144349.865900181</v>
      </c>
      <c r="U79" s="11">
        <f>K79*'Large Use Predicted Monthly'!$AB$17</f>
        <v>1343190.2961122412</v>
      </c>
      <c r="V79" s="11">
        <f>L79*'Large Use Predicted Monthly'!$AB$18</f>
        <v>-352058.92944720201</v>
      </c>
      <c r="W79" s="11">
        <f t="shared" ca="1" si="8"/>
        <v>15291152.951040944</v>
      </c>
    </row>
    <row r="80" spans="1:23" x14ac:dyDescent="0.2">
      <c r="A80" s="8">
        <f>'Monthly Data'!A80</f>
        <v>45108</v>
      </c>
      <c r="B80">
        <f t="shared" si="6"/>
        <v>2023</v>
      </c>
      <c r="C80">
        <f t="shared" si="7"/>
        <v>7</v>
      </c>
      <c r="D80" s="19">
        <f>'Monthly Data'!X80</f>
        <v>16655581.63047855</v>
      </c>
      <c r="E80" s="21">
        <f t="shared" ca="1" si="10"/>
        <v>0</v>
      </c>
      <c r="F80" s="21">
        <f t="shared" ca="1" si="9"/>
        <v>293.27145833333327</v>
      </c>
      <c r="G80" s="21">
        <f>'Monthly Data'!Z80</f>
        <v>2</v>
      </c>
      <c r="H80" s="21">
        <f>'Monthly Data'!CF80</f>
        <v>0</v>
      </c>
      <c r="I80" s="21">
        <f>'Monthly Data'!CV80</f>
        <v>0</v>
      </c>
      <c r="J80" s="21">
        <f>'Monthly Data'!CS80</f>
        <v>31</v>
      </c>
      <c r="K80" s="21">
        <f>'Monthly Data'!CM80</f>
        <v>79</v>
      </c>
      <c r="L80" s="21">
        <f>'Monthly Data'!CK80</f>
        <v>1</v>
      </c>
      <c r="N80" s="11">
        <f>'Large Use Predicted Monthly'!$AB$10</f>
        <v>-5783820.4539120998</v>
      </c>
      <c r="O80" s="11">
        <f ca="1">E80*'Large Use Predicted Monthly'!$AB$11</f>
        <v>0</v>
      </c>
      <c r="P80" s="11">
        <f ca="1">F80*'Large Use Predicted Monthly'!$AB$12</f>
        <v>4010486.4706406863</v>
      </c>
      <c r="Q80" s="11">
        <f>G80*'Large Use Predicted Monthly'!$AB$13</f>
        <v>6999999.7151174396</v>
      </c>
      <c r="R80" s="11">
        <f>H80*'Large Use Predicted Monthly'!$AB$14</f>
        <v>0</v>
      </c>
      <c r="S80" s="11">
        <f>I80*'Large Use Predicted Monthly'!$AB$15</f>
        <v>0</v>
      </c>
      <c r="T80" s="11">
        <f>J80*'Large Use Predicted Monthly'!$AB$16</f>
        <v>10482494.861430187</v>
      </c>
      <c r="U80" s="11">
        <f>K80*'Large Use Predicted Monthly'!$AB$17</f>
        <v>1360410.6845239366</v>
      </c>
      <c r="V80" s="11">
        <f>L80*'Large Use Predicted Monthly'!$AB$18</f>
        <v>-352058.92944720201</v>
      </c>
      <c r="W80" s="11">
        <f t="shared" ca="1" si="8"/>
        <v>16717512.348352948</v>
      </c>
    </row>
    <row r="81" spans="1:23" x14ac:dyDescent="0.2">
      <c r="A81" s="8">
        <f>'Monthly Data'!A81</f>
        <v>45139</v>
      </c>
      <c r="B81">
        <f t="shared" si="6"/>
        <v>2023</v>
      </c>
      <c r="C81">
        <f t="shared" si="7"/>
        <v>8</v>
      </c>
      <c r="D81" s="19">
        <f>'Monthly Data'!X81</f>
        <v>16706591.428423306</v>
      </c>
      <c r="E81" s="21">
        <f t="shared" ca="1" si="10"/>
        <v>0.27875000000000066</v>
      </c>
      <c r="F81" s="21">
        <f t="shared" ca="1" si="9"/>
        <v>257.85749999999996</v>
      </c>
      <c r="G81" s="21">
        <f>'Monthly Data'!Z81</f>
        <v>2</v>
      </c>
      <c r="H81" s="21">
        <f>'Monthly Data'!CF81</f>
        <v>0</v>
      </c>
      <c r="I81" s="21">
        <f>'Monthly Data'!CV81</f>
        <v>0</v>
      </c>
      <c r="J81" s="21">
        <f>'Monthly Data'!CS81</f>
        <v>31</v>
      </c>
      <c r="K81" s="21">
        <f>'Monthly Data'!CM81</f>
        <v>80</v>
      </c>
      <c r="L81" s="21">
        <f>'Monthly Data'!CK81</f>
        <v>1</v>
      </c>
      <c r="N81" s="11">
        <f>'Large Use Predicted Monthly'!$AB$10</f>
        <v>-5783820.4539120998</v>
      </c>
      <c r="O81" s="11">
        <f ca="1">E81*'Large Use Predicted Monthly'!$AB$11</f>
        <v>171.92301783088942</v>
      </c>
      <c r="P81" s="11">
        <f ca="1">F81*'Large Use Predicted Monthly'!$AB$12</f>
        <v>3526200.677625542</v>
      </c>
      <c r="Q81" s="11">
        <f>G81*'Large Use Predicted Monthly'!$AB$13</f>
        <v>6999999.7151174396</v>
      </c>
      <c r="R81" s="11">
        <f>H81*'Large Use Predicted Monthly'!$AB$14</f>
        <v>0</v>
      </c>
      <c r="S81" s="11">
        <f>I81*'Large Use Predicted Monthly'!$AB$15</f>
        <v>0</v>
      </c>
      <c r="T81" s="11">
        <f>J81*'Large Use Predicted Monthly'!$AB$16</f>
        <v>10482494.861430187</v>
      </c>
      <c r="U81" s="11">
        <f>K81*'Large Use Predicted Monthly'!$AB$17</f>
        <v>1377631.072935632</v>
      </c>
      <c r="V81" s="11">
        <f>L81*'Large Use Predicted Monthly'!$AB$18</f>
        <v>-352058.92944720201</v>
      </c>
      <c r="W81" s="11">
        <f t="shared" ca="1" si="8"/>
        <v>16250618.866767328</v>
      </c>
    </row>
    <row r="82" spans="1:23" x14ac:dyDescent="0.2">
      <c r="A82" s="8">
        <f>'Monthly Data'!A82</f>
        <v>45170</v>
      </c>
      <c r="B82">
        <f t="shared" si="6"/>
        <v>2023</v>
      </c>
      <c r="C82">
        <f t="shared" si="7"/>
        <v>9</v>
      </c>
      <c r="D82" s="19">
        <f>'Monthly Data'!X82</f>
        <v>15701047.359710263</v>
      </c>
      <c r="E82" s="21">
        <f t="shared" ca="1" si="10"/>
        <v>11.319999999999997</v>
      </c>
      <c r="F82" s="21">
        <f t="shared" ca="1" si="9"/>
        <v>155.75020833333332</v>
      </c>
      <c r="G82" s="21">
        <f>'Monthly Data'!Z82</f>
        <v>2</v>
      </c>
      <c r="H82" s="21">
        <f>'Monthly Data'!CF82</f>
        <v>1</v>
      </c>
      <c r="I82" s="21">
        <f>'Monthly Data'!CV82</f>
        <v>0</v>
      </c>
      <c r="J82" s="21">
        <f>'Monthly Data'!CS82</f>
        <v>30</v>
      </c>
      <c r="K82" s="21">
        <f>'Monthly Data'!CM82</f>
        <v>81</v>
      </c>
      <c r="L82" s="21">
        <f>'Monthly Data'!CK82</f>
        <v>0</v>
      </c>
      <c r="N82" s="11">
        <f>'Large Use Predicted Monthly'!$AB$10</f>
        <v>-5783820.4539120998</v>
      </c>
      <c r="O82" s="11">
        <f ca="1">E82*'Large Use Predicted Monthly'!$AB$11</f>
        <v>6981.7706254552941</v>
      </c>
      <c r="P82" s="11">
        <f ca="1">F82*'Large Use Predicted Monthly'!$AB$12</f>
        <v>2129883.7154836268</v>
      </c>
      <c r="Q82" s="11">
        <f>G82*'Large Use Predicted Monthly'!$AB$13</f>
        <v>6999999.7151174396</v>
      </c>
      <c r="R82" s="11">
        <f>H82*'Large Use Predicted Monthly'!$AB$14</f>
        <v>387000.72715245897</v>
      </c>
      <c r="S82" s="11">
        <f>I82*'Large Use Predicted Monthly'!$AB$15</f>
        <v>0</v>
      </c>
      <c r="T82" s="11">
        <f>J82*'Large Use Predicted Monthly'!$AB$16</f>
        <v>10144349.865900181</v>
      </c>
      <c r="U82" s="11">
        <f>K82*'Large Use Predicted Monthly'!$AB$17</f>
        <v>1394851.4613473273</v>
      </c>
      <c r="V82" s="11">
        <f>L82*'Large Use Predicted Monthly'!$AB$18</f>
        <v>0</v>
      </c>
      <c r="W82" s="11">
        <f t="shared" ca="1" si="8"/>
        <v>15279246.801714389</v>
      </c>
    </row>
    <row r="83" spans="1:23" x14ac:dyDescent="0.2">
      <c r="A83" s="8">
        <f>'Monthly Data'!A83</f>
        <v>45200</v>
      </c>
      <c r="B83">
        <f t="shared" si="6"/>
        <v>2023</v>
      </c>
      <c r="C83">
        <f t="shared" si="7"/>
        <v>10</v>
      </c>
      <c r="D83" s="19">
        <f>'Monthly Data'!X83</f>
        <v>14743057.004624922</v>
      </c>
      <c r="E83" s="21">
        <f t="shared" ca="1" si="10"/>
        <v>126.12583333333332</v>
      </c>
      <c r="F83" s="21">
        <f t="shared" ca="1" si="9"/>
        <v>45.238541666666677</v>
      </c>
      <c r="G83" s="21">
        <f>'Monthly Data'!Z83</f>
        <v>2</v>
      </c>
      <c r="H83" s="21">
        <f>'Monthly Data'!CF83</f>
        <v>1</v>
      </c>
      <c r="I83" s="21">
        <f>'Monthly Data'!CV83</f>
        <v>0</v>
      </c>
      <c r="J83" s="21">
        <f>'Monthly Data'!CS83</f>
        <v>31</v>
      </c>
      <c r="K83" s="21">
        <f>'Monthly Data'!CM83</f>
        <v>82</v>
      </c>
      <c r="L83" s="21">
        <f>'Monthly Data'!CK83</f>
        <v>0</v>
      </c>
      <c r="N83" s="11">
        <f>'Large Use Predicted Monthly'!$AB$10</f>
        <v>-5783820.4539120998</v>
      </c>
      <c r="O83" s="11">
        <f ca="1">E83*'Large Use Predicted Monthly'!$AB$11</f>
        <v>77789.897374358392</v>
      </c>
      <c r="P83" s="11">
        <f ca="1">F83*'Large Use Predicted Monthly'!$AB$12</f>
        <v>618636.94590923819</v>
      </c>
      <c r="Q83" s="11">
        <f>G83*'Large Use Predicted Monthly'!$AB$13</f>
        <v>6999999.7151174396</v>
      </c>
      <c r="R83" s="11">
        <f>H83*'Large Use Predicted Monthly'!$AB$14</f>
        <v>387000.72715245897</v>
      </c>
      <c r="S83" s="11">
        <f>I83*'Large Use Predicted Monthly'!$AB$15</f>
        <v>0</v>
      </c>
      <c r="T83" s="11">
        <f>J83*'Large Use Predicted Monthly'!$AB$16</f>
        <v>10482494.861430187</v>
      </c>
      <c r="U83" s="11">
        <f>K83*'Large Use Predicted Monthly'!$AB$17</f>
        <v>1412071.8497590227</v>
      </c>
      <c r="V83" s="11">
        <f>L83*'Large Use Predicted Monthly'!$AB$18</f>
        <v>0</v>
      </c>
      <c r="W83" s="11">
        <f t="shared" ca="1" si="8"/>
        <v>14194173.542830605</v>
      </c>
    </row>
    <row r="84" spans="1:23" x14ac:dyDescent="0.2">
      <c r="A84" s="8">
        <f>'Monthly Data'!A84</f>
        <v>45231</v>
      </c>
      <c r="B84">
        <f t="shared" si="6"/>
        <v>2023</v>
      </c>
      <c r="C84">
        <f t="shared" si="7"/>
        <v>11</v>
      </c>
      <c r="D84" s="19">
        <f>'Monthly Data'!X84</f>
        <v>13765936.609469777</v>
      </c>
      <c r="E84" s="21">
        <f t="shared" ca="1" si="10"/>
        <v>312.40687500000001</v>
      </c>
      <c r="F84" s="21">
        <f t="shared" ca="1" si="9"/>
        <v>3.6587500000000004</v>
      </c>
      <c r="G84" s="21">
        <f>'Monthly Data'!Z84</f>
        <v>2</v>
      </c>
      <c r="H84" s="21">
        <f>'Monthly Data'!CF84</f>
        <v>1</v>
      </c>
      <c r="I84" s="21">
        <f>'Monthly Data'!CV84</f>
        <v>0</v>
      </c>
      <c r="J84" s="21">
        <f>'Monthly Data'!CS84</f>
        <v>30</v>
      </c>
      <c r="K84" s="21">
        <f>'Monthly Data'!CM84</f>
        <v>83</v>
      </c>
      <c r="L84" s="21">
        <f>'Monthly Data'!CK84</f>
        <v>0</v>
      </c>
      <c r="N84" s="11">
        <f>'Large Use Predicted Monthly'!$AB$10</f>
        <v>-5783820.4539120998</v>
      </c>
      <c r="O84" s="11">
        <f ca="1">E84*'Large Use Predicted Monthly'!$AB$11</f>
        <v>192681.37306230428</v>
      </c>
      <c r="P84" s="11">
        <f ca="1">F84*'Large Use Predicted Monthly'!$AB$12</f>
        <v>50033.39724174187</v>
      </c>
      <c r="Q84" s="11">
        <f>G84*'Large Use Predicted Monthly'!$AB$13</f>
        <v>6999999.7151174396</v>
      </c>
      <c r="R84" s="11">
        <f>H84*'Large Use Predicted Monthly'!$AB$14</f>
        <v>387000.72715245897</v>
      </c>
      <c r="S84" s="11">
        <f>I84*'Large Use Predicted Monthly'!$AB$15</f>
        <v>0</v>
      </c>
      <c r="T84" s="11">
        <f>J84*'Large Use Predicted Monthly'!$AB$16</f>
        <v>10144349.865900181</v>
      </c>
      <c r="U84" s="11">
        <f>K84*'Large Use Predicted Monthly'!$AB$17</f>
        <v>1429292.2381707181</v>
      </c>
      <c r="V84" s="11">
        <f>L84*'Large Use Predicted Monthly'!$AB$18</f>
        <v>0</v>
      </c>
      <c r="W84" s="11">
        <f t="shared" ca="1" si="8"/>
        <v>13419536.862732744</v>
      </c>
    </row>
    <row r="85" spans="1:23" x14ac:dyDescent="0.2">
      <c r="A85" s="8">
        <f>'Monthly Data'!A85</f>
        <v>45261</v>
      </c>
      <c r="B85">
        <f t="shared" si="6"/>
        <v>2023</v>
      </c>
      <c r="C85">
        <f t="shared" si="7"/>
        <v>12</v>
      </c>
      <c r="D85" s="19">
        <f>'Monthly Data'!X85</f>
        <v>13779390.384411534</v>
      </c>
      <c r="E85" s="21">
        <f t="shared" ca="1" si="10"/>
        <v>473.52499999999998</v>
      </c>
      <c r="F85" s="21">
        <f t="shared" ca="1" si="9"/>
        <v>0</v>
      </c>
      <c r="G85" s="21">
        <f>'Monthly Data'!Z85</f>
        <v>2</v>
      </c>
      <c r="H85" s="21">
        <f>'Monthly Data'!CF85</f>
        <v>0</v>
      </c>
      <c r="I85" s="21">
        <f>'Monthly Data'!CV85</f>
        <v>0</v>
      </c>
      <c r="J85" s="21">
        <f>'Monthly Data'!CS85</f>
        <v>31</v>
      </c>
      <c r="K85" s="21">
        <f>'Monthly Data'!CM85</f>
        <v>84</v>
      </c>
      <c r="L85" s="21">
        <f>'Monthly Data'!CK85</f>
        <v>0</v>
      </c>
      <c r="N85" s="11">
        <f>'Large Use Predicted Monthly'!$AB$10</f>
        <v>-5783820.4539120998</v>
      </c>
      <c r="O85" s="11">
        <f ca="1">E85*'Large Use Predicted Monthly'!$AB$11</f>
        <v>292053.26284617657</v>
      </c>
      <c r="P85" s="11">
        <f ca="1">F85*'Large Use Predicted Monthly'!$AB$12</f>
        <v>0</v>
      </c>
      <c r="Q85" s="11">
        <f>G85*'Large Use Predicted Monthly'!$AB$13</f>
        <v>6999999.7151174396</v>
      </c>
      <c r="R85" s="11">
        <f>H85*'Large Use Predicted Monthly'!$AB$14</f>
        <v>0</v>
      </c>
      <c r="S85" s="11">
        <f>I85*'Large Use Predicted Monthly'!$AB$15</f>
        <v>0</v>
      </c>
      <c r="T85" s="11">
        <f>J85*'Large Use Predicted Monthly'!$AB$16</f>
        <v>10482494.861430187</v>
      </c>
      <c r="U85" s="11">
        <f>K85*'Large Use Predicted Monthly'!$AB$17</f>
        <v>1446512.6265824134</v>
      </c>
      <c r="V85" s="11">
        <f>L85*'Large Use Predicted Monthly'!$AB$18</f>
        <v>0</v>
      </c>
      <c r="W85" s="11">
        <f t="shared" ca="1" si="8"/>
        <v>13437240.012064118</v>
      </c>
    </row>
    <row r="86" spans="1:23" x14ac:dyDescent="0.2">
      <c r="A86" s="8">
        <f>'Monthly Data'!A86</f>
        <v>45292</v>
      </c>
      <c r="B86">
        <f t="shared" si="6"/>
        <v>2024</v>
      </c>
      <c r="C86">
        <f t="shared" si="7"/>
        <v>1</v>
      </c>
      <c r="D86" s="19">
        <f>'Monthly Data'!X86</f>
        <v>14260589.724485524</v>
      </c>
      <c r="E86" s="21">
        <f t="shared" ca="1" si="10"/>
        <v>566.30416666666667</v>
      </c>
      <c r="F86" s="21">
        <f t="shared" ca="1" si="9"/>
        <v>0</v>
      </c>
      <c r="G86" s="21">
        <f>'Monthly Data'!Z86</f>
        <v>2</v>
      </c>
      <c r="H86" s="21">
        <f>'Monthly Data'!CF86</f>
        <v>0</v>
      </c>
      <c r="I86" s="21">
        <f>'Monthly Data'!CV86</f>
        <v>0</v>
      </c>
      <c r="J86" s="21">
        <f>'Monthly Data'!CS86</f>
        <v>31</v>
      </c>
      <c r="K86" s="21">
        <f>'Monthly Data'!CM86</f>
        <v>85</v>
      </c>
      <c r="L86" s="21">
        <f>'Monthly Data'!CK86</f>
        <v>0</v>
      </c>
      <c r="N86" s="11">
        <f>'Large Use Predicted Monthly'!$AB$10</f>
        <v>-5783820.4539120998</v>
      </c>
      <c r="O86" s="11">
        <f ca="1">E86*'Large Use Predicted Monthly'!$AB$11</f>
        <v>349276.13038041285</v>
      </c>
      <c r="P86" s="11">
        <f ca="1">F86*'Large Use Predicted Monthly'!$AB$12</f>
        <v>0</v>
      </c>
      <c r="Q86" s="11">
        <f>G86*'Large Use Predicted Monthly'!$AB$13</f>
        <v>6999999.7151174396</v>
      </c>
      <c r="R86" s="11">
        <f>H86*'Large Use Predicted Monthly'!$AB$14</f>
        <v>0</v>
      </c>
      <c r="S86" s="11">
        <f>I86*'Large Use Predicted Monthly'!$AB$15</f>
        <v>0</v>
      </c>
      <c r="T86" s="11">
        <f>J86*'Large Use Predicted Monthly'!$AB$16</f>
        <v>10482494.861430187</v>
      </c>
      <c r="U86" s="11">
        <f>K86*'Large Use Predicted Monthly'!$AB$17</f>
        <v>1463733.014994109</v>
      </c>
      <c r="V86" s="11">
        <f>L86*'Large Use Predicted Monthly'!$AB$18</f>
        <v>0</v>
      </c>
      <c r="W86" s="11">
        <f t="shared" ca="1" si="8"/>
        <v>13511683.268010048</v>
      </c>
    </row>
    <row r="87" spans="1:23" x14ac:dyDescent="0.2">
      <c r="A87" s="8">
        <f>'Monthly Data'!A87</f>
        <v>45323</v>
      </c>
      <c r="B87">
        <f t="shared" si="6"/>
        <v>2024</v>
      </c>
      <c r="C87">
        <f t="shared" si="7"/>
        <v>2</v>
      </c>
      <c r="D87" s="19">
        <f>'Monthly Data'!X87</f>
        <v>13283794.127959238</v>
      </c>
      <c r="E87" s="21">
        <f t="shared" ca="1" si="10"/>
        <v>483.54541666666665</v>
      </c>
      <c r="F87" s="21">
        <f t="shared" ca="1" si="9"/>
        <v>0</v>
      </c>
      <c r="G87" s="21">
        <f>'Monthly Data'!Z87</f>
        <v>2</v>
      </c>
      <c r="H87" s="21">
        <f>'Monthly Data'!CF87</f>
        <v>0</v>
      </c>
      <c r="I87" s="21">
        <f>'Monthly Data'!CV87</f>
        <v>0</v>
      </c>
      <c r="J87" s="21">
        <f>'Monthly Data'!CS87</f>
        <v>29</v>
      </c>
      <c r="K87" s="21">
        <f>'Monthly Data'!CM87</f>
        <v>86</v>
      </c>
      <c r="L87" s="21">
        <f>'Monthly Data'!CK87</f>
        <v>0</v>
      </c>
      <c r="N87" s="11">
        <f>'Large Use Predicted Monthly'!$AB$10</f>
        <v>-5783820.4539120998</v>
      </c>
      <c r="O87" s="11">
        <f ca="1">E87*'Large Use Predicted Monthly'!$AB$11</f>
        <v>298233.49701032462</v>
      </c>
      <c r="P87" s="11">
        <f ca="1">F87*'Large Use Predicted Monthly'!$AB$12</f>
        <v>0</v>
      </c>
      <c r="Q87" s="11">
        <f>G87*'Large Use Predicted Monthly'!$AB$13</f>
        <v>6999999.7151174396</v>
      </c>
      <c r="R87" s="11">
        <f>H87*'Large Use Predicted Monthly'!$AB$14</f>
        <v>0</v>
      </c>
      <c r="S87" s="11">
        <f>I87*'Large Use Predicted Monthly'!$AB$15</f>
        <v>0</v>
      </c>
      <c r="T87" s="11">
        <f>J87*'Large Use Predicted Monthly'!$AB$16</f>
        <v>9806204.8703701738</v>
      </c>
      <c r="U87" s="11">
        <f>K87*'Large Use Predicted Monthly'!$AB$17</f>
        <v>1480953.4034058044</v>
      </c>
      <c r="V87" s="11">
        <f>L87*'Large Use Predicted Monthly'!$AB$18</f>
        <v>0</v>
      </c>
      <c r="W87" s="11">
        <f t="shared" ca="1" si="8"/>
        <v>12801571.031991642</v>
      </c>
    </row>
    <row r="88" spans="1:23" x14ac:dyDescent="0.2">
      <c r="A88" s="8">
        <f>'Monthly Data'!A88</f>
        <v>45352</v>
      </c>
      <c r="B88">
        <f t="shared" si="6"/>
        <v>2024</v>
      </c>
      <c r="C88">
        <f t="shared" si="7"/>
        <v>3</v>
      </c>
      <c r="D88" s="19">
        <f>'Monthly Data'!X88</f>
        <v>14003296.408531051</v>
      </c>
      <c r="E88" s="21">
        <f t="shared" ca="1" si="10"/>
        <v>393.96333333333331</v>
      </c>
      <c r="F88" s="21">
        <f t="shared" ca="1" si="9"/>
        <v>0.93041666666666656</v>
      </c>
      <c r="G88" s="21">
        <f>'Monthly Data'!Z88</f>
        <v>2</v>
      </c>
      <c r="H88" s="21">
        <f>'Monthly Data'!CF88</f>
        <v>0</v>
      </c>
      <c r="I88" s="21">
        <f>'Monthly Data'!CV88</f>
        <v>0</v>
      </c>
      <c r="J88" s="21">
        <f>'Monthly Data'!CS88</f>
        <v>31</v>
      </c>
      <c r="K88" s="21">
        <f>'Monthly Data'!CM88</f>
        <v>87</v>
      </c>
      <c r="L88" s="21">
        <f>'Monthly Data'!CK88</f>
        <v>0</v>
      </c>
      <c r="N88" s="11">
        <f>'Large Use Predicted Monthly'!$AB$10</f>
        <v>-5783820.4539120998</v>
      </c>
      <c r="O88" s="11">
        <f ca="1">E88*'Large Use Predicted Monthly'!$AB$11</f>
        <v>242982.47598702469</v>
      </c>
      <c r="P88" s="11">
        <f ca="1">F88*'Large Use Predicted Monthly'!$AB$12</f>
        <v>12723.445625875136</v>
      </c>
      <c r="Q88" s="11">
        <f>G88*'Large Use Predicted Monthly'!$AB$13</f>
        <v>6999999.7151174396</v>
      </c>
      <c r="R88" s="11">
        <f>H88*'Large Use Predicted Monthly'!$AB$14</f>
        <v>0</v>
      </c>
      <c r="S88" s="11">
        <f>I88*'Large Use Predicted Monthly'!$AB$15</f>
        <v>0</v>
      </c>
      <c r="T88" s="11">
        <f>J88*'Large Use Predicted Monthly'!$AB$16</f>
        <v>10482494.861430187</v>
      </c>
      <c r="U88" s="11">
        <f>K88*'Large Use Predicted Monthly'!$AB$17</f>
        <v>1498173.7918174998</v>
      </c>
      <c r="V88" s="11">
        <f>L88*'Large Use Predicted Monthly'!$AB$18</f>
        <v>0</v>
      </c>
      <c r="W88" s="11">
        <f t="shared" ca="1" si="8"/>
        <v>13452553.836065926</v>
      </c>
    </row>
    <row r="89" spans="1:23" x14ac:dyDescent="0.2">
      <c r="A89" s="8">
        <f>'Monthly Data'!A89</f>
        <v>45383</v>
      </c>
      <c r="B89">
        <f t="shared" si="6"/>
        <v>2024</v>
      </c>
      <c r="C89">
        <f t="shared" si="7"/>
        <v>4</v>
      </c>
      <c r="D89" s="19">
        <f>'Monthly Data'!X89</f>
        <v>13877323.379148966</v>
      </c>
      <c r="E89" s="21">
        <f t="shared" ca="1" si="10"/>
        <v>226.60145833333337</v>
      </c>
      <c r="F89" s="21">
        <f t="shared" ca="1" si="9"/>
        <v>13.944166666666669</v>
      </c>
      <c r="G89" s="21">
        <f>'Monthly Data'!Z89</f>
        <v>2</v>
      </c>
      <c r="H89" s="21">
        <f>'Monthly Data'!CF89</f>
        <v>0</v>
      </c>
      <c r="I89" s="21">
        <f>'Monthly Data'!CV89</f>
        <v>0</v>
      </c>
      <c r="J89" s="21">
        <f>'Monthly Data'!CS89</f>
        <v>30</v>
      </c>
      <c r="K89" s="21">
        <f>'Monthly Data'!CM89</f>
        <v>88</v>
      </c>
      <c r="L89" s="21">
        <f>'Monthly Data'!CK89</f>
        <v>0</v>
      </c>
      <c r="N89" s="11">
        <f>'Large Use Predicted Monthly'!$AB$10</f>
        <v>-5783820.4539120998</v>
      </c>
      <c r="O89" s="11">
        <f ca="1">E89*'Large Use Predicted Monthly'!$AB$11</f>
        <v>139759.66479478791</v>
      </c>
      <c r="P89" s="11">
        <f ca="1">F89*'Large Use Predicted Monthly'!$AB$12</f>
        <v>190686.44483454432</v>
      </c>
      <c r="Q89" s="11">
        <f>G89*'Large Use Predicted Monthly'!$AB$13</f>
        <v>6999999.7151174396</v>
      </c>
      <c r="R89" s="11">
        <f>H89*'Large Use Predicted Monthly'!$AB$14</f>
        <v>0</v>
      </c>
      <c r="S89" s="11">
        <f>I89*'Large Use Predicted Monthly'!$AB$15</f>
        <v>0</v>
      </c>
      <c r="T89" s="11">
        <f>J89*'Large Use Predicted Monthly'!$AB$16</f>
        <v>10144349.865900181</v>
      </c>
      <c r="U89" s="11">
        <f>K89*'Large Use Predicted Monthly'!$AB$17</f>
        <v>1515394.1802291952</v>
      </c>
      <c r="V89" s="11">
        <f>L89*'Large Use Predicted Monthly'!$AB$18</f>
        <v>0</v>
      </c>
      <c r="W89" s="11">
        <f t="shared" ca="1" si="8"/>
        <v>13206369.416964047</v>
      </c>
    </row>
    <row r="90" spans="1:23" x14ac:dyDescent="0.2">
      <c r="A90" s="8">
        <f>'Monthly Data'!A90</f>
        <v>45413</v>
      </c>
      <c r="B90">
        <f t="shared" si="6"/>
        <v>2024</v>
      </c>
      <c r="C90">
        <f t="shared" si="7"/>
        <v>5</v>
      </c>
      <c r="D90" s="19">
        <f>'Monthly Data'!X90</f>
        <v>15404708.31516158</v>
      </c>
      <c r="E90" s="21">
        <f t="shared" ca="1" si="10"/>
        <v>65.335833333333326</v>
      </c>
      <c r="F90" s="21">
        <f t="shared" ca="1" si="9"/>
        <v>93.837916666666644</v>
      </c>
      <c r="G90" s="21">
        <f>'Monthly Data'!Z90</f>
        <v>2</v>
      </c>
      <c r="H90" s="21">
        <f>'Monthly Data'!CF90</f>
        <v>0</v>
      </c>
      <c r="I90" s="21">
        <f>'Monthly Data'!CV90</f>
        <v>0</v>
      </c>
      <c r="J90" s="21">
        <f>'Monthly Data'!CS90</f>
        <v>31</v>
      </c>
      <c r="K90" s="21">
        <f>'Monthly Data'!CM90</f>
        <v>89</v>
      </c>
      <c r="L90" s="21">
        <f>'Monthly Data'!CK90</f>
        <v>1</v>
      </c>
      <c r="N90" s="11">
        <f>'Large Use Predicted Monthly'!$AB$10</f>
        <v>-5783820.4539120998</v>
      </c>
      <c r="O90" s="11">
        <f ca="1">E90*'Large Use Predicted Monthly'!$AB$11</f>
        <v>40296.802292960208</v>
      </c>
      <c r="P90" s="11">
        <f ca="1">F90*'Large Use Predicted Monthly'!$AB$12</f>
        <v>1283233.2793770556</v>
      </c>
      <c r="Q90" s="11">
        <f>G90*'Large Use Predicted Monthly'!$AB$13</f>
        <v>6999999.7151174396</v>
      </c>
      <c r="R90" s="11">
        <f>H90*'Large Use Predicted Monthly'!$AB$14</f>
        <v>0</v>
      </c>
      <c r="S90" s="11">
        <f>I90*'Large Use Predicted Monthly'!$AB$15</f>
        <v>0</v>
      </c>
      <c r="T90" s="11">
        <f>J90*'Large Use Predicted Monthly'!$AB$16</f>
        <v>10482494.861430187</v>
      </c>
      <c r="U90" s="11">
        <f>K90*'Large Use Predicted Monthly'!$AB$17</f>
        <v>1532614.5686408905</v>
      </c>
      <c r="V90" s="11">
        <f>L90*'Large Use Predicted Monthly'!$AB$18</f>
        <v>-352058.92944720201</v>
      </c>
      <c r="W90" s="11">
        <f t="shared" ca="1" si="8"/>
        <v>14202759.84349923</v>
      </c>
    </row>
    <row r="91" spans="1:23" x14ac:dyDescent="0.2">
      <c r="A91" s="8">
        <f>'Monthly Data'!A91</f>
        <v>45444</v>
      </c>
      <c r="B91">
        <f t="shared" si="6"/>
        <v>2024</v>
      </c>
      <c r="C91">
        <f t="shared" si="7"/>
        <v>6</v>
      </c>
      <c r="D91" s="19">
        <f>'Monthly Data'!X91</f>
        <v>16166675.685287094</v>
      </c>
      <c r="E91" s="21">
        <f t="shared" ca="1" si="10"/>
        <v>3.0447916666666672</v>
      </c>
      <c r="F91" s="21">
        <f t="shared" ca="1" si="9"/>
        <v>214.81645833333337</v>
      </c>
      <c r="G91" s="21">
        <f>'Monthly Data'!Z91</f>
        <v>2</v>
      </c>
      <c r="H91" s="21">
        <f>'Monthly Data'!CF91</f>
        <v>0</v>
      </c>
      <c r="I91" s="21">
        <f>'Monthly Data'!CV91</f>
        <v>0</v>
      </c>
      <c r="J91" s="21">
        <f>'Monthly Data'!CS91</f>
        <v>30</v>
      </c>
      <c r="K91" s="21">
        <f>'Monthly Data'!CM91</f>
        <v>90</v>
      </c>
      <c r="L91" s="21">
        <f>'Monthly Data'!CK91</f>
        <v>1</v>
      </c>
      <c r="N91" s="11">
        <f>'Large Use Predicted Monthly'!$AB$10</f>
        <v>-5783820.4539120998</v>
      </c>
      <c r="O91" s="11">
        <f ca="1">E91*'Large Use Predicted Monthly'!$AB$11</f>
        <v>1877.9184645728276</v>
      </c>
      <c r="P91" s="11">
        <f ca="1">F91*'Large Use Predicted Monthly'!$AB$12</f>
        <v>2937614.5388058103</v>
      </c>
      <c r="Q91" s="11">
        <f>G91*'Large Use Predicted Monthly'!$AB$13</f>
        <v>6999999.7151174396</v>
      </c>
      <c r="R91" s="11">
        <f>H91*'Large Use Predicted Monthly'!$AB$14</f>
        <v>0</v>
      </c>
      <c r="S91" s="11">
        <f>I91*'Large Use Predicted Monthly'!$AB$15</f>
        <v>0</v>
      </c>
      <c r="T91" s="11">
        <f>J91*'Large Use Predicted Monthly'!$AB$16</f>
        <v>10144349.865900181</v>
      </c>
      <c r="U91" s="11">
        <f>K91*'Large Use Predicted Monthly'!$AB$17</f>
        <v>1549834.9570525859</v>
      </c>
      <c r="V91" s="11">
        <f>L91*'Large Use Predicted Monthly'!$AB$18</f>
        <v>-352058.92944720201</v>
      </c>
      <c r="W91" s="11">
        <f t="shared" ca="1" si="8"/>
        <v>15497797.611981289</v>
      </c>
    </row>
    <row r="92" spans="1:23" x14ac:dyDescent="0.2">
      <c r="A92" s="8">
        <f>'Monthly Data'!A92</f>
        <v>45474</v>
      </c>
      <c r="B92">
        <f t="shared" si="6"/>
        <v>2024</v>
      </c>
      <c r="C92">
        <f t="shared" si="7"/>
        <v>7</v>
      </c>
      <c r="D92" s="19">
        <f>'Monthly Data'!X92</f>
        <v>17648326.53122801</v>
      </c>
      <c r="E92" s="21">
        <f t="shared" ca="1" si="10"/>
        <v>0</v>
      </c>
      <c r="F92" s="21">
        <f t="shared" ca="1" si="9"/>
        <v>293.27145833333327</v>
      </c>
      <c r="G92" s="21">
        <f>'Monthly Data'!Z92</f>
        <v>2</v>
      </c>
      <c r="H92" s="21">
        <f>'Monthly Data'!CF92</f>
        <v>0</v>
      </c>
      <c r="I92" s="21">
        <f>'Monthly Data'!CV92</f>
        <v>0</v>
      </c>
      <c r="J92" s="21">
        <f>'Monthly Data'!CS92</f>
        <v>31</v>
      </c>
      <c r="K92" s="21">
        <f>'Monthly Data'!CM92</f>
        <v>91</v>
      </c>
      <c r="L92" s="21">
        <f>'Monthly Data'!CK92</f>
        <v>1</v>
      </c>
      <c r="N92" s="11">
        <f>'Large Use Predicted Monthly'!$AB$10</f>
        <v>-5783820.4539120998</v>
      </c>
      <c r="O92" s="11">
        <f ca="1">E92*'Large Use Predicted Monthly'!$AB$11</f>
        <v>0</v>
      </c>
      <c r="P92" s="11">
        <f ca="1">F92*'Large Use Predicted Monthly'!$AB$12</f>
        <v>4010486.4706406863</v>
      </c>
      <c r="Q92" s="11">
        <f>G92*'Large Use Predicted Monthly'!$AB$13</f>
        <v>6999999.7151174396</v>
      </c>
      <c r="R92" s="11">
        <f>H92*'Large Use Predicted Monthly'!$AB$14</f>
        <v>0</v>
      </c>
      <c r="S92" s="11">
        <f>I92*'Large Use Predicted Monthly'!$AB$15</f>
        <v>0</v>
      </c>
      <c r="T92" s="11">
        <f>J92*'Large Use Predicted Monthly'!$AB$16</f>
        <v>10482494.861430187</v>
      </c>
      <c r="U92" s="11">
        <f>K92*'Large Use Predicted Monthly'!$AB$17</f>
        <v>1567055.3454642813</v>
      </c>
      <c r="V92" s="11">
        <f>L92*'Large Use Predicted Monthly'!$AB$18</f>
        <v>-352058.92944720201</v>
      </c>
      <c r="W92" s="11">
        <f t="shared" ca="1" si="8"/>
        <v>16924157.009293295</v>
      </c>
    </row>
    <row r="93" spans="1:23" x14ac:dyDescent="0.2">
      <c r="A93" s="8">
        <f>'Monthly Data'!A93</f>
        <v>45505</v>
      </c>
      <c r="B93">
        <f t="shared" si="6"/>
        <v>2024</v>
      </c>
      <c r="C93">
        <f t="shared" si="7"/>
        <v>8</v>
      </c>
      <c r="D93" s="19">
        <f>'Monthly Data'!X93</f>
        <v>17363128.283993222</v>
      </c>
      <c r="E93" s="21">
        <f t="shared" ca="1" si="10"/>
        <v>0.27875000000000066</v>
      </c>
      <c r="F93" s="21">
        <f t="shared" ca="1" si="9"/>
        <v>257.85749999999996</v>
      </c>
      <c r="G93" s="21">
        <f>'Monthly Data'!Z93</f>
        <v>2</v>
      </c>
      <c r="H93" s="21">
        <f>'Monthly Data'!CF93</f>
        <v>0</v>
      </c>
      <c r="I93" s="21">
        <f>'Monthly Data'!CV93</f>
        <v>0</v>
      </c>
      <c r="J93" s="21">
        <f>'Monthly Data'!CS93</f>
        <v>31</v>
      </c>
      <c r="K93" s="21">
        <f>'Monthly Data'!CM93</f>
        <v>92</v>
      </c>
      <c r="L93" s="21">
        <f>'Monthly Data'!CK93</f>
        <v>1</v>
      </c>
      <c r="N93" s="11">
        <f>'Large Use Predicted Monthly'!$AB$10</f>
        <v>-5783820.4539120998</v>
      </c>
      <c r="O93" s="11">
        <f ca="1">E93*'Large Use Predicted Monthly'!$AB$11</f>
        <v>171.92301783088942</v>
      </c>
      <c r="P93" s="11">
        <f ca="1">F93*'Large Use Predicted Monthly'!$AB$12</f>
        <v>3526200.677625542</v>
      </c>
      <c r="Q93" s="11">
        <f>G93*'Large Use Predicted Monthly'!$AB$13</f>
        <v>6999999.7151174396</v>
      </c>
      <c r="R93" s="11">
        <f>H93*'Large Use Predicted Monthly'!$AB$14</f>
        <v>0</v>
      </c>
      <c r="S93" s="11">
        <f>I93*'Large Use Predicted Monthly'!$AB$15</f>
        <v>0</v>
      </c>
      <c r="T93" s="11">
        <f>J93*'Large Use Predicted Monthly'!$AB$16</f>
        <v>10482494.861430187</v>
      </c>
      <c r="U93" s="11">
        <f>K93*'Large Use Predicted Monthly'!$AB$17</f>
        <v>1584275.7338759769</v>
      </c>
      <c r="V93" s="11">
        <f>L93*'Large Use Predicted Monthly'!$AB$18</f>
        <v>-352058.92944720201</v>
      </c>
      <c r="W93" s="11">
        <f t="shared" ca="1" si="8"/>
        <v>16457263.527707675</v>
      </c>
    </row>
    <row r="94" spans="1:23" x14ac:dyDescent="0.2">
      <c r="A94" s="8">
        <f>'Monthly Data'!A94</f>
        <v>45536</v>
      </c>
      <c r="B94">
        <f t="shared" si="6"/>
        <v>2024</v>
      </c>
      <c r="C94">
        <f t="shared" si="7"/>
        <v>9</v>
      </c>
      <c r="D94" s="19">
        <f>'Monthly Data'!X94</f>
        <v>16364222.048419036</v>
      </c>
      <c r="E94" s="21">
        <f t="shared" ca="1" si="10"/>
        <v>11.319999999999997</v>
      </c>
      <c r="F94" s="21">
        <f t="shared" ca="1" si="9"/>
        <v>155.75020833333332</v>
      </c>
      <c r="G94" s="21">
        <f>'Monthly Data'!Z94</f>
        <v>2</v>
      </c>
      <c r="H94" s="21">
        <f>'Monthly Data'!CF94</f>
        <v>1</v>
      </c>
      <c r="I94" s="21">
        <f>'Monthly Data'!CV94</f>
        <v>0</v>
      </c>
      <c r="J94" s="21">
        <f>'Monthly Data'!CS94</f>
        <v>30</v>
      </c>
      <c r="K94" s="21">
        <f>'Monthly Data'!CM94</f>
        <v>93</v>
      </c>
      <c r="L94" s="21">
        <f>'Monthly Data'!CK94</f>
        <v>0</v>
      </c>
      <c r="N94" s="11">
        <f>'Large Use Predicted Monthly'!$AB$10</f>
        <v>-5783820.4539120998</v>
      </c>
      <c r="O94" s="11">
        <f ca="1">E94*'Large Use Predicted Monthly'!$AB$11</f>
        <v>6981.7706254552941</v>
      </c>
      <c r="P94" s="11">
        <f ca="1">F94*'Large Use Predicted Monthly'!$AB$12</f>
        <v>2129883.7154836268</v>
      </c>
      <c r="Q94" s="11">
        <f>G94*'Large Use Predicted Monthly'!$AB$13</f>
        <v>6999999.7151174396</v>
      </c>
      <c r="R94" s="11">
        <f>H94*'Large Use Predicted Monthly'!$AB$14</f>
        <v>387000.72715245897</v>
      </c>
      <c r="S94" s="11">
        <f>I94*'Large Use Predicted Monthly'!$AB$15</f>
        <v>0</v>
      </c>
      <c r="T94" s="11">
        <f>J94*'Large Use Predicted Monthly'!$AB$16</f>
        <v>10144349.865900181</v>
      </c>
      <c r="U94" s="11">
        <f>K94*'Large Use Predicted Monthly'!$AB$17</f>
        <v>1601496.1222876722</v>
      </c>
      <c r="V94" s="11">
        <f>L94*'Large Use Predicted Monthly'!$AB$18</f>
        <v>0</v>
      </c>
      <c r="W94" s="11">
        <f t="shared" ca="1" si="8"/>
        <v>15485891.462654734</v>
      </c>
    </row>
    <row r="95" spans="1:23" x14ac:dyDescent="0.2">
      <c r="A95" s="8">
        <f>'Monthly Data'!A95</f>
        <v>45566</v>
      </c>
      <c r="B95">
        <f t="shared" si="6"/>
        <v>2024</v>
      </c>
      <c r="C95">
        <f t="shared" si="7"/>
        <v>10</v>
      </c>
      <c r="D95" s="19">
        <f>'Monthly Data'!X95</f>
        <v>14807290.144618651</v>
      </c>
      <c r="E95" s="21">
        <f t="shared" ca="1" si="10"/>
        <v>126.12583333333332</v>
      </c>
      <c r="F95" s="21">
        <f t="shared" ca="1" si="9"/>
        <v>45.238541666666677</v>
      </c>
      <c r="G95" s="21">
        <f>'Monthly Data'!Z95</f>
        <v>2</v>
      </c>
      <c r="H95" s="21">
        <f>'Monthly Data'!CF95</f>
        <v>1</v>
      </c>
      <c r="I95" s="21">
        <f>'Monthly Data'!CV95</f>
        <v>0</v>
      </c>
      <c r="J95" s="21">
        <f>'Monthly Data'!CS95</f>
        <v>31</v>
      </c>
      <c r="K95" s="21">
        <f>'Monthly Data'!CM95</f>
        <v>94</v>
      </c>
      <c r="L95" s="21">
        <f>'Monthly Data'!CK95</f>
        <v>0</v>
      </c>
      <c r="N95" s="11">
        <f>'Large Use Predicted Monthly'!$AB$10</f>
        <v>-5783820.4539120998</v>
      </c>
      <c r="O95" s="11">
        <f ca="1">E95*'Large Use Predicted Monthly'!$AB$11</f>
        <v>77789.897374358392</v>
      </c>
      <c r="P95" s="11">
        <f ca="1">F95*'Large Use Predicted Monthly'!$AB$12</f>
        <v>618636.94590923819</v>
      </c>
      <c r="Q95" s="11">
        <f>G95*'Large Use Predicted Monthly'!$AB$13</f>
        <v>6999999.7151174396</v>
      </c>
      <c r="R95" s="11">
        <f>H95*'Large Use Predicted Monthly'!$AB$14</f>
        <v>387000.72715245897</v>
      </c>
      <c r="S95" s="11">
        <f>I95*'Large Use Predicted Monthly'!$AB$15</f>
        <v>0</v>
      </c>
      <c r="T95" s="11">
        <f>J95*'Large Use Predicted Monthly'!$AB$16</f>
        <v>10482494.861430187</v>
      </c>
      <c r="U95" s="11">
        <f>K95*'Large Use Predicted Monthly'!$AB$17</f>
        <v>1618716.5106993676</v>
      </c>
      <c r="V95" s="11">
        <f>L95*'Large Use Predicted Monthly'!$AB$18</f>
        <v>0</v>
      </c>
      <c r="W95" s="11">
        <f t="shared" ca="1" si="8"/>
        <v>14400818.203770949</v>
      </c>
    </row>
    <row r="96" spans="1:23" x14ac:dyDescent="0.2">
      <c r="A96" s="8">
        <f>'Monthly Data'!A96</f>
        <v>45597</v>
      </c>
      <c r="B96">
        <f t="shared" si="6"/>
        <v>2024</v>
      </c>
      <c r="C96">
        <f t="shared" si="7"/>
        <v>11</v>
      </c>
      <c r="D96" s="19">
        <f>'Monthly Data'!X96</f>
        <v>13992711.462041363</v>
      </c>
      <c r="E96" s="21">
        <f t="shared" ca="1" si="10"/>
        <v>312.40687500000001</v>
      </c>
      <c r="F96" s="21">
        <f t="shared" ca="1" si="9"/>
        <v>3.6587500000000004</v>
      </c>
      <c r="G96" s="21">
        <f>'Monthly Data'!Z96</f>
        <v>2</v>
      </c>
      <c r="H96" s="21">
        <f>'Monthly Data'!CF96</f>
        <v>1</v>
      </c>
      <c r="I96" s="21">
        <f>'Monthly Data'!CV96</f>
        <v>0</v>
      </c>
      <c r="J96" s="21">
        <f>'Monthly Data'!CS96</f>
        <v>30</v>
      </c>
      <c r="K96" s="21">
        <f>'Monthly Data'!CM96</f>
        <v>95</v>
      </c>
      <c r="L96" s="21">
        <f>'Monthly Data'!CK96</f>
        <v>0</v>
      </c>
      <c r="N96" s="11">
        <f>'Large Use Predicted Monthly'!$AB$10</f>
        <v>-5783820.4539120998</v>
      </c>
      <c r="O96" s="11">
        <f ca="1">E96*'Large Use Predicted Monthly'!$AB$11</f>
        <v>192681.37306230428</v>
      </c>
      <c r="P96" s="11">
        <f ca="1">F96*'Large Use Predicted Monthly'!$AB$12</f>
        <v>50033.39724174187</v>
      </c>
      <c r="Q96" s="11">
        <f>G96*'Large Use Predicted Monthly'!$AB$13</f>
        <v>6999999.7151174396</v>
      </c>
      <c r="R96" s="11">
        <f>H96*'Large Use Predicted Monthly'!$AB$14</f>
        <v>387000.72715245897</v>
      </c>
      <c r="S96" s="11">
        <f>I96*'Large Use Predicted Monthly'!$AB$15</f>
        <v>0</v>
      </c>
      <c r="T96" s="11">
        <f>J96*'Large Use Predicted Monthly'!$AB$16</f>
        <v>10144349.865900181</v>
      </c>
      <c r="U96" s="11">
        <f>K96*'Large Use Predicted Monthly'!$AB$17</f>
        <v>1635936.899111063</v>
      </c>
      <c r="V96" s="11">
        <f>L96*'Large Use Predicted Monthly'!$AB$18</f>
        <v>0</v>
      </c>
      <c r="W96" s="11">
        <f t="shared" ca="1" si="8"/>
        <v>13626181.523673087</v>
      </c>
    </row>
    <row r="97" spans="1:26" x14ac:dyDescent="0.2">
      <c r="A97" s="8">
        <f>'Monthly Data'!A97</f>
        <v>45627</v>
      </c>
      <c r="B97">
        <f t="shared" si="6"/>
        <v>2024</v>
      </c>
      <c r="C97">
        <f t="shared" si="7"/>
        <v>12</v>
      </c>
      <c r="D97" s="19">
        <f>'Monthly Data'!X97</f>
        <v>13601921.748472378</v>
      </c>
      <c r="E97" s="21">
        <f t="shared" ca="1" si="10"/>
        <v>473.52499999999998</v>
      </c>
      <c r="F97" s="21">
        <f t="shared" ca="1" si="9"/>
        <v>0</v>
      </c>
      <c r="G97" s="21">
        <f>'Monthly Data'!Z97</f>
        <v>2</v>
      </c>
      <c r="H97" s="21">
        <f>'Monthly Data'!CF97</f>
        <v>0</v>
      </c>
      <c r="I97" s="21">
        <f>'Monthly Data'!CV97</f>
        <v>0</v>
      </c>
      <c r="J97" s="21">
        <f>'Monthly Data'!CS97</f>
        <v>31</v>
      </c>
      <c r="K97" s="21">
        <f>'Monthly Data'!CM97</f>
        <v>96</v>
      </c>
      <c r="L97" s="21">
        <f>'Monthly Data'!CK97</f>
        <v>0</v>
      </c>
      <c r="N97" s="11">
        <f>'Large Use Predicted Monthly'!$AB$10</f>
        <v>-5783820.4539120998</v>
      </c>
      <c r="O97" s="11">
        <f ca="1">E97*'Large Use Predicted Monthly'!$AB$11</f>
        <v>292053.26284617657</v>
      </c>
      <c r="P97" s="11">
        <f ca="1">F97*'Large Use Predicted Monthly'!$AB$12</f>
        <v>0</v>
      </c>
      <c r="Q97" s="11">
        <f>G97*'Large Use Predicted Monthly'!$AB$13</f>
        <v>6999999.7151174396</v>
      </c>
      <c r="R97" s="11">
        <f>H97*'Large Use Predicted Monthly'!$AB$14</f>
        <v>0</v>
      </c>
      <c r="S97" s="11">
        <f>I97*'Large Use Predicted Monthly'!$AB$15</f>
        <v>0</v>
      </c>
      <c r="T97" s="11">
        <f>J97*'Large Use Predicted Monthly'!$AB$16</f>
        <v>10482494.861430187</v>
      </c>
      <c r="U97" s="11">
        <f>K97*'Large Use Predicted Monthly'!$AB$17</f>
        <v>1653157.2875227584</v>
      </c>
      <c r="V97" s="11">
        <f>L97*'Large Use Predicted Monthly'!$AB$18</f>
        <v>0</v>
      </c>
      <c r="W97" s="11">
        <f t="shared" ca="1" si="8"/>
        <v>13643884.673004463</v>
      </c>
    </row>
    <row r="98" spans="1:26" x14ac:dyDescent="0.2">
      <c r="A98" s="8">
        <f>'Monthly Data'!A98</f>
        <v>45658</v>
      </c>
      <c r="B98">
        <f t="shared" ref="B98:B109" si="11">YEAR(A98)</f>
        <v>2025</v>
      </c>
      <c r="C98">
        <f t="shared" ref="C98:C109" si="12">MONTH(A98)</f>
        <v>1</v>
      </c>
      <c r="D98" s="19">
        <f>'Monthly Data'!X98</f>
        <v>14361905.166353663</v>
      </c>
      <c r="E98" s="21">
        <f t="shared" ca="1" si="10"/>
        <v>566.30416666666667</v>
      </c>
      <c r="F98" s="21">
        <f t="shared" ca="1" si="9"/>
        <v>0</v>
      </c>
      <c r="G98" s="21">
        <f>'Monthly Data'!Z98</f>
        <v>2</v>
      </c>
      <c r="H98" s="21">
        <f>'Monthly Data'!CF98</f>
        <v>0</v>
      </c>
      <c r="I98" s="21">
        <f>'Monthly Data'!CV98</f>
        <v>0</v>
      </c>
      <c r="J98" s="21">
        <f>'Monthly Data'!CS98</f>
        <v>31</v>
      </c>
      <c r="K98" s="21">
        <f>'Monthly Data'!CM98</f>
        <v>97</v>
      </c>
      <c r="L98" s="21">
        <f>'Monthly Data'!CK98</f>
        <v>0</v>
      </c>
      <c r="N98" s="11">
        <f>'Large Use Predicted Monthly'!$AB$10</f>
        <v>-5783820.4539120998</v>
      </c>
      <c r="O98" s="11">
        <f ca="1">E98*'Large Use Predicted Monthly'!$AB$11</f>
        <v>349276.13038041285</v>
      </c>
      <c r="P98" s="11">
        <f ca="1">F98*'Large Use Predicted Monthly'!$AB$12</f>
        <v>0</v>
      </c>
      <c r="Q98" s="11">
        <f>G98*'Large Use Predicted Monthly'!$AB$13</f>
        <v>6999999.7151174396</v>
      </c>
      <c r="R98" s="11">
        <f>H98*'Large Use Predicted Monthly'!$AB$14</f>
        <v>0</v>
      </c>
      <c r="S98" s="11">
        <f>I98*'Large Use Predicted Monthly'!$AB$15</f>
        <v>0</v>
      </c>
      <c r="T98" s="11">
        <f>J98*'Large Use Predicted Monthly'!$AB$16</f>
        <v>10482494.861430187</v>
      </c>
      <c r="U98" s="11">
        <f>K98*'Large Use Predicted Monthly'!$AB$17</f>
        <v>1670377.6759344537</v>
      </c>
      <c r="V98" s="11">
        <f>L98*'Large Use Predicted Monthly'!$AB$18</f>
        <v>0</v>
      </c>
      <c r="W98" s="11">
        <f t="shared" ref="W98:W109" ca="1" si="13">SUM(N98:V98)</f>
        <v>13718327.928950394</v>
      </c>
    </row>
    <row r="99" spans="1:26" x14ac:dyDescent="0.2">
      <c r="A99" s="8">
        <f>'Monthly Data'!A99</f>
        <v>45689</v>
      </c>
      <c r="B99">
        <f t="shared" si="11"/>
        <v>2025</v>
      </c>
      <c r="C99">
        <f t="shared" si="12"/>
        <v>2</v>
      </c>
      <c r="D99" s="19">
        <f>'Monthly Data'!X99</f>
        <v>12945592.518201813</v>
      </c>
      <c r="E99" s="21">
        <f t="shared" ca="1" si="10"/>
        <v>483.54541666666665</v>
      </c>
      <c r="F99" s="21">
        <f t="shared" ca="1" si="9"/>
        <v>0</v>
      </c>
      <c r="G99" s="21">
        <f>'Monthly Data'!Z99</f>
        <v>2</v>
      </c>
      <c r="H99" s="21">
        <f>'Monthly Data'!CF99</f>
        <v>0</v>
      </c>
      <c r="I99" s="21">
        <f>'Monthly Data'!CV99</f>
        <v>0</v>
      </c>
      <c r="J99" s="21">
        <f>'Monthly Data'!CS99</f>
        <v>28</v>
      </c>
      <c r="K99" s="21">
        <f>'Monthly Data'!CM99</f>
        <v>98</v>
      </c>
      <c r="L99" s="21">
        <f>'Monthly Data'!CK99</f>
        <v>0</v>
      </c>
      <c r="N99" s="11">
        <f>'Large Use Predicted Monthly'!$AB$10</f>
        <v>-5783820.4539120998</v>
      </c>
      <c r="O99" s="11">
        <f ca="1">E99*'Large Use Predicted Monthly'!$AB$11</f>
        <v>298233.49701032462</v>
      </c>
      <c r="P99" s="11">
        <f ca="1">F99*'Large Use Predicted Monthly'!$AB$12</f>
        <v>0</v>
      </c>
      <c r="Q99" s="11">
        <f>G99*'Large Use Predicted Monthly'!$AB$13</f>
        <v>6999999.7151174396</v>
      </c>
      <c r="R99" s="11">
        <f>H99*'Large Use Predicted Monthly'!$AB$14</f>
        <v>0</v>
      </c>
      <c r="S99" s="11">
        <f>I99*'Large Use Predicted Monthly'!$AB$15</f>
        <v>0</v>
      </c>
      <c r="T99" s="11">
        <f>J99*'Large Use Predicted Monthly'!$AB$16</f>
        <v>9468059.8748401683</v>
      </c>
      <c r="U99" s="11">
        <f>K99*'Large Use Predicted Monthly'!$AB$17</f>
        <v>1687598.0643461491</v>
      </c>
      <c r="V99" s="11">
        <f>L99*'Large Use Predicted Monthly'!$AB$18</f>
        <v>0</v>
      </c>
      <c r="W99" s="11">
        <f t="shared" ca="1" si="13"/>
        <v>12670070.697401982</v>
      </c>
    </row>
    <row r="100" spans="1:26" x14ac:dyDescent="0.2">
      <c r="A100" s="8">
        <f>'Monthly Data'!A100</f>
        <v>45717</v>
      </c>
      <c r="B100">
        <f t="shared" si="11"/>
        <v>2025</v>
      </c>
      <c r="C100">
        <f t="shared" si="12"/>
        <v>3</v>
      </c>
      <c r="D100" s="19">
        <f>'Monthly Data'!X100</f>
        <v>14237317.45575696</v>
      </c>
      <c r="E100" s="21">
        <f t="shared" ca="1" si="10"/>
        <v>393.96333333333331</v>
      </c>
      <c r="F100" s="21">
        <f t="shared" ca="1" si="9"/>
        <v>0.93041666666666656</v>
      </c>
      <c r="G100" s="21">
        <f>'Monthly Data'!Z100</f>
        <v>2</v>
      </c>
      <c r="H100" s="21">
        <f>'Monthly Data'!CF100</f>
        <v>0</v>
      </c>
      <c r="I100" s="21">
        <f>'Monthly Data'!CV100</f>
        <v>0</v>
      </c>
      <c r="J100" s="21">
        <f>'Monthly Data'!CS100</f>
        <v>31</v>
      </c>
      <c r="K100" s="21">
        <f>'Monthly Data'!CM100</f>
        <v>99</v>
      </c>
      <c r="L100" s="21">
        <f>'Monthly Data'!CK100</f>
        <v>0</v>
      </c>
      <c r="N100" s="11">
        <f>'Large Use Predicted Monthly'!$AB$10</f>
        <v>-5783820.4539120998</v>
      </c>
      <c r="O100" s="11">
        <f ca="1">E100*'Large Use Predicted Monthly'!$AB$11</f>
        <v>242982.47598702469</v>
      </c>
      <c r="P100" s="11">
        <f ca="1">F100*'Large Use Predicted Monthly'!$AB$12</f>
        <v>12723.445625875136</v>
      </c>
      <c r="Q100" s="11">
        <f>G100*'Large Use Predicted Monthly'!$AB$13</f>
        <v>6999999.7151174396</v>
      </c>
      <c r="R100" s="11">
        <f>H100*'Large Use Predicted Monthly'!$AB$14</f>
        <v>0</v>
      </c>
      <c r="S100" s="11">
        <f>I100*'Large Use Predicted Monthly'!$AB$15</f>
        <v>0</v>
      </c>
      <c r="T100" s="11">
        <f>J100*'Large Use Predicted Monthly'!$AB$16</f>
        <v>10482494.861430187</v>
      </c>
      <c r="U100" s="11">
        <f>K100*'Large Use Predicted Monthly'!$AB$17</f>
        <v>1704818.4527578445</v>
      </c>
      <c r="V100" s="11">
        <f>L100*'Large Use Predicted Monthly'!$AB$18</f>
        <v>0</v>
      </c>
      <c r="W100" s="11">
        <f t="shared" ca="1" si="13"/>
        <v>13659198.497006271</v>
      </c>
      <c r="Y100" s="11"/>
      <c r="Z100" s="22"/>
    </row>
    <row r="101" spans="1:26" x14ac:dyDescent="0.2">
      <c r="A101" s="8">
        <f>'Monthly Data'!A101</f>
        <v>45748</v>
      </c>
      <c r="B101">
        <f t="shared" si="11"/>
        <v>2025</v>
      </c>
      <c r="C101">
        <f t="shared" si="12"/>
        <v>4</v>
      </c>
      <c r="D101" s="19">
        <f>'Monthly Data'!X101</f>
        <v>14137926.302662909</v>
      </c>
      <c r="E101" s="21">
        <f t="shared" ca="1" si="10"/>
        <v>226.60145833333337</v>
      </c>
      <c r="F101" s="21">
        <f t="shared" ca="1" si="9"/>
        <v>13.944166666666669</v>
      </c>
      <c r="G101" s="21">
        <f>'Monthly Data'!Z101</f>
        <v>2</v>
      </c>
      <c r="H101" s="21">
        <f>'Monthly Data'!CF101</f>
        <v>0</v>
      </c>
      <c r="I101" s="21">
        <f>'Monthly Data'!CV101</f>
        <v>0</v>
      </c>
      <c r="J101" s="21">
        <f>'Monthly Data'!CS101</f>
        <v>30</v>
      </c>
      <c r="K101" s="21">
        <f>'Monthly Data'!CM101</f>
        <v>100</v>
      </c>
      <c r="L101" s="21">
        <f>'Monthly Data'!CK101</f>
        <v>0</v>
      </c>
      <c r="N101" s="11">
        <f>'Large Use Predicted Monthly'!$AB$10</f>
        <v>-5783820.4539120998</v>
      </c>
      <c r="O101" s="11">
        <f ca="1">E101*'Large Use Predicted Monthly'!$AB$11</f>
        <v>139759.66479478791</v>
      </c>
      <c r="P101" s="11">
        <f ca="1">F101*'Large Use Predicted Monthly'!$AB$12</f>
        <v>190686.44483454432</v>
      </c>
      <c r="Q101" s="11">
        <f>G101*'Large Use Predicted Monthly'!$AB$13</f>
        <v>6999999.7151174396</v>
      </c>
      <c r="R101" s="11">
        <f>H101*'Large Use Predicted Monthly'!$AB$14</f>
        <v>0</v>
      </c>
      <c r="S101" s="11">
        <f>I101*'Large Use Predicted Monthly'!$AB$15</f>
        <v>0</v>
      </c>
      <c r="T101" s="11">
        <f>J101*'Large Use Predicted Monthly'!$AB$16</f>
        <v>10144349.865900181</v>
      </c>
      <c r="U101" s="11">
        <f>K101*'Large Use Predicted Monthly'!$AB$17</f>
        <v>1722038.8411695398</v>
      </c>
      <c r="V101" s="11">
        <f>L101*'Large Use Predicted Monthly'!$AB$18</f>
        <v>0</v>
      </c>
      <c r="W101" s="11">
        <f t="shared" ca="1" si="13"/>
        <v>13413014.077904392</v>
      </c>
      <c r="Y101" s="11"/>
      <c r="Z101" s="22"/>
    </row>
    <row r="102" spans="1:26" x14ac:dyDescent="0.2">
      <c r="A102" s="8">
        <f>'Monthly Data'!A102</f>
        <v>45778</v>
      </c>
      <c r="B102">
        <f t="shared" si="11"/>
        <v>2025</v>
      </c>
      <c r="C102">
        <f t="shared" si="12"/>
        <v>5</v>
      </c>
      <c r="D102" s="19">
        <f>'Monthly Data'!X102</f>
        <v>14378587.136586657</v>
      </c>
      <c r="E102" s="21">
        <f t="shared" ca="1" si="10"/>
        <v>65.335833333333326</v>
      </c>
      <c r="F102" s="21">
        <f t="shared" ca="1" si="9"/>
        <v>93.837916666666644</v>
      </c>
      <c r="G102" s="21">
        <f>'Monthly Data'!Z102</f>
        <v>2</v>
      </c>
      <c r="H102" s="21">
        <f>'Monthly Data'!CF102</f>
        <v>0</v>
      </c>
      <c r="I102" s="21">
        <f>'Monthly Data'!CV102</f>
        <v>0</v>
      </c>
      <c r="J102" s="21">
        <f>'Monthly Data'!CS102</f>
        <v>31</v>
      </c>
      <c r="K102" s="21">
        <f>'Monthly Data'!CM102</f>
        <v>101</v>
      </c>
      <c r="L102" s="21">
        <f>'Monthly Data'!CK102</f>
        <v>1</v>
      </c>
      <c r="N102" s="11">
        <f>'Large Use Predicted Monthly'!$AB$10</f>
        <v>-5783820.4539120998</v>
      </c>
      <c r="O102" s="11">
        <f ca="1">E102*'Large Use Predicted Monthly'!$AB$11</f>
        <v>40296.802292960208</v>
      </c>
      <c r="P102" s="11">
        <f ca="1">F102*'Large Use Predicted Monthly'!$AB$12</f>
        <v>1283233.2793770556</v>
      </c>
      <c r="Q102" s="11">
        <f>G102*'Large Use Predicted Monthly'!$AB$13</f>
        <v>6999999.7151174396</v>
      </c>
      <c r="R102" s="11">
        <f>H102*'Large Use Predicted Monthly'!$AB$14</f>
        <v>0</v>
      </c>
      <c r="S102" s="11">
        <f>I102*'Large Use Predicted Monthly'!$AB$15</f>
        <v>0</v>
      </c>
      <c r="T102" s="11">
        <f>J102*'Large Use Predicted Monthly'!$AB$16</f>
        <v>10482494.861430187</v>
      </c>
      <c r="U102" s="11">
        <f>K102*'Large Use Predicted Monthly'!$AB$17</f>
        <v>1739259.2295812354</v>
      </c>
      <c r="V102" s="11">
        <f>L102*'Large Use Predicted Monthly'!$AB$18</f>
        <v>-352058.92944720201</v>
      </c>
      <c r="W102" s="11">
        <f t="shared" ca="1" si="13"/>
        <v>14409404.504439574</v>
      </c>
      <c r="Y102" s="11"/>
      <c r="Z102" s="22"/>
    </row>
    <row r="103" spans="1:26" x14ac:dyDescent="0.2">
      <c r="A103" s="8">
        <f>'Monthly Data'!A103</f>
        <v>45809</v>
      </c>
      <c r="B103">
        <f t="shared" si="11"/>
        <v>2025</v>
      </c>
      <c r="C103">
        <f t="shared" si="12"/>
        <v>6</v>
      </c>
      <c r="D103" s="19">
        <f>'Monthly Data'!X103</f>
        <v>16220607.002538506</v>
      </c>
      <c r="E103" s="21">
        <f t="shared" ca="1" si="10"/>
        <v>3.0447916666666672</v>
      </c>
      <c r="F103" s="21">
        <f t="shared" ca="1" si="9"/>
        <v>214.81645833333337</v>
      </c>
      <c r="G103" s="21">
        <f>'Monthly Data'!Z103</f>
        <v>2</v>
      </c>
      <c r="H103" s="21">
        <f>'Monthly Data'!CF103</f>
        <v>0</v>
      </c>
      <c r="I103" s="21">
        <f>'Monthly Data'!CV103</f>
        <v>0</v>
      </c>
      <c r="J103" s="21">
        <f>'Monthly Data'!CS103</f>
        <v>30</v>
      </c>
      <c r="K103" s="21">
        <f>'Monthly Data'!CM103</f>
        <v>102</v>
      </c>
      <c r="L103" s="21">
        <f>'Monthly Data'!CK103</f>
        <v>1</v>
      </c>
      <c r="N103" s="11">
        <f>'Large Use Predicted Monthly'!$AB$10</f>
        <v>-5783820.4539120998</v>
      </c>
      <c r="O103" s="11">
        <f ca="1">E103*'Large Use Predicted Monthly'!$AB$11</f>
        <v>1877.9184645728276</v>
      </c>
      <c r="P103" s="11">
        <f ca="1">F103*'Large Use Predicted Monthly'!$AB$12</f>
        <v>2937614.5388058103</v>
      </c>
      <c r="Q103" s="11">
        <f>G103*'Large Use Predicted Monthly'!$AB$13</f>
        <v>6999999.7151174396</v>
      </c>
      <c r="R103" s="11">
        <f>H103*'Large Use Predicted Monthly'!$AB$14</f>
        <v>0</v>
      </c>
      <c r="S103" s="11">
        <f>I103*'Large Use Predicted Monthly'!$AB$15</f>
        <v>0</v>
      </c>
      <c r="T103" s="11">
        <f>J103*'Large Use Predicted Monthly'!$AB$16</f>
        <v>10144349.865900181</v>
      </c>
      <c r="U103" s="11">
        <f>K103*'Large Use Predicted Monthly'!$AB$17</f>
        <v>1756479.6179929308</v>
      </c>
      <c r="V103" s="11">
        <f>L103*'Large Use Predicted Monthly'!$AB$18</f>
        <v>-352058.92944720201</v>
      </c>
      <c r="W103" s="11">
        <f t="shared" ca="1" si="13"/>
        <v>15704442.272921633</v>
      </c>
      <c r="Y103" s="11"/>
      <c r="Z103" s="22"/>
    </row>
    <row r="104" spans="1:26" x14ac:dyDescent="0.2">
      <c r="A104" s="8">
        <f>'Monthly Data'!A104</f>
        <v>45839</v>
      </c>
      <c r="B104">
        <f t="shared" si="11"/>
        <v>2025</v>
      </c>
      <c r="C104">
        <f t="shared" si="12"/>
        <v>7</v>
      </c>
      <c r="D104" s="19">
        <f>'Monthly Data'!X104</f>
        <v>18141297.038824454</v>
      </c>
      <c r="E104" s="21">
        <f t="shared" ca="1" si="10"/>
        <v>0</v>
      </c>
      <c r="F104" s="21">
        <f t="shared" ca="1" si="9"/>
        <v>293.27145833333327</v>
      </c>
      <c r="G104" s="21">
        <f>'Monthly Data'!Z104</f>
        <v>2</v>
      </c>
      <c r="H104" s="21">
        <f>'Monthly Data'!CF104</f>
        <v>0</v>
      </c>
      <c r="I104" s="21">
        <f>'Monthly Data'!CV104</f>
        <v>0</v>
      </c>
      <c r="J104" s="21">
        <f>'Monthly Data'!CS104</f>
        <v>31</v>
      </c>
      <c r="K104" s="21">
        <f>'Monthly Data'!CM104</f>
        <v>103</v>
      </c>
      <c r="L104" s="21">
        <f>'Monthly Data'!CK104</f>
        <v>1</v>
      </c>
      <c r="N104" s="11">
        <f>'Large Use Predicted Monthly'!$AB$10</f>
        <v>-5783820.4539120998</v>
      </c>
      <c r="O104" s="11">
        <f ca="1">E104*'Large Use Predicted Monthly'!$AB$11</f>
        <v>0</v>
      </c>
      <c r="P104" s="11">
        <f ca="1">F104*'Large Use Predicted Monthly'!$AB$12</f>
        <v>4010486.4706406863</v>
      </c>
      <c r="Q104" s="11">
        <f>G104*'Large Use Predicted Monthly'!$AB$13</f>
        <v>6999999.7151174396</v>
      </c>
      <c r="R104" s="11">
        <f>H104*'Large Use Predicted Monthly'!$AB$14</f>
        <v>0</v>
      </c>
      <c r="S104" s="11">
        <f>I104*'Large Use Predicted Monthly'!$AB$15</f>
        <v>0</v>
      </c>
      <c r="T104" s="11">
        <f>J104*'Large Use Predicted Monthly'!$AB$16</f>
        <v>10482494.861430187</v>
      </c>
      <c r="U104" s="11">
        <f>K104*'Large Use Predicted Monthly'!$AB$17</f>
        <v>1773700.0064046262</v>
      </c>
      <c r="V104" s="11">
        <f>L104*'Large Use Predicted Monthly'!$AB$18</f>
        <v>-352058.92944720201</v>
      </c>
      <c r="W104" s="11">
        <f t="shared" ca="1" si="13"/>
        <v>17130801.670233637</v>
      </c>
      <c r="Y104" s="11"/>
      <c r="Z104" s="22"/>
    </row>
    <row r="105" spans="1:26" x14ac:dyDescent="0.2">
      <c r="A105" s="8">
        <f>'Monthly Data'!A105</f>
        <v>45870</v>
      </c>
      <c r="B105">
        <f t="shared" si="11"/>
        <v>2025</v>
      </c>
      <c r="C105">
        <f t="shared" si="12"/>
        <v>8</v>
      </c>
      <c r="D105" s="19">
        <f>'Monthly Data'!X105</f>
        <v>16333866.322163202</v>
      </c>
      <c r="E105" s="21">
        <f t="shared" ca="1" si="10"/>
        <v>0.27875000000000066</v>
      </c>
      <c r="F105" s="21">
        <f t="shared" ca="1" si="9"/>
        <v>257.85749999999996</v>
      </c>
      <c r="G105" s="21">
        <f>'Monthly Data'!Z105</f>
        <v>2</v>
      </c>
      <c r="H105" s="21">
        <f>'Monthly Data'!CF105</f>
        <v>0</v>
      </c>
      <c r="I105" s="21">
        <f>'Monthly Data'!CV105</f>
        <v>0</v>
      </c>
      <c r="J105" s="21">
        <f>'Monthly Data'!CS105</f>
        <v>31</v>
      </c>
      <c r="K105" s="21">
        <f>'Monthly Data'!CM105</f>
        <v>104</v>
      </c>
      <c r="L105" s="21">
        <f>'Monthly Data'!CK105</f>
        <v>1</v>
      </c>
      <c r="N105" s="11">
        <f>'Large Use Predicted Monthly'!$AB$10</f>
        <v>-5783820.4539120998</v>
      </c>
      <c r="O105" s="11">
        <f ca="1">E105*'Large Use Predicted Monthly'!$AB$11</f>
        <v>171.92301783088942</v>
      </c>
      <c r="P105" s="11">
        <f ca="1">F105*'Large Use Predicted Monthly'!$AB$12</f>
        <v>3526200.677625542</v>
      </c>
      <c r="Q105" s="11">
        <f>G105*'Large Use Predicted Monthly'!$AB$13</f>
        <v>6999999.7151174396</v>
      </c>
      <c r="R105" s="11">
        <f>H105*'Large Use Predicted Monthly'!$AB$14</f>
        <v>0</v>
      </c>
      <c r="S105" s="11">
        <f>I105*'Large Use Predicted Monthly'!$AB$15</f>
        <v>0</v>
      </c>
      <c r="T105" s="11">
        <f>J105*'Large Use Predicted Monthly'!$AB$16</f>
        <v>10482494.861430187</v>
      </c>
      <c r="U105" s="11">
        <f>K105*'Large Use Predicted Monthly'!$AB$17</f>
        <v>1790920.3948163216</v>
      </c>
      <c r="V105" s="11">
        <f>L105*'Large Use Predicted Monthly'!$AB$18</f>
        <v>-352058.92944720201</v>
      </c>
      <c r="W105" s="11">
        <f t="shared" ca="1" si="13"/>
        <v>16663908.188648017</v>
      </c>
      <c r="Y105" s="11"/>
      <c r="Z105" s="22"/>
    </row>
    <row r="106" spans="1:26" x14ac:dyDescent="0.2">
      <c r="A106" s="8">
        <f>'Monthly Data'!A106</f>
        <v>45901</v>
      </c>
      <c r="B106">
        <f t="shared" si="11"/>
        <v>2025</v>
      </c>
      <c r="C106">
        <f t="shared" si="12"/>
        <v>9</v>
      </c>
      <c r="D106" s="19">
        <f>'Monthly Data'!X106</f>
        <v>15806074.315778051</v>
      </c>
      <c r="E106" s="21">
        <f t="shared" ca="1" si="10"/>
        <v>11.319999999999997</v>
      </c>
      <c r="F106" s="21">
        <f t="shared" ca="1" si="9"/>
        <v>155.75020833333332</v>
      </c>
      <c r="G106" s="21">
        <f>'Monthly Data'!Z106</f>
        <v>2</v>
      </c>
      <c r="H106" s="21">
        <f>'Monthly Data'!CF106</f>
        <v>1</v>
      </c>
      <c r="I106" s="21">
        <f>'Monthly Data'!CV106</f>
        <v>0</v>
      </c>
      <c r="J106" s="21">
        <f>'Monthly Data'!CS106</f>
        <v>30</v>
      </c>
      <c r="K106" s="21">
        <f>'Monthly Data'!CM106</f>
        <v>105</v>
      </c>
      <c r="L106" s="21">
        <f>'Monthly Data'!CK106</f>
        <v>0</v>
      </c>
      <c r="N106" s="11">
        <f>'Large Use Predicted Monthly'!$AB$10</f>
        <v>-5783820.4539120998</v>
      </c>
      <c r="O106" s="11">
        <f ca="1">E106*'Large Use Predicted Monthly'!$AB$11</f>
        <v>6981.7706254552941</v>
      </c>
      <c r="P106" s="11">
        <f ca="1">F106*'Large Use Predicted Monthly'!$AB$12</f>
        <v>2129883.7154836268</v>
      </c>
      <c r="Q106" s="11">
        <f>G106*'Large Use Predicted Monthly'!$AB$13</f>
        <v>6999999.7151174396</v>
      </c>
      <c r="R106" s="11">
        <f>H106*'Large Use Predicted Monthly'!$AB$14</f>
        <v>387000.72715245897</v>
      </c>
      <c r="S106" s="11">
        <f>I106*'Large Use Predicted Monthly'!$AB$15</f>
        <v>0</v>
      </c>
      <c r="T106" s="11">
        <f>J106*'Large Use Predicted Monthly'!$AB$16</f>
        <v>10144349.865900181</v>
      </c>
      <c r="U106" s="11">
        <f>K106*'Large Use Predicted Monthly'!$AB$17</f>
        <v>1808140.7832280169</v>
      </c>
      <c r="V106" s="11">
        <f>L106*'Large Use Predicted Monthly'!$AB$18</f>
        <v>0</v>
      </c>
      <c r="W106" s="11">
        <f t="shared" ca="1" si="13"/>
        <v>15692536.123595079</v>
      </c>
      <c r="Y106" s="11"/>
      <c r="Z106" s="22"/>
    </row>
    <row r="107" spans="1:26" x14ac:dyDescent="0.2">
      <c r="A107" s="8">
        <f>'Monthly Data'!A107</f>
        <v>45931</v>
      </c>
      <c r="B107">
        <f t="shared" si="11"/>
        <v>2025</v>
      </c>
      <c r="C107">
        <f t="shared" si="12"/>
        <v>10</v>
      </c>
      <c r="D107" s="19">
        <f>'Monthly Data'!X107</f>
        <v>14876887.0161887</v>
      </c>
      <c r="E107" s="21">
        <f t="shared" ca="1" si="10"/>
        <v>126.12583333333332</v>
      </c>
      <c r="F107" s="21">
        <f t="shared" ca="1" si="9"/>
        <v>45.238541666666677</v>
      </c>
      <c r="G107" s="21">
        <f>'Monthly Data'!Z107</f>
        <v>2</v>
      </c>
      <c r="H107" s="21">
        <f>'Monthly Data'!CF107</f>
        <v>1</v>
      </c>
      <c r="I107" s="21">
        <f>'Monthly Data'!CV107</f>
        <v>0</v>
      </c>
      <c r="J107" s="21">
        <f>'Monthly Data'!CS107</f>
        <v>31</v>
      </c>
      <c r="K107" s="21">
        <f>'Monthly Data'!CM107</f>
        <v>106</v>
      </c>
      <c r="L107" s="21">
        <f>'Monthly Data'!CK107</f>
        <v>0</v>
      </c>
      <c r="N107" s="11">
        <f>'Large Use Predicted Monthly'!$AB$10</f>
        <v>-5783820.4539120998</v>
      </c>
      <c r="O107" s="11">
        <f ca="1">E107*'Large Use Predicted Monthly'!$AB$11</f>
        <v>77789.897374358392</v>
      </c>
      <c r="P107" s="11">
        <f ca="1">F107*'Large Use Predicted Monthly'!$AB$12</f>
        <v>618636.94590923819</v>
      </c>
      <c r="Q107" s="11">
        <f>G107*'Large Use Predicted Monthly'!$AB$13</f>
        <v>6999999.7151174396</v>
      </c>
      <c r="R107" s="11">
        <f>H107*'Large Use Predicted Monthly'!$AB$14</f>
        <v>387000.72715245897</v>
      </c>
      <c r="S107" s="11">
        <f>I107*'Large Use Predicted Monthly'!$AB$15</f>
        <v>0</v>
      </c>
      <c r="T107" s="11">
        <f>J107*'Large Use Predicted Monthly'!$AB$16</f>
        <v>10482494.861430187</v>
      </c>
      <c r="U107" s="11">
        <f>K107*'Large Use Predicted Monthly'!$AB$17</f>
        <v>1825361.1716397123</v>
      </c>
      <c r="V107" s="11">
        <f>L107*'Large Use Predicted Monthly'!$AB$18</f>
        <v>0</v>
      </c>
      <c r="W107" s="11">
        <f t="shared" ca="1" si="13"/>
        <v>14607462.864711294</v>
      </c>
      <c r="Y107" s="11"/>
      <c r="Z107" s="22"/>
    </row>
    <row r="108" spans="1:26" x14ac:dyDescent="0.2">
      <c r="A108" s="8">
        <f>'Monthly Data'!A108</f>
        <v>45962</v>
      </c>
      <c r="B108">
        <f t="shared" si="11"/>
        <v>2025</v>
      </c>
      <c r="C108">
        <f t="shared" si="12"/>
        <v>11</v>
      </c>
      <c r="D108" s="19">
        <f>'Monthly Data'!X108</f>
        <v>13663366.431718748</v>
      </c>
      <c r="E108" s="21">
        <f t="shared" ca="1" si="10"/>
        <v>312.40687500000001</v>
      </c>
      <c r="F108" s="21">
        <f t="shared" ca="1" si="9"/>
        <v>3.6587500000000004</v>
      </c>
      <c r="G108" s="21">
        <f>'Monthly Data'!Z108</f>
        <v>2</v>
      </c>
      <c r="H108" s="21">
        <f>'Monthly Data'!CF108</f>
        <v>1</v>
      </c>
      <c r="I108" s="21">
        <f>'Monthly Data'!CV108</f>
        <v>0</v>
      </c>
      <c r="J108" s="21">
        <f>'Monthly Data'!CS108</f>
        <v>30</v>
      </c>
      <c r="K108" s="21">
        <f>'Monthly Data'!CM108</f>
        <v>107</v>
      </c>
      <c r="L108" s="21">
        <f>'Monthly Data'!CK108</f>
        <v>0</v>
      </c>
      <c r="N108" s="11">
        <f>'Large Use Predicted Monthly'!$AB$10</f>
        <v>-5783820.4539120998</v>
      </c>
      <c r="O108" s="11">
        <f ca="1">E108*'Large Use Predicted Monthly'!$AB$11</f>
        <v>192681.37306230428</v>
      </c>
      <c r="P108" s="11">
        <f ca="1">F108*'Large Use Predicted Monthly'!$AB$12</f>
        <v>50033.39724174187</v>
      </c>
      <c r="Q108" s="11">
        <f>G108*'Large Use Predicted Monthly'!$AB$13</f>
        <v>6999999.7151174396</v>
      </c>
      <c r="R108" s="11">
        <f>H108*'Large Use Predicted Monthly'!$AB$14</f>
        <v>387000.72715245897</v>
      </c>
      <c r="S108" s="11">
        <f>I108*'Large Use Predicted Monthly'!$AB$15</f>
        <v>0</v>
      </c>
      <c r="T108" s="11">
        <f>J108*'Large Use Predicted Monthly'!$AB$16</f>
        <v>10144349.865900181</v>
      </c>
      <c r="U108" s="11">
        <f>K108*'Large Use Predicted Monthly'!$AB$17</f>
        <v>1842581.5600514077</v>
      </c>
      <c r="V108" s="11">
        <f>L108*'Large Use Predicted Monthly'!$AB$18</f>
        <v>0</v>
      </c>
      <c r="W108" s="11">
        <f t="shared" ca="1" si="13"/>
        <v>13832826.184613433</v>
      </c>
      <c r="Y108" s="11"/>
      <c r="Z108" s="22"/>
    </row>
    <row r="109" spans="1:26" x14ac:dyDescent="0.2">
      <c r="A109" s="8">
        <f>'Monthly Data'!A109</f>
        <v>45992</v>
      </c>
      <c r="B109">
        <f t="shared" si="11"/>
        <v>2025</v>
      </c>
      <c r="C109">
        <f t="shared" si="12"/>
        <v>12</v>
      </c>
      <c r="D109" s="19">
        <f>'Monthly Data'!X109</f>
        <v>13605458.244193096</v>
      </c>
      <c r="E109" s="21">
        <f t="shared" ca="1" si="10"/>
        <v>473.52499999999998</v>
      </c>
      <c r="F109" s="21">
        <f t="shared" ca="1" si="9"/>
        <v>0</v>
      </c>
      <c r="G109" s="21">
        <f>'Monthly Data'!Z109</f>
        <v>2</v>
      </c>
      <c r="H109" s="21">
        <f>'Monthly Data'!CF109</f>
        <v>0</v>
      </c>
      <c r="I109" s="21">
        <f>'Monthly Data'!CV109</f>
        <v>0</v>
      </c>
      <c r="J109" s="21">
        <f>'Monthly Data'!CS109</f>
        <v>31</v>
      </c>
      <c r="K109" s="21">
        <f>'Monthly Data'!CM109</f>
        <v>108</v>
      </c>
      <c r="L109" s="21">
        <f>'Monthly Data'!CK109</f>
        <v>0</v>
      </c>
      <c r="N109" s="11">
        <f>'Large Use Predicted Monthly'!$AB$10</f>
        <v>-5783820.4539120998</v>
      </c>
      <c r="O109" s="11">
        <f ca="1">E109*'Large Use Predicted Monthly'!$AB$11</f>
        <v>292053.26284617657</v>
      </c>
      <c r="P109" s="11">
        <f ca="1">F109*'Large Use Predicted Monthly'!$AB$12</f>
        <v>0</v>
      </c>
      <c r="Q109" s="11">
        <f>G109*'Large Use Predicted Monthly'!$AB$13</f>
        <v>6999999.7151174396</v>
      </c>
      <c r="R109" s="11">
        <f>H109*'Large Use Predicted Monthly'!$AB$14</f>
        <v>0</v>
      </c>
      <c r="S109" s="11">
        <f>I109*'Large Use Predicted Monthly'!$AB$15</f>
        <v>0</v>
      </c>
      <c r="T109" s="11">
        <f>J109*'Large Use Predicted Monthly'!$AB$16</f>
        <v>10482494.861430187</v>
      </c>
      <c r="U109" s="11">
        <f>K109*'Large Use Predicted Monthly'!$AB$17</f>
        <v>1859801.9484631033</v>
      </c>
      <c r="V109" s="11">
        <f>L109*'Large Use Predicted Monthly'!$AB$18</f>
        <v>0</v>
      </c>
      <c r="W109" s="11">
        <f t="shared" ca="1" si="13"/>
        <v>13850529.333944807</v>
      </c>
      <c r="X109" s="18"/>
      <c r="Y109" s="11"/>
      <c r="Z109" s="22"/>
    </row>
    <row r="110" spans="1:26" s="59" customFormat="1" x14ac:dyDescent="0.2">
      <c r="A110" s="506">
        <f t="shared" ref="A110:A133" si="14">EOMONTH(A109,0)+1</f>
        <v>46023</v>
      </c>
      <c r="B110" s="59">
        <f t="shared" si="6"/>
        <v>2026</v>
      </c>
      <c r="C110" s="59">
        <f t="shared" si="7"/>
        <v>1</v>
      </c>
      <c r="D110" s="508"/>
      <c r="E110" s="177">
        <f t="shared" ca="1" si="10"/>
        <v>566.30416666666667</v>
      </c>
      <c r="F110" s="177">
        <f t="shared" ca="1" si="9"/>
        <v>0</v>
      </c>
      <c r="G110" s="177">
        <f>'Customer Count'!S48</f>
        <v>2</v>
      </c>
      <c r="H110" s="177">
        <f t="shared" ref="H110:H133" si="15">H98</f>
        <v>0</v>
      </c>
      <c r="I110" s="177">
        <f>'Monthly Data'!CV110</f>
        <v>0</v>
      </c>
      <c r="J110" s="177">
        <f t="shared" ref="J110:J133" si="16">J62</f>
        <v>31</v>
      </c>
      <c r="K110" s="177">
        <f t="shared" ref="K110:K133" si="17">K109+1</f>
        <v>109</v>
      </c>
      <c r="L110" s="177">
        <f t="shared" ref="L110:L133" si="18">L98</f>
        <v>0</v>
      </c>
      <c r="N110" s="188">
        <f>'Large Use Predicted Monthly'!$AB$10</f>
        <v>-5783820.4539120998</v>
      </c>
      <c r="O110" s="188">
        <f ca="1">E110*'Large Use Predicted Monthly'!$AB$11</f>
        <v>349276.13038041285</v>
      </c>
      <c r="P110" s="188">
        <f ca="1">F110*'Large Use Predicted Monthly'!$AB$12</f>
        <v>0</v>
      </c>
      <c r="Q110" s="188">
        <f>G110*'Large Use Predicted Monthly'!$AB$13</f>
        <v>6999999.7151174396</v>
      </c>
      <c r="R110" s="188">
        <f>H110*'Large Use Predicted Monthly'!$AB$14</f>
        <v>0</v>
      </c>
      <c r="S110" s="188">
        <f>I110*'Large Use Predicted Monthly'!$AB$15</f>
        <v>0</v>
      </c>
      <c r="T110" s="188">
        <f>J110*'Large Use Predicted Monthly'!$AB$16</f>
        <v>10482494.861430187</v>
      </c>
      <c r="U110" s="188">
        <f>K110*'Large Use Predicted Monthly'!$AB$17</f>
        <v>1877022.3368747986</v>
      </c>
      <c r="V110" s="188">
        <f>L110*'Large Use Predicted Monthly'!$AB$18</f>
        <v>0</v>
      </c>
      <c r="W110" s="188">
        <f t="shared" ca="1" si="8"/>
        <v>13924972.589890737</v>
      </c>
      <c r="X110" s="178"/>
      <c r="Y110" s="188"/>
      <c r="Z110" s="510"/>
    </row>
    <row r="111" spans="1:26" s="59" customFormat="1" x14ac:dyDescent="0.2">
      <c r="A111" s="506">
        <f t="shared" si="14"/>
        <v>46054</v>
      </c>
      <c r="B111" s="59">
        <f t="shared" si="6"/>
        <v>2026</v>
      </c>
      <c r="C111" s="59">
        <f t="shared" si="7"/>
        <v>2</v>
      </c>
      <c r="D111" s="508"/>
      <c r="E111" s="177">
        <f t="shared" ca="1" si="10"/>
        <v>483.54541666666665</v>
      </c>
      <c r="F111" s="177">
        <f t="shared" ca="1" si="9"/>
        <v>0</v>
      </c>
      <c r="G111" s="177">
        <f>'Customer Count'!S49</f>
        <v>2</v>
      </c>
      <c r="H111" s="177">
        <f t="shared" si="15"/>
        <v>0</v>
      </c>
      <c r="I111" s="177">
        <f>'Monthly Data'!CV111</f>
        <v>0</v>
      </c>
      <c r="J111" s="177">
        <f t="shared" si="16"/>
        <v>28</v>
      </c>
      <c r="K111" s="177">
        <f t="shared" si="17"/>
        <v>110</v>
      </c>
      <c r="L111" s="177">
        <f t="shared" si="18"/>
        <v>0</v>
      </c>
      <c r="N111" s="188">
        <f>'Large Use Predicted Monthly'!$AB$10</f>
        <v>-5783820.4539120998</v>
      </c>
      <c r="O111" s="188">
        <f ca="1">E111*'Large Use Predicted Monthly'!$AB$11</f>
        <v>298233.49701032462</v>
      </c>
      <c r="P111" s="188">
        <f ca="1">F111*'Large Use Predicted Monthly'!$AB$12</f>
        <v>0</v>
      </c>
      <c r="Q111" s="188">
        <f>G111*'Large Use Predicted Monthly'!$AB$13</f>
        <v>6999999.7151174396</v>
      </c>
      <c r="R111" s="188">
        <f>H111*'Large Use Predicted Monthly'!$AB$14</f>
        <v>0</v>
      </c>
      <c r="S111" s="188">
        <f>I111*'Large Use Predicted Monthly'!$AB$15</f>
        <v>0</v>
      </c>
      <c r="T111" s="188">
        <f>J111*'Large Use Predicted Monthly'!$AB$16</f>
        <v>9468059.8748401683</v>
      </c>
      <c r="U111" s="188">
        <f>K111*'Large Use Predicted Monthly'!$AB$17</f>
        <v>1894242.725286494</v>
      </c>
      <c r="V111" s="188">
        <f>L111*'Large Use Predicted Monthly'!$AB$18</f>
        <v>0</v>
      </c>
      <c r="W111" s="188">
        <f t="shared" ca="1" si="8"/>
        <v>12876715.358342327</v>
      </c>
      <c r="X111" s="178"/>
      <c r="Y111" s="188"/>
      <c r="Z111" s="510"/>
    </row>
    <row r="112" spans="1:26" s="59" customFormat="1" x14ac:dyDescent="0.2">
      <c r="A112" s="506">
        <f t="shared" si="14"/>
        <v>46082</v>
      </c>
      <c r="B112" s="59">
        <f t="shared" si="6"/>
        <v>2026</v>
      </c>
      <c r="C112" s="59">
        <f t="shared" si="7"/>
        <v>3</v>
      </c>
      <c r="D112" s="508"/>
      <c r="E112" s="177">
        <f t="shared" ca="1" si="10"/>
        <v>393.96333333333331</v>
      </c>
      <c r="F112" s="177">
        <f t="shared" ca="1" si="9"/>
        <v>0.93041666666666656</v>
      </c>
      <c r="G112" s="177">
        <f>'Customer Count'!S50</f>
        <v>2</v>
      </c>
      <c r="H112" s="177">
        <f t="shared" si="15"/>
        <v>0</v>
      </c>
      <c r="I112" s="177">
        <f>'Monthly Data'!CV112</f>
        <v>0</v>
      </c>
      <c r="J112" s="177">
        <f t="shared" si="16"/>
        <v>31</v>
      </c>
      <c r="K112" s="177">
        <f t="shared" si="17"/>
        <v>111</v>
      </c>
      <c r="L112" s="177">
        <f t="shared" si="18"/>
        <v>0</v>
      </c>
      <c r="N112" s="188">
        <f>'Large Use Predicted Monthly'!$AB$10</f>
        <v>-5783820.4539120998</v>
      </c>
      <c r="O112" s="188">
        <f ca="1">E112*'Large Use Predicted Monthly'!$AB$11</f>
        <v>242982.47598702469</v>
      </c>
      <c r="P112" s="188">
        <f ca="1">F112*'Large Use Predicted Monthly'!$AB$12</f>
        <v>12723.445625875136</v>
      </c>
      <c r="Q112" s="188">
        <f>G112*'Large Use Predicted Monthly'!$AB$13</f>
        <v>6999999.7151174396</v>
      </c>
      <c r="R112" s="188">
        <f>H112*'Large Use Predicted Monthly'!$AB$14</f>
        <v>0</v>
      </c>
      <c r="S112" s="188">
        <f>I112*'Large Use Predicted Monthly'!$AB$15</f>
        <v>0</v>
      </c>
      <c r="T112" s="188">
        <f>J112*'Large Use Predicted Monthly'!$AB$16</f>
        <v>10482494.861430187</v>
      </c>
      <c r="U112" s="188">
        <f>K112*'Large Use Predicted Monthly'!$AB$17</f>
        <v>1911463.1136981894</v>
      </c>
      <c r="V112" s="188">
        <f>L112*'Large Use Predicted Monthly'!$AB$18</f>
        <v>0</v>
      </c>
      <c r="W112" s="188">
        <f t="shared" ca="1" si="8"/>
        <v>13865843.157946616</v>
      </c>
      <c r="X112" s="178"/>
    </row>
    <row r="113" spans="1:25" s="59" customFormat="1" x14ac:dyDescent="0.2">
      <c r="A113" s="506">
        <f t="shared" si="14"/>
        <v>46113</v>
      </c>
      <c r="B113" s="59">
        <f t="shared" si="6"/>
        <v>2026</v>
      </c>
      <c r="C113" s="59">
        <f t="shared" si="7"/>
        <v>4</v>
      </c>
      <c r="D113" s="508"/>
      <c r="E113" s="177">
        <f t="shared" ca="1" si="10"/>
        <v>226.60145833333337</v>
      </c>
      <c r="F113" s="177">
        <f t="shared" ca="1" si="9"/>
        <v>13.944166666666669</v>
      </c>
      <c r="G113" s="177">
        <f>'Customer Count'!S51</f>
        <v>2</v>
      </c>
      <c r="H113" s="177">
        <f t="shared" si="15"/>
        <v>0</v>
      </c>
      <c r="I113" s="177">
        <f>'Monthly Data'!CV113</f>
        <v>0</v>
      </c>
      <c r="J113" s="177">
        <f t="shared" si="16"/>
        <v>30</v>
      </c>
      <c r="K113" s="177">
        <f t="shared" si="17"/>
        <v>112</v>
      </c>
      <c r="L113" s="177">
        <f t="shared" si="18"/>
        <v>0</v>
      </c>
      <c r="N113" s="188">
        <f>'Large Use Predicted Monthly'!$AB$10</f>
        <v>-5783820.4539120998</v>
      </c>
      <c r="O113" s="188">
        <f ca="1">E113*'Large Use Predicted Monthly'!$AB$11</f>
        <v>139759.66479478791</v>
      </c>
      <c r="P113" s="188">
        <f ca="1">F113*'Large Use Predicted Monthly'!$AB$12</f>
        <v>190686.44483454432</v>
      </c>
      <c r="Q113" s="188">
        <f>G113*'Large Use Predicted Monthly'!$AB$13</f>
        <v>6999999.7151174396</v>
      </c>
      <c r="R113" s="188">
        <f>H113*'Large Use Predicted Monthly'!$AB$14</f>
        <v>0</v>
      </c>
      <c r="S113" s="188">
        <f>I113*'Large Use Predicted Monthly'!$AB$15</f>
        <v>0</v>
      </c>
      <c r="T113" s="188">
        <f>J113*'Large Use Predicted Monthly'!$AB$16</f>
        <v>10144349.865900181</v>
      </c>
      <c r="U113" s="188">
        <f>K113*'Large Use Predicted Monthly'!$AB$17</f>
        <v>1928683.5021098848</v>
      </c>
      <c r="V113" s="188">
        <f>L113*'Large Use Predicted Monthly'!$AB$18</f>
        <v>0</v>
      </c>
      <c r="W113" s="188">
        <f t="shared" ca="1" si="8"/>
        <v>13619658.738844737</v>
      </c>
      <c r="X113" s="178"/>
      <c r="Y113" s="188"/>
    </row>
    <row r="114" spans="1:25" s="59" customFormat="1" x14ac:dyDescent="0.2">
      <c r="A114" s="506">
        <f t="shared" si="14"/>
        <v>46143</v>
      </c>
      <c r="B114" s="59">
        <f t="shared" si="6"/>
        <v>2026</v>
      </c>
      <c r="C114" s="59">
        <f t="shared" si="7"/>
        <v>5</v>
      </c>
      <c r="D114" s="508"/>
      <c r="E114" s="177">
        <f t="shared" ca="1" si="10"/>
        <v>65.335833333333326</v>
      </c>
      <c r="F114" s="177">
        <f t="shared" ca="1" si="9"/>
        <v>93.837916666666644</v>
      </c>
      <c r="G114" s="177">
        <f>'Customer Count'!S52</f>
        <v>2</v>
      </c>
      <c r="H114" s="177">
        <f t="shared" si="15"/>
        <v>0</v>
      </c>
      <c r="I114" s="177">
        <f>'Monthly Data'!CV114</f>
        <v>0</v>
      </c>
      <c r="J114" s="177">
        <f t="shared" si="16"/>
        <v>31</v>
      </c>
      <c r="K114" s="177">
        <f t="shared" si="17"/>
        <v>113</v>
      </c>
      <c r="L114" s="177">
        <f t="shared" si="18"/>
        <v>1</v>
      </c>
      <c r="N114" s="188">
        <f>'Large Use Predicted Monthly'!$AB$10</f>
        <v>-5783820.4539120998</v>
      </c>
      <c r="O114" s="188">
        <f ca="1">E114*'Large Use Predicted Monthly'!$AB$11</f>
        <v>40296.802292960208</v>
      </c>
      <c r="P114" s="188">
        <f ca="1">F114*'Large Use Predicted Monthly'!$AB$12</f>
        <v>1283233.2793770556</v>
      </c>
      <c r="Q114" s="188">
        <f>G114*'Large Use Predicted Monthly'!$AB$13</f>
        <v>6999999.7151174396</v>
      </c>
      <c r="R114" s="188">
        <f>H114*'Large Use Predicted Monthly'!$AB$14</f>
        <v>0</v>
      </c>
      <c r="S114" s="188">
        <f>I114*'Large Use Predicted Monthly'!$AB$15</f>
        <v>0</v>
      </c>
      <c r="T114" s="188">
        <f>J114*'Large Use Predicted Monthly'!$AB$16</f>
        <v>10482494.861430187</v>
      </c>
      <c r="U114" s="188">
        <f>K114*'Large Use Predicted Monthly'!$AB$17</f>
        <v>1945903.8905215801</v>
      </c>
      <c r="V114" s="188">
        <f>L114*'Large Use Predicted Monthly'!$AB$18</f>
        <v>-352058.92944720201</v>
      </c>
      <c r="W114" s="188">
        <f t="shared" ca="1" si="8"/>
        <v>14616049.165379919</v>
      </c>
      <c r="X114" s="178"/>
      <c r="Y114" s="188"/>
    </row>
    <row r="115" spans="1:25" s="59" customFormat="1" x14ac:dyDescent="0.2">
      <c r="A115" s="506">
        <f t="shared" si="14"/>
        <v>46174</v>
      </c>
      <c r="B115" s="59">
        <f t="shared" si="6"/>
        <v>2026</v>
      </c>
      <c r="C115" s="59">
        <f t="shared" si="7"/>
        <v>6</v>
      </c>
      <c r="D115" s="508"/>
      <c r="E115" s="177">
        <f t="shared" ca="1" si="10"/>
        <v>3.0447916666666672</v>
      </c>
      <c r="F115" s="177">
        <f t="shared" ca="1" si="9"/>
        <v>214.81645833333337</v>
      </c>
      <c r="G115" s="177">
        <f>'Customer Count'!S53</f>
        <v>2</v>
      </c>
      <c r="H115" s="177">
        <f t="shared" si="15"/>
        <v>0</v>
      </c>
      <c r="I115" s="177">
        <f>'Monthly Data'!CV115</f>
        <v>0</v>
      </c>
      <c r="J115" s="177">
        <f t="shared" si="16"/>
        <v>30</v>
      </c>
      <c r="K115" s="177">
        <f t="shared" si="17"/>
        <v>114</v>
      </c>
      <c r="L115" s="177">
        <f t="shared" si="18"/>
        <v>1</v>
      </c>
      <c r="N115" s="188">
        <f>'Large Use Predicted Monthly'!$AB$10</f>
        <v>-5783820.4539120998</v>
      </c>
      <c r="O115" s="188">
        <f ca="1">E115*'Large Use Predicted Monthly'!$AB$11</f>
        <v>1877.9184645728276</v>
      </c>
      <c r="P115" s="188">
        <f ca="1">F115*'Large Use Predicted Monthly'!$AB$12</f>
        <v>2937614.5388058103</v>
      </c>
      <c r="Q115" s="188">
        <f>G115*'Large Use Predicted Monthly'!$AB$13</f>
        <v>6999999.7151174396</v>
      </c>
      <c r="R115" s="188">
        <f>H115*'Large Use Predicted Monthly'!$AB$14</f>
        <v>0</v>
      </c>
      <c r="S115" s="188">
        <f>I115*'Large Use Predicted Monthly'!$AB$15</f>
        <v>0</v>
      </c>
      <c r="T115" s="188">
        <f>J115*'Large Use Predicted Monthly'!$AB$16</f>
        <v>10144349.865900181</v>
      </c>
      <c r="U115" s="188">
        <f>K115*'Large Use Predicted Monthly'!$AB$17</f>
        <v>1963124.2789332755</v>
      </c>
      <c r="V115" s="188">
        <f>L115*'Large Use Predicted Monthly'!$AB$18</f>
        <v>-352058.92944720201</v>
      </c>
      <c r="W115" s="188">
        <f t="shared" ca="1" si="8"/>
        <v>15911086.933861978</v>
      </c>
      <c r="X115" s="178"/>
      <c r="Y115" s="188"/>
    </row>
    <row r="116" spans="1:25" s="59" customFormat="1" x14ac:dyDescent="0.2">
      <c r="A116" s="506">
        <f t="shared" si="14"/>
        <v>46204</v>
      </c>
      <c r="B116" s="59">
        <f t="shared" si="6"/>
        <v>2026</v>
      </c>
      <c r="C116" s="59">
        <f t="shared" si="7"/>
        <v>7</v>
      </c>
      <c r="D116" s="508"/>
      <c r="E116" s="177">
        <f t="shared" ca="1" si="10"/>
        <v>0</v>
      </c>
      <c r="F116" s="177">
        <f t="shared" ca="1" si="9"/>
        <v>293.27145833333327</v>
      </c>
      <c r="G116" s="177">
        <f>'Customer Count'!S54</f>
        <v>2</v>
      </c>
      <c r="H116" s="177">
        <f t="shared" si="15"/>
        <v>0</v>
      </c>
      <c r="I116" s="177">
        <f>'Monthly Data'!CV116</f>
        <v>0</v>
      </c>
      <c r="J116" s="177">
        <f t="shared" si="16"/>
        <v>31</v>
      </c>
      <c r="K116" s="177">
        <f t="shared" si="17"/>
        <v>115</v>
      </c>
      <c r="L116" s="177">
        <f t="shared" si="18"/>
        <v>1</v>
      </c>
      <c r="N116" s="188">
        <f>'Large Use Predicted Monthly'!$AB$10</f>
        <v>-5783820.4539120998</v>
      </c>
      <c r="O116" s="188">
        <f ca="1">E116*'Large Use Predicted Monthly'!$AB$11</f>
        <v>0</v>
      </c>
      <c r="P116" s="188">
        <f ca="1">F116*'Large Use Predicted Monthly'!$AB$12</f>
        <v>4010486.4706406863</v>
      </c>
      <c r="Q116" s="188">
        <f>G116*'Large Use Predicted Monthly'!$AB$13</f>
        <v>6999999.7151174396</v>
      </c>
      <c r="R116" s="188">
        <f>H116*'Large Use Predicted Monthly'!$AB$14</f>
        <v>0</v>
      </c>
      <c r="S116" s="188">
        <f>I116*'Large Use Predicted Monthly'!$AB$15</f>
        <v>0</v>
      </c>
      <c r="T116" s="188">
        <f>J116*'Large Use Predicted Monthly'!$AB$16</f>
        <v>10482494.861430187</v>
      </c>
      <c r="U116" s="188">
        <f>K116*'Large Use Predicted Monthly'!$AB$17</f>
        <v>1980344.6673449709</v>
      </c>
      <c r="V116" s="188">
        <f>L116*'Large Use Predicted Monthly'!$AB$18</f>
        <v>-352058.92944720201</v>
      </c>
      <c r="W116" s="188">
        <f t="shared" ca="1" si="8"/>
        <v>17337446.331173986</v>
      </c>
      <c r="X116" s="178"/>
      <c r="Y116" s="188"/>
    </row>
    <row r="117" spans="1:25" s="59" customFormat="1" x14ac:dyDescent="0.2">
      <c r="A117" s="506">
        <f t="shared" si="14"/>
        <v>46235</v>
      </c>
      <c r="B117" s="59">
        <f t="shared" si="6"/>
        <v>2026</v>
      </c>
      <c r="C117" s="59">
        <f t="shared" si="7"/>
        <v>8</v>
      </c>
      <c r="D117" s="508"/>
      <c r="E117" s="177">
        <f t="shared" ca="1" si="10"/>
        <v>0.27875000000000066</v>
      </c>
      <c r="F117" s="177">
        <f t="shared" ca="1" si="9"/>
        <v>257.85749999999996</v>
      </c>
      <c r="G117" s="177">
        <f>'Customer Count'!S55</f>
        <v>2</v>
      </c>
      <c r="H117" s="177">
        <f t="shared" si="15"/>
        <v>0</v>
      </c>
      <c r="I117" s="177">
        <f>'Monthly Data'!CV117</f>
        <v>0</v>
      </c>
      <c r="J117" s="177">
        <f t="shared" si="16"/>
        <v>31</v>
      </c>
      <c r="K117" s="177">
        <f t="shared" si="17"/>
        <v>116</v>
      </c>
      <c r="L117" s="177">
        <f t="shared" si="18"/>
        <v>1</v>
      </c>
      <c r="N117" s="188">
        <f>'Large Use Predicted Monthly'!$AB$10</f>
        <v>-5783820.4539120998</v>
      </c>
      <c r="O117" s="188">
        <f ca="1">E117*'Large Use Predicted Monthly'!$AB$11</f>
        <v>171.92301783088942</v>
      </c>
      <c r="P117" s="188">
        <f ca="1">F117*'Large Use Predicted Monthly'!$AB$12</f>
        <v>3526200.677625542</v>
      </c>
      <c r="Q117" s="188">
        <f>G117*'Large Use Predicted Monthly'!$AB$13</f>
        <v>6999999.7151174396</v>
      </c>
      <c r="R117" s="188">
        <f>H117*'Large Use Predicted Monthly'!$AB$14</f>
        <v>0</v>
      </c>
      <c r="S117" s="188">
        <f>I117*'Large Use Predicted Monthly'!$AB$15</f>
        <v>0</v>
      </c>
      <c r="T117" s="188">
        <f>J117*'Large Use Predicted Monthly'!$AB$16</f>
        <v>10482494.861430187</v>
      </c>
      <c r="U117" s="188">
        <f>K117*'Large Use Predicted Monthly'!$AB$17</f>
        <v>1997565.0557566662</v>
      </c>
      <c r="V117" s="188">
        <f>L117*'Large Use Predicted Monthly'!$AB$18</f>
        <v>-352058.92944720201</v>
      </c>
      <c r="W117" s="188">
        <f t="shared" ca="1" si="8"/>
        <v>16870552.849588364</v>
      </c>
      <c r="Y117" s="188"/>
    </row>
    <row r="118" spans="1:25" s="59" customFormat="1" x14ac:dyDescent="0.2">
      <c r="A118" s="506">
        <f t="shared" si="14"/>
        <v>46266</v>
      </c>
      <c r="B118" s="59">
        <f t="shared" si="6"/>
        <v>2026</v>
      </c>
      <c r="C118" s="59">
        <f t="shared" si="7"/>
        <v>9</v>
      </c>
      <c r="D118" s="508"/>
      <c r="E118" s="177">
        <f t="shared" ca="1" si="10"/>
        <v>11.319999999999997</v>
      </c>
      <c r="F118" s="177">
        <f t="shared" ca="1" si="9"/>
        <v>155.75020833333332</v>
      </c>
      <c r="G118" s="177">
        <f>'Customer Count'!S56</f>
        <v>2</v>
      </c>
      <c r="H118" s="177">
        <f t="shared" si="15"/>
        <v>1</v>
      </c>
      <c r="I118" s="177">
        <f>'Monthly Data'!CV118</f>
        <v>0</v>
      </c>
      <c r="J118" s="177">
        <f t="shared" si="16"/>
        <v>30</v>
      </c>
      <c r="K118" s="177">
        <f t="shared" si="17"/>
        <v>117</v>
      </c>
      <c r="L118" s="177">
        <f t="shared" si="18"/>
        <v>0</v>
      </c>
      <c r="N118" s="188">
        <f>'Large Use Predicted Monthly'!$AB$10</f>
        <v>-5783820.4539120998</v>
      </c>
      <c r="O118" s="188">
        <f ca="1">E118*'Large Use Predicted Monthly'!$AB$11</f>
        <v>6981.7706254552941</v>
      </c>
      <c r="P118" s="188">
        <f ca="1">F118*'Large Use Predicted Monthly'!$AB$12</f>
        <v>2129883.7154836268</v>
      </c>
      <c r="Q118" s="188">
        <f>G118*'Large Use Predicted Monthly'!$AB$13</f>
        <v>6999999.7151174396</v>
      </c>
      <c r="R118" s="188">
        <f>H118*'Large Use Predicted Monthly'!$AB$14</f>
        <v>387000.72715245897</v>
      </c>
      <c r="S118" s="188">
        <f>I118*'Large Use Predicted Monthly'!$AB$15</f>
        <v>0</v>
      </c>
      <c r="T118" s="188">
        <f>J118*'Large Use Predicted Monthly'!$AB$16</f>
        <v>10144349.865900181</v>
      </c>
      <c r="U118" s="188">
        <f>K118*'Large Use Predicted Monthly'!$AB$17</f>
        <v>2014785.4441683618</v>
      </c>
      <c r="V118" s="188">
        <f>L118*'Large Use Predicted Monthly'!$AB$18</f>
        <v>0</v>
      </c>
      <c r="W118" s="188">
        <f t="shared" ca="1" si="8"/>
        <v>15899180.784535423</v>
      </c>
      <c r="Y118" s="188"/>
    </row>
    <row r="119" spans="1:25" s="59" customFormat="1" x14ac:dyDescent="0.2">
      <c r="A119" s="506">
        <f t="shared" si="14"/>
        <v>46296</v>
      </c>
      <c r="B119" s="59">
        <f t="shared" si="6"/>
        <v>2026</v>
      </c>
      <c r="C119" s="59">
        <f t="shared" si="7"/>
        <v>10</v>
      </c>
      <c r="D119" s="508"/>
      <c r="E119" s="177">
        <f t="shared" ca="1" si="10"/>
        <v>126.12583333333332</v>
      </c>
      <c r="F119" s="177">
        <f t="shared" ca="1" si="9"/>
        <v>45.238541666666677</v>
      </c>
      <c r="G119" s="177">
        <f>'Customer Count'!S57</f>
        <v>2</v>
      </c>
      <c r="H119" s="177">
        <f t="shared" si="15"/>
        <v>1</v>
      </c>
      <c r="I119" s="177">
        <f>'Monthly Data'!CV119</f>
        <v>0</v>
      </c>
      <c r="J119" s="177">
        <f t="shared" si="16"/>
        <v>31</v>
      </c>
      <c r="K119" s="177">
        <f t="shared" si="17"/>
        <v>118</v>
      </c>
      <c r="L119" s="177">
        <f t="shared" si="18"/>
        <v>0</v>
      </c>
      <c r="N119" s="188">
        <f>'Large Use Predicted Monthly'!$AB$10</f>
        <v>-5783820.4539120998</v>
      </c>
      <c r="O119" s="188">
        <f ca="1">E119*'Large Use Predicted Monthly'!$AB$11</f>
        <v>77789.897374358392</v>
      </c>
      <c r="P119" s="188">
        <f ca="1">F119*'Large Use Predicted Monthly'!$AB$12</f>
        <v>618636.94590923819</v>
      </c>
      <c r="Q119" s="188">
        <f>G119*'Large Use Predicted Monthly'!$AB$13</f>
        <v>6999999.7151174396</v>
      </c>
      <c r="R119" s="188">
        <f>H119*'Large Use Predicted Monthly'!$AB$14</f>
        <v>387000.72715245897</v>
      </c>
      <c r="S119" s="188">
        <f>I119*'Large Use Predicted Monthly'!$AB$15</f>
        <v>0</v>
      </c>
      <c r="T119" s="188">
        <f>J119*'Large Use Predicted Monthly'!$AB$16</f>
        <v>10482494.861430187</v>
      </c>
      <c r="U119" s="188">
        <f>K119*'Large Use Predicted Monthly'!$AB$17</f>
        <v>2032005.8325800572</v>
      </c>
      <c r="V119" s="188">
        <f>L119*'Large Use Predicted Monthly'!$AB$18</f>
        <v>0</v>
      </c>
      <c r="W119" s="188">
        <f t="shared" ca="1" si="8"/>
        <v>14814107.525651639</v>
      </c>
      <c r="Y119" s="188"/>
    </row>
    <row r="120" spans="1:25" s="59" customFormat="1" x14ac:dyDescent="0.2">
      <c r="A120" s="506">
        <f t="shared" si="14"/>
        <v>46327</v>
      </c>
      <c r="B120" s="59">
        <f t="shared" si="6"/>
        <v>2026</v>
      </c>
      <c r="C120" s="59">
        <f t="shared" si="7"/>
        <v>11</v>
      </c>
      <c r="D120" s="508"/>
      <c r="E120" s="177">
        <f t="shared" ca="1" si="10"/>
        <v>312.40687500000001</v>
      </c>
      <c r="F120" s="177">
        <f t="shared" ca="1" si="9"/>
        <v>3.6587500000000004</v>
      </c>
      <c r="G120" s="177">
        <f>'Customer Count'!S58</f>
        <v>2</v>
      </c>
      <c r="H120" s="177">
        <f t="shared" si="15"/>
        <v>1</v>
      </c>
      <c r="I120" s="177">
        <f>'Monthly Data'!CV120</f>
        <v>0</v>
      </c>
      <c r="J120" s="177">
        <f t="shared" si="16"/>
        <v>30</v>
      </c>
      <c r="K120" s="177">
        <f t="shared" si="17"/>
        <v>119</v>
      </c>
      <c r="L120" s="177">
        <f t="shared" si="18"/>
        <v>0</v>
      </c>
      <c r="N120" s="188">
        <f>'Large Use Predicted Monthly'!$AB$10</f>
        <v>-5783820.4539120998</v>
      </c>
      <c r="O120" s="188">
        <f ca="1">E120*'Large Use Predicted Monthly'!$AB$11</f>
        <v>192681.37306230428</v>
      </c>
      <c r="P120" s="188">
        <f ca="1">F120*'Large Use Predicted Monthly'!$AB$12</f>
        <v>50033.39724174187</v>
      </c>
      <c r="Q120" s="188">
        <f>G120*'Large Use Predicted Monthly'!$AB$13</f>
        <v>6999999.7151174396</v>
      </c>
      <c r="R120" s="188">
        <f>H120*'Large Use Predicted Monthly'!$AB$14</f>
        <v>387000.72715245897</v>
      </c>
      <c r="S120" s="188">
        <f>I120*'Large Use Predicted Monthly'!$AB$15</f>
        <v>0</v>
      </c>
      <c r="T120" s="188">
        <f>J120*'Large Use Predicted Monthly'!$AB$16</f>
        <v>10144349.865900181</v>
      </c>
      <c r="U120" s="188">
        <f>K120*'Large Use Predicted Monthly'!$AB$17</f>
        <v>2049226.2209917526</v>
      </c>
      <c r="V120" s="188">
        <f>L120*'Large Use Predicted Monthly'!$AB$18</f>
        <v>0</v>
      </c>
      <c r="W120" s="188">
        <f t="shared" ca="1" si="8"/>
        <v>14039470.845553778</v>
      </c>
      <c r="Y120" s="188"/>
    </row>
    <row r="121" spans="1:25" s="59" customFormat="1" x14ac:dyDescent="0.2">
      <c r="A121" s="506">
        <f t="shared" si="14"/>
        <v>46357</v>
      </c>
      <c r="B121" s="59">
        <f t="shared" si="6"/>
        <v>2026</v>
      </c>
      <c r="C121" s="59">
        <f t="shared" si="7"/>
        <v>12</v>
      </c>
      <c r="D121" s="508"/>
      <c r="E121" s="177">
        <f t="shared" ca="1" si="10"/>
        <v>473.52499999999998</v>
      </c>
      <c r="F121" s="177">
        <f t="shared" ca="1" si="9"/>
        <v>0</v>
      </c>
      <c r="G121" s="177">
        <f>'Customer Count'!S59</f>
        <v>2</v>
      </c>
      <c r="H121" s="177">
        <f t="shared" si="15"/>
        <v>0</v>
      </c>
      <c r="I121" s="177">
        <f>'Monthly Data'!CV121</f>
        <v>0</v>
      </c>
      <c r="J121" s="177">
        <f t="shared" si="16"/>
        <v>31</v>
      </c>
      <c r="K121" s="177">
        <f t="shared" si="17"/>
        <v>120</v>
      </c>
      <c r="L121" s="177">
        <f t="shared" si="18"/>
        <v>0</v>
      </c>
      <c r="N121" s="188">
        <f>'Large Use Predicted Monthly'!$AB$10</f>
        <v>-5783820.4539120998</v>
      </c>
      <c r="O121" s="188">
        <f ca="1">E121*'Large Use Predicted Monthly'!$AB$11</f>
        <v>292053.26284617657</v>
      </c>
      <c r="P121" s="188">
        <f ca="1">F121*'Large Use Predicted Monthly'!$AB$12</f>
        <v>0</v>
      </c>
      <c r="Q121" s="188">
        <f>G121*'Large Use Predicted Monthly'!$AB$13</f>
        <v>6999999.7151174396</v>
      </c>
      <c r="R121" s="188">
        <f>H121*'Large Use Predicted Monthly'!$AB$14</f>
        <v>0</v>
      </c>
      <c r="S121" s="188">
        <f>I121*'Large Use Predicted Monthly'!$AB$15</f>
        <v>0</v>
      </c>
      <c r="T121" s="188">
        <f>J121*'Large Use Predicted Monthly'!$AB$16</f>
        <v>10482494.861430187</v>
      </c>
      <c r="U121" s="188">
        <f>K121*'Large Use Predicted Monthly'!$AB$17</f>
        <v>2066446.6094034479</v>
      </c>
      <c r="V121" s="188">
        <f>L121*'Large Use Predicted Monthly'!$AB$18</f>
        <v>0</v>
      </c>
      <c r="W121" s="188">
        <f t="shared" ca="1" si="8"/>
        <v>14057173.994885152</v>
      </c>
      <c r="Y121" s="188"/>
    </row>
    <row r="122" spans="1:25" s="59" customFormat="1" x14ac:dyDescent="0.2">
      <c r="A122" s="506">
        <f t="shared" si="14"/>
        <v>46388</v>
      </c>
      <c r="B122" s="59">
        <f>YEAR(A122)</f>
        <v>2027</v>
      </c>
      <c r="C122" s="59">
        <f>MONTH(A122)</f>
        <v>1</v>
      </c>
      <c r="D122" s="508"/>
      <c r="E122" s="177">
        <f t="shared" ca="1" si="10"/>
        <v>566.30416666666667</v>
      </c>
      <c r="F122" s="177">
        <f t="shared" ca="1" si="9"/>
        <v>0</v>
      </c>
      <c r="G122" s="177">
        <f>'Customer Count'!S60</f>
        <v>2</v>
      </c>
      <c r="H122" s="177">
        <f t="shared" si="15"/>
        <v>0</v>
      </c>
      <c r="I122" s="177">
        <f>'Monthly Data'!CV122</f>
        <v>0</v>
      </c>
      <c r="J122" s="177">
        <f t="shared" si="16"/>
        <v>31</v>
      </c>
      <c r="K122" s="177">
        <f t="shared" si="17"/>
        <v>121</v>
      </c>
      <c r="L122" s="177">
        <f t="shared" si="18"/>
        <v>0</v>
      </c>
      <c r="N122" s="188">
        <f>'Large Use Predicted Monthly'!$AB$10</f>
        <v>-5783820.4539120998</v>
      </c>
      <c r="O122" s="188">
        <f ca="1">E122*'Large Use Predicted Monthly'!$AB$11</f>
        <v>349276.13038041285</v>
      </c>
      <c r="P122" s="188">
        <f ca="1">F122*'Large Use Predicted Monthly'!$AB$12</f>
        <v>0</v>
      </c>
      <c r="Q122" s="188">
        <f>G122*'Large Use Predicted Monthly'!$AB$13</f>
        <v>6999999.7151174396</v>
      </c>
      <c r="R122" s="188">
        <f>H122*'Large Use Predicted Monthly'!$AB$14</f>
        <v>0</v>
      </c>
      <c r="S122" s="188">
        <f>I122*'Large Use Predicted Monthly'!$AB$15</f>
        <v>0</v>
      </c>
      <c r="T122" s="188">
        <f>J122*'Large Use Predicted Monthly'!$AB$16</f>
        <v>10482494.861430187</v>
      </c>
      <c r="U122" s="188">
        <f>K122*'Large Use Predicted Monthly'!$AB$17</f>
        <v>2083666.9978151433</v>
      </c>
      <c r="V122" s="188">
        <f>L122*'Large Use Predicted Monthly'!$AB$18</f>
        <v>0</v>
      </c>
      <c r="W122" s="188">
        <f t="shared" ca="1" si="8"/>
        <v>14131617.250831082</v>
      </c>
      <c r="Y122" s="188"/>
    </row>
    <row r="123" spans="1:25" s="59" customFormat="1" x14ac:dyDescent="0.2">
      <c r="A123" s="506">
        <f t="shared" si="14"/>
        <v>46419</v>
      </c>
      <c r="B123" s="59">
        <f>YEAR(A123)</f>
        <v>2027</v>
      </c>
      <c r="C123" s="59">
        <f>MONTH(A123)</f>
        <v>2</v>
      </c>
      <c r="D123" s="508"/>
      <c r="E123" s="177">
        <f t="shared" ca="1" si="10"/>
        <v>483.54541666666665</v>
      </c>
      <c r="F123" s="177">
        <f t="shared" ca="1" si="9"/>
        <v>0</v>
      </c>
      <c r="G123" s="177">
        <f>'Customer Count'!S61</f>
        <v>2</v>
      </c>
      <c r="H123" s="177">
        <f t="shared" si="15"/>
        <v>0</v>
      </c>
      <c r="I123" s="177">
        <f>'Monthly Data'!CV123</f>
        <v>0</v>
      </c>
      <c r="J123" s="177">
        <f t="shared" si="16"/>
        <v>28</v>
      </c>
      <c r="K123" s="177">
        <f t="shared" si="17"/>
        <v>122</v>
      </c>
      <c r="L123" s="177">
        <f t="shared" si="18"/>
        <v>0</v>
      </c>
      <c r="N123" s="188">
        <f>'Large Use Predicted Monthly'!$AB$10</f>
        <v>-5783820.4539120998</v>
      </c>
      <c r="O123" s="188">
        <f ca="1">E123*'Large Use Predicted Monthly'!$AB$11</f>
        <v>298233.49701032462</v>
      </c>
      <c r="P123" s="188">
        <f ca="1">F123*'Large Use Predicted Monthly'!$AB$12</f>
        <v>0</v>
      </c>
      <c r="Q123" s="188">
        <f>G123*'Large Use Predicted Monthly'!$AB$13</f>
        <v>6999999.7151174396</v>
      </c>
      <c r="R123" s="188">
        <f>H123*'Large Use Predicted Monthly'!$AB$14</f>
        <v>0</v>
      </c>
      <c r="S123" s="188">
        <f>I123*'Large Use Predicted Monthly'!$AB$15</f>
        <v>0</v>
      </c>
      <c r="T123" s="188">
        <f>J123*'Large Use Predicted Monthly'!$AB$16</f>
        <v>9468059.8748401683</v>
      </c>
      <c r="U123" s="188">
        <f>K123*'Large Use Predicted Monthly'!$AB$17</f>
        <v>2100887.3862268389</v>
      </c>
      <c r="V123" s="188">
        <f>L123*'Large Use Predicted Monthly'!$AB$18</f>
        <v>0</v>
      </c>
      <c r="W123" s="188">
        <f t="shared" ca="1" si="8"/>
        <v>13083360.019282671</v>
      </c>
      <c r="Y123" s="188"/>
    </row>
    <row r="124" spans="1:25" s="59" customFormat="1" x14ac:dyDescent="0.2">
      <c r="A124" s="506">
        <f t="shared" si="14"/>
        <v>46447</v>
      </c>
      <c r="B124" s="59">
        <f>YEAR(A124)</f>
        <v>2027</v>
      </c>
      <c r="C124" s="59">
        <f>MONTH(A124)</f>
        <v>3</v>
      </c>
      <c r="D124" s="508"/>
      <c r="E124" s="177">
        <f t="shared" ca="1" si="10"/>
        <v>393.96333333333331</v>
      </c>
      <c r="F124" s="177">
        <f t="shared" ca="1" si="9"/>
        <v>0.93041666666666656</v>
      </c>
      <c r="G124" s="177">
        <f>'Customer Count'!S62</f>
        <v>2</v>
      </c>
      <c r="H124" s="177">
        <f t="shared" si="15"/>
        <v>0</v>
      </c>
      <c r="I124" s="177">
        <f>'Monthly Data'!CV124</f>
        <v>0</v>
      </c>
      <c r="J124" s="177">
        <f t="shared" si="16"/>
        <v>31</v>
      </c>
      <c r="K124" s="177">
        <f t="shared" si="17"/>
        <v>123</v>
      </c>
      <c r="L124" s="177">
        <f t="shared" si="18"/>
        <v>0</v>
      </c>
      <c r="N124" s="188">
        <f>'Large Use Predicted Monthly'!$AB$10</f>
        <v>-5783820.4539120998</v>
      </c>
      <c r="O124" s="188">
        <f ca="1">E124*'Large Use Predicted Monthly'!$AB$11</f>
        <v>242982.47598702469</v>
      </c>
      <c r="P124" s="188">
        <f ca="1">F124*'Large Use Predicted Monthly'!$AB$12</f>
        <v>12723.445625875136</v>
      </c>
      <c r="Q124" s="188">
        <f>G124*'Large Use Predicted Monthly'!$AB$13</f>
        <v>6999999.7151174396</v>
      </c>
      <c r="R124" s="188">
        <f>H124*'Large Use Predicted Monthly'!$AB$14</f>
        <v>0</v>
      </c>
      <c r="S124" s="188">
        <f>I124*'Large Use Predicted Monthly'!$AB$15</f>
        <v>0</v>
      </c>
      <c r="T124" s="188">
        <f>J124*'Large Use Predicted Monthly'!$AB$16</f>
        <v>10482494.861430187</v>
      </c>
      <c r="U124" s="188">
        <f>K124*'Large Use Predicted Monthly'!$AB$17</f>
        <v>2118107.7746385341</v>
      </c>
      <c r="V124" s="188">
        <f>L124*'Large Use Predicted Monthly'!$AB$18</f>
        <v>0</v>
      </c>
      <c r="W124" s="188">
        <f t="shared" ca="1" si="8"/>
        <v>14072487.81888696</v>
      </c>
      <c r="Y124" s="188"/>
    </row>
    <row r="125" spans="1:25" s="59" customFormat="1" x14ac:dyDescent="0.2">
      <c r="A125" s="506">
        <f t="shared" si="14"/>
        <v>46478</v>
      </c>
      <c r="B125" s="59">
        <f>YEAR(A125)</f>
        <v>2027</v>
      </c>
      <c r="C125" s="59">
        <f>MONTH(A125)</f>
        <v>4</v>
      </c>
      <c r="D125" s="508"/>
      <c r="E125" s="177">
        <f t="shared" ca="1" si="10"/>
        <v>226.60145833333337</v>
      </c>
      <c r="F125" s="177">
        <f t="shared" ca="1" si="9"/>
        <v>13.944166666666669</v>
      </c>
      <c r="G125" s="177">
        <f>'Customer Count'!S63</f>
        <v>2</v>
      </c>
      <c r="H125" s="177">
        <f t="shared" si="15"/>
        <v>0</v>
      </c>
      <c r="I125" s="177">
        <f>'Monthly Data'!CV125</f>
        <v>0</v>
      </c>
      <c r="J125" s="177">
        <f t="shared" si="16"/>
        <v>30</v>
      </c>
      <c r="K125" s="177">
        <f t="shared" si="17"/>
        <v>124</v>
      </c>
      <c r="L125" s="177">
        <f t="shared" si="18"/>
        <v>0</v>
      </c>
      <c r="N125" s="188">
        <f>'Large Use Predicted Monthly'!$AB$10</f>
        <v>-5783820.4539120998</v>
      </c>
      <c r="O125" s="188">
        <f ca="1">E125*'Large Use Predicted Monthly'!$AB$11</f>
        <v>139759.66479478791</v>
      </c>
      <c r="P125" s="188">
        <f ca="1">F125*'Large Use Predicted Monthly'!$AB$12</f>
        <v>190686.44483454432</v>
      </c>
      <c r="Q125" s="188">
        <f>G125*'Large Use Predicted Monthly'!$AB$13</f>
        <v>6999999.7151174396</v>
      </c>
      <c r="R125" s="188">
        <f>H125*'Large Use Predicted Monthly'!$AB$14</f>
        <v>0</v>
      </c>
      <c r="S125" s="188">
        <f>I125*'Large Use Predicted Monthly'!$AB$15</f>
        <v>0</v>
      </c>
      <c r="T125" s="188">
        <f>J125*'Large Use Predicted Monthly'!$AB$16</f>
        <v>10144349.865900181</v>
      </c>
      <c r="U125" s="188">
        <f>K125*'Large Use Predicted Monthly'!$AB$17</f>
        <v>2135328.1630502297</v>
      </c>
      <c r="V125" s="188">
        <f>L125*'Large Use Predicted Monthly'!$AB$18</f>
        <v>0</v>
      </c>
      <c r="W125" s="188">
        <f t="shared" ca="1" si="8"/>
        <v>13826303.399785083</v>
      </c>
    </row>
    <row r="126" spans="1:25" s="59" customFormat="1" x14ac:dyDescent="0.2">
      <c r="A126" s="506">
        <f t="shared" si="14"/>
        <v>46508</v>
      </c>
      <c r="B126" s="59">
        <f>YEAR(A126)</f>
        <v>2027</v>
      </c>
      <c r="C126" s="59">
        <f>MONTH(A126)</f>
        <v>5</v>
      </c>
      <c r="D126" s="508"/>
      <c r="E126" s="177">
        <f t="shared" ca="1" si="10"/>
        <v>65.335833333333326</v>
      </c>
      <c r="F126" s="177">
        <f t="shared" ca="1" si="9"/>
        <v>93.837916666666644</v>
      </c>
      <c r="G126" s="177">
        <f>'Customer Count'!S64</f>
        <v>2</v>
      </c>
      <c r="H126" s="177">
        <f t="shared" si="15"/>
        <v>0</v>
      </c>
      <c r="I126" s="177">
        <f>'Monthly Data'!CV126</f>
        <v>0</v>
      </c>
      <c r="J126" s="177">
        <f t="shared" si="16"/>
        <v>31</v>
      </c>
      <c r="K126" s="177">
        <f t="shared" si="17"/>
        <v>125</v>
      </c>
      <c r="L126" s="177">
        <f t="shared" si="18"/>
        <v>1</v>
      </c>
      <c r="N126" s="188">
        <f>'Large Use Predicted Monthly'!$AB$10</f>
        <v>-5783820.4539120998</v>
      </c>
      <c r="O126" s="188">
        <f ca="1">E126*'Large Use Predicted Monthly'!$AB$11</f>
        <v>40296.802292960208</v>
      </c>
      <c r="P126" s="188">
        <f ca="1">F126*'Large Use Predicted Monthly'!$AB$12</f>
        <v>1283233.2793770556</v>
      </c>
      <c r="Q126" s="188">
        <f>G126*'Large Use Predicted Monthly'!$AB$13</f>
        <v>6999999.7151174396</v>
      </c>
      <c r="R126" s="188">
        <f>H126*'Large Use Predicted Monthly'!$AB$14</f>
        <v>0</v>
      </c>
      <c r="S126" s="188">
        <f>I126*'Large Use Predicted Monthly'!$AB$15</f>
        <v>0</v>
      </c>
      <c r="T126" s="188">
        <f>J126*'Large Use Predicted Monthly'!$AB$16</f>
        <v>10482494.861430187</v>
      </c>
      <c r="U126" s="188">
        <f>K126*'Large Use Predicted Monthly'!$AB$17</f>
        <v>2152548.5514619248</v>
      </c>
      <c r="V126" s="188">
        <f>L126*'Large Use Predicted Monthly'!$AB$18</f>
        <v>-352058.92944720201</v>
      </c>
      <c r="W126" s="188">
        <f t="shared" ca="1" si="8"/>
        <v>14822693.826320263</v>
      </c>
    </row>
    <row r="127" spans="1:25" s="59" customFormat="1" x14ac:dyDescent="0.2">
      <c r="A127" s="506">
        <f t="shared" si="14"/>
        <v>46539</v>
      </c>
      <c r="B127" s="59">
        <f t="shared" ref="B127:B133" si="19">YEAR(A127)</f>
        <v>2027</v>
      </c>
      <c r="C127" s="59">
        <f t="shared" ref="C127:C133" si="20">MONTH(A127)</f>
        <v>6</v>
      </c>
      <c r="D127" s="508"/>
      <c r="E127" s="177">
        <f t="shared" ca="1" si="10"/>
        <v>3.0447916666666672</v>
      </c>
      <c r="F127" s="177">
        <f t="shared" ca="1" si="9"/>
        <v>214.81645833333337</v>
      </c>
      <c r="G127" s="177">
        <f>'Customer Count'!S65</f>
        <v>2</v>
      </c>
      <c r="H127" s="177">
        <f t="shared" si="15"/>
        <v>0</v>
      </c>
      <c r="I127" s="177">
        <f>'Monthly Data'!CV127</f>
        <v>0</v>
      </c>
      <c r="J127" s="177">
        <f t="shared" si="16"/>
        <v>30</v>
      </c>
      <c r="K127" s="177">
        <f t="shared" si="17"/>
        <v>126</v>
      </c>
      <c r="L127" s="177">
        <f t="shared" si="18"/>
        <v>1</v>
      </c>
      <c r="N127" s="188">
        <f>'Large Use Predicted Monthly'!$AB$10</f>
        <v>-5783820.4539120998</v>
      </c>
      <c r="O127" s="188">
        <f ca="1">E127*'Large Use Predicted Monthly'!$AB$11</f>
        <v>1877.9184645728276</v>
      </c>
      <c r="P127" s="188">
        <f ca="1">F127*'Large Use Predicted Monthly'!$AB$12</f>
        <v>2937614.5388058103</v>
      </c>
      <c r="Q127" s="188">
        <f>G127*'Large Use Predicted Monthly'!$AB$13</f>
        <v>6999999.7151174396</v>
      </c>
      <c r="R127" s="188">
        <f>H127*'Large Use Predicted Monthly'!$AB$14</f>
        <v>0</v>
      </c>
      <c r="S127" s="188">
        <f>I127*'Large Use Predicted Monthly'!$AB$15</f>
        <v>0</v>
      </c>
      <c r="T127" s="188">
        <f>J127*'Large Use Predicted Monthly'!$AB$16</f>
        <v>10144349.865900181</v>
      </c>
      <c r="U127" s="188">
        <f>K127*'Large Use Predicted Monthly'!$AB$17</f>
        <v>2169768.9398736204</v>
      </c>
      <c r="V127" s="188">
        <f>L127*'Large Use Predicted Monthly'!$AB$18</f>
        <v>-352058.92944720201</v>
      </c>
      <c r="W127" s="188">
        <f t="shared" ca="1" si="8"/>
        <v>16117731.594802324</v>
      </c>
    </row>
    <row r="128" spans="1:25" s="59" customFormat="1" x14ac:dyDescent="0.2">
      <c r="A128" s="506">
        <f t="shared" si="14"/>
        <v>46569</v>
      </c>
      <c r="B128" s="59">
        <f t="shared" si="19"/>
        <v>2027</v>
      </c>
      <c r="C128" s="59">
        <f t="shared" si="20"/>
        <v>7</v>
      </c>
      <c r="D128" s="508"/>
      <c r="E128" s="177">
        <f t="shared" ca="1" si="10"/>
        <v>0</v>
      </c>
      <c r="F128" s="177">
        <f t="shared" ca="1" si="9"/>
        <v>293.27145833333327</v>
      </c>
      <c r="G128" s="177">
        <f>'Customer Count'!S66</f>
        <v>2</v>
      </c>
      <c r="H128" s="177">
        <f t="shared" si="15"/>
        <v>0</v>
      </c>
      <c r="I128" s="177">
        <f>'Monthly Data'!CV128</f>
        <v>0</v>
      </c>
      <c r="J128" s="177">
        <f t="shared" si="16"/>
        <v>31</v>
      </c>
      <c r="K128" s="177">
        <f t="shared" si="17"/>
        <v>127</v>
      </c>
      <c r="L128" s="177">
        <f t="shared" si="18"/>
        <v>1</v>
      </c>
      <c r="N128" s="188">
        <f>'Large Use Predicted Monthly'!$AB$10</f>
        <v>-5783820.4539120998</v>
      </c>
      <c r="O128" s="188">
        <f ca="1">E128*'Large Use Predicted Monthly'!$AB$11</f>
        <v>0</v>
      </c>
      <c r="P128" s="188">
        <f ca="1">F128*'Large Use Predicted Monthly'!$AB$12</f>
        <v>4010486.4706406863</v>
      </c>
      <c r="Q128" s="188">
        <f>G128*'Large Use Predicted Monthly'!$AB$13</f>
        <v>6999999.7151174396</v>
      </c>
      <c r="R128" s="188">
        <f>H128*'Large Use Predicted Monthly'!$AB$14</f>
        <v>0</v>
      </c>
      <c r="S128" s="188">
        <f>I128*'Large Use Predicted Monthly'!$AB$15</f>
        <v>0</v>
      </c>
      <c r="T128" s="188">
        <f>J128*'Large Use Predicted Monthly'!$AB$16</f>
        <v>10482494.861430187</v>
      </c>
      <c r="U128" s="188">
        <f>K128*'Large Use Predicted Monthly'!$AB$17</f>
        <v>2186989.3282853155</v>
      </c>
      <c r="V128" s="188">
        <f>L128*'Large Use Predicted Monthly'!$AB$18</f>
        <v>-352058.92944720201</v>
      </c>
      <c r="W128" s="188">
        <f t="shared" ca="1" si="8"/>
        <v>17544090.992114328</v>
      </c>
    </row>
    <row r="129" spans="1:23" s="59" customFormat="1" x14ac:dyDescent="0.2">
      <c r="A129" s="506">
        <f t="shared" si="14"/>
        <v>46600</v>
      </c>
      <c r="B129" s="59">
        <f t="shared" si="19"/>
        <v>2027</v>
      </c>
      <c r="C129" s="59">
        <f t="shared" si="20"/>
        <v>8</v>
      </c>
      <c r="D129" s="508"/>
      <c r="E129" s="177">
        <f t="shared" ca="1" si="10"/>
        <v>0.27875000000000066</v>
      </c>
      <c r="F129" s="177">
        <f t="shared" ca="1" si="9"/>
        <v>257.85749999999996</v>
      </c>
      <c r="G129" s="177">
        <f>'Customer Count'!S67</f>
        <v>2</v>
      </c>
      <c r="H129" s="177">
        <f t="shared" si="15"/>
        <v>0</v>
      </c>
      <c r="I129" s="177">
        <f>'Monthly Data'!CV129</f>
        <v>0</v>
      </c>
      <c r="J129" s="177">
        <f t="shared" si="16"/>
        <v>31</v>
      </c>
      <c r="K129" s="177">
        <f t="shared" si="17"/>
        <v>128</v>
      </c>
      <c r="L129" s="177">
        <f t="shared" si="18"/>
        <v>1</v>
      </c>
      <c r="N129" s="188">
        <f>'Large Use Predicted Monthly'!$AB$10</f>
        <v>-5783820.4539120998</v>
      </c>
      <c r="O129" s="188">
        <f ca="1">E129*'Large Use Predicted Monthly'!$AB$11</f>
        <v>171.92301783088942</v>
      </c>
      <c r="P129" s="188">
        <f ca="1">F129*'Large Use Predicted Monthly'!$AB$12</f>
        <v>3526200.677625542</v>
      </c>
      <c r="Q129" s="188">
        <f>G129*'Large Use Predicted Monthly'!$AB$13</f>
        <v>6999999.7151174396</v>
      </c>
      <c r="R129" s="188">
        <f>H129*'Large Use Predicted Monthly'!$AB$14</f>
        <v>0</v>
      </c>
      <c r="S129" s="188">
        <f>I129*'Large Use Predicted Monthly'!$AB$15</f>
        <v>0</v>
      </c>
      <c r="T129" s="188">
        <f>J129*'Large Use Predicted Monthly'!$AB$16</f>
        <v>10482494.861430187</v>
      </c>
      <c r="U129" s="188">
        <f>K129*'Large Use Predicted Monthly'!$AB$17</f>
        <v>2204209.7166970111</v>
      </c>
      <c r="V129" s="188">
        <f>L129*'Large Use Predicted Monthly'!$AB$18</f>
        <v>-352058.92944720201</v>
      </c>
      <c r="W129" s="188">
        <f t="shared" ca="1" si="8"/>
        <v>17077197.510528706</v>
      </c>
    </row>
    <row r="130" spans="1:23" s="59" customFormat="1" x14ac:dyDescent="0.2">
      <c r="A130" s="506">
        <f t="shared" si="14"/>
        <v>46631</v>
      </c>
      <c r="B130" s="59">
        <f t="shared" si="19"/>
        <v>2027</v>
      </c>
      <c r="C130" s="59">
        <f t="shared" si="20"/>
        <v>9</v>
      </c>
      <c r="D130" s="508"/>
      <c r="E130" s="177">
        <f t="shared" ca="1" si="10"/>
        <v>11.319999999999997</v>
      </c>
      <c r="F130" s="177">
        <f t="shared" ca="1" si="9"/>
        <v>155.75020833333332</v>
      </c>
      <c r="G130" s="177">
        <f>'Customer Count'!S68</f>
        <v>2</v>
      </c>
      <c r="H130" s="177">
        <f t="shared" si="15"/>
        <v>1</v>
      </c>
      <c r="I130" s="177">
        <f>'Monthly Data'!CV130</f>
        <v>0</v>
      </c>
      <c r="J130" s="177">
        <f t="shared" si="16"/>
        <v>30</v>
      </c>
      <c r="K130" s="177">
        <f t="shared" si="17"/>
        <v>129</v>
      </c>
      <c r="L130" s="177">
        <f t="shared" si="18"/>
        <v>0</v>
      </c>
      <c r="N130" s="188">
        <f>'Large Use Predicted Monthly'!$AB$10</f>
        <v>-5783820.4539120998</v>
      </c>
      <c r="O130" s="188">
        <f ca="1">E130*'Large Use Predicted Monthly'!$AB$11</f>
        <v>6981.7706254552941</v>
      </c>
      <c r="P130" s="188">
        <f ca="1">F130*'Large Use Predicted Monthly'!$AB$12</f>
        <v>2129883.7154836268</v>
      </c>
      <c r="Q130" s="188">
        <f>G130*'Large Use Predicted Monthly'!$AB$13</f>
        <v>6999999.7151174396</v>
      </c>
      <c r="R130" s="188">
        <f>H130*'Large Use Predicted Monthly'!$AB$14</f>
        <v>387000.72715245897</v>
      </c>
      <c r="S130" s="188">
        <f>I130*'Large Use Predicted Monthly'!$AB$15</f>
        <v>0</v>
      </c>
      <c r="T130" s="188">
        <f>J130*'Large Use Predicted Monthly'!$AB$16</f>
        <v>10144349.865900181</v>
      </c>
      <c r="U130" s="188">
        <f>K130*'Large Use Predicted Monthly'!$AB$17</f>
        <v>2221430.1051087067</v>
      </c>
      <c r="V130" s="188">
        <f>L130*'Large Use Predicted Monthly'!$AB$18</f>
        <v>0</v>
      </c>
      <c r="W130" s="188">
        <f t="shared" ca="1" si="8"/>
        <v>16105825.445475768</v>
      </c>
    </row>
    <row r="131" spans="1:23" s="59" customFormat="1" x14ac:dyDescent="0.2">
      <c r="A131" s="506">
        <f t="shared" si="14"/>
        <v>46661</v>
      </c>
      <c r="B131" s="59">
        <f t="shared" si="19"/>
        <v>2027</v>
      </c>
      <c r="C131" s="59">
        <f t="shared" si="20"/>
        <v>10</v>
      </c>
      <c r="D131" s="508"/>
      <c r="E131" s="177">
        <f t="shared" ca="1" si="10"/>
        <v>126.12583333333332</v>
      </c>
      <c r="F131" s="177">
        <f t="shared" ca="1" si="9"/>
        <v>45.238541666666677</v>
      </c>
      <c r="G131" s="177">
        <f>'Customer Count'!S69</f>
        <v>2</v>
      </c>
      <c r="H131" s="177">
        <f t="shared" si="15"/>
        <v>1</v>
      </c>
      <c r="I131" s="177">
        <f>'Monthly Data'!CV131</f>
        <v>0</v>
      </c>
      <c r="J131" s="177">
        <f t="shared" si="16"/>
        <v>31</v>
      </c>
      <c r="K131" s="177">
        <f t="shared" si="17"/>
        <v>130</v>
      </c>
      <c r="L131" s="177">
        <f t="shared" si="18"/>
        <v>0</v>
      </c>
      <c r="N131" s="188">
        <f>'Large Use Predicted Monthly'!$AB$10</f>
        <v>-5783820.4539120998</v>
      </c>
      <c r="O131" s="188">
        <f ca="1">E131*'Large Use Predicted Monthly'!$AB$11</f>
        <v>77789.897374358392</v>
      </c>
      <c r="P131" s="188">
        <f ca="1">F131*'Large Use Predicted Monthly'!$AB$12</f>
        <v>618636.94590923819</v>
      </c>
      <c r="Q131" s="188">
        <f>G131*'Large Use Predicted Monthly'!$AB$13</f>
        <v>6999999.7151174396</v>
      </c>
      <c r="R131" s="188">
        <f>H131*'Large Use Predicted Monthly'!$AB$14</f>
        <v>387000.72715245897</v>
      </c>
      <c r="S131" s="188">
        <f>I131*'Large Use Predicted Monthly'!$AB$15</f>
        <v>0</v>
      </c>
      <c r="T131" s="188">
        <f>J131*'Large Use Predicted Monthly'!$AB$16</f>
        <v>10482494.861430187</v>
      </c>
      <c r="U131" s="188">
        <f>K131*'Large Use Predicted Monthly'!$AB$17</f>
        <v>2238650.4935204019</v>
      </c>
      <c r="V131" s="188">
        <f>L131*'Large Use Predicted Monthly'!$AB$18</f>
        <v>0</v>
      </c>
      <c r="W131" s="188">
        <f ca="1">SUM(N131:V131)</f>
        <v>15020752.186591983</v>
      </c>
    </row>
    <row r="132" spans="1:23" s="59" customFormat="1" x14ac:dyDescent="0.2">
      <c r="A132" s="506">
        <f t="shared" si="14"/>
        <v>46692</v>
      </c>
      <c r="B132" s="59">
        <f t="shared" si="19"/>
        <v>2027</v>
      </c>
      <c r="C132" s="59">
        <f t="shared" si="20"/>
        <v>11</v>
      </c>
      <c r="D132" s="508"/>
      <c r="E132" s="177">
        <f t="shared" ca="1" si="10"/>
        <v>312.40687500000001</v>
      </c>
      <c r="F132" s="177">
        <f t="shared" ca="1" si="9"/>
        <v>3.6587500000000004</v>
      </c>
      <c r="G132" s="177">
        <f>'Customer Count'!S70</f>
        <v>2</v>
      </c>
      <c r="H132" s="177">
        <f t="shared" si="15"/>
        <v>1</v>
      </c>
      <c r="I132" s="177">
        <f>'Monthly Data'!CV132</f>
        <v>0</v>
      </c>
      <c r="J132" s="177">
        <f t="shared" si="16"/>
        <v>30</v>
      </c>
      <c r="K132" s="177">
        <f t="shared" si="17"/>
        <v>131</v>
      </c>
      <c r="L132" s="177">
        <f t="shared" si="18"/>
        <v>0</v>
      </c>
      <c r="N132" s="188">
        <f>'Large Use Predicted Monthly'!$AB$10</f>
        <v>-5783820.4539120998</v>
      </c>
      <c r="O132" s="188">
        <f ca="1">E132*'Large Use Predicted Monthly'!$AB$11</f>
        <v>192681.37306230428</v>
      </c>
      <c r="P132" s="188">
        <f ca="1">F132*'Large Use Predicted Monthly'!$AB$12</f>
        <v>50033.39724174187</v>
      </c>
      <c r="Q132" s="188">
        <f>G132*'Large Use Predicted Monthly'!$AB$13</f>
        <v>6999999.7151174396</v>
      </c>
      <c r="R132" s="188">
        <f>H132*'Large Use Predicted Monthly'!$AB$14</f>
        <v>387000.72715245897</v>
      </c>
      <c r="S132" s="188">
        <f>I132*'Large Use Predicted Monthly'!$AB$15</f>
        <v>0</v>
      </c>
      <c r="T132" s="188">
        <f>J132*'Large Use Predicted Monthly'!$AB$16</f>
        <v>10144349.865900181</v>
      </c>
      <c r="U132" s="188">
        <f>K132*'Large Use Predicted Monthly'!$AB$17</f>
        <v>2255870.8819320975</v>
      </c>
      <c r="V132" s="188">
        <f>L132*'Large Use Predicted Monthly'!$AB$18</f>
        <v>0</v>
      </c>
      <c r="W132" s="188">
        <f ca="1">SUM(N132:V132)</f>
        <v>14246115.506494123</v>
      </c>
    </row>
    <row r="133" spans="1:23" s="59" customFormat="1" x14ac:dyDescent="0.2">
      <c r="A133" s="506">
        <f t="shared" si="14"/>
        <v>46722</v>
      </c>
      <c r="B133" s="59">
        <f t="shared" si="19"/>
        <v>2027</v>
      </c>
      <c r="C133" s="59">
        <f t="shared" si="20"/>
        <v>12</v>
      </c>
      <c r="D133" s="508"/>
      <c r="E133" s="177">
        <f t="shared" ca="1" si="10"/>
        <v>473.52499999999998</v>
      </c>
      <c r="F133" s="177">
        <f t="shared" ca="1" si="9"/>
        <v>0</v>
      </c>
      <c r="G133" s="177">
        <f>'Customer Count'!S71</f>
        <v>2</v>
      </c>
      <c r="H133" s="177">
        <f t="shared" si="15"/>
        <v>0</v>
      </c>
      <c r="I133" s="177">
        <f>'Monthly Data'!CV133</f>
        <v>0</v>
      </c>
      <c r="J133" s="177">
        <f t="shared" si="16"/>
        <v>31</v>
      </c>
      <c r="K133" s="177">
        <f t="shared" si="17"/>
        <v>132</v>
      </c>
      <c r="L133" s="177">
        <f t="shared" si="18"/>
        <v>0</v>
      </c>
      <c r="N133" s="188">
        <f>'Large Use Predicted Monthly'!$AB$10</f>
        <v>-5783820.4539120998</v>
      </c>
      <c r="O133" s="188">
        <f ca="1">E133*'Large Use Predicted Monthly'!$AB$11</f>
        <v>292053.26284617657</v>
      </c>
      <c r="P133" s="188">
        <f ca="1">F133*'Large Use Predicted Monthly'!$AB$12</f>
        <v>0</v>
      </c>
      <c r="Q133" s="188">
        <f>G133*'Large Use Predicted Monthly'!$AB$13</f>
        <v>6999999.7151174396</v>
      </c>
      <c r="R133" s="188">
        <f>H133*'Large Use Predicted Monthly'!$AB$14</f>
        <v>0</v>
      </c>
      <c r="S133" s="188">
        <f>I133*'Large Use Predicted Monthly'!$AB$15</f>
        <v>0</v>
      </c>
      <c r="T133" s="188">
        <f>J133*'Large Use Predicted Monthly'!$AB$16</f>
        <v>10482494.861430187</v>
      </c>
      <c r="U133" s="188">
        <f>K133*'Large Use Predicted Monthly'!$AB$17</f>
        <v>2273091.2703437926</v>
      </c>
      <c r="V133" s="188">
        <f>L133*'Large Use Predicted Monthly'!$AB$18</f>
        <v>0</v>
      </c>
      <c r="W133" s="188">
        <f ca="1">SUM(N133:V133)</f>
        <v>14263818.655825496</v>
      </c>
    </row>
    <row r="134" spans="1:23" x14ac:dyDescent="0.2">
      <c r="A134" s="8"/>
      <c r="F134" s="21"/>
      <c r="G134" s="21"/>
      <c r="H134" s="21"/>
      <c r="I134" s="21"/>
      <c r="J134" s="21"/>
      <c r="K134" s="21"/>
      <c r="L134" s="2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x14ac:dyDescent="0.2">
      <c r="A135" s="8"/>
      <c r="F135" s="21"/>
      <c r="G135" s="21"/>
      <c r="H135" s="21"/>
      <c r="I135" s="21"/>
      <c r="J135" s="21"/>
      <c r="K135" s="21"/>
      <c r="L135" s="2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x14ac:dyDescent="0.2">
      <c r="A136" s="8"/>
      <c r="F136" s="21"/>
      <c r="G136" s="21"/>
      <c r="H136" s="21"/>
      <c r="I136" s="21"/>
      <c r="J136" s="21"/>
      <c r="K136" s="21"/>
      <c r="L136" s="2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x14ac:dyDescent="0.2">
      <c r="A137" s="8"/>
      <c r="F137" s="21"/>
      <c r="G137" s="21"/>
      <c r="H137" s="21"/>
      <c r="I137" s="21"/>
      <c r="J137" s="21"/>
      <c r="K137" s="21"/>
      <c r="L137" s="2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x14ac:dyDescent="0.2">
      <c r="A138" s="8"/>
      <c r="F138" s="21"/>
      <c r="G138" s="21"/>
      <c r="H138" s="21"/>
      <c r="I138" s="21"/>
      <c r="J138" s="21"/>
      <c r="K138" s="21"/>
      <c r="L138" s="2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x14ac:dyDescent="0.2">
      <c r="A139" s="8"/>
      <c r="F139" s="21"/>
      <c r="G139" s="21"/>
      <c r="H139" s="21"/>
      <c r="I139" s="21"/>
      <c r="J139" s="21"/>
      <c r="K139" s="21"/>
      <c r="L139" s="2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x14ac:dyDescent="0.2">
      <c r="A140" s="8"/>
      <c r="F140" s="21"/>
      <c r="G140" s="21"/>
      <c r="H140" s="21"/>
      <c r="I140" s="21"/>
      <c r="J140" s="21"/>
      <c r="K140" s="21"/>
      <c r="L140" s="2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x14ac:dyDescent="0.2">
      <c r="A141" s="8"/>
      <c r="F141" s="21"/>
      <c r="G141" s="21"/>
      <c r="H141" s="21"/>
      <c r="I141" s="21"/>
      <c r="J141" s="21"/>
      <c r="K141" s="21"/>
      <c r="L141" s="2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x14ac:dyDescent="0.2">
      <c r="A142" s="8"/>
      <c r="F142" s="21"/>
      <c r="G142" s="21"/>
      <c r="H142" s="21"/>
      <c r="I142" s="21"/>
      <c r="J142" s="21"/>
      <c r="K142" s="21"/>
      <c r="L142" s="2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x14ac:dyDescent="0.2">
      <c r="A143" s="8"/>
      <c r="F143" s="21"/>
      <c r="G143" s="21"/>
      <c r="H143" s="21"/>
      <c r="I143" s="21"/>
      <c r="J143" s="21"/>
      <c r="K143" s="21"/>
      <c r="L143" s="2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x14ac:dyDescent="0.2">
      <c r="A144" s="8"/>
      <c r="F144" s="21"/>
      <c r="G144" s="21"/>
      <c r="H144" s="21"/>
      <c r="I144" s="21"/>
      <c r="J144" s="21"/>
      <c r="K144" s="21"/>
      <c r="L144" s="2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x14ac:dyDescent="0.2">
      <c r="A145" s="8"/>
      <c r="F145" s="21"/>
      <c r="G145" s="21"/>
      <c r="H145" s="21"/>
      <c r="I145" s="21"/>
      <c r="J145" s="21"/>
      <c r="K145" s="21"/>
      <c r="L145" s="2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95" spans="14:26" x14ac:dyDescent="0.2"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4:26" x14ac:dyDescent="0.2"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4:26" x14ac:dyDescent="0.2"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4:26" x14ac:dyDescent="0.2"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4:26" x14ac:dyDescent="0.2"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4:26" x14ac:dyDescent="0.2"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4:26" x14ac:dyDescent="0.2"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4:26" x14ac:dyDescent="0.2"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4" spans="14:26" x14ac:dyDescent="0.2"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9A1D7-E241-425C-89DE-65D17D4D5E2F}">
  <sheetPr codeName="Sheet7">
    <tabColor theme="6" tint="0.59999389629810485"/>
  </sheetPr>
  <dimension ref="A1:AB192"/>
  <sheetViews>
    <sheetView workbookViewId="0">
      <pane xSplit="1" ySplit="1" topLeftCell="J104" activePane="bottomRight" state="frozen"/>
      <selection activeCell="M13" sqref="M13"/>
      <selection pane="topRight" activeCell="M13" sqref="M13"/>
      <selection pane="bottomLeft" activeCell="M13" sqref="M13"/>
      <selection pane="bottomRight" activeCell="V146" sqref="V146"/>
    </sheetView>
  </sheetViews>
  <sheetFormatPr defaultColWidth="9.33203125" defaultRowHeight="12.75" x14ac:dyDescent="0.2"/>
  <cols>
    <col min="1" max="1" width="10.5" bestFit="1" customWidth="1"/>
    <col min="4" max="4" width="14.6640625" bestFit="1" customWidth="1"/>
    <col min="9" max="9" width="11.1640625" bestFit="1" customWidth="1"/>
    <col min="11" max="11" width="11.33203125" bestFit="1" customWidth="1"/>
    <col min="13" max="13" width="12.5" bestFit="1" customWidth="1"/>
    <col min="14" max="14" width="11.83203125" bestFit="1" customWidth="1"/>
    <col min="15" max="15" width="12" bestFit="1" customWidth="1"/>
    <col min="16" max="16" width="12.83203125" bestFit="1" customWidth="1"/>
    <col min="17" max="17" width="13.83203125" bestFit="1" customWidth="1"/>
    <col min="18" max="18" width="14.33203125" bestFit="1" customWidth="1"/>
    <col min="19" max="19" width="13.6640625" bestFit="1" customWidth="1"/>
    <col min="20" max="20" width="11.1640625" bestFit="1" customWidth="1"/>
    <col min="21" max="21" width="16.1640625" customWidth="1"/>
    <col min="22" max="22" width="13.83203125" bestFit="1" customWidth="1"/>
    <col min="23" max="23" width="13" bestFit="1" customWidth="1"/>
    <col min="24" max="24" width="16" bestFit="1" customWidth="1"/>
    <col min="25" max="25" width="18.33203125" bestFit="1" customWidth="1"/>
    <col min="27" max="27" width="14.83203125" bestFit="1" customWidth="1"/>
    <col min="28" max="28" width="12.83203125" customWidth="1"/>
  </cols>
  <sheetData>
    <row r="1" spans="1:25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Data'!F1</f>
        <v>Res_NoCDM</v>
      </c>
      <c r="E1" s="181" t="str">
        <f>'Monthly Data'!BF1</f>
        <v>HDD18</v>
      </c>
      <c r="F1" s="181" t="str">
        <f>'Monthly Data'!BK1</f>
        <v>CDD14</v>
      </c>
      <c r="G1" s="181" t="str">
        <f>'Monthly Data'!BF1</f>
        <v>HDD18</v>
      </c>
      <c r="H1" s="181" t="str">
        <f>'Monthly Data'!BK1</f>
        <v>CDD14</v>
      </c>
      <c r="I1" s="182" t="str">
        <f>'Monthly Data'!G1</f>
        <v>Residential_Customers</v>
      </c>
      <c r="J1" s="171" t="str">
        <f>'Monthly Data'!CC1</f>
        <v>Dec</v>
      </c>
      <c r="K1" s="181" t="str">
        <f>'Monthly Data'!CS1</f>
        <v>Month Days</v>
      </c>
      <c r="L1" s="181" t="str">
        <f>'Monthly Data'!CK1</f>
        <v>Summer</v>
      </c>
      <c r="M1" s="181" t="str">
        <f>'Monthly Data'!DB1</f>
        <v>CovHDD18</v>
      </c>
      <c r="N1" s="181" t="str">
        <f>'Monthly Data'!DG1</f>
        <v>CovCDD14</v>
      </c>
      <c r="P1" s="171" t="s">
        <v>65</v>
      </c>
      <c r="Q1" s="181" t="str">
        <f>E1</f>
        <v>HDD18</v>
      </c>
      <c r="R1" s="181" t="str">
        <f>F1</f>
        <v>CDD14</v>
      </c>
      <c r="S1" s="181" t="str">
        <f t="shared" ref="S1:X1" si="0">I1</f>
        <v>Residential_Customers</v>
      </c>
      <c r="T1" s="181" t="str">
        <f t="shared" si="0"/>
        <v>Dec</v>
      </c>
      <c r="U1" s="181" t="str">
        <f t="shared" si="0"/>
        <v>Month Days</v>
      </c>
      <c r="V1" s="181" t="str">
        <f t="shared" si="0"/>
        <v>Summer</v>
      </c>
      <c r="W1" s="181" t="str">
        <f t="shared" si="0"/>
        <v>CovHDD18</v>
      </c>
      <c r="X1" s="181" t="str">
        <f t="shared" si="0"/>
        <v>CovCDD14</v>
      </c>
      <c r="Y1" s="171" t="s">
        <v>373</v>
      </c>
    </row>
    <row r="2" spans="1:25" x14ac:dyDescent="0.2">
      <c r="A2" s="8">
        <f>'Monthly Data'!A2</f>
        <v>42736</v>
      </c>
      <c r="B2">
        <f>YEAR(A2)</f>
        <v>2017</v>
      </c>
      <c r="C2">
        <f>MONTH(A2)</f>
        <v>1</v>
      </c>
      <c r="D2" s="18">
        <f>'Monthly Data'!F2</f>
        <v>96528111.989106089</v>
      </c>
      <c r="E2" s="290">
        <f ca="1">Weather!AO34</f>
        <v>683.09489583333334</v>
      </c>
      <c r="F2" s="290">
        <f ca="1">Weather!BR34</f>
        <v>0</v>
      </c>
      <c r="G2" s="13">
        <f>'Monthly Data'!BF2</f>
        <v>631.09166666666658</v>
      </c>
      <c r="H2" s="13">
        <f>'Monthly Data'!BK2</f>
        <v>0</v>
      </c>
      <c r="I2" s="11">
        <f>'Monthly Data'!G2</f>
        <v>141495</v>
      </c>
      <c r="J2" s="21">
        <f>'Monthly Data'!CC2</f>
        <v>0</v>
      </c>
      <c r="K2" s="11">
        <f>'Monthly Data'!CS2</f>
        <v>31</v>
      </c>
      <c r="L2">
        <f>'Monthly Data'!CK2</f>
        <v>0</v>
      </c>
      <c r="M2" s="21">
        <f>'Monthly Data'!DB2</f>
        <v>0</v>
      </c>
      <c r="N2" s="21">
        <f>'Monthly Data'!DG2</f>
        <v>0</v>
      </c>
      <c r="O2">
        <f>'Monthly Data'!CV2</f>
        <v>0</v>
      </c>
      <c r="Q2" s="11">
        <f ca="1">(E2-G2)*'Res Predicted Monthly'!$AB$10</f>
        <v>3192509.5694429111</v>
      </c>
      <c r="R2" s="11">
        <f ca="1">(F2-H2)*'Res Predicted Monthly'!$AB$11</f>
        <v>0</v>
      </c>
      <c r="S2" s="11"/>
      <c r="T2" s="11"/>
      <c r="U2" s="11"/>
      <c r="V2" s="11"/>
      <c r="W2" s="11"/>
      <c r="X2" s="11"/>
      <c r="Y2" s="18">
        <f ca="1">SUM(Q2:X2)+D2</f>
        <v>99720621.558549002</v>
      </c>
    </row>
    <row r="3" spans="1:25" x14ac:dyDescent="0.2">
      <c r="A3" s="8">
        <f>'Monthly Data'!A3</f>
        <v>42767</v>
      </c>
      <c r="B3">
        <f t="shared" ref="B3:B59" si="1">YEAR(A3)</f>
        <v>2017</v>
      </c>
      <c r="C3">
        <f t="shared" ref="C3:C59" si="2">MONTH(A3)</f>
        <v>2</v>
      </c>
      <c r="D3" s="18">
        <f>'Monthly Data'!F3</f>
        <v>81300090.78765358</v>
      </c>
      <c r="E3" s="290">
        <f ca="1">Weather!AO35</f>
        <v>589.85491666666678</v>
      </c>
      <c r="F3" s="290">
        <f ca="1">Weather!BR35</f>
        <v>0</v>
      </c>
      <c r="G3" s="13">
        <f>'Monthly Data'!BF3</f>
        <v>505.97916666666669</v>
      </c>
      <c r="H3" s="13">
        <f>'Monthly Data'!BK3</f>
        <v>0</v>
      </c>
      <c r="I3" s="11">
        <f>'Monthly Data'!G3</f>
        <v>141664</v>
      </c>
      <c r="J3" s="21">
        <f>'Monthly Data'!CC3</f>
        <v>0</v>
      </c>
      <c r="K3" s="11">
        <f>'Monthly Data'!CS3</f>
        <v>28</v>
      </c>
      <c r="L3">
        <f>'Monthly Data'!CK3</f>
        <v>0</v>
      </c>
      <c r="M3" s="21">
        <f>'Monthly Data'!DB3</f>
        <v>0</v>
      </c>
      <c r="N3" s="21">
        <f>'Monthly Data'!DG3</f>
        <v>0</v>
      </c>
      <c r="O3">
        <f>'Monthly Data'!CV3</f>
        <v>0</v>
      </c>
      <c r="P3" s="11"/>
      <c r="Q3" s="11">
        <f ca="1">(E3-G3)*'Res Predicted Monthly'!$AB$10</f>
        <v>5149182.8259549793</v>
      </c>
      <c r="R3" s="11">
        <f ca="1">(F3-H3)*'Res Predicted Monthly'!$AB$11</f>
        <v>0</v>
      </c>
      <c r="S3" s="11"/>
      <c r="T3" s="11"/>
      <c r="U3" s="11"/>
      <c r="V3" s="11"/>
      <c r="W3" s="11"/>
      <c r="X3" s="11"/>
      <c r="Y3" s="18">
        <f t="shared" ref="Y3:Y10" ca="1" si="3">SUM(P3:X3)+D3</f>
        <v>86449273.613608554</v>
      </c>
    </row>
    <row r="4" spans="1:25" x14ac:dyDescent="0.2">
      <c r="A4" s="8">
        <f>'Monthly Data'!A4</f>
        <v>42795</v>
      </c>
      <c r="B4">
        <f t="shared" si="1"/>
        <v>2017</v>
      </c>
      <c r="C4">
        <f t="shared" si="2"/>
        <v>3</v>
      </c>
      <c r="D4" s="18">
        <f>'Monthly Data'!F4</f>
        <v>87978694.586201057</v>
      </c>
      <c r="E4" s="290">
        <f ca="1">Weather!AO36</f>
        <v>522.20004166666672</v>
      </c>
      <c r="F4" s="290">
        <f ca="1">Weather!BR36</f>
        <v>0</v>
      </c>
      <c r="G4" s="13">
        <f>'Monthly Data'!BF4</f>
        <v>563.39166666666665</v>
      </c>
      <c r="H4" s="13">
        <f>'Monthly Data'!BK4</f>
        <v>0</v>
      </c>
      <c r="I4" s="11">
        <f>'Monthly Data'!G4</f>
        <v>141783</v>
      </c>
      <c r="J4" s="21">
        <f>'Monthly Data'!CC4</f>
        <v>0</v>
      </c>
      <c r="K4" s="11">
        <f>'Monthly Data'!CS4</f>
        <v>31</v>
      </c>
      <c r="L4">
        <f>'Monthly Data'!CK4</f>
        <v>0</v>
      </c>
      <c r="M4" s="21">
        <f>'Monthly Data'!DB4</f>
        <v>0</v>
      </c>
      <c r="N4" s="21">
        <f>'Monthly Data'!DG4</f>
        <v>0</v>
      </c>
      <c r="O4">
        <f>'Monthly Data'!CV4</f>
        <v>0</v>
      </c>
      <c r="P4" s="11"/>
      <c r="Q4" s="11">
        <f ca="1">(E4-G4)*'Res Predicted Monthly'!$AB$10</f>
        <v>-2528778.6758768437</v>
      </c>
      <c r="R4" s="11">
        <f ca="1">(F4-H4)*'Res Predicted Monthly'!$AB$11</f>
        <v>0</v>
      </c>
      <c r="S4" s="11"/>
      <c r="T4" s="11"/>
      <c r="U4" s="11"/>
      <c r="V4" s="11"/>
      <c r="W4" s="11"/>
      <c r="X4" s="11"/>
      <c r="Y4" s="18">
        <f t="shared" ca="1" si="3"/>
        <v>85449915.910324216</v>
      </c>
    </row>
    <row r="5" spans="1:25" x14ac:dyDescent="0.2">
      <c r="A5" s="8">
        <f>'Monthly Data'!A5</f>
        <v>42826</v>
      </c>
      <c r="B5">
        <f t="shared" si="1"/>
        <v>2017</v>
      </c>
      <c r="C5">
        <f t="shared" si="2"/>
        <v>4</v>
      </c>
      <c r="D5" s="18">
        <f>'Monthly Data'!F5</f>
        <v>73074109.384748533</v>
      </c>
      <c r="E5" s="290">
        <f ca="1">Weather!AO37</f>
        <v>343.18302083333327</v>
      </c>
      <c r="F5" s="290">
        <f ca="1">Weather!BR37</f>
        <v>6.5650000000000031</v>
      </c>
      <c r="G5" s="13">
        <f>'Monthly Data'!BF5</f>
        <v>259.11666666666662</v>
      </c>
      <c r="H5" s="13">
        <f>'Monthly Data'!BK5</f>
        <v>11.354166666666671</v>
      </c>
      <c r="I5" s="11">
        <f>'Monthly Data'!G5</f>
        <v>141833</v>
      </c>
      <c r="J5" s="21">
        <f>'Monthly Data'!CC5</f>
        <v>0</v>
      </c>
      <c r="K5" s="11">
        <f>'Monthly Data'!CS5</f>
        <v>30</v>
      </c>
      <c r="L5">
        <f>'Monthly Data'!CK5</f>
        <v>0</v>
      </c>
      <c r="M5" s="21">
        <f>'Monthly Data'!DB5</f>
        <v>0</v>
      </c>
      <c r="N5" s="21">
        <f>'Monthly Data'!DG5</f>
        <v>0</v>
      </c>
      <c r="O5">
        <f>'Monthly Data'!CV5</f>
        <v>0</v>
      </c>
      <c r="P5" s="11"/>
      <c r="Q5" s="11">
        <f ca="1">(E5-G5)*'Res Predicted Monthly'!$AB$10</f>
        <v>5160884.1305818222</v>
      </c>
      <c r="R5" s="11">
        <f ca="1">(F5-H5)*'Res Predicted Monthly'!$AB$11</f>
        <v>-1360377.1092932192</v>
      </c>
      <c r="S5" s="11"/>
      <c r="T5" s="11"/>
      <c r="U5" s="11"/>
      <c r="V5" s="11"/>
      <c r="W5" s="11"/>
      <c r="X5" s="11"/>
      <c r="Y5" s="18">
        <f ca="1">SUM(P5:X5)+D5</f>
        <v>76874616.406037137</v>
      </c>
    </row>
    <row r="6" spans="1:25" x14ac:dyDescent="0.2">
      <c r="A6" s="8">
        <f>'Monthly Data'!A6</f>
        <v>42856</v>
      </c>
      <c r="B6">
        <f t="shared" si="1"/>
        <v>2017</v>
      </c>
      <c r="C6">
        <f t="shared" si="2"/>
        <v>5</v>
      </c>
      <c r="D6" s="18">
        <f>'Monthly Data'!F6</f>
        <v>74177213.18329601</v>
      </c>
      <c r="E6" s="290">
        <f ca="1">Weather!AO38</f>
        <v>146.15645833333332</v>
      </c>
      <c r="F6" s="290">
        <f ca="1">Weather!BR38</f>
        <v>59.300416666666649</v>
      </c>
      <c r="G6" s="13">
        <f>'Monthly Data'!BF6</f>
        <v>189.45833333333337</v>
      </c>
      <c r="H6" s="13">
        <f>'Monthly Data'!BK6</f>
        <v>37.183333333333337</v>
      </c>
      <c r="I6" s="11">
        <f>'Monthly Data'!G6</f>
        <v>141997</v>
      </c>
      <c r="J6" s="21">
        <f>'Monthly Data'!CC6</f>
        <v>0</v>
      </c>
      <c r="K6" s="11">
        <f>'Monthly Data'!CS6</f>
        <v>31</v>
      </c>
      <c r="L6">
        <f>'Monthly Data'!CK6</f>
        <v>1</v>
      </c>
      <c r="M6" s="21">
        <f>'Monthly Data'!DB6</f>
        <v>0</v>
      </c>
      <c r="N6" s="21">
        <f>'Monthly Data'!DG6</f>
        <v>0</v>
      </c>
      <c r="O6">
        <f>'Monthly Data'!CV6</f>
        <v>0</v>
      </c>
      <c r="P6" s="11"/>
      <c r="Q6" s="11">
        <f ca="1">(E6-G6)*'Res Predicted Monthly'!$AB$10</f>
        <v>-2658328.1947600981</v>
      </c>
      <c r="R6" s="11">
        <f ca="1">(F6-H6)*'Res Predicted Monthly'!$AB$11</f>
        <v>6282423.6417603334</v>
      </c>
      <c r="S6" s="11"/>
      <c r="T6" s="11"/>
      <c r="U6" s="11"/>
      <c r="V6" s="11"/>
      <c r="W6" s="11"/>
      <c r="X6" s="11"/>
      <c r="Y6" s="18">
        <f t="shared" ca="1" si="3"/>
        <v>77801308.630296245</v>
      </c>
    </row>
    <row r="7" spans="1:25" x14ac:dyDescent="0.2">
      <c r="A7" s="8">
        <f>'Monthly Data'!A7</f>
        <v>42887</v>
      </c>
      <c r="B7">
        <f t="shared" si="1"/>
        <v>2017</v>
      </c>
      <c r="C7">
        <f t="shared" si="2"/>
        <v>6</v>
      </c>
      <c r="D7" s="18">
        <f>'Monthly Data'!F7</f>
        <v>91127350.981843486</v>
      </c>
      <c r="E7" s="290">
        <f ca="1">Weather!AO39</f>
        <v>29.335416666666674</v>
      </c>
      <c r="F7" s="290">
        <f ca="1">Weather!BR39</f>
        <v>157.17000000000002</v>
      </c>
      <c r="G7" s="13">
        <f>'Monthly Data'!BF7</f>
        <v>33.816666666666677</v>
      </c>
      <c r="H7" s="13">
        <f>'Monthly Data'!BK7</f>
        <v>147.1333333333333</v>
      </c>
      <c r="I7" s="11">
        <f>'Monthly Data'!G7</f>
        <v>142062</v>
      </c>
      <c r="J7" s="21">
        <f>'Monthly Data'!CC7</f>
        <v>0</v>
      </c>
      <c r="K7" s="11">
        <f>'Monthly Data'!CS7</f>
        <v>30</v>
      </c>
      <c r="L7">
        <f>'Monthly Data'!CK7</f>
        <v>1</v>
      </c>
      <c r="M7" s="21">
        <f>'Monthly Data'!DB7</f>
        <v>0</v>
      </c>
      <c r="N7" s="21">
        <f>'Monthly Data'!DG7</f>
        <v>0</v>
      </c>
      <c r="O7">
        <f>'Monthly Data'!CV7</f>
        <v>0</v>
      </c>
      <c r="P7" s="11"/>
      <c r="Q7" s="11">
        <f ca="1">(E7-G7)*'Res Predicted Monthly'!$AB$10</f>
        <v>-275106.63736313226</v>
      </c>
      <c r="R7" s="11">
        <f ca="1">(F7-H7)*'Res Predicted Monthly'!$AB$11</f>
        <v>2850945.1721467916</v>
      </c>
      <c r="S7" s="11"/>
      <c r="T7" s="11"/>
      <c r="U7" s="11"/>
      <c r="V7" s="11"/>
      <c r="W7" s="11"/>
      <c r="X7" s="11"/>
      <c r="Y7" s="18">
        <f t="shared" ca="1" si="3"/>
        <v>93703189.516627148</v>
      </c>
    </row>
    <row r="8" spans="1:25" x14ac:dyDescent="0.2">
      <c r="A8" s="8">
        <f>'Monthly Data'!A8</f>
        <v>42917</v>
      </c>
      <c r="B8">
        <f t="shared" si="1"/>
        <v>2017</v>
      </c>
      <c r="C8">
        <f t="shared" si="2"/>
        <v>7</v>
      </c>
      <c r="D8" s="18">
        <f>'Monthly Data'!F8</f>
        <v>108227347.78039098</v>
      </c>
      <c r="E8" s="290">
        <f ca="1">Weather!AO40</f>
        <v>1.6731249999999993</v>
      </c>
      <c r="F8" s="290">
        <f ca="1">Weather!BR40</f>
        <v>231.27145833333333</v>
      </c>
      <c r="G8" s="13">
        <f>'Monthly Data'!BF8</f>
        <v>0.49166666666666714</v>
      </c>
      <c r="H8" s="13">
        <f>'Monthly Data'!BK8</f>
        <v>206.83541666666665</v>
      </c>
      <c r="I8" s="11">
        <f>'Monthly Data'!G8</f>
        <v>142175</v>
      </c>
      <c r="J8" s="21">
        <f>'Monthly Data'!CC8</f>
        <v>0</v>
      </c>
      <c r="K8" s="11">
        <f>'Monthly Data'!CS8</f>
        <v>31</v>
      </c>
      <c r="L8">
        <f>'Monthly Data'!CK8</f>
        <v>1</v>
      </c>
      <c r="M8" s="21">
        <f>'Monthly Data'!DB8</f>
        <v>0</v>
      </c>
      <c r="N8" s="21">
        <f>'Monthly Data'!DG8</f>
        <v>0</v>
      </c>
      <c r="O8">
        <f>'Monthly Data'!CV8</f>
        <v>0</v>
      </c>
      <c r="P8" s="11"/>
      <c r="Q8" s="11">
        <f ca="1">(E8-G8)*'Res Predicted Monthly'!$AB$10</f>
        <v>72530.438888252931</v>
      </c>
      <c r="R8" s="11">
        <f ca="1">(F8-H8)*'Res Predicted Monthly'!$AB$11</f>
        <v>6941130.6890694974</v>
      </c>
      <c r="S8" s="11"/>
      <c r="T8" s="11"/>
      <c r="U8" s="11"/>
      <c r="V8" s="11"/>
      <c r="W8" s="11"/>
      <c r="X8" s="11"/>
      <c r="Y8" s="18">
        <f t="shared" ca="1" si="3"/>
        <v>115241008.90834872</v>
      </c>
    </row>
    <row r="9" spans="1:25" x14ac:dyDescent="0.2">
      <c r="A9" s="8">
        <f>'Monthly Data'!A9</f>
        <v>42948</v>
      </c>
      <c r="B9">
        <f t="shared" si="1"/>
        <v>2017</v>
      </c>
      <c r="C9">
        <f t="shared" si="2"/>
        <v>8</v>
      </c>
      <c r="D9" s="18">
        <f>'Monthly Data'!F9</f>
        <v>95371179.578938454</v>
      </c>
      <c r="E9" s="290">
        <f ca="1">Weather!AO41</f>
        <v>7.1606250000000005</v>
      </c>
      <c r="F9" s="290">
        <f ca="1">Weather!BR41</f>
        <v>196.13625000000002</v>
      </c>
      <c r="G9" s="13">
        <f>'Monthly Data'!BF9</f>
        <v>20.012500000000003</v>
      </c>
      <c r="H9" s="13">
        <f>'Monthly Data'!BK9</f>
        <v>149.20833333333331</v>
      </c>
      <c r="I9" s="11">
        <f>'Monthly Data'!G9</f>
        <v>142403</v>
      </c>
      <c r="J9" s="21">
        <f>'Monthly Data'!CC9</f>
        <v>0</v>
      </c>
      <c r="K9" s="11">
        <f>'Monthly Data'!CS9</f>
        <v>31</v>
      </c>
      <c r="L9">
        <f>'Monthly Data'!CK9</f>
        <v>1</v>
      </c>
      <c r="M9" s="21">
        <f>'Monthly Data'!DB9</f>
        <v>0</v>
      </c>
      <c r="N9" s="21">
        <f>'Monthly Data'!DG9</f>
        <v>0</v>
      </c>
      <c r="O9">
        <f>'Monthly Data'!CV9</f>
        <v>0</v>
      </c>
      <c r="P9" s="11"/>
      <c r="Q9" s="11">
        <f ca="1">(E9-G9)*'Res Predicted Monthly'!$AB$10</f>
        <v>-788984.34924659505</v>
      </c>
      <c r="R9" s="11">
        <f ca="1">(F9-H9)*'Res Predicted Monthly'!$AB$11</f>
        <v>13330015.024218503</v>
      </c>
      <c r="S9" s="11"/>
      <c r="T9" s="11"/>
      <c r="U9" s="11"/>
      <c r="V9" s="11"/>
      <c r="W9" s="11"/>
      <c r="X9" s="11"/>
      <c r="Y9" s="18">
        <f t="shared" ca="1" si="3"/>
        <v>107912210.25391036</v>
      </c>
    </row>
    <row r="10" spans="1:25" x14ac:dyDescent="0.2">
      <c r="A10" s="8">
        <f>'Monthly Data'!A10</f>
        <v>42979</v>
      </c>
      <c r="B10">
        <f t="shared" si="1"/>
        <v>2017</v>
      </c>
      <c r="C10">
        <f t="shared" si="2"/>
        <v>9</v>
      </c>
      <c r="D10" s="18">
        <f>'Monthly Data'!F10</f>
        <v>89157887.377485931</v>
      </c>
      <c r="E10" s="290">
        <f ca="1">Weather!AO42</f>
        <v>56.160416666666663</v>
      </c>
      <c r="F10" s="290">
        <f ca="1">Weather!BR42</f>
        <v>104.19854166666664</v>
      </c>
      <c r="G10" s="13">
        <f>'Monthly Data'!BF10</f>
        <v>71.945833333333312</v>
      </c>
      <c r="H10" s="13">
        <f>'Monthly Data'!BK10</f>
        <v>112.60833333333332</v>
      </c>
      <c r="I10" s="11">
        <f>'Monthly Data'!G10</f>
        <v>142513</v>
      </c>
      <c r="J10" s="21">
        <f>'Monthly Data'!CC10</f>
        <v>0</v>
      </c>
      <c r="K10" s="11">
        <f>'Monthly Data'!CS10</f>
        <v>30</v>
      </c>
      <c r="L10">
        <f>'Monthly Data'!CK10</f>
        <v>0</v>
      </c>
      <c r="M10" s="21">
        <f>'Monthly Data'!DB10</f>
        <v>0</v>
      </c>
      <c r="N10" s="21">
        <f>'Monthly Data'!DG10</f>
        <v>0</v>
      </c>
      <c r="O10">
        <f>'Monthly Data'!CV10</f>
        <v>0</v>
      </c>
      <c r="P10" s="11"/>
      <c r="Q10" s="11">
        <f ca="1">(E10-G10)*'Res Predicted Monthly'!$AB$10</f>
        <v>-969076.23956320295</v>
      </c>
      <c r="R10" s="11">
        <f ca="1">(F10-H10)*'Res Predicted Monthly'!$AB$11</f>
        <v>-2388826.4647137392</v>
      </c>
      <c r="S10" s="11"/>
      <c r="T10" s="11"/>
      <c r="U10" s="11"/>
      <c r="V10" s="11"/>
      <c r="W10" s="11"/>
      <c r="X10" s="11"/>
      <c r="Y10" s="18">
        <f t="shared" ca="1" si="3"/>
        <v>85799984.673208982</v>
      </c>
    </row>
    <row r="11" spans="1:25" x14ac:dyDescent="0.2">
      <c r="A11" s="8">
        <f>'Monthly Data'!A11</f>
        <v>43009</v>
      </c>
      <c r="B11">
        <f t="shared" si="1"/>
        <v>2017</v>
      </c>
      <c r="C11">
        <f t="shared" si="2"/>
        <v>10</v>
      </c>
      <c r="D11" s="18">
        <f>'Monthly Data'!F11</f>
        <v>77506626.176033407</v>
      </c>
      <c r="E11" s="290">
        <f ca="1">Weather!AO43</f>
        <v>229.16187499999995</v>
      </c>
      <c r="F11" s="290">
        <f ca="1">Weather!BR43</f>
        <v>24.703125000000007</v>
      </c>
      <c r="G11" s="13">
        <f>'Monthly Data'!BF11</f>
        <v>183.64583333333334</v>
      </c>
      <c r="H11" s="13">
        <f>'Monthly Data'!BK11</f>
        <v>36.987500000000026</v>
      </c>
      <c r="I11" s="11">
        <f>'Monthly Data'!G11</f>
        <v>142654</v>
      </c>
      <c r="J11" s="21">
        <f>'Monthly Data'!CC11</f>
        <v>0</v>
      </c>
      <c r="K11" s="11">
        <f>'Monthly Data'!CS11</f>
        <v>31</v>
      </c>
      <c r="L11">
        <f>'Monthly Data'!CK11</f>
        <v>0</v>
      </c>
      <c r="M11" s="21">
        <f>'Monthly Data'!DB11</f>
        <v>0</v>
      </c>
      <c r="N11" s="21">
        <f>'Monthly Data'!DG11</f>
        <v>0</v>
      </c>
      <c r="O11">
        <f>'Monthly Data'!CV11</f>
        <v>0</v>
      </c>
      <c r="P11" s="11"/>
      <c r="Q11" s="11">
        <f ca="1">(E11-G11)*'Res Predicted Monthly'!$AB$10</f>
        <v>2794257.2204177096</v>
      </c>
      <c r="R11" s="11">
        <f ca="1">(F11-H11)*'Res Predicted Monthly'!$AB$11</f>
        <v>-3489413.4439479192</v>
      </c>
      <c r="S11" s="11"/>
      <c r="T11" s="11"/>
      <c r="U11" s="11"/>
      <c r="V11" s="11"/>
      <c r="W11" s="11"/>
      <c r="X11" s="11"/>
      <c r="Y11" s="18">
        <f t="shared" ref="Y11:Y74" ca="1" si="4">SUM(P11:X11)+D11</f>
        <v>76811469.952503204</v>
      </c>
    </row>
    <row r="12" spans="1:25" x14ac:dyDescent="0.2">
      <c r="A12" s="8">
        <f>'Monthly Data'!A12</f>
        <v>43040</v>
      </c>
      <c r="B12">
        <f t="shared" si="1"/>
        <v>2017</v>
      </c>
      <c r="C12">
        <f t="shared" si="2"/>
        <v>11</v>
      </c>
      <c r="D12" s="18">
        <f>'Monthly Data'!F12</f>
        <v>84425507.974580884</v>
      </c>
      <c r="E12" s="290">
        <f ca="1">Weather!AO44</f>
        <v>422.06333333333333</v>
      </c>
      <c r="F12" s="290">
        <f ca="1">Weather!BR44</f>
        <v>1.6454166666666665</v>
      </c>
      <c r="G12" s="13">
        <f>'Monthly Data'!BF12</f>
        <v>451.08124999999984</v>
      </c>
      <c r="H12" s="13">
        <f>'Monthly Data'!BK12</f>
        <v>0</v>
      </c>
      <c r="I12" s="11">
        <f>'Monthly Data'!G12</f>
        <v>142883</v>
      </c>
      <c r="J12" s="21">
        <f>'Monthly Data'!CC12</f>
        <v>0</v>
      </c>
      <c r="K12" s="11">
        <f>'Monthly Data'!CS12</f>
        <v>30</v>
      </c>
      <c r="L12">
        <f>'Monthly Data'!CK12</f>
        <v>0</v>
      </c>
      <c r="M12" s="21">
        <f>'Monthly Data'!DB12</f>
        <v>0</v>
      </c>
      <c r="N12" s="21">
        <f>'Monthly Data'!DG12</f>
        <v>0</v>
      </c>
      <c r="O12">
        <f>'Monthly Data'!CV12</f>
        <v>0</v>
      </c>
      <c r="P12" s="11"/>
      <c r="Q12" s="11">
        <f ca="1">(E12-G12)*'Res Predicted Monthly'!$AB$10</f>
        <v>-1781427.3868787079</v>
      </c>
      <c r="R12" s="11">
        <f ca="1">(F12-H12)*'Res Predicted Monthly'!$AB$11</f>
        <v>467385.52328161825</v>
      </c>
      <c r="S12" s="11"/>
      <c r="T12" s="11"/>
      <c r="U12" s="11"/>
      <c r="V12" s="11"/>
      <c r="W12" s="11"/>
      <c r="X12" s="11"/>
      <c r="Y12" s="18">
        <f t="shared" ca="1" si="4"/>
        <v>83111466.110983789</v>
      </c>
    </row>
    <row r="13" spans="1:25" x14ac:dyDescent="0.2">
      <c r="A13" s="8">
        <f>'Monthly Data'!A13</f>
        <v>43070</v>
      </c>
      <c r="B13">
        <f t="shared" si="1"/>
        <v>2017</v>
      </c>
      <c r="C13">
        <f t="shared" si="2"/>
        <v>12</v>
      </c>
      <c r="D13" s="18">
        <f>'Monthly Data'!F13</f>
        <v>102733791.77312838</v>
      </c>
      <c r="E13" s="290">
        <f ca="1">Weather!AO45</f>
        <v>591.99583333333339</v>
      </c>
      <c r="F13" s="290">
        <f ca="1">Weather!BR45</f>
        <v>0</v>
      </c>
      <c r="G13" s="13">
        <f>'Monthly Data'!BF13</f>
        <v>716.54583333333335</v>
      </c>
      <c r="H13" s="13">
        <f>'Monthly Data'!BK13</f>
        <v>0</v>
      </c>
      <c r="I13" s="11">
        <f>'Monthly Data'!G13</f>
        <v>143018</v>
      </c>
      <c r="J13" s="21">
        <f>'Monthly Data'!CC13</f>
        <v>1</v>
      </c>
      <c r="K13" s="11">
        <f>'Monthly Data'!CS13</f>
        <v>31</v>
      </c>
      <c r="L13">
        <f>'Monthly Data'!CK13</f>
        <v>0</v>
      </c>
      <c r="M13" s="21">
        <f>'Monthly Data'!DB13</f>
        <v>0</v>
      </c>
      <c r="N13" s="21">
        <f>'Monthly Data'!DG13</f>
        <v>0</v>
      </c>
      <c r="O13">
        <f>'Monthly Data'!CV13</f>
        <v>0</v>
      </c>
      <c r="P13" s="11"/>
      <c r="Q13" s="11">
        <f ca="1">(E13-G13)*'Res Predicted Monthly'!$AB$10</f>
        <v>-7646199.5388737712</v>
      </c>
      <c r="R13" s="11">
        <f ca="1">(F13-H13)*'Res Predicted Monthly'!$AB$11</f>
        <v>0</v>
      </c>
      <c r="S13" s="11"/>
      <c r="T13" s="11"/>
      <c r="U13" s="11"/>
      <c r="V13" s="11"/>
      <c r="W13" s="11"/>
      <c r="X13" s="11"/>
      <c r="Y13" s="18">
        <f t="shared" ca="1" si="4"/>
        <v>95087592.234254599</v>
      </c>
    </row>
    <row r="14" spans="1:25" x14ac:dyDescent="0.2">
      <c r="A14" s="8">
        <f>'Monthly Data'!A14</f>
        <v>43101</v>
      </c>
      <c r="B14">
        <f t="shared" si="1"/>
        <v>2018</v>
      </c>
      <c r="C14">
        <f t="shared" si="2"/>
        <v>1</v>
      </c>
      <c r="D14" s="18">
        <f>'Monthly Data'!F14</f>
        <v>104765390.03404444</v>
      </c>
      <c r="E14" s="21">
        <f t="shared" ref="E14:F33" ca="1" si="5">E2</f>
        <v>683.09489583333334</v>
      </c>
      <c r="F14" s="21">
        <f t="shared" ca="1" si="5"/>
        <v>0</v>
      </c>
      <c r="G14" s="13">
        <f>'Monthly Data'!BF14</f>
        <v>750.29583333333323</v>
      </c>
      <c r="H14" s="13">
        <f>'Monthly Data'!BK14</f>
        <v>0</v>
      </c>
      <c r="I14" s="11">
        <f>'Monthly Data'!G14</f>
        <v>143169</v>
      </c>
      <c r="J14" s="21">
        <f>'Monthly Data'!CC14</f>
        <v>0</v>
      </c>
      <c r="K14" s="11">
        <f>'Monthly Data'!CS14</f>
        <v>31</v>
      </c>
      <c r="L14">
        <f>'Monthly Data'!CK14</f>
        <v>0</v>
      </c>
      <c r="M14" s="21">
        <f>'Monthly Data'!DB14</f>
        <v>0</v>
      </c>
      <c r="N14" s="21">
        <f>'Monthly Data'!DG14</f>
        <v>0</v>
      </c>
      <c r="O14">
        <f>'Monthly Data'!CV14</f>
        <v>0</v>
      </c>
      <c r="P14" s="11"/>
      <c r="Q14" s="11">
        <f ca="1">(E14-G14)*'Res Predicted Monthly'!$AB$10</f>
        <v>-4125506.0403403011</v>
      </c>
      <c r="R14" s="11">
        <f ca="1">(F14-H14)*'Res Predicted Monthly'!$AB$11</f>
        <v>0</v>
      </c>
      <c r="S14" s="11"/>
      <c r="T14" s="11"/>
      <c r="U14" s="11"/>
      <c r="V14" s="11"/>
      <c r="W14" s="11"/>
      <c r="X14" s="11"/>
      <c r="Y14" s="18">
        <f t="shared" ca="1" si="4"/>
        <v>100639883.99370414</v>
      </c>
    </row>
    <row r="15" spans="1:25" x14ac:dyDescent="0.2">
      <c r="A15" s="8">
        <f>'Monthly Data'!A15</f>
        <v>43132</v>
      </c>
      <c r="B15">
        <f t="shared" si="1"/>
        <v>2018</v>
      </c>
      <c r="C15">
        <f t="shared" si="2"/>
        <v>2</v>
      </c>
      <c r="D15" s="18">
        <f>'Monthly Data'!F15</f>
        <v>87909194.787768081</v>
      </c>
      <c r="E15" s="21">
        <f t="shared" ca="1" si="5"/>
        <v>589.85491666666678</v>
      </c>
      <c r="F15" s="21">
        <f t="shared" ca="1" si="5"/>
        <v>0</v>
      </c>
      <c r="G15" s="13">
        <f>'Monthly Data'!BF15</f>
        <v>574.37083333333339</v>
      </c>
      <c r="H15" s="13">
        <f>'Monthly Data'!BK15</f>
        <v>0</v>
      </c>
      <c r="I15" s="11">
        <f>'Monthly Data'!G15</f>
        <v>143313</v>
      </c>
      <c r="J15" s="21">
        <f>'Monthly Data'!CC15</f>
        <v>0</v>
      </c>
      <c r="K15" s="11">
        <f>'Monthly Data'!CS15</f>
        <v>28</v>
      </c>
      <c r="L15">
        <f>'Monthly Data'!CK15</f>
        <v>0</v>
      </c>
      <c r="M15" s="21">
        <f>'Monthly Data'!DB15</f>
        <v>0</v>
      </c>
      <c r="N15" s="21">
        <f>'Monthly Data'!DG15</f>
        <v>0</v>
      </c>
      <c r="O15">
        <f>'Monthly Data'!CV15</f>
        <v>0</v>
      </c>
      <c r="P15" s="11"/>
      <c r="Q15" s="11">
        <f ca="1">(E15-G15)*'Res Predicted Monthly'!$AB$10</f>
        <v>950577.20468259207</v>
      </c>
      <c r="R15" s="11">
        <f ca="1">(F15-H15)*'Res Predicted Monthly'!$AB$11</f>
        <v>0</v>
      </c>
      <c r="S15" s="11"/>
      <c r="T15" s="11"/>
      <c r="U15" s="11"/>
      <c r="V15" s="11"/>
      <c r="W15" s="11"/>
      <c r="X15" s="11"/>
      <c r="Y15" s="18">
        <f t="shared" ca="1" si="4"/>
        <v>88859771.992450669</v>
      </c>
    </row>
    <row r="16" spans="1:25" x14ac:dyDescent="0.2">
      <c r="A16" s="8">
        <f>'Monthly Data'!A16</f>
        <v>43160</v>
      </c>
      <c r="B16">
        <f t="shared" si="1"/>
        <v>2018</v>
      </c>
      <c r="C16">
        <f t="shared" si="2"/>
        <v>3</v>
      </c>
      <c r="D16" s="18">
        <f>'Monthly Data'!F16</f>
        <v>91818531.541491702</v>
      </c>
      <c r="E16" s="21">
        <f t="shared" ca="1" si="5"/>
        <v>522.20004166666672</v>
      </c>
      <c r="F16" s="21">
        <f t="shared" ca="1" si="5"/>
        <v>0</v>
      </c>
      <c r="G16" s="13">
        <f>'Monthly Data'!BF16</f>
        <v>595.81666666666683</v>
      </c>
      <c r="H16" s="13">
        <f>'Monthly Data'!BK16</f>
        <v>0</v>
      </c>
      <c r="I16" s="11">
        <f>'Monthly Data'!G16</f>
        <v>143415</v>
      </c>
      <c r="J16" s="21">
        <f>'Monthly Data'!CC16</f>
        <v>0</v>
      </c>
      <c r="K16" s="11">
        <f>'Monthly Data'!CS16</f>
        <v>31</v>
      </c>
      <c r="L16">
        <f>'Monthly Data'!CK16</f>
        <v>0</v>
      </c>
      <c r="M16" s="21">
        <f>'Monthly Data'!DB16</f>
        <v>0</v>
      </c>
      <c r="N16" s="21">
        <f>'Monthly Data'!DG16</f>
        <v>0</v>
      </c>
      <c r="O16">
        <f>'Monthly Data'!CV16</f>
        <v>0</v>
      </c>
      <c r="P16" s="11"/>
      <c r="Q16" s="11">
        <f ca="1">(E16-G16)*'Res Predicted Monthly'!$AB$10</f>
        <v>-4519368.9612881932</v>
      </c>
      <c r="R16" s="11">
        <f ca="1">(F16-H16)*'Res Predicted Monthly'!$AB$11</f>
        <v>0</v>
      </c>
      <c r="S16" s="11"/>
      <c r="T16" s="11"/>
      <c r="U16" s="11"/>
      <c r="V16" s="11"/>
      <c r="W16" s="11"/>
      <c r="X16" s="11"/>
      <c r="Y16" s="18">
        <f t="shared" ca="1" si="4"/>
        <v>87299162.580203503</v>
      </c>
    </row>
    <row r="17" spans="1:25" x14ac:dyDescent="0.2">
      <c r="A17" s="8">
        <f>'Monthly Data'!A17</f>
        <v>43191</v>
      </c>
      <c r="B17">
        <f t="shared" si="1"/>
        <v>2018</v>
      </c>
      <c r="C17">
        <f t="shared" si="2"/>
        <v>4</v>
      </c>
      <c r="D17" s="18">
        <f>'Monthly Data'!F17</f>
        <v>83778021.295215338</v>
      </c>
      <c r="E17" s="21">
        <f t="shared" ca="1" si="5"/>
        <v>343.18302083333327</v>
      </c>
      <c r="F17" s="21">
        <f t="shared" ca="1" si="5"/>
        <v>6.5650000000000031</v>
      </c>
      <c r="G17" s="13">
        <f>'Monthly Data'!BF17</f>
        <v>460.90000000000003</v>
      </c>
      <c r="H17" s="13">
        <f>'Monthly Data'!BK17</f>
        <v>0</v>
      </c>
      <c r="I17" s="11">
        <f>'Monthly Data'!G17</f>
        <v>143508</v>
      </c>
      <c r="J17" s="21">
        <f>'Monthly Data'!CC17</f>
        <v>0</v>
      </c>
      <c r="K17" s="11">
        <f>'Monthly Data'!CS17</f>
        <v>30</v>
      </c>
      <c r="L17">
        <f>'Monthly Data'!CK17</f>
        <v>0</v>
      </c>
      <c r="M17" s="21">
        <f>'Monthly Data'!DB17</f>
        <v>0</v>
      </c>
      <c r="N17" s="21">
        <f>'Monthly Data'!DG17</f>
        <v>0</v>
      </c>
      <c r="O17">
        <f>'Monthly Data'!CV17</f>
        <v>0</v>
      </c>
      <c r="P17" s="11"/>
      <c r="Q17" s="11">
        <f ca="1">(E17-G17)*'Res Predicted Monthly'!$AB$10</f>
        <v>-7226716.2731576161</v>
      </c>
      <c r="R17" s="11">
        <f ca="1">(F17-H17)*'Res Predicted Monthly'!$AB$11</f>
        <v>1864807.876633371</v>
      </c>
      <c r="S17" s="11"/>
      <c r="T17" s="11"/>
      <c r="U17" s="11"/>
      <c r="V17" s="11"/>
      <c r="W17" s="11"/>
      <c r="X17" s="11"/>
      <c r="Y17" s="18">
        <f t="shared" ca="1" si="4"/>
        <v>78416112.898691088</v>
      </c>
    </row>
    <row r="18" spans="1:25" x14ac:dyDescent="0.2">
      <c r="A18" s="8">
        <f>'Monthly Data'!A18</f>
        <v>43221</v>
      </c>
      <c r="B18">
        <f t="shared" si="1"/>
        <v>2018</v>
      </c>
      <c r="C18">
        <f t="shared" si="2"/>
        <v>5</v>
      </c>
      <c r="D18" s="18">
        <f>'Monthly Data'!F18</f>
        <v>84852159.04893896</v>
      </c>
      <c r="E18" s="21">
        <f t="shared" ca="1" si="5"/>
        <v>146.15645833333332</v>
      </c>
      <c r="F18" s="21">
        <f t="shared" ca="1" si="5"/>
        <v>59.300416666666649</v>
      </c>
      <c r="G18" s="13">
        <f>'Monthly Data'!BF18</f>
        <v>73.595833333333331</v>
      </c>
      <c r="H18" s="13">
        <f>'Monthly Data'!BK18</f>
        <v>107.17916666666667</v>
      </c>
      <c r="I18" s="11">
        <f>'Monthly Data'!G18</f>
        <v>143726</v>
      </c>
      <c r="J18" s="21">
        <f>'Monthly Data'!CC18</f>
        <v>0</v>
      </c>
      <c r="K18" s="11">
        <f>'Monthly Data'!CS18</f>
        <v>31</v>
      </c>
      <c r="L18">
        <f>'Monthly Data'!CK18</f>
        <v>1</v>
      </c>
      <c r="M18" s="21">
        <f>'Monthly Data'!DB18</f>
        <v>0</v>
      </c>
      <c r="N18" s="21">
        <f>'Monthly Data'!DG18</f>
        <v>0</v>
      </c>
      <c r="O18">
        <f>'Monthly Data'!CV18</f>
        <v>0</v>
      </c>
      <c r="P18" s="11"/>
      <c r="Q18" s="11">
        <f ca="1">(E18-G18)*'Res Predicted Monthly'!$AB$10</f>
        <v>4454540.4850693922</v>
      </c>
      <c r="R18" s="11">
        <f ca="1">(F18-H18)*'Res Predicted Monthly'!$AB$11</f>
        <v>-13600102.075150039</v>
      </c>
      <c r="S18" s="11"/>
      <c r="T18" s="11"/>
      <c r="U18" s="11"/>
      <c r="V18" s="11"/>
      <c r="W18" s="11"/>
      <c r="X18" s="11"/>
      <c r="Y18" s="18">
        <f t="shared" ca="1" si="4"/>
        <v>75706597.458858311</v>
      </c>
    </row>
    <row r="19" spans="1:25" x14ac:dyDescent="0.2">
      <c r="A19" s="8">
        <f>'Monthly Data'!A19</f>
        <v>43252</v>
      </c>
      <c r="B19">
        <f t="shared" si="1"/>
        <v>2018</v>
      </c>
      <c r="C19">
        <f t="shared" si="2"/>
        <v>6</v>
      </c>
      <c r="D19" s="18">
        <f>'Monthly Data'!F19</f>
        <v>96396686.802662596</v>
      </c>
      <c r="E19" s="21">
        <f t="shared" ca="1" si="5"/>
        <v>29.335416666666674</v>
      </c>
      <c r="F19" s="21">
        <f t="shared" ca="1" si="5"/>
        <v>157.17000000000002</v>
      </c>
      <c r="G19" s="13">
        <f>'Monthly Data'!BF19</f>
        <v>21.091666666666665</v>
      </c>
      <c r="H19" s="13">
        <f>'Monthly Data'!BK19</f>
        <v>155.0625</v>
      </c>
      <c r="I19" s="11">
        <f>'Monthly Data'!G19</f>
        <v>143830</v>
      </c>
      <c r="J19" s="21">
        <f>'Monthly Data'!CC19</f>
        <v>0</v>
      </c>
      <c r="K19" s="11">
        <f>'Monthly Data'!CS19</f>
        <v>30</v>
      </c>
      <c r="L19">
        <f>'Monthly Data'!CK19</f>
        <v>1</v>
      </c>
      <c r="M19" s="21">
        <f>'Monthly Data'!DB19</f>
        <v>0</v>
      </c>
      <c r="N19" s="21">
        <f>'Monthly Data'!DG19</f>
        <v>0</v>
      </c>
      <c r="O19">
        <f>'Monthly Data'!CV19</f>
        <v>0</v>
      </c>
      <c r="P19" s="11"/>
      <c r="Q19" s="11">
        <f ca="1">(E19-G19)*'Res Predicted Monthly'!$AB$10</f>
        <v>506088.77919382375</v>
      </c>
      <c r="R19" s="11">
        <f ca="1">(F19-H19)*'Res Predicted Monthly'!$AB$11</f>
        <v>598641.67555291043</v>
      </c>
      <c r="S19" s="11"/>
      <c r="T19" s="11"/>
      <c r="U19" s="11"/>
      <c r="V19" s="11"/>
      <c r="W19" s="11"/>
      <c r="X19" s="11"/>
      <c r="Y19" s="18">
        <f t="shared" ca="1" si="4"/>
        <v>97501417.257409334</v>
      </c>
    </row>
    <row r="20" spans="1:25" x14ac:dyDescent="0.2">
      <c r="A20" s="8">
        <f>'Monthly Data'!A20</f>
        <v>43282</v>
      </c>
      <c r="B20">
        <f t="shared" si="1"/>
        <v>2018</v>
      </c>
      <c r="C20">
        <f t="shared" si="2"/>
        <v>7</v>
      </c>
      <c r="D20" s="18">
        <f>'Monthly Data'!F20</f>
        <v>120736313.55638622</v>
      </c>
      <c r="E20" s="21">
        <f t="shared" ca="1" si="5"/>
        <v>1.6731249999999993</v>
      </c>
      <c r="F20" s="21">
        <f t="shared" ca="1" si="5"/>
        <v>231.27145833333333</v>
      </c>
      <c r="G20" s="13">
        <f>'Monthly Data'!BF20</f>
        <v>0.97083333333332433</v>
      </c>
      <c r="H20" s="13">
        <f>'Monthly Data'!BK20</f>
        <v>224.81458333333336</v>
      </c>
      <c r="I20" s="11">
        <f>'Monthly Data'!G20</f>
        <v>143994</v>
      </c>
      <c r="J20" s="21">
        <f>'Monthly Data'!CC20</f>
        <v>0</v>
      </c>
      <c r="K20" s="11">
        <f>'Monthly Data'!CS20</f>
        <v>31</v>
      </c>
      <c r="L20">
        <f>'Monthly Data'!CK20</f>
        <v>1</v>
      </c>
      <c r="M20" s="21">
        <f>'Monthly Data'!DB20</f>
        <v>0</v>
      </c>
      <c r="N20" s="21">
        <f>'Monthly Data'!DG20</f>
        <v>0</v>
      </c>
      <c r="O20">
        <f>'Monthly Data'!CV20</f>
        <v>0</v>
      </c>
      <c r="P20" s="11"/>
      <c r="Q20" s="11">
        <f ca="1">(E20-G20)*'Res Predicted Monthly'!$AB$10</f>
        <v>43114.108533292849</v>
      </c>
      <c r="R20" s="11">
        <f ca="1">(F20-H20)*'Res Predicted Monthly'!$AB$11</f>
        <v>1834094.6471343536</v>
      </c>
      <c r="S20" s="11"/>
      <c r="T20" s="11"/>
      <c r="U20" s="11"/>
      <c r="V20" s="11"/>
      <c r="W20" s="11"/>
      <c r="X20" s="11"/>
      <c r="Y20" s="18">
        <f t="shared" ca="1" si="4"/>
        <v>122613522.31205386</v>
      </c>
    </row>
    <row r="21" spans="1:25" x14ac:dyDescent="0.2">
      <c r="A21" s="8">
        <f>'Monthly Data'!A21</f>
        <v>43313</v>
      </c>
      <c r="B21">
        <f t="shared" si="1"/>
        <v>2018</v>
      </c>
      <c r="C21">
        <f t="shared" si="2"/>
        <v>8</v>
      </c>
      <c r="D21" s="18">
        <f>'Monthly Data'!F21</f>
        <v>119361439.31010985</v>
      </c>
      <c r="E21" s="21">
        <f t="shared" ca="1" si="5"/>
        <v>7.1606250000000005</v>
      </c>
      <c r="F21" s="21">
        <f t="shared" ca="1" si="5"/>
        <v>196.13625000000002</v>
      </c>
      <c r="G21" s="13">
        <f>'Monthly Data'!BF21</f>
        <v>1.7291666666666643</v>
      </c>
      <c r="H21" s="13">
        <f>'Monthly Data'!BK21</f>
        <v>230.90833333333327</v>
      </c>
      <c r="I21" s="11">
        <f>'Monthly Data'!G21</f>
        <v>144112</v>
      </c>
      <c r="J21" s="21">
        <f>'Monthly Data'!CC21</f>
        <v>0</v>
      </c>
      <c r="K21" s="11">
        <f>'Monthly Data'!CS21</f>
        <v>31</v>
      </c>
      <c r="L21">
        <f>'Monthly Data'!CK21</f>
        <v>1</v>
      </c>
      <c r="M21" s="21">
        <f>'Monthly Data'!DB21</f>
        <v>0</v>
      </c>
      <c r="N21" s="21">
        <f>'Monthly Data'!DG21</f>
        <v>0</v>
      </c>
      <c r="O21">
        <f>'Monthly Data'!CV21</f>
        <v>0</v>
      </c>
      <c r="P21" s="11"/>
      <c r="Q21" s="11">
        <f ca="1">(E21-G21)*'Res Predicted Monthly'!$AB$10</f>
        <v>333440.49942790426</v>
      </c>
      <c r="R21" s="11">
        <f ca="1">(F21-H21)*'Res Predicted Monthly'!$AB$11</f>
        <v>-9877114.2249736153</v>
      </c>
      <c r="S21" s="11"/>
      <c r="T21" s="11"/>
      <c r="U21" s="11"/>
      <c r="V21" s="11"/>
      <c r="W21" s="11"/>
      <c r="X21" s="11"/>
      <c r="Y21" s="18">
        <f t="shared" ca="1" si="4"/>
        <v>109817765.58456415</v>
      </c>
    </row>
    <row r="22" spans="1:25" x14ac:dyDescent="0.2">
      <c r="A22" s="8">
        <f>'Monthly Data'!A22</f>
        <v>43344</v>
      </c>
      <c r="B22">
        <f t="shared" si="1"/>
        <v>2018</v>
      </c>
      <c r="C22">
        <f t="shared" si="2"/>
        <v>9</v>
      </c>
      <c r="D22" s="18">
        <f>'Monthly Data'!F22</f>
        <v>98395160.063833475</v>
      </c>
      <c r="E22" s="21">
        <f t="shared" ca="1" si="5"/>
        <v>56.160416666666663</v>
      </c>
      <c r="F22" s="21">
        <f t="shared" ca="1" si="5"/>
        <v>104.19854166666664</v>
      </c>
      <c r="G22" s="13">
        <f>'Monthly Data'!BF22</f>
        <v>67.079166666666666</v>
      </c>
      <c r="H22" s="13">
        <f>'Monthly Data'!BK22</f>
        <v>130.34583333333333</v>
      </c>
      <c r="I22" s="11">
        <f>'Monthly Data'!G22</f>
        <v>144236</v>
      </c>
      <c r="J22" s="21">
        <f>'Monthly Data'!CC22</f>
        <v>0</v>
      </c>
      <c r="K22" s="11">
        <f>'Monthly Data'!CS22</f>
        <v>30</v>
      </c>
      <c r="L22">
        <f>'Monthly Data'!CK22</f>
        <v>0</v>
      </c>
      <c r="M22" s="21">
        <f>'Monthly Data'!DB22</f>
        <v>0</v>
      </c>
      <c r="N22" s="21">
        <f>'Monthly Data'!DG22</f>
        <v>0</v>
      </c>
      <c r="O22">
        <f>'Monthly Data'!CV22</f>
        <v>0</v>
      </c>
      <c r="P22" s="11"/>
      <c r="Q22" s="11">
        <f ca="1">(E22-G22)*'Res Predicted Monthly'!$AB$10</f>
        <v>-670308.64082760375</v>
      </c>
      <c r="R22" s="11">
        <f ca="1">(F22-H22)*'Res Predicted Monthly'!$AB$11</f>
        <v>-7427216.3674988756</v>
      </c>
      <c r="S22" s="11"/>
      <c r="T22" s="11"/>
      <c r="U22" s="11"/>
      <c r="V22" s="11"/>
      <c r="W22" s="11"/>
      <c r="X22" s="11"/>
      <c r="Y22" s="18">
        <f t="shared" ca="1" si="4"/>
        <v>90297635.055506989</v>
      </c>
    </row>
    <row r="23" spans="1:25" x14ac:dyDescent="0.2">
      <c r="A23" s="8">
        <f>'Monthly Data'!A23</f>
        <v>43374</v>
      </c>
      <c r="B23">
        <f t="shared" si="1"/>
        <v>2018</v>
      </c>
      <c r="C23">
        <f t="shared" si="2"/>
        <v>10</v>
      </c>
      <c r="D23" s="18">
        <f>'Monthly Data'!F23</f>
        <v>83137429.817557111</v>
      </c>
      <c r="E23" s="21">
        <f t="shared" ca="1" si="5"/>
        <v>229.16187499999995</v>
      </c>
      <c r="F23" s="21">
        <f t="shared" ca="1" si="5"/>
        <v>24.703125000000007</v>
      </c>
      <c r="G23" s="13">
        <f>'Monthly Data'!BF23</f>
        <v>290</v>
      </c>
      <c r="H23" s="13">
        <f>'Monthly Data'!BK23</f>
        <v>22.829166666666666</v>
      </c>
      <c r="I23" s="11">
        <f>'Monthly Data'!G23</f>
        <v>144490</v>
      </c>
      <c r="J23" s="21">
        <f>'Monthly Data'!CC23</f>
        <v>0</v>
      </c>
      <c r="K23" s="11">
        <f>'Monthly Data'!CS23</f>
        <v>31</v>
      </c>
      <c r="L23">
        <f>'Monthly Data'!CK23</f>
        <v>0</v>
      </c>
      <c r="M23" s="21">
        <f>'Monthly Data'!DB23</f>
        <v>0</v>
      </c>
      <c r="N23" s="21">
        <f>'Monthly Data'!DG23</f>
        <v>0</v>
      </c>
      <c r="O23">
        <f>'Monthly Data'!CV23</f>
        <v>0</v>
      </c>
      <c r="P23" s="11"/>
      <c r="Q23" s="11">
        <f ca="1">(E23-G23)*'Res Predicted Monthly'!$AB$10</f>
        <v>-3734889.1474985583</v>
      </c>
      <c r="R23" s="11">
        <f ca="1">(F23-H23)*'Res Predicted Monthly'!$AB$11</f>
        <v>532303.46694329893</v>
      </c>
      <c r="S23" s="11"/>
      <c r="T23" s="11"/>
      <c r="U23" s="11"/>
      <c r="V23" s="11"/>
      <c r="W23" s="11"/>
      <c r="X23" s="11"/>
      <c r="Y23" s="18">
        <f t="shared" ca="1" si="4"/>
        <v>79934844.137001857</v>
      </c>
    </row>
    <row r="24" spans="1:25" x14ac:dyDescent="0.2">
      <c r="A24" s="8">
        <f>'Monthly Data'!A24</f>
        <v>43405</v>
      </c>
      <c r="B24">
        <f t="shared" si="1"/>
        <v>2018</v>
      </c>
      <c r="C24">
        <f t="shared" si="2"/>
        <v>11</v>
      </c>
      <c r="D24" s="18">
        <f>'Monthly Data'!F24</f>
        <v>90326715.571280748</v>
      </c>
      <c r="E24" s="21">
        <f t="shared" ca="1" si="5"/>
        <v>422.06333333333333</v>
      </c>
      <c r="F24" s="21">
        <f t="shared" ca="1" si="5"/>
        <v>1.6454166666666665</v>
      </c>
      <c r="G24" s="13">
        <f>'Monthly Data'!BF24</f>
        <v>518.42500000000007</v>
      </c>
      <c r="H24" s="13">
        <f>'Monthly Data'!BK24</f>
        <v>0</v>
      </c>
      <c r="I24" s="11">
        <f>'Monthly Data'!G24</f>
        <v>144599</v>
      </c>
      <c r="J24" s="21">
        <f>'Monthly Data'!CC24</f>
        <v>0</v>
      </c>
      <c r="K24" s="11">
        <f>'Monthly Data'!CS24</f>
        <v>30</v>
      </c>
      <c r="L24">
        <f>'Monthly Data'!CK24</f>
        <v>0</v>
      </c>
      <c r="M24" s="21">
        <f>'Monthly Data'!DB24</f>
        <v>0</v>
      </c>
      <c r="N24" s="21">
        <f>'Monthly Data'!DG24</f>
        <v>0</v>
      </c>
      <c r="O24">
        <f>'Monthly Data'!CV24</f>
        <v>0</v>
      </c>
      <c r="P24" s="11"/>
      <c r="Q24" s="11">
        <f ca="1">(E24-G24)*'Res Predicted Monthly'!$AB$10</f>
        <v>-5915700.7726356927</v>
      </c>
      <c r="R24" s="11">
        <f ca="1">(F24-H24)*'Res Predicted Monthly'!$AB$11</f>
        <v>467385.52328161825</v>
      </c>
      <c r="S24" s="11"/>
      <c r="T24" s="11"/>
      <c r="U24" s="11"/>
      <c r="V24" s="11"/>
      <c r="W24" s="11"/>
      <c r="X24" s="11"/>
      <c r="Y24" s="18">
        <f t="shared" ca="1" si="4"/>
        <v>84878400.321926668</v>
      </c>
    </row>
    <row r="25" spans="1:25" x14ac:dyDescent="0.2">
      <c r="A25" s="8">
        <f>'Monthly Data'!A25</f>
        <v>43435</v>
      </c>
      <c r="B25">
        <f t="shared" si="1"/>
        <v>2018</v>
      </c>
      <c r="C25">
        <f t="shared" si="2"/>
        <v>12</v>
      </c>
      <c r="D25" s="18">
        <f>'Monthly Data'!F25</f>
        <v>102342861.32500437</v>
      </c>
      <c r="E25" s="21">
        <f t="shared" ca="1" si="5"/>
        <v>591.99583333333339</v>
      </c>
      <c r="F25" s="21">
        <f t="shared" ca="1" si="5"/>
        <v>0</v>
      </c>
      <c r="G25" s="13">
        <f>'Monthly Data'!BF25</f>
        <v>573.47083333333342</v>
      </c>
      <c r="H25" s="13">
        <f>'Monthly Data'!BK25</f>
        <v>0</v>
      </c>
      <c r="I25" s="11">
        <f>'Monthly Data'!G25</f>
        <v>144731</v>
      </c>
      <c r="J25" s="21">
        <f>'Monthly Data'!CC25</f>
        <v>1</v>
      </c>
      <c r="K25" s="11">
        <f>'Monthly Data'!CS25</f>
        <v>31</v>
      </c>
      <c r="L25">
        <f>'Monthly Data'!CK25</f>
        <v>0</v>
      </c>
      <c r="M25" s="21">
        <f>'Monthly Data'!DB25</f>
        <v>0</v>
      </c>
      <c r="N25" s="21">
        <f>'Monthly Data'!DG25</f>
        <v>0</v>
      </c>
      <c r="O25">
        <f>'Monthly Data'!CV25</f>
        <v>0</v>
      </c>
      <c r="P25" s="11"/>
      <c r="Q25" s="11">
        <f ca="1">(E25-G25)*'Res Predicted Monthly'!$AB$10</f>
        <v>1137260.9109404776</v>
      </c>
      <c r="R25" s="11">
        <f ca="1">(F25-H25)*'Res Predicted Monthly'!$AB$11</f>
        <v>0</v>
      </c>
      <c r="S25" s="11"/>
      <c r="T25" s="11"/>
      <c r="U25" s="11"/>
      <c r="V25" s="11"/>
      <c r="W25" s="11"/>
      <c r="X25" s="11"/>
      <c r="Y25" s="18">
        <f t="shared" ca="1" si="4"/>
        <v>103480122.23594485</v>
      </c>
    </row>
    <row r="26" spans="1:25" x14ac:dyDescent="0.2">
      <c r="A26" s="8">
        <f>'Monthly Data'!A26</f>
        <v>43466</v>
      </c>
      <c r="B26">
        <f t="shared" si="1"/>
        <v>2019</v>
      </c>
      <c r="C26">
        <f t="shared" si="2"/>
        <v>1</v>
      </c>
      <c r="D26" s="18">
        <f>'Monthly Data'!F26</f>
        <v>105416679.01993552</v>
      </c>
      <c r="E26" s="21">
        <f t="shared" ca="1" si="5"/>
        <v>683.09489583333334</v>
      </c>
      <c r="F26" s="21">
        <f t="shared" ca="1" si="5"/>
        <v>0</v>
      </c>
      <c r="G26" s="13">
        <f>'Monthly Data'!BF26</f>
        <v>778.33750000000009</v>
      </c>
      <c r="H26" s="13">
        <f>'Monthly Data'!BK26</f>
        <v>0</v>
      </c>
      <c r="I26" s="11">
        <f>'Monthly Data'!G26</f>
        <v>144863</v>
      </c>
      <c r="J26" s="21">
        <f>'Monthly Data'!CC26</f>
        <v>0</v>
      </c>
      <c r="K26" s="11">
        <f>'Monthly Data'!CS26</f>
        <v>31</v>
      </c>
      <c r="L26">
        <f>'Monthly Data'!CK26</f>
        <v>0</v>
      </c>
      <c r="M26" s="21">
        <f>'Monthly Data'!DB26</f>
        <v>0</v>
      </c>
      <c r="N26" s="21">
        <f>'Monthly Data'!DG26</f>
        <v>0</v>
      </c>
      <c r="O26">
        <f>'Monthly Data'!CV26</f>
        <v>0</v>
      </c>
      <c r="P26" s="11"/>
      <c r="Q26" s="11">
        <f ca="1">(E26-G26)*'Res Predicted Monthly'!$AB$10</f>
        <v>-5847000.8515480105</v>
      </c>
      <c r="R26" s="11">
        <f ca="1">(F26-H26)*'Res Predicted Monthly'!$AB$11</f>
        <v>0</v>
      </c>
      <c r="S26" s="11"/>
      <c r="T26" s="11"/>
      <c r="U26" s="11"/>
      <c r="V26" s="11"/>
      <c r="W26" s="11"/>
      <c r="X26" s="11"/>
      <c r="Y26" s="18">
        <f t="shared" ca="1" si="4"/>
        <v>99569678.168387502</v>
      </c>
    </row>
    <row r="27" spans="1:25" x14ac:dyDescent="0.2">
      <c r="A27" s="8">
        <f>'Monthly Data'!A27</f>
        <v>43497</v>
      </c>
      <c r="B27">
        <f t="shared" si="1"/>
        <v>2019</v>
      </c>
      <c r="C27">
        <f t="shared" si="2"/>
        <v>2</v>
      </c>
      <c r="D27" s="18">
        <f>'Monthly Data'!F27</f>
        <v>92620975.343300313</v>
      </c>
      <c r="E27" s="21">
        <f t="shared" ca="1" si="5"/>
        <v>589.85491666666678</v>
      </c>
      <c r="F27" s="21">
        <f t="shared" ca="1" si="5"/>
        <v>0</v>
      </c>
      <c r="G27" s="13">
        <f>'Monthly Data'!BF27</f>
        <v>629.91250000000002</v>
      </c>
      <c r="H27" s="13">
        <f>'Monthly Data'!BK27</f>
        <v>0</v>
      </c>
      <c r="I27" s="11">
        <f>'Monthly Data'!G27</f>
        <v>145010</v>
      </c>
      <c r="J27" s="21">
        <f>'Monthly Data'!CC27</f>
        <v>0</v>
      </c>
      <c r="K27" s="11">
        <f>'Monthly Data'!CS27</f>
        <v>28</v>
      </c>
      <c r="L27">
        <f>'Monthly Data'!CK27</f>
        <v>0</v>
      </c>
      <c r="M27" s="21">
        <f>'Monthly Data'!DB27</f>
        <v>0</v>
      </c>
      <c r="N27" s="21">
        <f>'Monthly Data'!DG27</f>
        <v>0</v>
      </c>
      <c r="O27">
        <f>'Monthly Data'!CV27</f>
        <v>0</v>
      </c>
      <c r="P27" s="11"/>
      <c r="Q27" s="11">
        <f ca="1">(E27-G27)*'Res Predicted Monthly'!$AB$10</f>
        <v>-2459159.1747228457</v>
      </c>
      <c r="R27" s="11">
        <f ca="1">(F27-H27)*'Res Predicted Monthly'!$AB$11</f>
        <v>0</v>
      </c>
      <c r="S27" s="11"/>
      <c r="T27" s="11"/>
      <c r="U27" s="11"/>
      <c r="V27" s="11"/>
      <c r="W27" s="11"/>
      <c r="X27" s="11"/>
      <c r="Y27" s="18">
        <f t="shared" ca="1" si="4"/>
        <v>90161816.168577462</v>
      </c>
    </row>
    <row r="28" spans="1:25" x14ac:dyDescent="0.2">
      <c r="A28" s="8">
        <f>'Monthly Data'!A28</f>
        <v>43525</v>
      </c>
      <c r="B28">
        <f t="shared" si="1"/>
        <v>2019</v>
      </c>
      <c r="C28">
        <f t="shared" si="2"/>
        <v>3</v>
      </c>
      <c r="D28" s="18">
        <f>'Monthly Data'!F28</f>
        <v>94241177.603081301</v>
      </c>
      <c r="E28" s="21">
        <f t="shared" ca="1" si="5"/>
        <v>522.20004166666672</v>
      </c>
      <c r="F28" s="21">
        <f t="shared" ca="1" si="5"/>
        <v>0</v>
      </c>
      <c r="G28" s="13">
        <f>'Monthly Data'!BF28</f>
        <v>612.37083333333328</v>
      </c>
      <c r="H28" s="13">
        <f>'Monthly Data'!BK28</f>
        <v>0</v>
      </c>
      <c r="I28" s="11">
        <f>'Monthly Data'!G28</f>
        <v>145052</v>
      </c>
      <c r="J28" s="21">
        <f>'Monthly Data'!CC28</f>
        <v>0</v>
      </c>
      <c r="K28" s="11">
        <f>'Monthly Data'!CS28</f>
        <v>31</v>
      </c>
      <c r="L28">
        <f>'Monthly Data'!CK28</f>
        <v>0</v>
      </c>
      <c r="M28" s="21">
        <f>'Monthly Data'!DB28</f>
        <v>0</v>
      </c>
      <c r="N28" s="21">
        <f>'Monthly Data'!DG28</f>
        <v>0</v>
      </c>
      <c r="O28">
        <f>'Monthly Data'!CV28</f>
        <v>0</v>
      </c>
      <c r="P28" s="11"/>
      <c r="Q28" s="11">
        <f ca="1">(E28-G28)*'Res Predicted Monthly'!$AB$10</f>
        <v>-5535639.2265078202</v>
      </c>
      <c r="R28" s="11">
        <f ca="1">(F28-H28)*'Res Predicted Monthly'!$AB$11</f>
        <v>0</v>
      </c>
      <c r="S28" s="11"/>
      <c r="T28" s="11"/>
      <c r="U28" s="11"/>
      <c r="V28" s="11"/>
      <c r="W28" s="11"/>
      <c r="X28" s="11"/>
      <c r="Y28" s="18">
        <f t="shared" ca="1" si="4"/>
        <v>88705538.376573473</v>
      </c>
    </row>
    <row r="29" spans="1:25" x14ac:dyDescent="0.2">
      <c r="A29" s="8">
        <f>'Monthly Data'!A29</f>
        <v>43556</v>
      </c>
      <c r="B29">
        <f t="shared" si="1"/>
        <v>2019</v>
      </c>
      <c r="C29">
        <f t="shared" si="2"/>
        <v>4</v>
      </c>
      <c r="D29" s="18">
        <f>'Monthly Data'!F29</f>
        <v>79477048.429578483</v>
      </c>
      <c r="E29" s="21">
        <f t="shared" ca="1" si="5"/>
        <v>343.18302083333327</v>
      </c>
      <c r="F29" s="21">
        <f t="shared" ca="1" si="5"/>
        <v>6.5650000000000031</v>
      </c>
      <c r="G29" s="13">
        <f>'Monthly Data'!BF29</f>
        <v>355.04791666666671</v>
      </c>
      <c r="H29" s="13">
        <f>'Monthly Data'!BK29</f>
        <v>0</v>
      </c>
      <c r="I29" s="11">
        <f>'Monthly Data'!G29</f>
        <v>145220</v>
      </c>
      <c r="J29" s="21">
        <f>'Monthly Data'!CC29</f>
        <v>0</v>
      </c>
      <c r="K29" s="11">
        <f>'Monthly Data'!CS29</f>
        <v>30</v>
      </c>
      <c r="L29">
        <f>'Monthly Data'!CK29</f>
        <v>0</v>
      </c>
      <c r="M29" s="21">
        <f>'Monthly Data'!DB29</f>
        <v>0</v>
      </c>
      <c r="N29" s="21">
        <f>'Monthly Data'!DG29</f>
        <v>0</v>
      </c>
      <c r="O29">
        <f>'Monthly Data'!CV29</f>
        <v>0</v>
      </c>
      <c r="P29" s="11"/>
      <c r="Q29" s="11">
        <f ca="1">(E29-G29)*'Res Predicted Monthly'!$AB$10</f>
        <v>-728393.10356980714</v>
      </c>
      <c r="R29" s="11">
        <f ca="1">(F29-H29)*'Res Predicted Monthly'!$AB$11</f>
        <v>1864807.876633371</v>
      </c>
      <c r="S29" s="11"/>
      <c r="T29" s="11"/>
      <c r="U29" s="11"/>
      <c r="V29" s="11"/>
      <c r="W29" s="11"/>
      <c r="X29" s="11"/>
      <c r="Y29" s="18">
        <f t="shared" ca="1" si="4"/>
        <v>80613463.202642053</v>
      </c>
    </row>
    <row r="30" spans="1:25" x14ac:dyDescent="0.2">
      <c r="A30" s="8">
        <f>'Monthly Data'!A30</f>
        <v>43586</v>
      </c>
      <c r="B30">
        <f t="shared" si="1"/>
        <v>2019</v>
      </c>
      <c r="C30">
        <f t="shared" si="2"/>
        <v>5</v>
      </c>
      <c r="D30" s="18">
        <f>'Monthly Data'!F30</f>
        <v>75969863.614056066</v>
      </c>
      <c r="E30" s="21">
        <f t="shared" ca="1" si="5"/>
        <v>146.15645833333332</v>
      </c>
      <c r="F30" s="21">
        <f t="shared" ca="1" si="5"/>
        <v>59.300416666666649</v>
      </c>
      <c r="G30" s="13">
        <f>'Monthly Data'!BF30</f>
        <v>178.66250000000002</v>
      </c>
      <c r="H30" s="13">
        <f>'Monthly Data'!BK30</f>
        <v>20.48749999999999</v>
      </c>
      <c r="I30" s="11">
        <f>'Monthly Data'!G30</f>
        <v>145361</v>
      </c>
      <c r="J30" s="21">
        <f>'Monthly Data'!CC30</f>
        <v>0</v>
      </c>
      <c r="K30" s="11">
        <f>'Monthly Data'!CS30</f>
        <v>31</v>
      </c>
      <c r="L30">
        <f>'Monthly Data'!CK30</f>
        <v>1</v>
      </c>
      <c r="M30" s="21">
        <f>'Monthly Data'!DB30</f>
        <v>0</v>
      </c>
      <c r="N30" s="21">
        <f>'Monthly Data'!DG30</f>
        <v>0</v>
      </c>
      <c r="O30">
        <f>'Monthly Data'!CV30</f>
        <v>0</v>
      </c>
      <c r="P30" s="11"/>
      <c r="Q30" s="11">
        <f ca="1">(E30-G30)*'Res Predicted Monthly'!$AB$10</f>
        <v>-1995565.4821539836</v>
      </c>
      <c r="R30" s="11">
        <f ca="1">(F30-H30)*'Res Predicted Monthly'!$AB$11</f>
        <v>11024925.013726518</v>
      </c>
      <c r="S30" s="11"/>
      <c r="T30" s="11"/>
      <c r="U30" s="11"/>
      <c r="V30" s="11"/>
      <c r="W30" s="11"/>
      <c r="X30" s="11"/>
      <c r="Y30" s="18">
        <f t="shared" ca="1" si="4"/>
        <v>84999223.145628601</v>
      </c>
    </row>
    <row r="31" spans="1:25" x14ac:dyDescent="0.2">
      <c r="A31" s="8">
        <f>'Monthly Data'!A31</f>
        <v>43617</v>
      </c>
      <c r="B31">
        <f t="shared" si="1"/>
        <v>2019</v>
      </c>
      <c r="C31">
        <f t="shared" si="2"/>
        <v>6</v>
      </c>
      <c r="D31" s="18">
        <f>'Monthly Data'!F31</f>
        <v>87994636.970840842</v>
      </c>
      <c r="E31" s="21">
        <f t="shared" ca="1" si="5"/>
        <v>29.335416666666674</v>
      </c>
      <c r="F31" s="21">
        <f t="shared" ca="1" si="5"/>
        <v>157.17000000000002</v>
      </c>
      <c r="G31" s="13">
        <f>'Monthly Data'!BF31</f>
        <v>31.910416666666663</v>
      </c>
      <c r="H31" s="13">
        <f>'Monthly Data'!BK31</f>
        <v>127.21041666666667</v>
      </c>
      <c r="I31" s="11">
        <f>'Monthly Data'!G31</f>
        <v>145409</v>
      </c>
      <c r="J31" s="21">
        <f>'Monthly Data'!CC31</f>
        <v>0</v>
      </c>
      <c r="K31" s="11">
        <f>'Monthly Data'!CS31</f>
        <v>30</v>
      </c>
      <c r="L31">
        <f>'Monthly Data'!CK31</f>
        <v>1</v>
      </c>
      <c r="M31" s="21">
        <f>'Monthly Data'!DB31</f>
        <v>0</v>
      </c>
      <c r="N31" s="21">
        <f>'Monthly Data'!DG31</f>
        <v>0</v>
      </c>
      <c r="O31">
        <f>'Monthly Data'!CV31</f>
        <v>0</v>
      </c>
      <c r="P31" s="11"/>
      <c r="Q31" s="11">
        <f ca="1">(E31-G31)*'Res Predicted Monthly'!$AB$10</f>
        <v>-158080.8013857879</v>
      </c>
      <c r="R31" s="11">
        <f ca="1">(F31-H31)*'Res Predicted Monthly'!$AB$11</f>
        <v>8510109.212590076</v>
      </c>
      <c r="S31" s="11"/>
      <c r="T31" s="11"/>
      <c r="U31" s="11"/>
      <c r="V31" s="11"/>
      <c r="W31" s="11"/>
      <c r="X31" s="11"/>
      <c r="Y31" s="18">
        <f t="shared" ca="1" si="4"/>
        <v>96346665.382045135</v>
      </c>
    </row>
    <row r="32" spans="1:25" x14ac:dyDescent="0.2">
      <c r="A32" s="8">
        <f>'Monthly Data'!A32</f>
        <v>43647</v>
      </c>
      <c r="B32">
        <f t="shared" si="1"/>
        <v>2019</v>
      </c>
      <c r="C32">
        <f t="shared" si="2"/>
        <v>7</v>
      </c>
      <c r="D32" s="18">
        <f>'Monthly Data'!F32</f>
        <v>127394508.16810884</v>
      </c>
      <c r="E32" s="21">
        <f t="shared" ca="1" si="5"/>
        <v>1.6731249999999993</v>
      </c>
      <c r="F32" s="21">
        <f t="shared" ca="1" si="5"/>
        <v>231.27145833333333</v>
      </c>
      <c r="G32" s="13">
        <f>'Monthly Data'!BF32</f>
        <v>0</v>
      </c>
      <c r="H32" s="13">
        <f>'Monthly Data'!BK32</f>
        <v>252.07500000000005</v>
      </c>
      <c r="I32" s="11">
        <f>'Monthly Data'!G32</f>
        <v>145575</v>
      </c>
      <c r="J32" s="21">
        <f>'Monthly Data'!CC32</f>
        <v>0</v>
      </c>
      <c r="K32" s="11">
        <f>'Monthly Data'!CS32</f>
        <v>31</v>
      </c>
      <c r="L32">
        <f>'Monthly Data'!CK32</f>
        <v>1</v>
      </c>
      <c r="M32" s="21">
        <f>'Monthly Data'!DB32</f>
        <v>0</v>
      </c>
      <c r="N32" s="21">
        <f>'Monthly Data'!DG32</f>
        <v>0</v>
      </c>
      <c r="O32">
        <f>'Monthly Data'!CV32</f>
        <v>0</v>
      </c>
      <c r="P32" s="11"/>
      <c r="Q32" s="11">
        <f ca="1">(E32-G32)*'Res Predicted Monthly'!$AB$10</f>
        <v>102714.15177421259</v>
      </c>
      <c r="R32" s="11">
        <f ca="1">(F32-H32)*'Res Predicted Monthly'!$AB$11</f>
        <v>-5909308.2043976542</v>
      </c>
      <c r="S32" s="11"/>
      <c r="T32" s="11"/>
      <c r="U32" s="11"/>
      <c r="V32" s="11"/>
      <c r="W32" s="11"/>
      <c r="X32" s="11"/>
      <c r="Y32" s="18">
        <f t="shared" ca="1" si="4"/>
        <v>121587914.1154854</v>
      </c>
    </row>
    <row r="33" spans="1:25" x14ac:dyDescent="0.2">
      <c r="A33" s="8">
        <f>'Monthly Data'!A33</f>
        <v>43678</v>
      </c>
      <c r="B33">
        <f t="shared" si="1"/>
        <v>2019</v>
      </c>
      <c r="C33">
        <f t="shared" si="2"/>
        <v>8</v>
      </c>
      <c r="D33" s="18">
        <f>'Monthly Data'!F33</f>
        <v>109911720.39383872</v>
      </c>
      <c r="E33" s="21">
        <f t="shared" ca="1" si="5"/>
        <v>7.1606250000000005</v>
      </c>
      <c r="F33" s="21">
        <f t="shared" ca="1" si="5"/>
        <v>196.13625000000002</v>
      </c>
      <c r="G33" s="13">
        <f>'Monthly Data'!BF33</f>
        <v>8.2541666666666735</v>
      </c>
      <c r="H33" s="13">
        <f>'Monthly Data'!BK33</f>
        <v>182.71666666666661</v>
      </c>
      <c r="I33" s="11">
        <f>'Monthly Data'!G33</f>
        <v>145632</v>
      </c>
      <c r="J33" s="21">
        <f>'Monthly Data'!CC33</f>
        <v>0</v>
      </c>
      <c r="K33" s="11">
        <f>'Monthly Data'!CS33</f>
        <v>31</v>
      </c>
      <c r="L33">
        <f>'Monthly Data'!CK33</f>
        <v>1</v>
      </c>
      <c r="M33" s="21">
        <f>'Monthly Data'!DB33</f>
        <v>0</v>
      </c>
      <c r="N33" s="21">
        <f>'Monthly Data'!DG33</f>
        <v>0</v>
      </c>
      <c r="O33">
        <f>'Monthly Data'!CV33</f>
        <v>0</v>
      </c>
      <c r="P33" s="11"/>
      <c r="Q33" s="11">
        <f ca="1">(E33-G33)*'Res Predicted Monthly'!$AB$10</f>
        <v>-67133.18175356061</v>
      </c>
      <c r="R33" s="11">
        <f ca="1">(F33-H33)*'Res Predicted Monthly'!$AB$11</f>
        <v>3811872.7648344296</v>
      </c>
      <c r="S33" s="11"/>
      <c r="T33" s="11"/>
      <c r="U33" s="11"/>
      <c r="V33" s="11"/>
      <c r="W33" s="11"/>
      <c r="X33" s="11"/>
      <c r="Y33" s="18">
        <f t="shared" ca="1" si="4"/>
        <v>113656459.97691959</v>
      </c>
    </row>
    <row r="34" spans="1:25" x14ac:dyDescent="0.2">
      <c r="A34" s="8">
        <f>'Monthly Data'!A34</f>
        <v>43709</v>
      </c>
      <c r="B34">
        <f t="shared" si="1"/>
        <v>2019</v>
      </c>
      <c r="C34">
        <f t="shared" si="2"/>
        <v>9</v>
      </c>
      <c r="D34" s="18">
        <f>'Monthly Data'!F34</f>
        <v>86984748.548102602</v>
      </c>
      <c r="E34" s="21">
        <f t="shared" ref="E34:F53" ca="1" si="6">E22</f>
        <v>56.160416666666663</v>
      </c>
      <c r="F34" s="21">
        <f t="shared" ca="1" si="6"/>
        <v>104.19854166666664</v>
      </c>
      <c r="G34" s="13">
        <f>'Monthly Data'!BF34</f>
        <v>40.506249999999994</v>
      </c>
      <c r="H34" s="13">
        <f>'Monthly Data'!BK34</f>
        <v>103.38124999999999</v>
      </c>
      <c r="I34" s="11">
        <f>'Monthly Data'!G34</f>
        <v>145827</v>
      </c>
      <c r="J34" s="21">
        <f>'Monthly Data'!CC34</f>
        <v>0</v>
      </c>
      <c r="K34" s="11">
        <f>'Monthly Data'!CS34</f>
        <v>30</v>
      </c>
      <c r="L34">
        <f>'Monthly Data'!CK34</f>
        <v>0</v>
      </c>
      <c r="M34" s="21">
        <f>'Monthly Data'!DB34</f>
        <v>0</v>
      </c>
      <c r="N34" s="21">
        <f>'Monthly Data'!DG34</f>
        <v>0</v>
      </c>
      <c r="O34">
        <f>'Monthly Data'!CV34</f>
        <v>0</v>
      </c>
      <c r="P34" s="11"/>
      <c r="Q34" s="11">
        <f ca="1">(E34-G34)*'Res Predicted Monthly'!$AB$10</f>
        <v>961018.72298771492</v>
      </c>
      <c r="R34" s="11">
        <f ca="1">(F34-H34)*'Res Predicted Monthly'!$AB$11</f>
        <v>232154.14128054533</v>
      </c>
      <c r="S34" s="11"/>
      <c r="T34" s="11"/>
      <c r="U34" s="11"/>
      <c r="V34" s="11"/>
      <c r="W34" s="11"/>
      <c r="X34" s="11"/>
      <c r="Y34" s="18">
        <f t="shared" ca="1" si="4"/>
        <v>88177921.412370861</v>
      </c>
    </row>
    <row r="35" spans="1:25" x14ac:dyDescent="0.2">
      <c r="A35" s="8">
        <f>'Monthly Data'!A35</f>
        <v>43739</v>
      </c>
      <c r="B35">
        <f t="shared" si="1"/>
        <v>2019</v>
      </c>
      <c r="C35">
        <f t="shared" si="2"/>
        <v>10</v>
      </c>
      <c r="D35" s="18">
        <f>'Monthly Data'!F35</f>
        <v>79074026.821383372</v>
      </c>
      <c r="E35" s="21">
        <f t="shared" ca="1" si="6"/>
        <v>229.16187499999995</v>
      </c>
      <c r="F35" s="21">
        <f t="shared" ca="1" si="6"/>
        <v>24.703125000000007</v>
      </c>
      <c r="G35" s="13">
        <f>'Monthly Data'!BF35</f>
        <v>242.8041666666667</v>
      </c>
      <c r="H35" s="13">
        <f>'Monthly Data'!BK35</f>
        <v>10.866666666666669</v>
      </c>
      <c r="I35" s="11">
        <f>'Monthly Data'!G35</f>
        <v>145934</v>
      </c>
      <c r="J35" s="21">
        <f>'Monthly Data'!CC35</f>
        <v>0</v>
      </c>
      <c r="K35" s="11">
        <f>'Monthly Data'!CS35</f>
        <v>31</v>
      </c>
      <c r="L35">
        <f>'Monthly Data'!CK35</f>
        <v>0</v>
      </c>
      <c r="M35" s="21">
        <f>'Monthly Data'!DB35</f>
        <v>0</v>
      </c>
      <c r="N35" s="21">
        <f>'Monthly Data'!DG35</f>
        <v>0</v>
      </c>
      <c r="O35">
        <f>'Monthly Data'!CV35</f>
        <v>0</v>
      </c>
      <c r="P35" s="11"/>
      <c r="Q35" s="11">
        <f ca="1">(E35-G35)*'Res Predicted Monthly'!$AB$10</f>
        <v>-837508.50462343509</v>
      </c>
      <c r="R35" s="11">
        <f ca="1">(F35-H35)*'Res Predicted Monthly'!$AB$11</f>
        <v>3930287.3548681554</v>
      </c>
      <c r="S35" s="11"/>
      <c r="T35" s="11"/>
      <c r="U35" s="11"/>
      <c r="V35" s="11"/>
      <c r="W35" s="11"/>
      <c r="X35" s="11"/>
      <c r="Y35" s="18">
        <f t="shared" ca="1" si="4"/>
        <v>82166805.671628088</v>
      </c>
    </row>
    <row r="36" spans="1:25" x14ac:dyDescent="0.2">
      <c r="A36" s="8">
        <f>'Monthly Data'!A36</f>
        <v>43770</v>
      </c>
      <c r="B36">
        <f t="shared" si="1"/>
        <v>2019</v>
      </c>
      <c r="C36">
        <f t="shared" si="2"/>
        <v>11</v>
      </c>
      <c r="D36" s="18">
        <f>'Monthly Data'!F36</f>
        <v>88890436.20814155</v>
      </c>
      <c r="E36" s="21">
        <f t="shared" ca="1" si="6"/>
        <v>422.06333333333333</v>
      </c>
      <c r="F36" s="21">
        <f t="shared" ca="1" si="6"/>
        <v>1.6454166666666665</v>
      </c>
      <c r="G36" s="13">
        <f>'Monthly Data'!BF36</f>
        <v>523.4666666666667</v>
      </c>
      <c r="H36" s="13">
        <f>'Monthly Data'!BK36</f>
        <v>0</v>
      </c>
      <c r="I36" s="11">
        <f>'Monthly Data'!G36</f>
        <v>146082</v>
      </c>
      <c r="J36" s="21">
        <f>'Monthly Data'!CC36</f>
        <v>0</v>
      </c>
      <c r="K36" s="11">
        <f>'Monthly Data'!CS36</f>
        <v>30</v>
      </c>
      <c r="L36">
        <f>'Monthly Data'!CK36</f>
        <v>0</v>
      </c>
      <c r="M36" s="21">
        <f>'Monthly Data'!DB36</f>
        <v>0</v>
      </c>
      <c r="N36" s="21">
        <f>'Monthly Data'!DG36</f>
        <v>0</v>
      </c>
      <c r="O36">
        <f>'Monthly Data'!CV36</f>
        <v>0</v>
      </c>
      <c r="P36" s="11"/>
      <c r="Q36" s="11">
        <f ca="1">(E36-G36)*'Res Predicted Monthly'!$AB$10</f>
        <v>-6225211.7268052762</v>
      </c>
      <c r="R36" s="11">
        <f ca="1">(F36-H36)*'Res Predicted Monthly'!$AB$11</f>
        <v>467385.52328161825</v>
      </c>
      <c r="S36" s="11"/>
      <c r="T36" s="11"/>
      <c r="U36" s="11"/>
      <c r="V36" s="11"/>
      <c r="W36" s="11"/>
      <c r="X36" s="11"/>
      <c r="Y36" s="18">
        <f t="shared" ca="1" si="4"/>
        <v>83132610.0046179</v>
      </c>
    </row>
    <row r="37" spans="1:25" x14ac:dyDescent="0.2">
      <c r="A37" s="8">
        <f>'Monthly Data'!A37</f>
        <v>43800</v>
      </c>
      <c r="B37">
        <f t="shared" si="1"/>
        <v>2019</v>
      </c>
      <c r="C37">
        <f t="shared" si="2"/>
        <v>12</v>
      </c>
      <c r="D37" s="18">
        <f>'Monthly Data'!F37</f>
        <v>99357327.710085541</v>
      </c>
      <c r="E37" s="21">
        <f t="shared" ca="1" si="6"/>
        <v>591.99583333333339</v>
      </c>
      <c r="F37" s="21">
        <f t="shared" ca="1" si="6"/>
        <v>0</v>
      </c>
      <c r="G37" s="13">
        <f>'Monthly Data'!BF37</f>
        <v>580.13125000000002</v>
      </c>
      <c r="H37" s="13">
        <f>'Monthly Data'!BK37</f>
        <v>0</v>
      </c>
      <c r="I37" s="11">
        <f>'Monthly Data'!G37</f>
        <v>146208</v>
      </c>
      <c r="J37" s="21">
        <f>'Monthly Data'!CC37</f>
        <v>1</v>
      </c>
      <c r="K37" s="11">
        <f>'Monthly Data'!CS37</f>
        <v>31</v>
      </c>
      <c r="L37">
        <f>'Monthly Data'!CK37</f>
        <v>0</v>
      </c>
      <c r="M37" s="21">
        <f>'Monthly Data'!DB37</f>
        <v>0</v>
      </c>
      <c r="N37" s="21">
        <f>'Monthly Data'!DG37</f>
        <v>0</v>
      </c>
      <c r="O37">
        <f>'Monthly Data'!CV37</f>
        <v>0</v>
      </c>
      <c r="P37" s="11"/>
      <c r="Q37" s="11">
        <f ca="1">(E37-G37)*'Res Predicted Monthly'!$AB$10</f>
        <v>728373.91900652822</v>
      </c>
      <c r="R37" s="11">
        <f ca="1">(F37-H37)*'Res Predicted Monthly'!$AB$11</f>
        <v>0</v>
      </c>
      <c r="S37" s="11"/>
      <c r="T37" s="11"/>
      <c r="U37" s="11"/>
      <c r="V37" s="11"/>
      <c r="W37" s="11"/>
      <c r="X37" s="11"/>
      <c r="Y37" s="18">
        <f t="shared" ca="1" si="4"/>
        <v>100085701.62909207</v>
      </c>
    </row>
    <row r="38" spans="1:25" x14ac:dyDescent="0.2">
      <c r="A38" s="8">
        <f>'Monthly Data'!A38</f>
        <v>43831</v>
      </c>
      <c r="B38">
        <f t="shared" si="1"/>
        <v>2020</v>
      </c>
      <c r="C38">
        <f t="shared" si="2"/>
        <v>1</v>
      </c>
      <c r="D38" s="18">
        <f>'Monthly Data'!F38</f>
        <v>97545951.767339185</v>
      </c>
      <c r="E38" s="21">
        <f t="shared" ca="1" si="6"/>
        <v>683.09489583333334</v>
      </c>
      <c r="F38" s="21">
        <f t="shared" ca="1" si="6"/>
        <v>0</v>
      </c>
      <c r="G38" s="13">
        <f>'Monthly Data'!BF38</f>
        <v>602.31249999999977</v>
      </c>
      <c r="H38" s="13">
        <f>'Monthly Data'!BK38</f>
        <v>0</v>
      </c>
      <c r="I38" s="11">
        <f>'Monthly Data'!G38</f>
        <v>146344</v>
      </c>
      <c r="J38" s="21">
        <f>'Monthly Data'!CC38</f>
        <v>0</v>
      </c>
      <c r="K38" s="11">
        <f>'Monthly Data'!CS38</f>
        <v>31</v>
      </c>
      <c r="L38">
        <f>'Monthly Data'!CK38</f>
        <v>0</v>
      </c>
      <c r="M38" s="21">
        <f>'Monthly Data'!DB38</f>
        <v>0</v>
      </c>
      <c r="N38" s="21">
        <f>'Monthly Data'!DG38</f>
        <v>0</v>
      </c>
      <c r="O38">
        <f>'Monthly Data'!CV38</f>
        <v>0</v>
      </c>
      <c r="P38" s="11"/>
      <c r="Q38" s="11">
        <f ca="1">(E38-G38)*'Res Predicted Monthly'!$AB$10</f>
        <v>4959279.9499795567</v>
      </c>
      <c r="R38" s="11">
        <f ca="1">(F38-H38)*'Res Predicted Monthly'!$AB$11</f>
        <v>0</v>
      </c>
      <c r="S38" s="11"/>
      <c r="T38" s="11"/>
      <c r="U38" s="11"/>
      <c r="V38" s="11"/>
      <c r="W38" s="11"/>
      <c r="X38" s="11"/>
      <c r="Y38" s="18">
        <f t="shared" ca="1" si="4"/>
        <v>102505231.71731874</v>
      </c>
    </row>
    <row r="39" spans="1:25" x14ac:dyDescent="0.2">
      <c r="A39" s="8">
        <f>'Monthly Data'!A39</f>
        <v>43862</v>
      </c>
      <c r="B39">
        <f t="shared" si="1"/>
        <v>2020</v>
      </c>
      <c r="C39">
        <f t="shared" si="2"/>
        <v>2</v>
      </c>
      <c r="D39" s="18">
        <f>'Monthly Data'!F39</f>
        <v>91493578.994513884</v>
      </c>
      <c r="E39" s="21">
        <f t="shared" ca="1" si="6"/>
        <v>589.85491666666678</v>
      </c>
      <c r="F39" s="21">
        <f t="shared" ca="1" si="6"/>
        <v>0</v>
      </c>
      <c r="G39" s="13">
        <f>'Monthly Data'!BF39</f>
        <v>612.01666666666665</v>
      </c>
      <c r="H39" s="13">
        <f>'Monthly Data'!BK39</f>
        <v>0</v>
      </c>
      <c r="I39" s="11">
        <f>'Monthly Data'!G39</f>
        <v>146387</v>
      </c>
      <c r="J39" s="21">
        <f>'Monthly Data'!CC39</f>
        <v>0</v>
      </c>
      <c r="K39" s="11">
        <f>'Monthly Data'!CS39</f>
        <v>29</v>
      </c>
      <c r="L39">
        <f>'Monthly Data'!CK39</f>
        <v>0</v>
      </c>
      <c r="M39" s="21">
        <f>'Monthly Data'!DB39</f>
        <v>0</v>
      </c>
      <c r="N39" s="21">
        <f>'Monthly Data'!DG39</f>
        <v>0</v>
      </c>
      <c r="O39">
        <f>'Monthly Data'!CV39</f>
        <v>0</v>
      </c>
      <c r="P39" s="11"/>
      <c r="Q39" s="11">
        <f ca="1">(E39-G39)*'Res Predicted Monthly'!$AB$10</f>
        <v>-1360523.1845093125</v>
      </c>
      <c r="R39" s="11">
        <f ca="1">(F39-H39)*'Res Predicted Monthly'!$AB$11</f>
        <v>0</v>
      </c>
      <c r="S39" s="11"/>
      <c r="T39" s="11"/>
      <c r="U39" s="11"/>
      <c r="V39" s="11"/>
      <c r="W39" s="11"/>
      <c r="X39" s="11"/>
      <c r="Y39" s="18">
        <f t="shared" ca="1" si="4"/>
        <v>90133055.810004577</v>
      </c>
    </row>
    <row r="40" spans="1:25" x14ac:dyDescent="0.2">
      <c r="A40" s="8">
        <f>'Monthly Data'!A40</f>
        <v>43891</v>
      </c>
      <c r="B40">
        <f t="shared" si="1"/>
        <v>2020</v>
      </c>
      <c r="C40">
        <f t="shared" si="2"/>
        <v>3</v>
      </c>
      <c r="D40" s="18">
        <f>'Monthly Data'!F40</f>
        <v>91571517.654991493</v>
      </c>
      <c r="E40" s="21">
        <f t="shared" ca="1" si="6"/>
        <v>522.20004166666672</v>
      </c>
      <c r="F40" s="21">
        <f t="shared" ca="1" si="6"/>
        <v>0</v>
      </c>
      <c r="G40" s="13">
        <f>'Monthly Data'!BF40</f>
        <v>470.72083333333336</v>
      </c>
      <c r="H40" s="13">
        <f>'Monthly Data'!BK40</f>
        <v>0</v>
      </c>
      <c r="I40" s="11">
        <f>'Monthly Data'!G40</f>
        <v>146528</v>
      </c>
      <c r="J40" s="21">
        <f>'Monthly Data'!CC40</f>
        <v>0</v>
      </c>
      <c r="K40" s="11">
        <f>'Monthly Data'!CS40</f>
        <v>31</v>
      </c>
      <c r="L40">
        <f>'Monthly Data'!CK40</f>
        <v>0</v>
      </c>
      <c r="M40" s="21">
        <f>'Monthly Data'!DB40</f>
        <v>235.36041666666668</v>
      </c>
      <c r="N40" s="21">
        <f>'Monthly Data'!DG40</f>
        <v>0</v>
      </c>
      <c r="O40">
        <f>'Monthly Data'!CV40</f>
        <v>0.5</v>
      </c>
      <c r="P40" s="11"/>
      <c r="Q40" s="11">
        <f ca="1">(E40-G40)*'Res Predicted Monthly'!$AB$10</f>
        <v>3160339.6147725452</v>
      </c>
      <c r="R40" s="11">
        <f ca="1">(F40-H40)*'Res Predicted Monthly'!$AB$11</f>
        <v>0</v>
      </c>
      <c r="S40" s="11"/>
      <c r="T40" s="11"/>
      <c r="U40" s="11"/>
      <c r="V40" s="11"/>
      <c r="W40" s="11"/>
      <c r="X40" s="11"/>
      <c r="Y40" s="18">
        <f t="shared" ca="1" si="4"/>
        <v>94731857.269764036</v>
      </c>
    </row>
    <row r="41" spans="1:25" x14ac:dyDescent="0.2">
      <c r="A41" s="8">
        <f>'Monthly Data'!A41</f>
        <v>43922</v>
      </c>
      <c r="B41">
        <f t="shared" si="1"/>
        <v>2020</v>
      </c>
      <c r="C41">
        <f t="shared" si="2"/>
        <v>4</v>
      </c>
      <c r="D41" s="18">
        <f>'Monthly Data'!F41</f>
        <v>85758313.193750188</v>
      </c>
      <c r="E41" s="21">
        <f t="shared" ca="1" si="6"/>
        <v>343.18302083333327</v>
      </c>
      <c r="F41" s="21">
        <f t="shared" ca="1" si="6"/>
        <v>6.5650000000000031</v>
      </c>
      <c r="G41" s="13">
        <f>'Monthly Data'!BF41</f>
        <v>385.07083333333333</v>
      </c>
      <c r="H41" s="13">
        <f>'Monthly Data'!BK41</f>
        <v>0</v>
      </c>
      <c r="I41" s="11">
        <f>'Monthly Data'!G41</f>
        <v>146621</v>
      </c>
      <c r="J41" s="21">
        <f>'Monthly Data'!CC41</f>
        <v>0</v>
      </c>
      <c r="K41" s="11">
        <f>'Monthly Data'!CS41</f>
        <v>30</v>
      </c>
      <c r="L41">
        <f>'Monthly Data'!CK41</f>
        <v>0</v>
      </c>
      <c r="M41" s="21">
        <f>'Monthly Data'!DB41</f>
        <v>385.07083333333333</v>
      </c>
      <c r="N41" s="21">
        <f>'Monthly Data'!DG41</f>
        <v>0</v>
      </c>
      <c r="O41">
        <f>'Monthly Data'!CV41</f>
        <v>1</v>
      </c>
      <c r="P41" s="11"/>
      <c r="Q41" s="11">
        <f ca="1">(E41-G41)*'Res Predicted Monthly'!$AB$10</f>
        <v>-2571518.0459408392</v>
      </c>
      <c r="R41" s="11">
        <f ca="1">(F41-H41)*'Res Predicted Monthly'!$AB$11</f>
        <v>1864807.876633371</v>
      </c>
      <c r="S41" s="11"/>
      <c r="T41" s="11"/>
      <c r="U41" s="11"/>
      <c r="V41" s="11"/>
      <c r="W41" s="11"/>
      <c r="X41" s="11"/>
      <c r="Y41" s="18">
        <f t="shared" ca="1" si="4"/>
        <v>85051603.024442717</v>
      </c>
    </row>
    <row r="42" spans="1:25" x14ac:dyDescent="0.2">
      <c r="A42" s="8">
        <f>'Monthly Data'!A42</f>
        <v>43952</v>
      </c>
      <c r="B42">
        <f t="shared" si="1"/>
        <v>2020</v>
      </c>
      <c r="C42">
        <f t="shared" si="2"/>
        <v>5</v>
      </c>
      <c r="D42" s="18">
        <f>'Monthly Data'!F42</f>
        <v>92128124.461526498</v>
      </c>
      <c r="E42" s="21">
        <f t="shared" ca="1" si="6"/>
        <v>146.15645833333332</v>
      </c>
      <c r="F42" s="21">
        <f t="shared" ca="1" si="6"/>
        <v>59.300416666666649</v>
      </c>
      <c r="G42" s="13">
        <f>'Monthly Data'!BF42</f>
        <v>207.87083333333328</v>
      </c>
      <c r="H42" s="13">
        <f>'Monthly Data'!BK42</f>
        <v>55.616666666666646</v>
      </c>
      <c r="I42" s="11">
        <f>'Monthly Data'!G42</f>
        <v>146786</v>
      </c>
      <c r="J42" s="21">
        <f>'Monthly Data'!CC42</f>
        <v>0</v>
      </c>
      <c r="K42" s="11">
        <f>'Monthly Data'!CS42</f>
        <v>31</v>
      </c>
      <c r="L42">
        <f>'Monthly Data'!CK42</f>
        <v>1</v>
      </c>
      <c r="M42" s="21">
        <f>'Monthly Data'!DB42</f>
        <v>207.87083333333328</v>
      </c>
      <c r="N42" s="21">
        <f>'Monthly Data'!DG42</f>
        <v>55.616666666666646</v>
      </c>
      <c r="O42">
        <f>'Monthly Data'!CV42</f>
        <v>1</v>
      </c>
      <c r="P42" s="11"/>
      <c r="Q42" s="11">
        <f ca="1">(E42-G42)*'Res Predicted Monthly'!$AB$10</f>
        <v>-3788682.662921581</v>
      </c>
      <c r="R42" s="11">
        <f ca="1">(F42-H42)*'Res Predicted Monthly'!$AB$11</f>
        <v>1046380.2003881467</v>
      </c>
      <c r="S42" s="11"/>
      <c r="T42" s="11"/>
      <c r="U42" s="11"/>
      <c r="V42" s="11"/>
      <c r="W42" s="11"/>
      <c r="X42" s="11"/>
      <c r="Y42" s="18">
        <f t="shared" ca="1" si="4"/>
        <v>89385821.998993069</v>
      </c>
    </row>
    <row r="43" spans="1:25" x14ac:dyDescent="0.2">
      <c r="A43" s="8">
        <f>'Monthly Data'!A43</f>
        <v>43983</v>
      </c>
      <c r="B43">
        <f t="shared" si="1"/>
        <v>2020</v>
      </c>
      <c r="C43">
        <f t="shared" si="2"/>
        <v>6</v>
      </c>
      <c r="D43" s="18">
        <f>'Monthly Data'!F43</f>
        <v>112735350.78716789</v>
      </c>
      <c r="E43" s="21">
        <f t="shared" ca="1" si="6"/>
        <v>29.335416666666674</v>
      </c>
      <c r="F43" s="21">
        <f t="shared" ca="1" si="6"/>
        <v>157.17000000000002</v>
      </c>
      <c r="G43" s="13">
        <f>'Monthly Data'!BF43</f>
        <v>25.245833333333337</v>
      </c>
      <c r="H43" s="13">
        <f>'Monthly Data'!BK43</f>
        <v>167.22499999999997</v>
      </c>
      <c r="I43" s="11">
        <f>'Monthly Data'!G43</f>
        <v>146944</v>
      </c>
      <c r="J43" s="21">
        <f>'Monthly Data'!CC43</f>
        <v>0</v>
      </c>
      <c r="K43" s="11">
        <f>'Monthly Data'!CS43</f>
        <v>30</v>
      </c>
      <c r="L43">
        <f>'Monthly Data'!CK43</f>
        <v>1</v>
      </c>
      <c r="M43" s="21">
        <f>'Monthly Data'!DB43</f>
        <v>12.622916666666669</v>
      </c>
      <c r="N43" s="21">
        <f>'Monthly Data'!DG43</f>
        <v>83.612499999999983</v>
      </c>
      <c r="O43">
        <f>'Monthly Data'!CV43</f>
        <v>0.5</v>
      </c>
      <c r="P43" s="11"/>
      <c r="Q43" s="11">
        <f ca="1">(E43-G43)*'Res Predicted Monthly'!$AB$10</f>
        <v>251061.98472516448</v>
      </c>
      <c r="R43" s="11">
        <f ca="1">(F43-H43)*'Res Predicted Monthly'!$AB$11</f>
        <v>-2856152.8102891762</v>
      </c>
      <c r="S43" s="11"/>
      <c r="T43" s="11"/>
      <c r="U43" s="11"/>
      <c r="V43" s="11"/>
      <c r="W43" s="11"/>
      <c r="X43" s="11"/>
      <c r="Y43" s="18">
        <f t="shared" ca="1" si="4"/>
        <v>110130259.96160388</v>
      </c>
    </row>
    <row r="44" spans="1:25" x14ac:dyDescent="0.2">
      <c r="A44" s="8">
        <f>'Monthly Data'!A44</f>
        <v>44013</v>
      </c>
      <c r="B44">
        <f t="shared" si="1"/>
        <v>2020</v>
      </c>
      <c r="C44">
        <f t="shared" si="2"/>
        <v>7</v>
      </c>
      <c r="D44" s="18">
        <f>'Monthly Data'!F44</f>
        <v>146625970.2936959</v>
      </c>
      <c r="E44" s="21">
        <f t="shared" ca="1" si="6"/>
        <v>1.6731249999999993</v>
      </c>
      <c r="F44" s="21">
        <f t="shared" ca="1" si="6"/>
        <v>231.27145833333333</v>
      </c>
      <c r="G44" s="13">
        <f>'Monthly Data'!BF44</f>
        <v>0</v>
      </c>
      <c r="H44" s="13">
        <f>'Monthly Data'!BK44</f>
        <v>285.85000000000008</v>
      </c>
      <c r="I44" s="11">
        <f>'Monthly Data'!G44</f>
        <v>147020</v>
      </c>
      <c r="J44" s="21">
        <f>'Monthly Data'!CC44</f>
        <v>0</v>
      </c>
      <c r="K44" s="11">
        <f>'Monthly Data'!CS44</f>
        <v>31</v>
      </c>
      <c r="L44">
        <f>'Monthly Data'!CK44</f>
        <v>1</v>
      </c>
      <c r="M44" s="21">
        <f>'Monthly Data'!DB44</f>
        <v>0</v>
      </c>
      <c r="N44" s="21">
        <f>'Monthly Data'!DG44</f>
        <v>142.92500000000004</v>
      </c>
      <c r="O44">
        <f>'Monthly Data'!CV44</f>
        <v>0.5</v>
      </c>
      <c r="P44" s="11"/>
      <c r="Q44" s="11">
        <f ca="1">(E44-G44)*'Res Predicted Monthly'!$AB$10</f>
        <v>102714.15177421259</v>
      </c>
      <c r="R44" s="11">
        <f ca="1">(F44-H44)*'Res Predicted Monthly'!$AB$11</f>
        <v>-15503197.927671399</v>
      </c>
      <c r="S44" s="11"/>
      <c r="T44" s="11"/>
      <c r="U44" s="11"/>
      <c r="V44" s="11"/>
      <c r="W44" s="11"/>
      <c r="X44" s="11"/>
      <c r="Y44" s="18">
        <f t="shared" ca="1" si="4"/>
        <v>131225486.51779871</v>
      </c>
    </row>
    <row r="45" spans="1:25" x14ac:dyDescent="0.2">
      <c r="A45" s="8">
        <f>'Monthly Data'!A45</f>
        <v>44044</v>
      </c>
      <c r="B45">
        <f t="shared" si="1"/>
        <v>2020</v>
      </c>
      <c r="C45">
        <f t="shared" si="2"/>
        <v>8</v>
      </c>
      <c r="D45" s="18">
        <f>'Monthly Data'!F45</f>
        <v>120844372.34821889</v>
      </c>
      <c r="E45" s="21">
        <f t="shared" ca="1" si="6"/>
        <v>7.1606250000000005</v>
      </c>
      <c r="F45" s="21">
        <f t="shared" ca="1" si="6"/>
        <v>196.13625000000002</v>
      </c>
      <c r="G45" s="13">
        <f>'Monthly Data'!BF45</f>
        <v>3.3250000000000028</v>
      </c>
      <c r="H45" s="13">
        <f>'Monthly Data'!BK45</f>
        <v>199.54583333333341</v>
      </c>
      <c r="I45" s="11">
        <f>'Monthly Data'!G45</f>
        <v>147180</v>
      </c>
      <c r="J45" s="21">
        <f>'Monthly Data'!CC45</f>
        <v>0</v>
      </c>
      <c r="K45" s="11">
        <f>'Monthly Data'!CS45</f>
        <v>31</v>
      </c>
      <c r="L45">
        <f>'Monthly Data'!CK45</f>
        <v>1</v>
      </c>
      <c r="M45" s="21">
        <f>'Monthly Data'!DB45</f>
        <v>1.6625000000000014</v>
      </c>
      <c r="N45" s="21">
        <f>'Monthly Data'!DG45</f>
        <v>99.772916666666703</v>
      </c>
      <c r="O45">
        <f>'Monthly Data'!CV45</f>
        <v>0.5</v>
      </c>
      <c r="P45" s="11"/>
      <c r="Q45" s="11">
        <f ca="1">(E45-G45)*'Res Predicted Monthly'!$AB$10</f>
        <v>235471.32963703494</v>
      </c>
      <c r="R45" s="11">
        <f ca="1">(F45-H45)*'Res Predicted Monthly'!$AB$11</f>
        <v>-968502.33907661261</v>
      </c>
      <c r="S45" s="11"/>
      <c r="T45" s="11"/>
      <c r="U45" s="11"/>
      <c r="V45" s="11"/>
      <c r="W45" s="11"/>
      <c r="X45" s="11"/>
      <c r="Y45" s="18">
        <f t="shared" ca="1" si="4"/>
        <v>120111341.33877932</v>
      </c>
    </row>
    <row r="46" spans="1:25" x14ac:dyDescent="0.2">
      <c r="A46" s="8">
        <f>'Monthly Data'!A46</f>
        <v>44075</v>
      </c>
      <c r="B46">
        <f t="shared" si="1"/>
        <v>2020</v>
      </c>
      <c r="C46">
        <f t="shared" si="2"/>
        <v>9</v>
      </c>
      <c r="D46" s="18">
        <f>'Monthly Data'!F46</f>
        <v>87619165.062130496</v>
      </c>
      <c r="E46" s="21">
        <f t="shared" ca="1" si="6"/>
        <v>56.160416666666663</v>
      </c>
      <c r="F46" s="21">
        <f t="shared" ca="1" si="6"/>
        <v>104.19854166666664</v>
      </c>
      <c r="G46" s="13">
        <f>'Monthly Data'!BF46</f>
        <v>88.633333333333326</v>
      </c>
      <c r="H46" s="13">
        <f>'Monthly Data'!BK46</f>
        <v>71.695833333333354</v>
      </c>
      <c r="I46" s="11">
        <f>'Monthly Data'!G46</f>
        <v>147302</v>
      </c>
      <c r="J46" s="21">
        <f>'Monthly Data'!CC46</f>
        <v>0</v>
      </c>
      <c r="K46" s="11">
        <f>'Monthly Data'!CS46</f>
        <v>30</v>
      </c>
      <c r="L46">
        <f>'Monthly Data'!CK46</f>
        <v>0</v>
      </c>
      <c r="M46" s="21">
        <f>'Monthly Data'!DB46</f>
        <v>44.316666666666663</v>
      </c>
      <c r="N46" s="21">
        <f>'Monthly Data'!DG46</f>
        <v>35.847916666666677</v>
      </c>
      <c r="O46">
        <f>'Monthly Data'!CV46</f>
        <v>0.5</v>
      </c>
      <c r="P46" s="11"/>
      <c r="Q46" s="11">
        <f ca="1">(E46-G46)*'Res Predicted Monthly'!$AB$10</f>
        <v>-1993531.9184468337</v>
      </c>
      <c r="R46" s="11">
        <f ca="1">(F46-H46)*'Res Predicted Monthly'!$AB$11</f>
        <v>9232491.4717314541</v>
      </c>
      <c r="S46" s="11"/>
      <c r="T46" s="11"/>
      <c r="U46" s="11"/>
      <c r="V46" s="11"/>
      <c r="W46" s="11"/>
      <c r="X46" s="11"/>
      <c r="Y46" s="18">
        <f t="shared" ca="1" si="4"/>
        <v>94858124.615415111</v>
      </c>
    </row>
    <row r="47" spans="1:25" x14ac:dyDescent="0.2">
      <c r="A47" s="8">
        <f>'Monthly Data'!A47</f>
        <v>44105</v>
      </c>
      <c r="B47">
        <f t="shared" si="1"/>
        <v>2020</v>
      </c>
      <c r="C47">
        <f t="shared" si="2"/>
        <v>10</v>
      </c>
      <c r="D47" s="18">
        <f>'Monthly Data'!F47</f>
        <v>83474979.349141687</v>
      </c>
      <c r="E47" s="21">
        <f t="shared" ca="1" si="6"/>
        <v>229.16187499999995</v>
      </c>
      <c r="F47" s="21">
        <f t="shared" ca="1" si="6"/>
        <v>24.703125000000007</v>
      </c>
      <c r="G47" s="13">
        <f>'Monthly Data'!BF47</f>
        <v>285.44791666666663</v>
      </c>
      <c r="H47" s="13">
        <f>'Monthly Data'!BK47</f>
        <v>4.0104166666666714</v>
      </c>
      <c r="I47" s="11">
        <f>'Monthly Data'!G47</f>
        <v>147372</v>
      </c>
      <c r="J47" s="21">
        <f>'Monthly Data'!CC47</f>
        <v>0</v>
      </c>
      <c r="K47" s="11">
        <f>'Monthly Data'!CS47</f>
        <v>31</v>
      </c>
      <c r="L47">
        <f>'Monthly Data'!CK47</f>
        <v>0</v>
      </c>
      <c r="M47" s="21">
        <f>'Monthly Data'!DB47</f>
        <v>142.72395833333331</v>
      </c>
      <c r="N47" s="21">
        <f>'Monthly Data'!DG47</f>
        <v>2.0052083333333357</v>
      </c>
      <c r="O47">
        <f>'Monthly Data'!CV47</f>
        <v>0.5</v>
      </c>
      <c r="P47" s="11"/>
      <c r="Q47" s="11">
        <f ca="1">(E47-G47)*'Res Predicted Monthly'!$AB$10</f>
        <v>-3455434.0091264294</v>
      </c>
      <c r="R47" s="11">
        <f ca="1">(F47-H47)*'Res Predicted Monthly'!$AB$11</f>
        <v>5877825.6647185041</v>
      </c>
      <c r="S47" s="11"/>
      <c r="T47" s="11"/>
      <c r="U47" s="11"/>
      <c r="V47" s="11"/>
      <c r="W47" s="11"/>
      <c r="X47" s="11"/>
      <c r="Y47" s="18">
        <f t="shared" ca="1" si="4"/>
        <v>85897371.004733756</v>
      </c>
    </row>
    <row r="48" spans="1:25" x14ac:dyDescent="0.2">
      <c r="A48" s="8">
        <f>'Monthly Data'!A48</f>
        <v>44136</v>
      </c>
      <c r="B48">
        <f t="shared" si="1"/>
        <v>2020</v>
      </c>
      <c r="C48">
        <f t="shared" si="2"/>
        <v>11</v>
      </c>
      <c r="D48" s="18">
        <f>'Monthly Data'!F48</f>
        <v>86270435.371089891</v>
      </c>
      <c r="E48" s="21">
        <f t="shared" ca="1" si="6"/>
        <v>422.06333333333333</v>
      </c>
      <c r="F48" s="21">
        <f t="shared" ca="1" si="6"/>
        <v>1.6454166666666665</v>
      </c>
      <c r="G48" s="13">
        <f>'Monthly Data'!BF48</f>
        <v>355.85416666666663</v>
      </c>
      <c r="H48" s="13">
        <f>'Monthly Data'!BK48</f>
        <v>3.091666666666665</v>
      </c>
      <c r="I48" s="11">
        <f>'Monthly Data'!G48</f>
        <v>147580</v>
      </c>
      <c r="J48" s="21">
        <f>'Monthly Data'!CC48</f>
        <v>0</v>
      </c>
      <c r="K48" s="11">
        <f>'Monthly Data'!CS48</f>
        <v>30</v>
      </c>
      <c r="L48">
        <f>'Monthly Data'!CK48</f>
        <v>0</v>
      </c>
      <c r="M48" s="21">
        <f>'Monthly Data'!DB48</f>
        <v>177.92708333333331</v>
      </c>
      <c r="N48" s="21">
        <f>'Monthly Data'!DG48</f>
        <v>1.5458333333333325</v>
      </c>
      <c r="O48">
        <f>'Monthly Data'!CV48</f>
        <v>0.5</v>
      </c>
      <c r="P48" s="11"/>
      <c r="Q48" s="11">
        <f ca="1">(E48-G48)*'Res Predicted Monthly'!$AB$10</f>
        <v>4064620.6313599665</v>
      </c>
      <c r="R48" s="11">
        <f ca="1">(F48-H48)*'Res Predicted Monthly'!$AB$11</f>
        <v>-410811.63618903403</v>
      </c>
      <c r="S48" s="11"/>
      <c r="T48" s="11"/>
      <c r="U48" s="11"/>
      <c r="V48" s="11"/>
      <c r="W48" s="11"/>
      <c r="X48" s="11"/>
      <c r="Y48" s="18">
        <f t="shared" ca="1" si="4"/>
        <v>89924244.366260827</v>
      </c>
    </row>
    <row r="49" spans="1:25" x14ac:dyDescent="0.2">
      <c r="A49" s="8">
        <f>'Monthly Data'!A49</f>
        <v>44166</v>
      </c>
      <c r="B49">
        <f t="shared" si="1"/>
        <v>2020</v>
      </c>
      <c r="C49">
        <f t="shared" si="2"/>
        <v>12</v>
      </c>
      <c r="D49" s="18">
        <f>'Monthly Data'!F49</f>
        <v>104207857.30909689</v>
      </c>
      <c r="E49" s="21">
        <f t="shared" ca="1" si="6"/>
        <v>591.99583333333339</v>
      </c>
      <c r="F49" s="21">
        <f t="shared" ca="1" si="6"/>
        <v>0</v>
      </c>
      <c r="G49" s="13">
        <f>'Monthly Data'!BF49</f>
        <v>579.59791666666661</v>
      </c>
      <c r="H49" s="13">
        <f>'Monthly Data'!BK49</f>
        <v>0</v>
      </c>
      <c r="I49" s="11">
        <f>'Monthly Data'!G49</f>
        <v>147666</v>
      </c>
      <c r="J49" s="21">
        <f>'Monthly Data'!CC49</f>
        <v>1</v>
      </c>
      <c r="K49" s="11">
        <f>'Monthly Data'!CS49</f>
        <v>31</v>
      </c>
      <c r="L49">
        <f>'Monthly Data'!CK49</f>
        <v>0</v>
      </c>
      <c r="M49" s="21">
        <f>'Monthly Data'!DB49</f>
        <v>289.7989583333333</v>
      </c>
      <c r="N49" s="21">
        <f>'Monthly Data'!DG49</f>
        <v>0</v>
      </c>
      <c r="O49">
        <f>'Monthly Data'!CV49</f>
        <v>0.5</v>
      </c>
      <c r="P49" s="11"/>
      <c r="Q49" s="11">
        <f ca="1">(E49-G49)*'Res Predicted Monthly'!$AB$10</f>
        <v>761115.57366248954</v>
      </c>
      <c r="R49" s="11">
        <f ca="1">(F49-H49)*'Res Predicted Monthly'!$AB$11</f>
        <v>0</v>
      </c>
      <c r="S49" s="11"/>
      <c r="T49" s="11"/>
      <c r="U49" s="11"/>
      <c r="V49" s="11"/>
      <c r="W49" s="11"/>
      <c r="X49" s="11"/>
      <c r="Y49" s="18">
        <f t="shared" ca="1" si="4"/>
        <v>104968972.88275938</v>
      </c>
    </row>
    <row r="50" spans="1:25" x14ac:dyDescent="0.2">
      <c r="A50" s="8">
        <f>'Monthly Data'!A50</f>
        <v>44197</v>
      </c>
      <c r="B50">
        <f t="shared" si="1"/>
        <v>2021</v>
      </c>
      <c r="C50">
        <f t="shared" si="2"/>
        <v>1</v>
      </c>
      <c r="D50" s="18">
        <f>'Monthly Data'!F50</f>
        <v>105751345.12864499</v>
      </c>
      <c r="E50" s="21">
        <f t="shared" ca="1" si="6"/>
        <v>683.09489583333334</v>
      </c>
      <c r="F50" s="21">
        <f t="shared" ca="1" si="6"/>
        <v>0</v>
      </c>
      <c r="G50" s="13">
        <f>'Monthly Data'!BF50</f>
        <v>647.92083333333335</v>
      </c>
      <c r="H50" s="13">
        <f>'Monthly Data'!BK50</f>
        <v>0</v>
      </c>
      <c r="I50" s="11">
        <f>'Monthly Data'!G50</f>
        <v>147698</v>
      </c>
      <c r="J50" s="21">
        <f>'Monthly Data'!CC50</f>
        <v>0</v>
      </c>
      <c r="K50" s="11">
        <f>'Monthly Data'!CS50</f>
        <v>31</v>
      </c>
      <c r="L50">
        <f>'Monthly Data'!CK50</f>
        <v>0</v>
      </c>
      <c r="M50" s="21">
        <f>'Monthly Data'!DB50</f>
        <v>323.96041666666667</v>
      </c>
      <c r="N50" s="21">
        <f>'Monthly Data'!DG50</f>
        <v>0</v>
      </c>
      <c r="O50">
        <f>'Monthly Data'!CV50</f>
        <v>0.5</v>
      </c>
      <c r="P50" s="11"/>
      <c r="Q50" s="11">
        <f ca="1">(E50-G50)*'Res Predicted Monthly'!$AB$10</f>
        <v>2159356.8885412868</v>
      </c>
      <c r="R50" s="11">
        <f ca="1">(F50-H50)*'Res Predicted Monthly'!$AB$11</f>
        <v>0</v>
      </c>
      <c r="S50" s="11"/>
      <c r="T50" s="11"/>
      <c r="U50" s="11"/>
      <c r="V50" s="11"/>
      <c r="W50" s="11"/>
      <c r="X50" s="11"/>
      <c r="Y50" s="18">
        <f t="shared" ca="1" si="4"/>
        <v>107910702.01718627</v>
      </c>
    </row>
    <row r="51" spans="1:25" x14ac:dyDescent="0.2">
      <c r="A51" s="8">
        <f>'Monthly Data'!A51</f>
        <v>44228</v>
      </c>
      <c r="B51">
        <f t="shared" si="1"/>
        <v>2021</v>
      </c>
      <c r="C51">
        <f t="shared" si="2"/>
        <v>2</v>
      </c>
      <c r="D51" s="18">
        <f>'Monthly Data'!F51</f>
        <v>98306877.169293538</v>
      </c>
      <c r="E51" s="21">
        <f t="shared" ca="1" si="6"/>
        <v>589.85491666666678</v>
      </c>
      <c r="F51" s="21">
        <f t="shared" ca="1" si="6"/>
        <v>0</v>
      </c>
      <c r="G51" s="13">
        <f>'Monthly Data'!BF51</f>
        <v>682.5</v>
      </c>
      <c r="H51" s="13">
        <f>'Monthly Data'!BK51</f>
        <v>0</v>
      </c>
      <c r="I51" s="11">
        <f>'Monthly Data'!G51</f>
        <v>147947</v>
      </c>
      <c r="J51" s="21">
        <f>'Monthly Data'!CC51</f>
        <v>0</v>
      </c>
      <c r="K51" s="11">
        <f>'Monthly Data'!CS51</f>
        <v>28</v>
      </c>
      <c r="L51">
        <f>'Monthly Data'!CK51</f>
        <v>0</v>
      </c>
      <c r="M51" s="21">
        <f>'Monthly Data'!DB51</f>
        <v>341.25</v>
      </c>
      <c r="N51" s="21">
        <f>'Monthly Data'!DG51</f>
        <v>0</v>
      </c>
      <c r="O51">
        <f>'Monthly Data'!CV51</f>
        <v>0.5</v>
      </c>
      <c r="P51" s="11"/>
      <c r="Q51" s="11">
        <f ca="1">(E51-G51)*'Res Predicted Monthly'!$AB$10</f>
        <v>-5687537.4826355269</v>
      </c>
      <c r="R51" s="11">
        <f ca="1">(F51-H51)*'Res Predicted Monthly'!$AB$11</f>
        <v>0</v>
      </c>
      <c r="S51" s="11"/>
      <c r="T51" s="11"/>
      <c r="U51" s="11"/>
      <c r="V51" s="11"/>
      <c r="W51" s="11"/>
      <c r="X51" s="11"/>
      <c r="Y51" s="18">
        <f t="shared" ca="1" si="4"/>
        <v>92619339.68665801</v>
      </c>
    </row>
    <row r="52" spans="1:25" x14ac:dyDescent="0.2">
      <c r="A52" s="8">
        <f>'Monthly Data'!A52</f>
        <v>44256</v>
      </c>
      <c r="B52">
        <f t="shared" si="1"/>
        <v>2021</v>
      </c>
      <c r="C52">
        <f t="shared" si="2"/>
        <v>3</v>
      </c>
      <c r="D52" s="18">
        <f>'Monthly Data'!F52</f>
        <v>91973029.250623286</v>
      </c>
      <c r="E52" s="21">
        <f t="shared" ca="1" si="6"/>
        <v>522.20004166666672</v>
      </c>
      <c r="F52" s="21">
        <f t="shared" ca="1" si="6"/>
        <v>0</v>
      </c>
      <c r="G52" s="13">
        <f>'Monthly Data'!BF52</f>
        <v>452.07083333333338</v>
      </c>
      <c r="H52" s="13">
        <f>'Monthly Data'!BK52</f>
        <v>0</v>
      </c>
      <c r="I52" s="11">
        <f>'Monthly Data'!G52</f>
        <v>148098</v>
      </c>
      <c r="J52" s="21">
        <f>'Monthly Data'!CC52</f>
        <v>0</v>
      </c>
      <c r="K52" s="11">
        <f>'Monthly Data'!CS52</f>
        <v>31</v>
      </c>
      <c r="L52">
        <f>'Monthly Data'!CK52</f>
        <v>0</v>
      </c>
      <c r="M52" s="21">
        <f>'Monthly Data'!DB52</f>
        <v>226.03541666666669</v>
      </c>
      <c r="N52" s="21">
        <f>'Monthly Data'!DG52</f>
        <v>0</v>
      </c>
      <c r="O52">
        <f>'Monthly Data'!CV52</f>
        <v>0.5</v>
      </c>
      <c r="P52" s="11"/>
      <c r="Q52" s="11">
        <f ca="1">(E52-G52)*'Res Predicted Monthly'!$AB$10</f>
        <v>4305274.3510230128</v>
      </c>
      <c r="R52" s="11">
        <f ca="1">(F52-H52)*'Res Predicted Monthly'!$AB$11</f>
        <v>0</v>
      </c>
      <c r="S52" s="11"/>
      <c r="T52" s="11"/>
      <c r="U52" s="11"/>
      <c r="V52" s="11"/>
      <c r="W52" s="11"/>
      <c r="X52" s="11"/>
      <c r="Y52" s="18">
        <f t="shared" ca="1" si="4"/>
        <v>96278303.601646304</v>
      </c>
    </row>
    <row r="53" spans="1:25" x14ac:dyDescent="0.2">
      <c r="A53" s="8">
        <f>'Monthly Data'!A53</f>
        <v>44287</v>
      </c>
      <c r="B53">
        <f t="shared" si="1"/>
        <v>2021</v>
      </c>
      <c r="C53">
        <f t="shared" si="2"/>
        <v>4</v>
      </c>
      <c r="D53" s="18">
        <f>'Monthly Data'!F53</f>
        <v>82981156.929550335</v>
      </c>
      <c r="E53" s="21">
        <f t="shared" ca="1" si="6"/>
        <v>343.18302083333327</v>
      </c>
      <c r="F53" s="21">
        <f t="shared" ca="1" si="6"/>
        <v>6.5650000000000031</v>
      </c>
      <c r="G53" s="13">
        <f>'Monthly Data'!BF53</f>
        <v>307.14166666666665</v>
      </c>
      <c r="H53" s="13">
        <f>'Monthly Data'!BK53</f>
        <v>8.0499999999999954</v>
      </c>
      <c r="I53" s="11">
        <f>'Monthly Data'!G53</f>
        <v>148249</v>
      </c>
      <c r="J53" s="21">
        <f>'Monthly Data'!CC53</f>
        <v>0</v>
      </c>
      <c r="K53" s="11">
        <f>'Monthly Data'!CS53</f>
        <v>30</v>
      </c>
      <c r="L53">
        <f>'Monthly Data'!CK53</f>
        <v>0</v>
      </c>
      <c r="M53" s="21">
        <f>'Monthly Data'!DB53</f>
        <v>153.57083333333333</v>
      </c>
      <c r="N53" s="21">
        <f>'Monthly Data'!DG53</f>
        <v>4.0249999999999977</v>
      </c>
      <c r="O53">
        <f>'Monthly Data'!CV53</f>
        <v>0.5</v>
      </c>
      <c r="P53" s="11"/>
      <c r="Q53" s="11">
        <f ca="1">(E53-G53)*'Res Predicted Monthly'!$AB$10</f>
        <v>2212600.4464837634</v>
      </c>
      <c r="R53" s="11">
        <f ca="1">(F53-H53)*'Res Predicted Monthly'!$AB$11</f>
        <v>-421818.68953549734</v>
      </c>
      <c r="S53" s="11"/>
      <c r="T53" s="11"/>
      <c r="U53" s="11"/>
      <c r="V53" s="11"/>
      <c r="W53" s="11"/>
      <c r="X53" s="11"/>
      <c r="Y53" s="18">
        <f t="shared" ca="1" si="4"/>
        <v>84771938.686498597</v>
      </c>
    </row>
    <row r="54" spans="1:25" x14ac:dyDescent="0.2">
      <c r="A54" s="8">
        <f>'Monthly Data'!A54</f>
        <v>44317</v>
      </c>
      <c r="B54">
        <f t="shared" si="1"/>
        <v>2021</v>
      </c>
      <c r="C54">
        <f t="shared" si="2"/>
        <v>5</v>
      </c>
      <c r="D54" s="18">
        <f>'Monthly Data'!F54</f>
        <v>91340076.58452858</v>
      </c>
      <c r="E54" s="21">
        <f t="shared" ref="E54:F73" ca="1" si="7">E42</f>
        <v>146.15645833333332</v>
      </c>
      <c r="F54" s="21">
        <f t="shared" ca="1" si="7"/>
        <v>59.300416666666649</v>
      </c>
      <c r="G54" s="13">
        <f>'Monthly Data'!BF54</f>
        <v>176.10416666666669</v>
      </c>
      <c r="H54" s="13">
        <f>'Monthly Data'!BK54</f>
        <v>66.793749999999989</v>
      </c>
      <c r="I54" s="11">
        <f>'Monthly Data'!G54</f>
        <v>148347</v>
      </c>
      <c r="J54" s="21">
        <f>'Monthly Data'!CC54</f>
        <v>0</v>
      </c>
      <c r="K54" s="11">
        <f>'Monthly Data'!CS54</f>
        <v>31</v>
      </c>
      <c r="L54">
        <f>'Monthly Data'!CK54</f>
        <v>1</v>
      </c>
      <c r="M54" s="21">
        <f>'Monthly Data'!DB54</f>
        <v>88.052083333333343</v>
      </c>
      <c r="N54" s="21">
        <f>'Monthly Data'!DG54</f>
        <v>33.396874999999994</v>
      </c>
      <c r="O54">
        <f>'Monthly Data'!CV54</f>
        <v>0.5</v>
      </c>
      <c r="P54" s="11"/>
      <c r="Q54" s="11">
        <f ca="1">(E54-G54)*'Res Predicted Monthly'!$AB$10</f>
        <v>-1838507.8574761932</v>
      </c>
      <c r="R54" s="11">
        <f ca="1">(F54-H54)*'Res Predicted Monthly'!$AB$11</f>
        <v>-2128503.7352992226</v>
      </c>
      <c r="S54" s="11"/>
      <c r="T54" s="11"/>
      <c r="U54" s="11"/>
      <c r="V54" s="11"/>
      <c r="W54" s="11"/>
      <c r="X54" s="11"/>
      <c r="Y54" s="18">
        <f t="shared" ca="1" si="4"/>
        <v>87373064.991753161</v>
      </c>
    </row>
    <row r="55" spans="1:25" x14ac:dyDescent="0.2">
      <c r="A55" s="8">
        <f>'Monthly Data'!A55</f>
        <v>44348</v>
      </c>
      <c r="B55">
        <f t="shared" si="1"/>
        <v>2021</v>
      </c>
      <c r="C55">
        <f t="shared" si="2"/>
        <v>6</v>
      </c>
      <c r="D55" s="18">
        <f>'Monthly Data'!F55</f>
        <v>115361515.82174373</v>
      </c>
      <c r="E55" s="21">
        <f t="shared" ca="1" si="7"/>
        <v>29.335416666666674</v>
      </c>
      <c r="F55" s="21">
        <f t="shared" ca="1" si="7"/>
        <v>157.17000000000002</v>
      </c>
      <c r="G55" s="13">
        <f>'Monthly Data'!BF55</f>
        <v>15.86666666666666</v>
      </c>
      <c r="H55" s="13">
        <f>'Monthly Data'!BK55</f>
        <v>198.83750000000006</v>
      </c>
      <c r="I55" s="11">
        <f>'Monthly Data'!G55</f>
        <v>148573</v>
      </c>
      <c r="J55" s="21">
        <f>'Monthly Data'!CC55</f>
        <v>0</v>
      </c>
      <c r="K55" s="11">
        <f>'Monthly Data'!CS55</f>
        <v>30</v>
      </c>
      <c r="L55">
        <f>'Monthly Data'!CK55</f>
        <v>1</v>
      </c>
      <c r="M55" s="21">
        <f>'Monthly Data'!DB55</f>
        <v>7.93333333333333</v>
      </c>
      <c r="N55" s="21">
        <f>'Monthly Data'!DG55</f>
        <v>99.418750000000031</v>
      </c>
      <c r="O55">
        <f>'Monthly Data'!CV55</f>
        <v>0.5</v>
      </c>
      <c r="P55" s="11"/>
      <c r="Q55" s="11">
        <f ca="1">(E55-G55)*'Res Predicted Monthly'!$AB$10</f>
        <v>826854.67715139512</v>
      </c>
      <c r="R55" s="11">
        <f ca="1">(F55-H55)*'Res Predicted Monthly'!$AB$11</f>
        <v>-11835777.943582792</v>
      </c>
      <c r="S55" s="11"/>
      <c r="T55" s="11"/>
      <c r="U55" s="11"/>
      <c r="V55" s="11"/>
      <c r="W55" s="11"/>
      <c r="X55" s="11"/>
      <c r="Y55" s="18">
        <f t="shared" ca="1" si="4"/>
        <v>104352592.55531234</v>
      </c>
    </row>
    <row r="56" spans="1:25" x14ac:dyDescent="0.2">
      <c r="A56" s="8">
        <f>'Monthly Data'!A56</f>
        <v>44378</v>
      </c>
      <c r="B56">
        <f t="shared" si="1"/>
        <v>2021</v>
      </c>
      <c r="C56">
        <f t="shared" si="2"/>
        <v>7</v>
      </c>
      <c r="D56" s="18">
        <f>'Monthly Data'!F56</f>
        <v>119528701.30399828</v>
      </c>
      <c r="E56" s="21">
        <f t="shared" ca="1" si="7"/>
        <v>1.6731249999999993</v>
      </c>
      <c r="F56" s="21">
        <f t="shared" ca="1" si="7"/>
        <v>231.27145833333333</v>
      </c>
      <c r="G56" s="13">
        <f>'Monthly Data'!BF56</f>
        <v>6.0229166666666707</v>
      </c>
      <c r="H56" s="13">
        <f>'Monthly Data'!BK56</f>
        <v>193.42708333333331</v>
      </c>
      <c r="I56" s="11">
        <f>'Monthly Data'!G56</f>
        <v>148627</v>
      </c>
      <c r="J56" s="21">
        <f>'Monthly Data'!CC56</f>
        <v>0</v>
      </c>
      <c r="K56" s="11">
        <f>'Monthly Data'!CS56</f>
        <v>31</v>
      </c>
      <c r="L56">
        <f>'Monthly Data'!CK56</f>
        <v>1</v>
      </c>
      <c r="M56" s="21">
        <f>'Monthly Data'!DB56</f>
        <v>3.0114583333333353</v>
      </c>
      <c r="N56" s="21">
        <f>'Monthly Data'!DG56</f>
        <v>96.713541666666657</v>
      </c>
      <c r="O56">
        <f>'Monthly Data'!CV56</f>
        <v>0.5</v>
      </c>
      <c r="P56" s="11"/>
      <c r="Q56" s="11">
        <f ca="1">(E56-G56)*'Res Predicted Monthly'!$AB$10</f>
        <v>-267036.33107879321</v>
      </c>
      <c r="R56" s="11">
        <f ca="1">(F56-H56)*'Res Predicted Monthly'!$AB$11</f>
        <v>10749807.857771061</v>
      </c>
      <c r="S56" s="11"/>
      <c r="T56" s="11"/>
      <c r="U56" s="11"/>
      <c r="V56" s="11"/>
      <c r="W56" s="11"/>
      <c r="X56" s="11"/>
      <c r="Y56" s="18">
        <f t="shared" ca="1" si="4"/>
        <v>130011472.83069055</v>
      </c>
    </row>
    <row r="57" spans="1:25" x14ac:dyDescent="0.2">
      <c r="A57" s="8">
        <f>'Monthly Data'!A57</f>
        <v>44409</v>
      </c>
      <c r="B57">
        <f t="shared" si="1"/>
        <v>2021</v>
      </c>
      <c r="C57">
        <f t="shared" si="2"/>
        <v>8</v>
      </c>
      <c r="D57" s="18">
        <f>'Monthly Data'!F57</f>
        <v>132199542.12188883</v>
      </c>
      <c r="E57" s="21">
        <f t="shared" ca="1" si="7"/>
        <v>7.1606250000000005</v>
      </c>
      <c r="F57" s="21">
        <f t="shared" ca="1" si="7"/>
        <v>196.13625000000002</v>
      </c>
      <c r="G57" s="13">
        <f>'Monthly Data'!BF57</f>
        <v>2.7687500000000078</v>
      </c>
      <c r="H57" s="13">
        <f>'Monthly Data'!BK57</f>
        <v>234.19791666666669</v>
      </c>
      <c r="I57" s="11">
        <f>'Monthly Data'!G57</f>
        <v>148813</v>
      </c>
      <c r="J57" s="21">
        <f>'Monthly Data'!CC57</f>
        <v>0</v>
      </c>
      <c r="K57" s="11">
        <f>'Monthly Data'!CS57</f>
        <v>31</v>
      </c>
      <c r="L57">
        <f>'Monthly Data'!CK57</f>
        <v>1</v>
      </c>
      <c r="M57" s="21">
        <f>'Monthly Data'!DB57</f>
        <v>1.3843750000000039</v>
      </c>
      <c r="N57" s="21">
        <f>'Monthly Data'!DG57</f>
        <v>117.09895833333334</v>
      </c>
      <c r="O57">
        <f>'Monthly Data'!CV57</f>
        <v>0.5</v>
      </c>
      <c r="P57" s="11"/>
      <c r="Q57" s="11">
        <f ca="1">(E57-G57)*'Res Predicted Monthly'!$AB$10</f>
        <v>269619.85226648895</v>
      </c>
      <c r="R57" s="11">
        <f ca="1">(F57-H57)*'Res Predicted Monthly'!$AB$11</f>
        <v>-10811530.205299892</v>
      </c>
      <c r="S57" s="11"/>
      <c r="T57" s="11"/>
      <c r="U57" s="11"/>
      <c r="V57" s="11"/>
      <c r="W57" s="11"/>
      <c r="X57" s="11"/>
      <c r="Y57" s="18">
        <f t="shared" ca="1" si="4"/>
        <v>121657631.76885542</v>
      </c>
    </row>
    <row r="58" spans="1:25" x14ac:dyDescent="0.2">
      <c r="A58" s="8">
        <f>'Monthly Data'!A58</f>
        <v>44440</v>
      </c>
      <c r="B58">
        <f t="shared" si="1"/>
        <v>2021</v>
      </c>
      <c r="C58">
        <f t="shared" si="2"/>
        <v>9</v>
      </c>
      <c r="D58" s="18">
        <f>'Monthly Data'!F58</f>
        <v>92658508.505937979</v>
      </c>
      <c r="E58" s="21">
        <f t="shared" ca="1" si="7"/>
        <v>56.160416666666663</v>
      </c>
      <c r="F58" s="21">
        <f t="shared" ca="1" si="7"/>
        <v>104.19854166666664</v>
      </c>
      <c r="G58" s="13">
        <f>'Monthly Data'!BF58</f>
        <v>56.387499999999989</v>
      </c>
      <c r="H58" s="13">
        <f>'Monthly Data'!BK58</f>
        <v>86.675000000000011</v>
      </c>
      <c r="I58" s="11">
        <f>'Monthly Data'!G58</f>
        <v>148932</v>
      </c>
      <c r="J58" s="21">
        <f>'Monthly Data'!CC58</f>
        <v>0</v>
      </c>
      <c r="K58" s="11">
        <f>'Monthly Data'!CS58</f>
        <v>30</v>
      </c>
      <c r="L58">
        <f>'Monthly Data'!CK58</f>
        <v>0</v>
      </c>
      <c r="M58" s="21">
        <f>'Monthly Data'!DB58</f>
        <v>28.193749999999994</v>
      </c>
      <c r="N58" s="21">
        <f>'Monthly Data'!DG58</f>
        <v>43.337500000000006</v>
      </c>
      <c r="O58">
        <f>'Monthly Data'!CV58</f>
        <v>0.5</v>
      </c>
      <c r="P58" s="11"/>
      <c r="Q58" s="11">
        <f ca="1">(E58-G58)*'Res Predicted Monthly'!$AB$10</f>
        <v>-13940.782646480891</v>
      </c>
      <c r="R58" s="11">
        <f ca="1">(F58-H58)*'Res Predicted Monthly'!$AB$11</f>
        <v>4977614.39855491</v>
      </c>
      <c r="S58" s="11"/>
      <c r="T58" s="11"/>
      <c r="U58" s="11"/>
      <c r="V58" s="11"/>
      <c r="W58" s="11"/>
      <c r="X58" s="11"/>
      <c r="Y58" s="18">
        <f t="shared" ca="1" si="4"/>
        <v>97622182.121846408</v>
      </c>
    </row>
    <row r="59" spans="1:25" x14ac:dyDescent="0.2">
      <c r="A59" s="8">
        <f>'Monthly Data'!A59</f>
        <v>44470</v>
      </c>
      <c r="B59">
        <f t="shared" si="1"/>
        <v>2021</v>
      </c>
      <c r="C59">
        <f t="shared" si="2"/>
        <v>10</v>
      </c>
      <c r="D59" s="18">
        <f>'Monthly Data'!F59</f>
        <v>87440775.674946621</v>
      </c>
      <c r="E59" s="21">
        <f t="shared" ca="1" si="7"/>
        <v>229.16187499999995</v>
      </c>
      <c r="F59" s="21">
        <f t="shared" ca="1" si="7"/>
        <v>24.703125000000007</v>
      </c>
      <c r="G59" s="13">
        <f>'Monthly Data'!BF59</f>
        <v>158.2208333333333</v>
      </c>
      <c r="H59" s="13">
        <f>'Monthly Data'!BK59</f>
        <v>50.395833333333336</v>
      </c>
      <c r="I59" s="11">
        <f>'Monthly Data'!G59</f>
        <v>149070</v>
      </c>
      <c r="J59" s="21">
        <f>'Monthly Data'!CC59</f>
        <v>0</v>
      </c>
      <c r="K59" s="11">
        <f>'Monthly Data'!CS59</f>
        <v>31</v>
      </c>
      <c r="L59">
        <f>'Monthly Data'!CK59</f>
        <v>0</v>
      </c>
      <c r="M59" s="21">
        <f>'Monthly Data'!DB59</f>
        <v>79.110416666666652</v>
      </c>
      <c r="N59" s="21">
        <f>'Monthly Data'!DG59</f>
        <v>25.197916666666668</v>
      </c>
      <c r="O59">
        <f>'Monthly Data'!CV59</f>
        <v>0.5</v>
      </c>
      <c r="P59" s="11"/>
      <c r="Q59" s="11">
        <f ca="1">(E59-G59)*'Res Predicted Monthly'!$AB$10</f>
        <v>4355113.2884696247</v>
      </c>
      <c r="R59" s="11">
        <f ca="1">(F59-H59)*'Res Predicted Monthly'!$AB$11</f>
        <v>-7298090.6126494771</v>
      </c>
      <c r="S59" s="11"/>
      <c r="T59" s="11"/>
      <c r="U59" s="11"/>
      <c r="V59" s="11"/>
      <c r="W59" s="11"/>
      <c r="X59" s="11"/>
      <c r="Y59" s="18">
        <f t="shared" ca="1" si="4"/>
        <v>84497798.350766763</v>
      </c>
    </row>
    <row r="60" spans="1:25" x14ac:dyDescent="0.2">
      <c r="A60" s="8">
        <f>'Monthly Data'!A60</f>
        <v>44501</v>
      </c>
      <c r="B60">
        <f t="shared" ref="B60:B115" si="8">YEAR(A60)</f>
        <v>2021</v>
      </c>
      <c r="C60">
        <f t="shared" ref="C60:C115" si="9">MONTH(A60)</f>
        <v>11</v>
      </c>
      <c r="D60" s="18">
        <f>'Monthly Data'!F60</f>
        <v>89753400.674855173</v>
      </c>
      <c r="E60" s="21">
        <f t="shared" ca="1" si="7"/>
        <v>422.06333333333333</v>
      </c>
      <c r="F60" s="21">
        <f t="shared" ca="1" si="7"/>
        <v>1.6454166666666665</v>
      </c>
      <c r="G60" s="13">
        <f>'Monthly Data'!BF60</f>
        <v>448.07916666666659</v>
      </c>
      <c r="H60" s="13">
        <f>'Monthly Data'!BK60</f>
        <v>0</v>
      </c>
      <c r="I60" s="11">
        <f>'Monthly Data'!G60</f>
        <v>149218</v>
      </c>
      <c r="J60" s="21">
        <f>'Monthly Data'!CC60</f>
        <v>0</v>
      </c>
      <c r="K60" s="11">
        <f>'Monthly Data'!CS60</f>
        <v>30</v>
      </c>
      <c r="L60">
        <f>'Monthly Data'!CK60</f>
        <v>0</v>
      </c>
      <c r="M60" s="21">
        <f>'Monthly Data'!DB60</f>
        <v>224.0395833333333</v>
      </c>
      <c r="N60" s="21">
        <f>'Monthly Data'!DG60</f>
        <v>0</v>
      </c>
      <c r="O60">
        <f>'Monthly Data'!CV60</f>
        <v>0.5</v>
      </c>
      <c r="P60" s="11"/>
      <c r="Q60" s="11">
        <f ca="1">(E60-G60)*'Res Predicted Monthly'!$AB$10</f>
        <v>-1597127.6823504597</v>
      </c>
      <c r="R60" s="11">
        <f ca="1">(F60-H60)*'Res Predicted Monthly'!$AB$11</f>
        <v>467385.52328161825</v>
      </c>
      <c r="S60" s="11"/>
      <c r="T60" s="11"/>
      <c r="U60" s="11"/>
      <c r="V60" s="11"/>
      <c r="W60" s="11"/>
      <c r="X60" s="11"/>
      <c r="Y60" s="18">
        <f t="shared" ca="1" si="4"/>
        <v>88623658.515786335</v>
      </c>
    </row>
    <row r="61" spans="1:25" x14ac:dyDescent="0.2">
      <c r="A61" s="8">
        <f>'Monthly Data'!A61</f>
        <v>44531</v>
      </c>
      <c r="B61">
        <f t="shared" si="8"/>
        <v>2021</v>
      </c>
      <c r="C61">
        <f t="shared" si="9"/>
        <v>12</v>
      </c>
      <c r="D61" s="18">
        <f>'Monthly Data'!F61</f>
        <v>101925936.95283271</v>
      </c>
      <c r="E61" s="21">
        <f t="shared" ca="1" si="7"/>
        <v>591.99583333333339</v>
      </c>
      <c r="F61" s="21">
        <f t="shared" ca="1" si="7"/>
        <v>0</v>
      </c>
      <c r="G61" s="13">
        <f>'Monthly Data'!BF61</f>
        <v>527.17083333333335</v>
      </c>
      <c r="H61" s="13">
        <f>'Monthly Data'!BK61</f>
        <v>0</v>
      </c>
      <c r="I61" s="11">
        <f>'Monthly Data'!G61</f>
        <v>149578</v>
      </c>
      <c r="J61" s="21">
        <f>'Monthly Data'!CC61</f>
        <v>1</v>
      </c>
      <c r="K61" s="11">
        <f>'Monthly Data'!CS61</f>
        <v>31</v>
      </c>
      <c r="L61">
        <f>'Monthly Data'!CK61</f>
        <v>0</v>
      </c>
      <c r="M61" s="21">
        <f>'Monthly Data'!DB61</f>
        <v>263.58541666666667</v>
      </c>
      <c r="N61" s="21">
        <f>'Monthly Data'!DG61</f>
        <v>0</v>
      </c>
      <c r="O61">
        <f>'Monthly Data'!CV61</f>
        <v>0.5</v>
      </c>
      <c r="P61" s="11"/>
      <c r="Q61" s="11">
        <f ca="1">(E61-G61)*'Res Predicted Monthly'!$AB$10</f>
        <v>3979645.8057606807</v>
      </c>
      <c r="R61" s="11">
        <f ca="1">(F61-H61)*'Res Predicted Monthly'!$AB$11</f>
        <v>0</v>
      </c>
      <c r="S61" s="11"/>
      <c r="T61" s="11"/>
      <c r="U61" s="11"/>
      <c r="V61" s="11"/>
      <c r="W61" s="11"/>
      <c r="X61" s="11"/>
      <c r="Y61" s="18">
        <f t="shared" ca="1" si="4"/>
        <v>105905582.7585934</v>
      </c>
    </row>
    <row r="62" spans="1:25" x14ac:dyDescent="0.2">
      <c r="A62" s="8">
        <f>'Monthly Data'!A62</f>
        <v>44562</v>
      </c>
      <c r="B62">
        <f t="shared" si="8"/>
        <v>2022</v>
      </c>
      <c r="C62">
        <f t="shared" si="9"/>
        <v>1</v>
      </c>
      <c r="D62" s="18">
        <f>'Monthly Data'!F62</f>
        <v>113400436.11189753</v>
      </c>
      <c r="E62" s="21">
        <f t="shared" ca="1" si="7"/>
        <v>683.09489583333334</v>
      </c>
      <c r="F62" s="21">
        <f t="shared" ca="1" si="7"/>
        <v>0</v>
      </c>
      <c r="G62" s="13">
        <f>'Monthly Data'!BF62</f>
        <v>804.12083333333339</v>
      </c>
      <c r="H62" s="13">
        <f>'Monthly Data'!BK62</f>
        <v>0</v>
      </c>
      <c r="I62" s="11">
        <f>'Monthly Data'!G62</f>
        <v>149791</v>
      </c>
      <c r="J62" s="21">
        <f>'Monthly Data'!CC62</f>
        <v>0</v>
      </c>
      <c r="K62" s="11">
        <f>'Monthly Data'!CS62</f>
        <v>31</v>
      </c>
      <c r="L62">
        <f>'Monthly Data'!CK62</f>
        <v>0</v>
      </c>
      <c r="M62" s="21">
        <f>'Monthly Data'!DB62</f>
        <v>201.03020833333335</v>
      </c>
      <c r="N62" s="21">
        <f>'Monthly Data'!DG62</f>
        <v>0</v>
      </c>
      <c r="O62">
        <f>'Monthly Data'!CV62</f>
        <v>0.25</v>
      </c>
      <c r="P62" s="11"/>
      <c r="Q62" s="11">
        <f ca="1">(E62-G62)*'Res Predicted Monthly'!$AB$10</f>
        <v>-7429855.2188218925</v>
      </c>
      <c r="R62" s="11">
        <f ca="1">(F62-H62)*'Res Predicted Monthly'!$AB$11</f>
        <v>0</v>
      </c>
      <c r="S62" s="11"/>
      <c r="T62" s="11"/>
      <c r="U62" s="11"/>
      <c r="V62" s="11"/>
      <c r="W62" s="11"/>
      <c r="X62" s="11"/>
      <c r="Y62" s="18">
        <f t="shared" ca="1" si="4"/>
        <v>105970580.89307563</v>
      </c>
    </row>
    <row r="63" spans="1:25" x14ac:dyDescent="0.2">
      <c r="A63" s="8">
        <f>'Monthly Data'!A63</f>
        <v>44593</v>
      </c>
      <c r="B63">
        <f t="shared" si="8"/>
        <v>2022</v>
      </c>
      <c r="C63">
        <f t="shared" si="9"/>
        <v>2</v>
      </c>
      <c r="D63" s="18">
        <f>'Monthly Data'!F63</f>
        <v>98271140.502125725</v>
      </c>
      <c r="E63" s="21">
        <f t="shared" ca="1" si="7"/>
        <v>589.85491666666678</v>
      </c>
      <c r="F63" s="21">
        <f t="shared" ca="1" si="7"/>
        <v>0</v>
      </c>
      <c r="G63" s="13">
        <f>'Monthly Data'!BF63</f>
        <v>640.55208333333348</v>
      </c>
      <c r="H63" s="13">
        <f>'Monthly Data'!BK63</f>
        <v>0</v>
      </c>
      <c r="I63" s="11">
        <f>'Monthly Data'!G63</f>
        <v>149936</v>
      </c>
      <c r="J63" s="21">
        <f>'Monthly Data'!CC63</f>
        <v>0</v>
      </c>
      <c r="K63" s="11">
        <f>'Monthly Data'!CS63</f>
        <v>28</v>
      </c>
      <c r="L63">
        <f>'Monthly Data'!CK63</f>
        <v>0</v>
      </c>
      <c r="M63" s="21">
        <f>'Monthly Data'!DB63</f>
        <v>160.13802083333337</v>
      </c>
      <c r="N63" s="21">
        <f>'Monthly Data'!DG63</f>
        <v>0</v>
      </c>
      <c r="O63">
        <f>'Monthly Data'!CV63</f>
        <v>0.25</v>
      </c>
      <c r="P63" s="11"/>
      <c r="Q63" s="11">
        <f ca="1">(E63-G63)*'Res Predicted Monthly'!$AB$10</f>
        <v>-3112329.60569148</v>
      </c>
      <c r="R63" s="11">
        <f ca="1">(F63-H63)*'Res Predicted Monthly'!$AB$11</f>
        <v>0</v>
      </c>
      <c r="S63" s="11"/>
      <c r="T63" s="11"/>
      <c r="U63" s="11"/>
      <c r="V63" s="11"/>
      <c r="W63" s="11"/>
      <c r="X63" s="11"/>
      <c r="Y63" s="18">
        <f t="shared" ca="1" si="4"/>
        <v>95158810.896434247</v>
      </c>
    </row>
    <row r="64" spans="1:25" x14ac:dyDescent="0.2">
      <c r="A64" s="8">
        <f>'Monthly Data'!A64</f>
        <v>44621</v>
      </c>
      <c r="B64">
        <f t="shared" si="8"/>
        <v>2022</v>
      </c>
      <c r="C64">
        <f t="shared" si="9"/>
        <v>3</v>
      </c>
      <c r="D64" s="18">
        <f>'Monthly Data'!F64</f>
        <v>97810437.164043024</v>
      </c>
      <c r="E64" s="21">
        <f t="shared" ca="1" si="7"/>
        <v>522.20004166666672</v>
      </c>
      <c r="F64" s="21">
        <f t="shared" ca="1" si="7"/>
        <v>0</v>
      </c>
      <c r="G64" s="13">
        <f>'Monthly Data'!BF64</f>
        <v>536.21041666666656</v>
      </c>
      <c r="H64" s="13">
        <f>'Monthly Data'!BK64</f>
        <v>0</v>
      </c>
      <c r="I64" s="11">
        <f>'Monthly Data'!G64</f>
        <v>150067</v>
      </c>
      <c r="J64" s="21">
        <f>'Monthly Data'!CC64</f>
        <v>0</v>
      </c>
      <c r="K64" s="11">
        <f>'Monthly Data'!CS64</f>
        <v>31</v>
      </c>
      <c r="L64">
        <f>'Monthly Data'!CK64</f>
        <v>0</v>
      </c>
      <c r="M64" s="21">
        <f>'Monthly Data'!DB64</f>
        <v>134.05260416666664</v>
      </c>
      <c r="N64" s="21">
        <f>'Monthly Data'!DG64</f>
        <v>0</v>
      </c>
      <c r="O64">
        <f>'Monthly Data'!CV64</f>
        <v>0.25</v>
      </c>
      <c r="P64" s="11"/>
      <c r="Q64" s="11">
        <f ca="1">(E64-G64)*'Res Predicted Monthly'!$AB$10</f>
        <v>-860105.36221956997</v>
      </c>
      <c r="R64" s="11">
        <f ca="1">(F64-H64)*'Res Predicted Monthly'!$AB$11</f>
        <v>0</v>
      </c>
      <c r="S64" s="11"/>
      <c r="T64" s="11"/>
      <c r="U64" s="11"/>
      <c r="V64" s="11"/>
      <c r="W64" s="11"/>
      <c r="X64" s="11"/>
      <c r="Y64" s="18">
        <f t="shared" ca="1" si="4"/>
        <v>96950331.801823452</v>
      </c>
    </row>
    <row r="65" spans="1:25" x14ac:dyDescent="0.2">
      <c r="A65" s="8">
        <f>'Monthly Data'!A65</f>
        <v>44652</v>
      </c>
      <c r="B65">
        <f t="shared" si="8"/>
        <v>2022</v>
      </c>
      <c r="C65">
        <f t="shared" si="9"/>
        <v>4</v>
      </c>
      <c r="D65" s="18">
        <f>'Monthly Data'!F65</f>
        <v>85783051.575556532</v>
      </c>
      <c r="E65" s="21">
        <f t="shared" ca="1" si="7"/>
        <v>343.18302083333327</v>
      </c>
      <c r="F65" s="21">
        <f t="shared" ca="1" si="7"/>
        <v>6.5650000000000031</v>
      </c>
      <c r="G65" s="13">
        <f>'Monthly Data'!BF65</f>
        <v>367.91249999999997</v>
      </c>
      <c r="H65" s="13">
        <f>'Monthly Data'!BK65</f>
        <v>2.5416666666666696</v>
      </c>
      <c r="I65" s="11">
        <f>'Monthly Data'!G65</f>
        <v>150303</v>
      </c>
      <c r="J65" s="21">
        <f>'Monthly Data'!CC65</f>
        <v>0</v>
      </c>
      <c r="K65" s="11">
        <f>'Monthly Data'!CS65</f>
        <v>30</v>
      </c>
      <c r="L65">
        <f>'Monthly Data'!CK65</f>
        <v>0</v>
      </c>
      <c r="M65" s="21">
        <f>'Monthly Data'!DB65</f>
        <v>91.978124999999991</v>
      </c>
      <c r="N65" s="21">
        <f>'Monthly Data'!DG65</f>
        <v>0.63541666666666741</v>
      </c>
      <c r="O65">
        <f>'Monthly Data'!CV65</f>
        <v>0.25</v>
      </c>
      <c r="P65" s="11"/>
      <c r="Q65" s="11">
        <f ca="1">(E65-G65)*'Res Predicted Monthly'!$AB$10</f>
        <v>-1518157.6250562463</v>
      </c>
      <c r="R65" s="11">
        <f ca="1">(F65-H65)*'Res Predicted Monthly'!$AB$11</f>
        <v>1142839.8614351244</v>
      </c>
      <c r="S65" s="11"/>
      <c r="T65" s="11"/>
      <c r="U65" s="11"/>
      <c r="V65" s="11"/>
      <c r="W65" s="11"/>
      <c r="X65" s="11"/>
      <c r="Y65" s="18">
        <f t="shared" ca="1" si="4"/>
        <v>85407733.81193541</v>
      </c>
    </row>
    <row r="66" spans="1:25" x14ac:dyDescent="0.2">
      <c r="A66" s="8">
        <f>'Monthly Data'!A66</f>
        <v>44682</v>
      </c>
      <c r="B66">
        <f t="shared" si="8"/>
        <v>2022</v>
      </c>
      <c r="C66">
        <f t="shared" si="9"/>
        <v>5</v>
      </c>
      <c r="D66" s="18">
        <f>'Monthly Data'!F66</f>
        <v>89296731.492021337</v>
      </c>
      <c r="E66" s="21">
        <f t="shared" ca="1" si="7"/>
        <v>146.15645833333332</v>
      </c>
      <c r="F66" s="21">
        <f t="shared" ca="1" si="7"/>
        <v>59.300416666666649</v>
      </c>
      <c r="G66" s="13">
        <f>'Monthly Data'!BF66</f>
        <v>115.30833333333334</v>
      </c>
      <c r="H66" s="13">
        <f>'Monthly Data'!BK66</f>
        <v>80.722916666666649</v>
      </c>
      <c r="I66" s="11">
        <f>'Monthly Data'!G66</f>
        <v>150135</v>
      </c>
      <c r="J66" s="21">
        <f>'Monthly Data'!CC66</f>
        <v>0</v>
      </c>
      <c r="K66" s="11">
        <f>'Monthly Data'!CS66</f>
        <v>31</v>
      </c>
      <c r="L66">
        <f>'Monthly Data'!CK66</f>
        <v>1</v>
      </c>
      <c r="M66" s="21">
        <f>'Monthly Data'!DB66</f>
        <v>28.827083333333334</v>
      </c>
      <c r="N66" s="21">
        <f>'Monthly Data'!DG66</f>
        <v>20.180729166666662</v>
      </c>
      <c r="O66">
        <f>'Monthly Data'!CV66</f>
        <v>0.25</v>
      </c>
      <c r="P66" s="11"/>
      <c r="Q66" s="11">
        <f ca="1">(E66-G66)*'Res Predicted Monthly'!$AB$10</f>
        <v>1893784.9791258161</v>
      </c>
      <c r="R66" s="11">
        <f ca="1">(F66-H66)*'Res Predicted Monthly'!$AB$11</f>
        <v>-6085125.1694102613</v>
      </c>
      <c r="S66" s="11"/>
      <c r="T66" s="11"/>
      <c r="U66" s="11"/>
      <c r="V66" s="11"/>
      <c r="W66" s="11"/>
      <c r="X66" s="11"/>
      <c r="Y66" s="18">
        <f t="shared" ca="1" si="4"/>
        <v>85105391.301736891</v>
      </c>
    </row>
    <row r="67" spans="1:25" x14ac:dyDescent="0.2">
      <c r="A67" s="8">
        <f>'Monthly Data'!A67</f>
        <v>44713</v>
      </c>
      <c r="B67">
        <f t="shared" si="8"/>
        <v>2022</v>
      </c>
      <c r="C67">
        <f t="shared" si="9"/>
        <v>6</v>
      </c>
      <c r="D67" s="18">
        <f>'Monthly Data'!F67</f>
        <v>104358390.42752253</v>
      </c>
      <c r="E67" s="21">
        <f t="shared" ca="1" si="7"/>
        <v>29.335416666666674</v>
      </c>
      <c r="F67" s="21">
        <f t="shared" ca="1" si="7"/>
        <v>157.17000000000002</v>
      </c>
      <c r="G67" s="13">
        <f>'Monthly Data'!BF67</f>
        <v>37.135416666666671</v>
      </c>
      <c r="H67" s="13">
        <f>'Monthly Data'!BK67</f>
        <v>142.82500000000002</v>
      </c>
      <c r="I67" s="11">
        <f>'Monthly Data'!G67</f>
        <v>150281</v>
      </c>
      <c r="J67" s="21">
        <f>'Monthly Data'!CC67</f>
        <v>0</v>
      </c>
      <c r="K67" s="11">
        <f>'Monthly Data'!CS67</f>
        <v>30</v>
      </c>
      <c r="L67">
        <f>'Monthly Data'!CK67</f>
        <v>1</v>
      </c>
      <c r="M67" s="21">
        <f>'Monthly Data'!DB67</f>
        <v>9.2838541666666679</v>
      </c>
      <c r="N67" s="21">
        <f>'Monthly Data'!DG67</f>
        <v>35.706250000000004</v>
      </c>
      <c r="O67">
        <f>'Monthly Data'!CV67</f>
        <v>0.25</v>
      </c>
      <c r="P67" s="11"/>
      <c r="Q67" s="11">
        <f ca="1">(E67-G67)*'Res Predicted Monthly'!$AB$10</f>
        <v>-478846.69934335945</v>
      </c>
      <c r="R67" s="11">
        <f ca="1">(F67-H67)*'Res Predicted Monthly'!$AB$11</f>
        <v>4074740.1356139667</v>
      </c>
      <c r="S67" s="11"/>
      <c r="T67" s="11"/>
      <c r="U67" s="11"/>
      <c r="V67" s="11"/>
      <c r="W67" s="11"/>
      <c r="X67" s="11"/>
      <c r="Y67" s="18">
        <f t="shared" ca="1" si="4"/>
        <v>107954283.86379313</v>
      </c>
    </row>
    <row r="68" spans="1:25" x14ac:dyDescent="0.2">
      <c r="A68" s="8">
        <f>'Monthly Data'!A68</f>
        <v>44743</v>
      </c>
      <c r="B68">
        <f t="shared" si="8"/>
        <v>2022</v>
      </c>
      <c r="C68">
        <f t="shared" si="9"/>
        <v>7</v>
      </c>
      <c r="D68" s="18">
        <f>'Monthly Data'!F68</f>
        <v>125884000.32741234</v>
      </c>
      <c r="E68" s="21">
        <f t="shared" ca="1" si="7"/>
        <v>1.6731249999999993</v>
      </c>
      <c r="F68" s="21">
        <f t="shared" ca="1" si="7"/>
        <v>231.27145833333333</v>
      </c>
      <c r="G68" s="13">
        <f>'Monthly Data'!BF68</f>
        <v>0.14166666666666217</v>
      </c>
      <c r="H68" s="13">
        <f>'Monthly Data'!BK68</f>
        <v>224.93333333333328</v>
      </c>
      <c r="I68" s="11">
        <f>'Monthly Data'!G68</f>
        <v>150338</v>
      </c>
      <c r="J68" s="21">
        <f>'Monthly Data'!CC68</f>
        <v>0</v>
      </c>
      <c r="K68" s="11">
        <f>'Monthly Data'!CS68</f>
        <v>31</v>
      </c>
      <c r="L68">
        <f>'Monthly Data'!CK68</f>
        <v>1</v>
      </c>
      <c r="M68" s="21">
        <f>'Monthly Data'!DB68</f>
        <v>3.5416666666665542E-2</v>
      </c>
      <c r="N68" s="21">
        <f>'Monthly Data'!DG68</f>
        <v>56.23333333333332</v>
      </c>
      <c r="O68">
        <f>'Monthly Data'!CV68</f>
        <v>0.25</v>
      </c>
      <c r="P68" s="11"/>
      <c r="Q68" s="11">
        <f ca="1">(E68-G68)*'Res Predicted Monthly'!$AB$10</f>
        <v>94017.149756224506</v>
      </c>
      <c r="R68" s="11">
        <f ca="1">(F68-H68)*'Res Predicted Monthly'!$AB$11</f>
        <v>1800363.3546210155</v>
      </c>
      <c r="S68" s="11"/>
      <c r="T68" s="11"/>
      <c r="U68" s="11"/>
      <c r="V68" s="11"/>
      <c r="W68" s="11"/>
      <c r="X68" s="11"/>
      <c r="Y68" s="18">
        <f t="shared" ca="1" si="4"/>
        <v>127778380.83178958</v>
      </c>
    </row>
    <row r="69" spans="1:25" x14ac:dyDescent="0.2">
      <c r="A69" s="8">
        <f>'Monthly Data'!A69</f>
        <v>44774</v>
      </c>
      <c r="B69">
        <f t="shared" si="8"/>
        <v>2022</v>
      </c>
      <c r="C69">
        <f t="shared" si="9"/>
        <v>8</v>
      </c>
      <c r="D69" s="18">
        <f>'Monthly Data'!F69</f>
        <v>121150244.47990614</v>
      </c>
      <c r="E69" s="21">
        <f t="shared" ca="1" si="7"/>
        <v>7.1606250000000005</v>
      </c>
      <c r="F69" s="21">
        <f t="shared" ca="1" si="7"/>
        <v>196.13625000000002</v>
      </c>
      <c r="G69" s="13">
        <f>'Monthly Data'!BF69</f>
        <v>1.0333333333333314</v>
      </c>
      <c r="H69" s="13">
        <f>'Monthly Data'!BK69</f>
        <v>208.27916666666667</v>
      </c>
      <c r="I69" s="11">
        <f>'Monthly Data'!G69</f>
        <v>150523</v>
      </c>
      <c r="J69" s="21">
        <f>'Monthly Data'!CC69</f>
        <v>0</v>
      </c>
      <c r="K69" s="11">
        <f>'Monthly Data'!CS69</f>
        <v>31</v>
      </c>
      <c r="L69">
        <f>'Monthly Data'!CK69</f>
        <v>1</v>
      </c>
      <c r="M69" s="21">
        <f>'Monthly Data'!DB69</f>
        <v>0.25833333333333286</v>
      </c>
      <c r="N69" s="21">
        <f>'Monthly Data'!DG69</f>
        <v>52.069791666666667</v>
      </c>
      <c r="O69">
        <f>'Monthly Data'!CV69</f>
        <v>0.25</v>
      </c>
      <c r="P69" s="11"/>
      <c r="Q69" s="11">
        <f ca="1">(E69-G69)*'Res Predicted Monthly'!$AB$10</f>
        <v>376158.12698684708</v>
      </c>
      <c r="R69" s="11">
        <f ca="1">(F69-H69)*'Res Predicted Monthly'!$AB$11</f>
        <v>-3449231.7814626954</v>
      </c>
      <c r="S69" s="11"/>
      <c r="T69" s="11"/>
      <c r="U69" s="11"/>
      <c r="V69" s="11"/>
      <c r="W69" s="11"/>
      <c r="X69" s="11"/>
      <c r="Y69" s="18">
        <f t="shared" ca="1" si="4"/>
        <v>118077170.82543029</v>
      </c>
    </row>
    <row r="70" spans="1:25" x14ac:dyDescent="0.2">
      <c r="A70" s="8">
        <f>'Monthly Data'!A70</f>
        <v>44805</v>
      </c>
      <c r="B70">
        <f t="shared" si="8"/>
        <v>2022</v>
      </c>
      <c r="C70">
        <f t="shared" si="9"/>
        <v>9</v>
      </c>
      <c r="D70" s="18">
        <f>'Monthly Data'!F70</f>
        <v>95896085.279471442</v>
      </c>
      <c r="E70" s="21">
        <f t="shared" ca="1" si="7"/>
        <v>56.160416666666663</v>
      </c>
      <c r="F70" s="21">
        <f t="shared" ca="1" si="7"/>
        <v>104.19854166666664</v>
      </c>
      <c r="G70" s="13">
        <f>'Monthly Data'!BF70</f>
        <v>68.80416666666666</v>
      </c>
      <c r="H70" s="13">
        <f>'Monthly Data'!BK70</f>
        <v>101.75833333333333</v>
      </c>
      <c r="I70" s="11">
        <f>'Monthly Data'!G70</f>
        <v>150661</v>
      </c>
      <c r="J70" s="21">
        <f>'Monthly Data'!CC70</f>
        <v>0</v>
      </c>
      <c r="K70" s="11">
        <f>'Monthly Data'!CS70</f>
        <v>30</v>
      </c>
      <c r="L70">
        <f>'Monthly Data'!CK70</f>
        <v>0</v>
      </c>
      <c r="M70" s="21">
        <f>'Monthly Data'!DB70</f>
        <v>17.201041666666665</v>
      </c>
      <c r="N70" s="21">
        <f>'Monthly Data'!DG70</f>
        <v>25.439583333333331</v>
      </c>
      <c r="O70">
        <f>'Monthly Data'!CV70</f>
        <v>0.25</v>
      </c>
      <c r="P70" s="11"/>
      <c r="Q70" s="11">
        <f ca="1">(E70-G70)*'Res Predicted Monthly'!$AB$10</f>
        <v>-776207.43010546174</v>
      </c>
      <c r="R70" s="11">
        <f ca="1">(F70-H70)*'Res Predicted Monthly'!$AB$11</f>
        <v>693148.47229647485</v>
      </c>
      <c r="S70" s="11"/>
      <c r="T70" s="11"/>
      <c r="U70" s="11"/>
      <c r="V70" s="11"/>
      <c r="W70" s="11"/>
      <c r="X70" s="11"/>
      <c r="Y70" s="18">
        <f t="shared" ca="1" si="4"/>
        <v>95813026.321662456</v>
      </c>
    </row>
    <row r="71" spans="1:25" x14ac:dyDescent="0.2">
      <c r="A71" s="8">
        <f>'Monthly Data'!A71</f>
        <v>44835</v>
      </c>
      <c r="B71">
        <f t="shared" si="8"/>
        <v>2022</v>
      </c>
      <c r="C71">
        <f t="shared" si="9"/>
        <v>10</v>
      </c>
      <c r="D71" s="18">
        <f>'Monthly Data'!F71</f>
        <v>82407651.875134245</v>
      </c>
      <c r="E71" s="21">
        <f t="shared" ca="1" si="7"/>
        <v>229.16187499999995</v>
      </c>
      <c r="F71" s="21">
        <f t="shared" ca="1" si="7"/>
        <v>24.703125000000007</v>
      </c>
      <c r="G71" s="13">
        <f>'Monthly Data'!BF71</f>
        <v>258.52083333333331</v>
      </c>
      <c r="H71" s="13">
        <f>'Monthly Data'!BK71</f>
        <v>4.3500000000000014</v>
      </c>
      <c r="I71" s="11">
        <f>'Monthly Data'!G71</f>
        <v>150911</v>
      </c>
      <c r="J71" s="21">
        <f>'Monthly Data'!CC71</f>
        <v>0</v>
      </c>
      <c r="K71" s="11">
        <f>'Monthly Data'!CS71</f>
        <v>31</v>
      </c>
      <c r="L71">
        <f>'Monthly Data'!CK71</f>
        <v>0</v>
      </c>
      <c r="M71" s="21">
        <f>'Monthly Data'!DB71</f>
        <v>64.630208333333329</v>
      </c>
      <c r="N71" s="21">
        <f>'Monthly Data'!DG71</f>
        <v>1.0875000000000004</v>
      </c>
      <c r="O71">
        <f>'Monthly Data'!CV71</f>
        <v>0.25</v>
      </c>
      <c r="P71" s="11"/>
      <c r="Q71" s="11">
        <f ca="1">(E71-G71)*'Res Predicted Monthly'!$AB$10</f>
        <v>-1802364.1402661414</v>
      </c>
      <c r="R71" s="11">
        <f ca="1">(F71-H71)*'Res Predicted Monthly'!$AB$11</f>
        <v>5781366.003671526</v>
      </c>
      <c r="S71" s="11"/>
      <c r="T71" s="11"/>
      <c r="U71" s="11"/>
      <c r="V71" s="11"/>
      <c r="W71" s="11"/>
      <c r="X71" s="11"/>
      <c r="Y71" s="18">
        <f t="shared" ca="1" si="4"/>
        <v>86386653.738539636</v>
      </c>
    </row>
    <row r="72" spans="1:25" x14ac:dyDescent="0.2">
      <c r="A72" s="8">
        <f>'Monthly Data'!A72</f>
        <v>44866</v>
      </c>
      <c r="B72">
        <f t="shared" si="8"/>
        <v>2022</v>
      </c>
      <c r="C72">
        <f t="shared" si="9"/>
        <v>11</v>
      </c>
      <c r="D72" s="18">
        <f>'Monthly Data'!F72</f>
        <v>87684954.067774549</v>
      </c>
      <c r="E72" s="21">
        <f t="shared" ca="1" si="7"/>
        <v>422.06333333333333</v>
      </c>
      <c r="F72" s="21">
        <f t="shared" ca="1" si="7"/>
        <v>1.6454166666666665</v>
      </c>
      <c r="G72" s="13">
        <f>'Monthly Data'!BF72</f>
        <v>401.49583333333328</v>
      </c>
      <c r="H72" s="13">
        <f>'Monthly Data'!BK72</f>
        <v>4.2666666666666639</v>
      </c>
      <c r="I72" s="11">
        <f>'Monthly Data'!G72</f>
        <v>151261</v>
      </c>
      <c r="J72" s="21">
        <f>'Monthly Data'!CC72</f>
        <v>0</v>
      </c>
      <c r="K72" s="11">
        <f>'Monthly Data'!CS72</f>
        <v>30</v>
      </c>
      <c r="L72">
        <f>'Monthly Data'!CK72</f>
        <v>0</v>
      </c>
      <c r="M72" s="21">
        <f>'Monthly Data'!DB72</f>
        <v>100.37395833333332</v>
      </c>
      <c r="N72" s="21">
        <f>'Monthly Data'!DG72</f>
        <v>1.066666666666666</v>
      </c>
      <c r="O72">
        <f>'Monthly Data'!CV72</f>
        <v>0.25</v>
      </c>
      <c r="P72" s="11"/>
      <c r="Q72" s="11">
        <f ca="1">(E72-G72)*'Res Predicted Monthly'!$AB$10</f>
        <v>1262651.2165057147</v>
      </c>
      <c r="R72" s="11">
        <f ca="1">(F72-H72)*'Res Predicted Monthly'!$AB$11</f>
        <v>-744573.89895281277</v>
      </c>
      <c r="S72" s="11"/>
      <c r="T72" s="11"/>
      <c r="U72" s="11"/>
      <c r="V72" s="11"/>
      <c r="W72" s="11"/>
      <c r="X72" s="11"/>
      <c r="Y72" s="18">
        <f t="shared" ca="1" si="4"/>
        <v>88203031.385327458</v>
      </c>
    </row>
    <row r="73" spans="1:25" x14ac:dyDescent="0.2">
      <c r="A73" s="8">
        <f>'Monthly Data'!A73</f>
        <v>44896</v>
      </c>
      <c r="B73">
        <f t="shared" si="8"/>
        <v>2022</v>
      </c>
      <c r="C73">
        <f t="shared" si="9"/>
        <v>12</v>
      </c>
      <c r="D73" s="18">
        <f>'Monthly Data'!F73</f>
        <v>104600325.92757934</v>
      </c>
      <c r="E73" s="21">
        <f t="shared" ca="1" si="7"/>
        <v>591.99583333333339</v>
      </c>
      <c r="F73" s="21">
        <f t="shared" ca="1" si="7"/>
        <v>0</v>
      </c>
      <c r="G73" s="13">
        <f>'Monthly Data'!BF73</f>
        <v>593.42499999999984</v>
      </c>
      <c r="H73" s="13">
        <f>'Monthly Data'!BK73</f>
        <v>0</v>
      </c>
      <c r="I73" s="11">
        <f>'Monthly Data'!G73</f>
        <v>151365</v>
      </c>
      <c r="J73" s="21">
        <f>'Monthly Data'!CC73</f>
        <v>1</v>
      </c>
      <c r="K73" s="11">
        <f>'Monthly Data'!CS73</f>
        <v>31</v>
      </c>
      <c r="L73">
        <f>'Monthly Data'!CK73</f>
        <v>0</v>
      </c>
      <c r="M73" s="21">
        <f>'Monthly Data'!DB73</f>
        <v>148.35624999999996</v>
      </c>
      <c r="N73" s="21">
        <f>'Monthly Data'!DG73</f>
        <v>0</v>
      </c>
      <c r="O73">
        <f>'Monthly Data'!CV73</f>
        <v>0.25</v>
      </c>
      <c r="P73" s="11"/>
      <c r="Q73" s="11">
        <f ca="1">(E73-G73)*'Res Predicted Monthly'!$AB$10</f>
        <v>-87737.402710869166</v>
      </c>
      <c r="R73" s="11">
        <f ca="1">(F73-H73)*'Res Predicted Monthly'!$AB$11</f>
        <v>0</v>
      </c>
      <c r="S73" s="11"/>
      <c r="T73" s="11"/>
      <c r="U73" s="11"/>
      <c r="V73" s="11"/>
      <c r="W73" s="11"/>
      <c r="X73" s="11"/>
      <c r="Y73" s="18">
        <f t="shared" ca="1" si="4"/>
        <v>104512588.52486847</v>
      </c>
    </row>
    <row r="74" spans="1:25" x14ac:dyDescent="0.2">
      <c r="A74" s="8">
        <f>'Monthly Data'!A74</f>
        <v>44927</v>
      </c>
      <c r="B74">
        <f t="shared" si="8"/>
        <v>2023</v>
      </c>
      <c r="C74">
        <f t="shared" si="9"/>
        <v>1</v>
      </c>
      <c r="D74" s="18">
        <f>'Monthly Data'!F74</f>
        <v>101095920.38269933</v>
      </c>
      <c r="E74" s="21">
        <f t="shared" ref="E74:F93" ca="1" si="10">E62</f>
        <v>683.09489583333334</v>
      </c>
      <c r="F74" s="21">
        <f t="shared" ca="1" si="10"/>
        <v>0</v>
      </c>
      <c r="G74" s="13">
        <f>'Monthly Data'!BF74</f>
        <v>589.55416666666667</v>
      </c>
      <c r="H74" s="13">
        <f>'Monthly Data'!BK74</f>
        <v>0</v>
      </c>
      <c r="I74" s="11">
        <f>'Monthly Data'!G74</f>
        <v>151499</v>
      </c>
      <c r="J74" s="21">
        <f>'Monthly Data'!CC74</f>
        <v>0</v>
      </c>
      <c r="K74" s="11">
        <f>'Monthly Data'!CS74</f>
        <v>31</v>
      </c>
      <c r="L74">
        <f>'Monthly Data'!CK74</f>
        <v>0</v>
      </c>
      <c r="M74" s="21">
        <f>'Monthly Data'!DB74</f>
        <v>0</v>
      </c>
      <c r="N74" s="21">
        <f>'Monthly Data'!DG74</f>
        <v>0</v>
      </c>
      <c r="O74">
        <f>'Monthly Data'!CV74</f>
        <v>0</v>
      </c>
      <c r="P74" s="11"/>
      <c r="Q74" s="11">
        <f ca="1">(E74-G74)*'Res Predicted Monthly'!$AB$10</f>
        <v>5742521.7199524948</v>
      </c>
      <c r="R74" s="11">
        <f ca="1">(F74-H74)*'Res Predicted Monthly'!$AB$11</f>
        <v>0</v>
      </c>
      <c r="S74" s="11"/>
      <c r="T74" s="11"/>
      <c r="U74" s="11"/>
      <c r="V74" s="11"/>
      <c r="W74" s="11"/>
      <c r="X74" s="11"/>
      <c r="Y74" s="18">
        <f t="shared" ca="1" si="4"/>
        <v>106838442.10265182</v>
      </c>
    </row>
    <row r="75" spans="1:25" x14ac:dyDescent="0.2">
      <c r="A75" s="8">
        <f>'Monthly Data'!A75</f>
        <v>44958</v>
      </c>
      <c r="B75">
        <f t="shared" si="8"/>
        <v>2023</v>
      </c>
      <c r="C75">
        <f t="shared" si="9"/>
        <v>2</v>
      </c>
      <c r="D75" s="18">
        <f>'Monthly Data'!F75</f>
        <v>91047446.956413373</v>
      </c>
      <c r="E75" s="21">
        <f t="shared" ca="1" si="10"/>
        <v>589.85491666666678</v>
      </c>
      <c r="F75" s="21">
        <f t="shared" ca="1" si="10"/>
        <v>0</v>
      </c>
      <c r="G75" s="13">
        <f>'Monthly Data'!BF75</f>
        <v>545.2166666666667</v>
      </c>
      <c r="H75" s="13">
        <f>'Monthly Data'!BK75</f>
        <v>0</v>
      </c>
      <c r="I75" s="11">
        <f>'Monthly Data'!G75</f>
        <v>151628</v>
      </c>
      <c r="J75" s="21">
        <f>'Monthly Data'!CC75</f>
        <v>0</v>
      </c>
      <c r="K75" s="11">
        <f>'Monthly Data'!CS75</f>
        <v>28</v>
      </c>
      <c r="L75">
        <f>'Monthly Data'!CK75</f>
        <v>0</v>
      </c>
      <c r="M75" s="21">
        <f>'Monthly Data'!DB75</f>
        <v>0</v>
      </c>
      <c r="N75" s="21">
        <f>'Monthly Data'!DG75</f>
        <v>0</v>
      </c>
      <c r="O75">
        <f>'Monthly Data'!CV75</f>
        <v>0</v>
      </c>
      <c r="P75" s="11"/>
      <c r="Q75" s="11">
        <f ca="1">(E75-G75)*'Res Predicted Monthly'!$AB$10</f>
        <v>2740369.0611492004</v>
      </c>
      <c r="R75" s="11">
        <f ca="1">(F75-H75)*'Res Predicted Monthly'!$AB$11</f>
        <v>0</v>
      </c>
      <c r="S75" s="11"/>
      <c r="T75" s="11"/>
      <c r="U75" s="11"/>
      <c r="V75" s="11"/>
      <c r="W75" s="11"/>
      <c r="X75" s="11"/>
      <c r="Y75" s="18">
        <f t="shared" ref="Y75:Y96" ca="1" si="11">SUM(P75:X75)+D75</f>
        <v>93787816.017562568</v>
      </c>
    </row>
    <row r="76" spans="1:25" x14ac:dyDescent="0.2">
      <c r="A76" s="8">
        <f>'Monthly Data'!A76</f>
        <v>44986</v>
      </c>
      <c r="B76">
        <f t="shared" si="8"/>
        <v>2023</v>
      </c>
      <c r="C76">
        <f t="shared" si="9"/>
        <v>3</v>
      </c>
      <c r="D76" s="18">
        <f>'Monthly Data'!F76</f>
        <v>95849298.594118595</v>
      </c>
      <c r="E76" s="21">
        <f t="shared" ca="1" si="10"/>
        <v>522.20004166666672</v>
      </c>
      <c r="F76" s="21">
        <f t="shared" ca="1" si="10"/>
        <v>0</v>
      </c>
      <c r="G76" s="13">
        <f>'Monthly Data'!BF76</f>
        <v>552.04583333333323</v>
      </c>
      <c r="H76" s="13">
        <f>'Monthly Data'!BK76</f>
        <v>0</v>
      </c>
      <c r="I76" s="11">
        <f>'Monthly Data'!G76</f>
        <v>151662</v>
      </c>
      <c r="J76" s="21">
        <f>'Monthly Data'!CC76</f>
        <v>0</v>
      </c>
      <c r="K76" s="11">
        <f>'Monthly Data'!CS76</f>
        <v>31</v>
      </c>
      <c r="L76">
        <f>'Monthly Data'!CK76</f>
        <v>0</v>
      </c>
      <c r="M76" s="21">
        <f>'Monthly Data'!DB76</f>
        <v>0</v>
      </c>
      <c r="N76" s="21">
        <f>'Monthly Data'!DG76</f>
        <v>0</v>
      </c>
      <c r="O76">
        <f>'Monthly Data'!CV76</f>
        <v>0</v>
      </c>
      <c r="P76" s="11"/>
      <c r="Q76" s="11">
        <f ca="1">(E76-G76)*'Res Predicted Monthly'!$AB$10</f>
        <v>-1832251.1319067702</v>
      </c>
      <c r="R76" s="11">
        <f ca="1">(F76-H76)*'Res Predicted Monthly'!$AB$11</f>
        <v>0</v>
      </c>
      <c r="S76" s="11"/>
      <c r="T76" s="11"/>
      <c r="U76" s="11"/>
      <c r="V76" s="11"/>
      <c r="W76" s="11"/>
      <c r="X76" s="11"/>
      <c r="Y76" s="18">
        <f t="shared" ca="1" si="11"/>
        <v>94017047.462211818</v>
      </c>
    </row>
    <row r="77" spans="1:25" x14ac:dyDescent="0.2">
      <c r="A77" s="8">
        <f>'Monthly Data'!A77</f>
        <v>45017</v>
      </c>
      <c r="B77">
        <f t="shared" si="8"/>
        <v>2023</v>
      </c>
      <c r="C77">
        <f t="shared" si="9"/>
        <v>4</v>
      </c>
      <c r="D77" s="18">
        <f>'Monthly Data'!F77</f>
        <v>84098508.162623033</v>
      </c>
      <c r="E77" s="21">
        <f t="shared" ca="1" si="10"/>
        <v>343.18302083333327</v>
      </c>
      <c r="F77" s="21">
        <f t="shared" ca="1" si="10"/>
        <v>6.5650000000000031</v>
      </c>
      <c r="G77" s="13">
        <f>'Monthly Data'!BF77</f>
        <v>294.47500000000002</v>
      </c>
      <c r="H77" s="13">
        <f>'Monthly Data'!BK77</f>
        <v>22.516666666666687</v>
      </c>
      <c r="I77" s="11">
        <f>'Monthly Data'!G77</f>
        <v>151651</v>
      </c>
      <c r="J77" s="21">
        <f>'Monthly Data'!CC77</f>
        <v>0</v>
      </c>
      <c r="K77" s="11">
        <f>'Monthly Data'!CS77</f>
        <v>30</v>
      </c>
      <c r="L77">
        <f>'Monthly Data'!CK77</f>
        <v>0</v>
      </c>
      <c r="M77" s="21">
        <f>'Monthly Data'!DB77</f>
        <v>0</v>
      </c>
      <c r="N77" s="21">
        <f>'Monthly Data'!DG77</f>
        <v>0</v>
      </c>
      <c r="O77">
        <f>'Monthly Data'!CV77</f>
        <v>0</v>
      </c>
      <c r="P77" s="11"/>
      <c r="Q77" s="11">
        <f ca="1">(E77-G77)*'Res Predicted Monthly'!$AB$10</f>
        <v>2990214.7445627209</v>
      </c>
      <c r="R77" s="11">
        <f ca="1">(F77-H77)*'Res Predicted Monthly'!$AB$11</f>
        <v>-4531118.605549125</v>
      </c>
      <c r="S77" s="11"/>
      <c r="T77" s="11"/>
      <c r="U77" s="11"/>
      <c r="V77" s="11"/>
      <c r="W77" s="11"/>
      <c r="X77" s="11"/>
      <c r="Y77" s="18">
        <f t="shared" ca="1" si="11"/>
        <v>82557604.301636636</v>
      </c>
    </row>
    <row r="78" spans="1:25" x14ac:dyDescent="0.2">
      <c r="A78" s="8">
        <f>'Monthly Data'!A78</f>
        <v>45047</v>
      </c>
      <c r="B78">
        <f t="shared" si="8"/>
        <v>2023</v>
      </c>
      <c r="C78">
        <f t="shared" si="9"/>
        <v>5</v>
      </c>
      <c r="D78" s="18">
        <f>'Monthly Data'!F78</f>
        <v>84438333.862071276</v>
      </c>
      <c r="E78" s="21">
        <f t="shared" ca="1" si="10"/>
        <v>146.15645833333332</v>
      </c>
      <c r="F78" s="21">
        <f t="shared" ca="1" si="10"/>
        <v>59.300416666666649</v>
      </c>
      <c r="G78" s="13">
        <f>'Monthly Data'!BF78</f>
        <v>150.63750000000002</v>
      </c>
      <c r="H78" s="13">
        <f>'Monthly Data'!BK78</f>
        <v>49.670833333333306</v>
      </c>
      <c r="I78" s="11">
        <f>'Monthly Data'!G78</f>
        <v>151748</v>
      </c>
      <c r="J78" s="21">
        <f>'Monthly Data'!CC78</f>
        <v>0</v>
      </c>
      <c r="K78" s="11">
        <f>'Monthly Data'!CS78</f>
        <v>31</v>
      </c>
      <c r="L78">
        <f>'Monthly Data'!CK78</f>
        <v>1</v>
      </c>
      <c r="M78" s="21">
        <f>'Monthly Data'!DB78</f>
        <v>0</v>
      </c>
      <c r="N78" s="21">
        <f>'Monthly Data'!DG78</f>
        <v>0</v>
      </c>
      <c r="O78">
        <f>'Monthly Data'!CV78</f>
        <v>0</v>
      </c>
      <c r="P78" s="11"/>
      <c r="Q78" s="11">
        <f ca="1">(E78-G78)*'Res Predicted Monthly'!$AB$10</f>
        <v>-275093.84765428404</v>
      </c>
      <c r="R78" s="11">
        <f ca="1">(F78-H78)*'Res Predicted Monthly'!$AB$11</f>
        <v>2735311.9343027328</v>
      </c>
      <c r="S78" s="11"/>
      <c r="T78" s="11"/>
      <c r="U78" s="11"/>
      <c r="V78" s="11"/>
      <c r="W78" s="11"/>
      <c r="X78" s="11"/>
      <c r="Y78" s="18">
        <f t="shared" ca="1" si="11"/>
        <v>86898551.948719725</v>
      </c>
    </row>
    <row r="79" spans="1:25" x14ac:dyDescent="0.2">
      <c r="A79" s="8">
        <f>'Monthly Data'!A79</f>
        <v>45078</v>
      </c>
      <c r="B79">
        <f t="shared" si="8"/>
        <v>2023</v>
      </c>
      <c r="C79">
        <f t="shared" si="9"/>
        <v>6</v>
      </c>
      <c r="D79" s="18">
        <f>'Monthly Data'!F79</f>
        <v>97286503.750689998</v>
      </c>
      <c r="E79" s="21">
        <f t="shared" ca="1" si="10"/>
        <v>29.335416666666674</v>
      </c>
      <c r="F79" s="21">
        <f t="shared" ca="1" si="10"/>
        <v>157.17000000000002</v>
      </c>
      <c r="G79" s="13">
        <f>'Monthly Data'!BF79</f>
        <v>30.762499999999971</v>
      </c>
      <c r="H79" s="13">
        <f>'Monthly Data'!BK79</f>
        <v>130.14166666666665</v>
      </c>
      <c r="I79" s="11">
        <f>'Monthly Data'!G79</f>
        <v>151811</v>
      </c>
      <c r="J79" s="21">
        <f>'Monthly Data'!CC79</f>
        <v>0</v>
      </c>
      <c r="K79" s="11">
        <f>'Monthly Data'!CS79</f>
        <v>30</v>
      </c>
      <c r="L79">
        <f>'Monthly Data'!CK79</f>
        <v>1</v>
      </c>
      <c r="M79" s="21">
        <f>'Monthly Data'!DB79</f>
        <v>0</v>
      </c>
      <c r="N79" s="21">
        <f>'Monthly Data'!DG79</f>
        <v>0</v>
      </c>
      <c r="O79">
        <f>'Monthly Data'!CV79</f>
        <v>0</v>
      </c>
      <c r="P79" s="11"/>
      <c r="Q79" s="11">
        <f ca="1">(E79-G79)*'Res Predicted Monthly'!$AB$10</f>
        <v>-87609.505622380588</v>
      </c>
      <c r="R79" s="11">
        <f ca="1">(F79-H79)*'Res Predicted Monthly'!$AB$11</f>
        <v>7677478.8868655488</v>
      </c>
      <c r="S79" s="11"/>
      <c r="T79" s="11"/>
      <c r="U79" s="11"/>
      <c r="V79" s="11"/>
      <c r="W79" s="11"/>
      <c r="X79" s="11"/>
      <c r="Y79" s="18">
        <f t="shared" ca="1" si="11"/>
        <v>104876373.13193317</v>
      </c>
    </row>
    <row r="80" spans="1:25" x14ac:dyDescent="0.2">
      <c r="A80" s="8">
        <f>'Monthly Data'!A80</f>
        <v>45108</v>
      </c>
      <c r="B80">
        <f t="shared" si="8"/>
        <v>2023</v>
      </c>
      <c r="C80">
        <f t="shared" si="9"/>
        <v>7</v>
      </c>
      <c r="D80" s="18">
        <f>'Monthly Data'!F80</f>
        <v>121481480.73199384</v>
      </c>
      <c r="E80" s="21">
        <f t="shared" ca="1" si="10"/>
        <v>1.6731249999999993</v>
      </c>
      <c r="F80" s="21">
        <f t="shared" ca="1" si="10"/>
        <v>231.27145833333333</v>
      </c>
      <c r="G80" s="13">
        <f>'Monthly Data'!BF80</f>
        <v>1.87083333333333</v>
      </c>
      <c r="H80" s="13">
        <f>'Monthly Data'!BK80</f>
        <v>203.20000000000002</v>
      </c>
      <c r="I80" s="11">
        <f>'Monthly Data'!G80</f>
        <v>151829</v>
      </c>
      <c r="J80" s="21">
        <f>'Monthly Data'!CC80</f>
        <v>0</v>
      </c>
      <c r="K80" s="11">
        <f>'Monthly Data'!CS80</f>
        <v>31</v>
      </c>
      <c r="L80">
        <f>'Monthly Data'!CK80</f>
        <v>1</v>
      </c>
      <c r="M80" s="21">
        <f>'Monthly Data'!DB80</f>
        <v>0</v>
      </c>
      <c r="N80" s="21">
        <f>'Monthly Data'!DG80</f>
        <v>0</v>
      </c>
      <c r="O80">
        <f>'Monthly Data'!CV80</f>
        <v>0</v>
      </c>
      <c r="P80" s="11"/>
      <c r="Q80" s="11">
        <f ca="1">(E80-G80)*'Res Predicted Monthly'!$AB$10</f>
        <v>-12137.433698633607</v>
      </c>
      <c r="R80" s="11">
        <f ca="1">(F80-H80)*'Res Predicted Monthly'!$AB$11</f>
        <v>7973781.6616276335</v>
      </c>
      <c r="S80" s="11"/>
      <c r="T80" s="11"/>
      <c r="U80" s="11"/>
      <c r="V80" s="11"/>
      <c r="W80" s="11"/>
      <c r="X80" s="11"/>
      <c r="Y80" s="18">
        <f t="shared" ca="1" si="11"/>
        <v>129443124.95992284</v>
      </c>
    </row>
    <row r="81" spans="1:25" x14ac:dyDescent="0.2">
      <c r="A81" s="8">
        <f>'Monthly Data'!A81</f>
        <v>45139</v>
      </c>
      <c r="B81">
        <f t="shared" si="8"/>
        <v>2023</v>
      </c>
      <c r="C81">
        <f t="shared" si="9"/>
        <v>8</v>
      </c>
      <c r="D81" s="18">
        <f>'Monthly Data'!F81</f>
        <v>106591355.68128458</v>
      </c>
      <c r="E81" s="21">
        <f t="shared" ca="1" si="10"/>
        <v>7.1606250000000005</v>
      </c>
      <c r="F81" s="21">
        <f t="shared" ca="1" si="10"/>
        <v>196.13625000000002</v>
      </c>
      <c r="G81" s="13">
        <f>'Monthly Data'!BF81</f>
        <v>19.533333333333324</v>
      </c>
      <c r="H81" s="13">
        <f>'Monthly Data'!BK81</f>
        <v>144.09583333333336</v>
      </c>
      <c r="I81" s="11">
        <f>'Monthly Data'!G81</f>
        <v>151891</v>
      </c>
      <c r="J81" s="21">
        <f>'Monthly Data'!CC81</f>
        <v>0</v>
      </c>
      <c r="K81" s="11">
        <f>'Monthly Data'!CS81</f>
        <v>31</v>
      </c>
      <c r="L81">
        <f>'Monthly Data'!CK81</f>
        <v>1</v>
      </c>
      <c r="M81" s="21">
        <f>'Monthly Data'!DB81</f>
        <v>0</v>
      </c>
      <c r="N81" s="21">
        <f>'Monthly Data'!DG81</f>
        <v>0</v>
      </c>
      <c r="O81">
        <f>'Monthly Data'!CV81</f>
        <v>0</v>
      </c>
      <c r="P81" s="11"/>
      <c r="Q81" s="11">
        <f ca="1">(E81-G81)*'Res Predicted Monthly'!$AB$10</f>
        <v>-759568.01889163372</v>
      </c>
      <c r="R81" s="11">
        <f ca="1">(F81-H81)*'Res Predicted Monthly'!$AB$11</f>
        <v>14782235.933477912</v>
      </c>
      <c r="S81" s="11"/>
      <c r="T81" s="11"/>
      <c r="U81" s="11"/>
      <c r="V81" s="11"/>
      <c r="W81" s="11"/>
      <c r="X81" s="11"/>
      <c r="Y81" s="18">
        <f t="shared" ca="1" si="11"/>
        <v>120614023.59587085</v>
      </c>
    </row>
    <row r="82" spans="1:25" x14ac:dyDescent="0.2">
      <c r="A82" s="8">
        <f>'Monthly Data'!A82</f>
        <v>45170</v>
      </c>
      <c r="B82">
        <f t="shared" si="8"/>
        <v>2023</v>
      </c>
      <c r="C82">
        <f t="shared" si="9"/>
        <v>9</v>
      </c>
      <c r="D82" s="18">
        <f>'Monthly Data'!F82</f>
        <v>94551964.486079708</v>
      </c>
      <c r="E82" s="21">
        <f t="shared" ca="1" si="10"/>
        <v>56.160416666666663</v>
      </c>
      <c r="F82" s="21">
        <f t="shared" ca="1" si="10"/>
        <v>104.19854166666664</v>
      </c>
      <c r="G82" s="13">
        <f>'Monthly Data'!BF82</f>
        <v>59.375</v>
      </c>
      <c r="H82" s="13">
        <f>'Monthly Data'!BK82</f>
        <v>90.90416666666664</v>
      </c>
      <c r="I82" s="11">
        <f>'Monthly Data'!G82</f>
        <v>151956</v>
      </c>
      <c r="J82" s="21">
        <f>'Monthly Data'!CC82</f>
        <v>0</v>
      </c>
      <c r="K82" s="11">
        <f>'Monthly Data'!CS82</f>
        <v>30</v>
      </c>
      <c r="L82">
        <f>'Monthly Data'!CK82</f>
        <v>0</v>
      </c>
      <c r="M82" s="21">
        <f>'Monthly Data'!DB82</f>
        <v>0</v>
      </c>
      <c r="N82" s="21">
        <f>'Monthly Data'!DG82</f>
        <v>0</v>
      </c>
      <c r="O82">
        <f>'Monthly Data'!CV82</f>
        <v>0</v>
      </c>
      <c r="P82" s="11"/>
      <c r="Q82" s="11">
        <f ca="1">(E82-G82)*'Res Predicted Monthly'!$AB$10</f>
        <v>-197345.20755523632</v>
      </c>
      <c r="R82" s="11">
        <f ca="1">(F82-H82)*'Res Predicted Monthly'!$AB$11</f>
        <v>3776306.9634299716</v>
      </c>
      <c r="S82" s="11"/>
      <c r="T82" s="11"/>
      <c r="U82" s="11"/>
      <c r="V82" s="11"/>
      <c r="W82" s="11"/>
      <c r="X82" s="11"/>
      <c r="Y82" s="18">
        <f t="shared" ca="1" si="11"/>
        <v>98130926.241954446</v>
      </c>
    </row>
    <row r="83" spans="1:25" x14ac:dyDescent="0.2">
      <c r="A83" s="8">
        <f>'Monthly Data'!A83</f>
        <v>45200</v>
      </c>
      <c r="B83">
        <f t="shared" si="8"/>
        <v>2023</v>
      </c>
      <c r="C83">
        <f t="shared" si="9"/>
        <v>10</v>
      </c>
      <c r="D83" s="18">
        <f>'Monthly Data'!F83</f>
        <v>87394678.400082737</v>
      </c>
      <c r="E83" s="21">
        <f t="shared" ca="1" si="10"/>
        <v>229.16187499999995</v>
      </c>
      <c r="F83" s="21">
        <f t="shared" ca="1" si="10"/>
        <v>24.703125000000007</v>
      </c>
      <c r="G83" s="13">
        <f>'Monthly Data'!BF83</f>
        <v>219.74166666666665</v>
      </c>
      <c r="H83" s="13">
        <f>'Monthly Data'!BK83</f>
        <v>37.479166666666657</v>
      </c>
      <c r="I83" s="11">
        <f>'Monthly Data'!G83</f>
        <v>152084</v>
      </c>
      <c r="J83" s="21">
        <f>'Monthly Data'!CC83</f>
        <v>0</v>
      </c>
      <c r="K83" s="11">
        <f>'Monthly Data'!CS83</f>
        <v>31</v>
      </c>
      <c r="L83">
        <f>'Monthly Data'!CK83</f>
        <v>0</v>
      </c>
      <c r="M83" s="21">
        <f>'Monthly Data'!DB83</f>
        <v>0</v>
      </c>
      <c r="N83" s="21">
        <f>'Monthly Data'!DG83</f>
        <v>0</v>
      </c>
      <c r="O83">
        <f>'Monthly Data'!CV83</f>
        <v>0</v>
      </c>
      <c r="P83" s="11"/>
      <c r="Q83" s="11">
        <f ca="1">(E83-G83)*'Res Predicted Monthly'!$AB$10</f>
        <v>578312.26506967493</v>
      </c>
      <c r="R83" s="11">
        <f ca="1">(F83-H83)*'Res Predicted Monthly'!$AB$11</f>
        <v>-3629072.8304944551</v>
      </c>
      <c r="S83" s="11"/>
      <c r="T83" s="11"/>
      <c r="U83" s="11"/>
      <c r="V83" s="11"/>
      <c r="W83" s="11"/>
      <c r="X83" s="11"/>
      <c r="Y83" s="18">
        <f t="shared" ca="1" si="11"/>
        <v>84343917.834657952</v>
      </c>
    </row>
    <row r="84" spans="1:25" x14ac:dyDescent="0.2">
      <c r="A84" s="8">
        <f>'Monthly Data'!A84</f>
        <v>45231</v>
      </c>
      <c r="B84">
        <f t="shared" si="8"/>
        <v>2023</v>
      </c>
      <c r="C84">
        <f t="shared" si="9"/>
        <v>11</v>
      </c>
      <c r="D84" s="18">
        <f>'Monthly Data'!F84</f>
        <v>90724734.418044969</v>
      </c>
      <c r="E84" s="21">
        <f t="shared" ca="1" si="10"/>
        <v>422.06333333333333</v>
      </c>
      <c r="F84" s="21">
        <f t="shared" ca="1" si="10"/>
        <v>1.6454166666666665</v>
      </c>
      <c r="G84" s="13">
        <f>'Monthly Data'!BF84</f>
        <v>443.11666666666662</v>
      </c>
      <c r="H84" s="13">
        <f>'Monthly Data'!BK84</f>
        <v>0</v>
      </c>
      <c r="I84" s="11">
        <f>'Monthly Data'!G84</f>
        <v>152199</v>
      </c>
      <c r="J84" s="21">
        <f>'Monthly Data'!CC84</f>
        <v>0</v>
      </c>
      <c r="K84" s="11">
        <f>'Monthly Data'!CS84</f>
        <v>30</v>
      </c>
      <c r="L84">
        <f>'Monthly Data'!CK84</f>
        <v>0</v>
      </c>
      <c r="M84" s="21">
        <f>'Monthly Data'!DB84</f>
        <v>0</v>
      </c>
      <c r="N84" s="21">
        <f>'Monthly Data'!DG84</f>
        <v>0</v>
      </c>
      <c r="O84">
        <f>'Monthly Data'!CV84</f>
        <v>0</v>
      </c>
      <c r="P84" s="11"/>
      <c r="Q84" s="11">
        <f ca="1">(E84-G84)*'Res Predicted Monthly'!$AB$10</f>
        <v>-1292476.8175438684</v>
      </c>
      <c r="R84" s="11">
        <f ca="1">(F84-H84)*'Res Predicted Monthly'!$AB$11</f>
        <v>467385.52328161825</v>
      </c>
      <c r="S84" s="11"/>
      <c r="T84" s="11"/>
      <c r="U84" s="11"/>
      <c r="V84" s="11"/>
      <c r="W84" s="11"/>
      <c r="X84" s="11"/>
      <c r="Y84" s="18">
        <f t="shared" ca="1" si="11"/>
        <v>89899643.123782724</v>
      </c>
    </row>
    <row r="85" spans="1:25" x14ac:dyDescent="0.2">
      <c r="A85" s="8">
        <f>'Monthly Data'!A85</f>
        <v>45261</v>
      </c>
      <c r="B85">
        <f t="shared" si="8"/>
        <v>2023</v>
      </c>
      <c r="C85">
        <f t="shared" si="9"/>
        <v>12</v>
      </c>
      <c r="D85" s="18">
        <f>'Monthly Data'!F85</f>
        <v>100027267.37958151</v>
      </c>
      <c r="E85" s="21">
        <f t="shared" ca="1" si="10"/>
        <v>591.99583333333339</v>
      </c>
      <c r="F85" s="21">
        <f t="shared" ca="1" si="10"/>
        <v>0</v>
      </c>
      <c r="G85" s="13">
        <f>'Monthly Data'!BF85</f>
        <v>480.10416666666674</v>
      </c>
      <c r="H85" s="13">
        <f>'Monthly Data'!BK85</f>
        <v>0</v>
      </c>
      <c r="I85" s="11">
        <f>'Monthly Data'!G85</f>
        <v>152344</v>
      </c>
      <c r="J85" s="21">
        <f>'Monthly Data'!CC85</f>
        <v>1</v>
      </c>
      <c r="K85" s="11">
        <f>'Monthly Data'!CS85</f>
        <v>31</v>
      </c>
      <c r="L85">
        <f>'Monthly Data'!CK85</f>
        <v>0</v>
      </c>
      <c r="M85" s="21">
        <f>'Monthly Data'!DB85</f>
        <v>0</v>
      </c>
      <c r="N85" s="21">
        <f>'Monthly Data'!DG85</f>
        <v>0</v>
      </c>
      <c r="O85">
        <f>'Monthly Data'!CV85</f>
        <v>0</v>
      </c>
      <c r="P85" s="11"/>
      <c r="Q85" s="11">
        <f ca="1">(E85-G85)*'Res Predicted Monthly'!$AB$10</f>
        <v>6869096.8291488132</v>
      </c>
      <c r="R85" s="11">
        <f ca="1">(F85-H85)*'Res Predicted Monthly'!$AB$11</f>
        <v>0</v>
      </c>
      <c r="S85" s="11"/>
      <c r="T85" s="11"/>
      <c r="U85" s="11"/>
      <c r="V85" s="11"/>
      <c r="W85" s="11"/>
      <c r="X85" s="11"/>
      <c r="Y85" s="18">
        <f t="shared" ca="1" si="11"/>
        <v>106896364.20873033</v>
      </c>
    </row>
    <row r="86" spans="1:25" x14ac:dyDescent="0.2">
      <c r="A86" s="8">
        <f>'Monthly Data'!A86</f>
        <v>45292</v>
      </c>
      <c r="B86">
        <f t="shared" si="8"/>
        <v>2024</v>
      </c>
      <c r="C86">
        <f t="shared" si="9"/>
        <v>1</v>
      </c>
      <c r="D86" s="18">
        <f>'Monthly Data'!F86</f>
        <v>107987271.15008742</v>
      </c>
      <c r="E86" s="21">
        <f t="shared" ca="1" si="10"/>
        <v>683.09489583333334</v>
      </c>
      <c r="F86" s="21">
        <f t="shared" ca="1" si="10"/>
        <v>0</v>
      </c>
      <c r="G86" s="13">
        <f>'Monthly Data'!BF86</f>
        <v>654.65208333333351</v>
      </c>
      <c r="H86" s="13">
        <f>'Monthly Data'!BK86</f>
        <v>0</v>
      </c>
      <c r="I86" s="11">
        <f>'Monthly Data'!G86</f>
        <v>152450</v>
      </c>
      <c r="J86" s="21">
        <f>'Monthly Data'!CC86</f>
        <v>0</v>
      </c>
      <c r="K86" s="11">
        <f>'Monthly Data'!CS86</f>
        <v>31</v>
      </c>
      <c r="L86">
        <f>'Monthly Data'!CK86</f>
        <v>0</v>
      </c>
      <c r="M86" s="21">
        <f>'Monthly Data'!DB86</f>
        <v>0</v>
      </c>
      <c r="N86" s="21">
        <f>'Monthly Data'!DG86</f>
        <v>0</v>
      </c>
      <c r="O86">
        <f>'Monthly Data'!CV86</f>
        <v>0</v>
      </c>
      <c r="P86" s="11"/>
      <c r="Q86" s="11">
        <f ca="1">(E86-G86)*'Res Predicted Monthly'!$AB$10</f>
        <v>1746121.3955983296</v>
      </c>
      <c r="R86" s="11">
        <f ca="1">(F86-H86)*'Res Predicted Monthly'!$AB$11</f>
        <v>0</v>
      </c>
      <c r="S86" s="11"/>
      <c r="T86" s="11"/>
      <c r="U86" s="11"/>
      <c r="V86" s="11"/>
      <c r="W86" s="11"/>
      <c r="X86" s="11"/>
      <c r="Y86" s="18">
        <f t="shared" ca="1" si="11"/>
        <v>109733392.54568574</v>
      </c>
    </row>
    <row r="87" spans="1:25" x14ac:dyDescent="0.2">
      <c r="A87" s="8">
        <f>'Monthly Data'!A87</f>
        <v>45323</v>
      </c>
      <c r="B87">
        <f t="shared" si="8"/>
        <v>2024</v>
      </c>
      <c r="C87">
        <f t="shared" si="9"/>
        <v>2</v>
      </c>
      <c r="D87" s="18">
        <f>'Monthly Data'!F87</f>
        <v>93237063.884746984</v>
      </c>
      <c r="E87" s="21">
        <f t="shared" ca="1" si="10"/>
        <v>589.85491666666678</v>
      </c>
      <c r="F87" s="21">
        <f t="shared" ca="1" si="10"/>
        <v>0</v>
      </c>
      <c r="G87" s="13">
        <f>'Monthly Data'!BF87</f>
        <v>523.16041666666661</v>
      </c>
      <c r="H87" s="13">
        <f>'Monthly Data'!BK87</f>
        <v>0</v>
      </c>
      <c r="I87" s="11">
        <f>'Monthly Data'!G87</f>
        <v>152507</v>
      </c>
      <c r="J87" s="21">
        <f>'Monthly Data'!CC87</f>
        <v>0</v>
      </c>
      <c r="K87" s="11">
        <f>'Monthly Data'!CS87</f>
        <v>29</v>
      </c>
      <c r="L87">
        <f>'Monthly Data'!CK87</f>
        <v>0</v>
      </c>
      <c r="M87" s="21">
        <f>'Monthly Data'!DB87</f>
        <v>0</v>
      </c>
      <c r="N87" s="21">
        <f>'Monthly Data'!DG87</f>
        <v>0</v>
      </c>
      <c r="O87">
        <f>'Monthly Data'!CV87</f>
        <v>0</v>
      </c>
      <c r="P87" s="11"/>
      <c r="Q87" s="11">
        <f ca="1">(E87-G87)*'Res Predicted Monthly'!$AB$10</f>
        <v>4094415.5370968953</v>
      </c>
      <c r="R87" s="11">
        <f ca="1">(F87-H87)*'Res Predicted Monthly'!$AB$11</f>
        <v>0</v>
      </c>
      <c r="S87" s="11"/>
      <c r="T87" s="11"/>
      <c r="U87" s="11"/>
      <c r="V87" s="11"/>
      <c r="W87" s="11"/>
      <c r="X87" s="11"/>
      <c r="Y87" s="18">
        <f t="shared" ca="1" si="11"/>
        <v>97331479.421843886</v>
      </c>
    </row>
    <row r="88" spans="1:25" x14ac:dyDescent="0.2">
      <c r="A88" s="8">
        <f>'Monthly Data'!A88</f>
        <v>45352</v>
      </c>
      <c r="B88">
        <f t="shared" si="8"/>
        <v>2024</v>
      </c>
      <c r="C88">
        <f t="shared" si="9"/>
        <v>3</v>
      </c>
      <c r="D88" s="18">
        <f>'Monthly Data'!F88</f>
        <v>94045575.889152646</v>
      </c>
      <c r="E88" s="21">
        <f t="shared" ca="1" si="10"/>
        <v>522.20004166666672</v>
      </c>
      <c r="F88" s="21">
        <f t="shared" ca="1" si="10"/>
        <v>0</v>
      </c>
      <c r="G88" s="13">
        <f>'Monthly Data'!BF88</f>
        <v>456.44375000000002</v>
      </c>
      <c r="H88" s="13">
        <f>'Monthly Data'!BK88</f>
        <v>0</v>
      </c>
      <c r="I88" s="11">
        <f>'Monthly Data'!G88</f>
        <v>152573</v>
      </c>
      <c r="J88" s="21">
        <f>'Monthly Data'!CC88</f>
        <v>0</v>
      </c>
      <c r="K88" s="11">
        <f>'Monthly Data'!CS88</f>
        <v>31</v>
      </c>
      <c r="L88">
        <f>'Monthly Data'!CK88</f>
        <v>0</v>
      </c>
      <c r="M88" s="21">
        <f>'Monthly Data'!DB88</f>
        <v>0</v>
      </c>
      <c r="N88" s="21">
        <f>'Monthly Data'!DG88</f>
        <v>0</v>
      </c>
      <c r="O88">
        <f>'Monthly Data'!CV88</f>
        <v>0</v>
      </c>
      <c r="P88" s="11"/>
      <c r="Q88" s="11">
        <f ca="1">(E88-G88)*'Res Predicted Monthly'!$AB$10</f>
        <v>4036818.3622618732</v>
      </c>
      <c r="R88" s="11">
        <f ca="1">(F88-H88)*'Res Predicted Monthly'!$AB$11</f>
        <v>0</v>
      </c>
      <c r="S88" s="11"/>
      <c r="T88" s="11"/>
      <c r="U88" s="11"/>
      <c r="V88" s="11"/>
      <c r="W88" s="11"/>
      <c r="X88" s="11"/>
      <c r="Y88" s="18">
        <f t="shared" ca="1" si="11"/>
        <v>98082394.251414523</v>
      </c>
    </row>
    <row r="89" spans="1:25" x14ac:dyDescent="0.2">
      <c r="A89" s="8">
        <f>'Monthly Data'!A89</f>
        <v>45383</v>
      </c>
      <c r="B89">
        <f t="shared" si="8"/>
        <v>2024</v>
      </c>
      <c r="C89">
        <f t="shared" si="9"/>
        <v>4</v>
      </c>
      <c r="D89" s="18">
        <f>'Monthly Data'!F89</f>
        <v>82535428.2478275</v>
      </c>
      <c r="E89" s="21">
        <f t="shared" ca="1" si="10"/>
        <v>343.18302083333327</v>
      </c>
      <c r="F89" s="21">
        <f t="shared" ca="1" si="10"/>
        <v>6.5650000000000031</v>
      </c>
      <c r="G89" s="13">
        <f>'Monthly Data'!BF89</f>
        <v>269.75833333333333</v>
      </c>
      <c r="H89" s="13">
        <f>'Monthly Data'!BK89</f>
        <v>8.4166666666666679</v>
      </c>
      <c r="I89" s="11">
        <f>'Monthly Data'!G89</f>
        <v>152751</v>
      </c>
      <c r="J89" s="21">
        <f>'Monthly Data'!CC89</f>
        <v>0</v>
      </c>
      <c r="K89" s="11">
        <f>'Monthly Data'!CS89</f>
        <v>30</v>
      </c>
      <c r="L89">
        <f>'Monthly Data'!CK89</f>
        <v>0</v>
      </c>
      <c r="M89" s="21">
        <f>'Monthly Data'!DB89</f>
        <v>0</v>
      </c>
      <c r="N89" s="21">
        <f>'Monthly Data'!DG89</f>
        <v>0</v>
      </c>
      <c r="O89">
        <f>'Monthly Data'!CV89</f>
        <v>0</v>
      </c>
      <c r="P89" s="11"/>
      <c r="Q89" s="11">
        <f ca="1">(E89-G89)*'Res Predicted Monthly'!$AB$10</f>
        <v>4507585.8025246933</v>
      </c>
      <c r="R89" s="11">
        <f ca="1">(F89-H89)*'Res Predicted Monthly'!$AB$11</f>
        <v>-525971.45238377049</v>
      </c>
      <c r="S89" s="11"/>
      <c r="T89" s="11"/>
      <c r="U89" s="11"/>
      <c r="V89" s="11"/>
      <c r="W89" s="11"/>
      <c r="X89" s="11"/>
      <c r="Y89" s="18">
        <f t="shared" ca="1" si="11"/>
        <v>86517042.597968429</v>
      </c>
    </row>
    <row r="90" spans="1:25" x14ac:dyDescent="0.2">
      <c r="A90" s="8">
        <f>'Monthly Data'!A90</f>
        <v>45413</v>
      </c>
      <c r="B90">
        <f t="shared" si="8"/>
        <v>2024</v>
      </c>
      <c r="C90">
        <f t="shared" si="9"/>
        <v>5</v>
      </c>
      <c r="D90" s="18">
        <f>'Monthly Data'!F90</f>
        <v>90145540.473728657</v>
      </c>
      <c r="E90" s="21">
        <f t="shared" ca="1" si="10"/>
        <v>146.15645833333332</v>
      </c>
      <c r="F90" s="21">
        <f t="shared" ca="1" si="10"/>
        <v>59.300416666666649</v>
      </c>
      <c r="G90" s="13">
        <f>'Monthly Data'!BF90</f>
        <v>79.26666666666668</v>
      </c>
      <c r="H90" s="13">
        <f>'Monthly Data'!BK90</f>
        <v>73.216666666666654</v>
      </c>
      <c r="I90" s="11">
        <f>'Monthly Data'!G90</f>
        <v>152743</v>
      </c>
      <c r="J90" s="21">
        <f>'Monthly Data'!CC90</f>
        <v>0</v>
      </c>
      <c r="K90" s="11">
        <f>'Monthly Data'!CS90</f>
        <v>31</v>
      </c>
      <c r="L90">
        <f>'Monthly Data'!CK90</f>
        <v>1</v>
      </c>
      <c r="M90" s="21">
        <f>'Monthly Data'!DB90</f>
        <v>0</v>
      </c>
      <c r="N90" s="21">
        <f>'Monthly Data'!DG90</f>
        <v>0</v>
      </c>
      <c r="O90">
        <f>'Monthly Data'!CV90</f>
        <v>0</v>
      </c>
      <c r="P90" s="11"/>
      <c r="Q90" s="11">
        <f ca="1">(E90-G90)*'Res Predicted Monthly'!$AB$10</f>
        <v>4106404.6101728566</v>
      </c>
      <c r="R90" s="11">
        <f ca="1">(F90-H90)*'Res Predicted Monthly'!$AB$11</f>
        <v>-3952952.4163288875</v>
      </c>
      <c r="S90" s="11"/>
      <c r="T90" s="11"/>
      <c r="U90" s="11"/>
      <c r="V90" s="11"/>
      <c r="W90" s="11"/>
      <c r="X90" s="11"/>
      <c r="Y90" s="18">
        <f t="shared" ca="1" si="11"/>
        <v>90298992.667572632</v>
      </c>
    </row>
    <row r="91" spans="1:25" x14ac:dyDescent="0.2">
      <c r="A91" s="8">
        <f>'Monthly Data'!A91</f>
        <v>45444</v>
      </c>
      <c r="B91">
        <f t="shared" si="8"/>
        <v>2024</v>
      </c>
      <c r="C91">
        <f t="shared" si="9"/>
        <v>6</v>
      </c>
      <c r="D91" s="18">
        <f>'Monthly Data'!F91</f>
        <v>111435063.72212371</v>
      </c>
      <c r="E91" s="21">
        <f t="shared" ca="1" si="10"/>
        <v>29.335416666666674</v>
      </c>
      <c r="F91" s="21">
        <f t="shared" ca="1" si="10"/>
        <v>157.17000000000002</v>
      </c>
      <c r="G91" s="13">
        <f>'Monthly Data'!BF91</f>
        <v>27.666666666666664</v>
      </c>
      <c r="H91" s="13">
        <f>'Monthly Data'!BK91</f>
        <v>169.16458333333333</v>
      </c>
      <c r="I91" s="11">
        <f>'Monthly Data'!G91</f>
        <v>152735</v>
      </c>
      <c r="J91" s="21">
        <f>'Monthly Data'!CC91</f>
        <v>0</v>
      </c>
      <c r="K91" s="11">
        <f>'Monthly Data'!CS91</f>
        <v>30</v>
      </c>
      <c r="L91">
        <f>'Monthly Data'!CK91</f>
        <v>1</v>
      </c>
      <c r="M91" s="21">
        <f>'Monthly Data'!DB91</f>
        <v>0</v>
      </c>
      <c r="N91" s="21">
        <f>'Monthly Data'!DG91</f>
        <v>0</v>
      </c>
      <c r="O91">
        <f>'Monthly Data'!CV91</f>
        <v>0</v>
      </c>
      <c r="P91" s="11"/>
      <c r="Q91" s="11">
        <f ca="1">(E91-G91)*'Res Predicted Monthly'!$AB$10</f>
        <v>102445.5678883636</v>
      </c>
      <c r="R91" s="11">
        <f ca="1">(F91-H91)*'Res Predicted Monthly'!$AB$11</f>
        <v>-3407097.2546740747</v>
      </c>
      <c r="S91" s="11"/>
      <c r="T91" s="11"/>
      <c r="U91" s="11"/>
      <c r="V91" s="11"/>
      <c r="W91" s="11"/>
      <c r="X91" s="11"/>
      <c r="Y91" s="18">
        <f t="shared" ca="1" si="11"/>
        <v>108130412.035338</v>
      </c>
    </row>
    <row r="92" spans="1:25" x14ac:dyDescent="0.2">
      <c r="A92" s="8">
        <f>'Monthly Data'!A92</f>
        <v>45474</v>
      </c>
      <c r="B92">
        <f t="shared" si="8"/>
        <v>2024</v>
      </c>
      <c r="C92">
        <f t="shared" si="9"/>
        <v>7</v>
      </c>
      <c r="D92" s="18">
        <f>'Monthly Data'!F92</f>
        <v>130191861.16614237</v>
      </c>
      <c r="E92" s="21">
        <f t="shared" ca="1" si="10"/>
        <v>1.6731249999999993</v>
      </c>
      <c r="F92" s="21">
        <f t="shared" ca="1" si="10"/>
        <v>231.27145833333333</v>
      </c>
      <c r="G92" s="13">
        <f>'Monthly Data'!BF92</f>
        <v>2.591666666666665</v>
      </c>
      <c r="H92" s="13">
        <f>'Monthly Data'!BK92</f>
        <v>221.45416666666657</v>
      </c>
      <c r="I92" s="11">
        <f>'Monthly Data'!G92</f>
        <v>152859</v>
      </c>
      <c r="J92" s="21">
        <f>'Monthly Data'!CC92</f>
        <v>0</v>
      </c>
      <c r="K92" s="11">
        <f>'Monthly Data'!CS92</f>
        <v>31</v>
      </c>
      <c r="L92">
        <f>'Monthly Data'!CK92</f>
        <v>1</v>
      </c>
      <c r="M92" s="21">
        <f>'Monthly Data'!DB92</f>
        <v>0</v>
      </c>
      <c r="N92" s="21">
        <f>'Monthly Data'!DG92</f>
        <v>0</v>
      </c>
      <c r="O92">
        <f>'Monthly Data'!CV92</f>
        <v>0</v>
      </c>
      <c r="P92" s="11"/>
      <c r="Q92" s="11">
        <f ca="1">(E92-G92)*'Res Predicted Monthly'!$AB$10</f>
        <v>-56389.826319574531</v>
      </c>
      <c r="R92" s="11">
        <f ca="1">(F92-H92)*'Res Predicted Monthly'!$AB$11</f>
        <v>2788631.0475563323</v>
      </c>
      <c r="S92" s="11"/>
      <c r="T92" s="11"/>
      <c r="U92" s="11"/>
      <c r="V92" s="11"/>
      <c r="W92" s="11"/>
      <c r="X92" s="11"/>
      <c r="Y92" s="18">
        <f t="shared" ca="1" si="11"/>
        <v>132924102.38737914</v>
      </c>
    </row>
    <row r="93" spans="1:25" x14ac:dyDescent="0.2">
      <c r="A93" s="8">
        <f>'Monthly Data'!A93</f>
        <v>45505</v>
      </c>
      <c r="B93">
        <f t="shared" si="8"/>
        <v>2024</v>
      </c>
      <c r="C93">
        <f t="shared" si="9"/>
        <v>8</v>
      </c>
      <c r="D93" s="18">
        <f>'Monthly Data'!F93</f>
        <v>120170576.65742104</v>
      </c>
      <c r="E93" s="21">
        <f t="shared" ca="1" si="10"/>
        <v>7.1606250000000005</v>
      </c>
      <c r="F93" s="21">
        <f t="shared" ca="1" si="10"/>
        <v>196.13625000000002</v>
      </c>
      <c r="G93" s="13">
        <f>'Monthly Data'!BF93</f>
        <v>14.333333333333332</v>
      </c>
      <c r="H93" s="13">
        <f>'Monthly Data'!BK93</f>
        <v>183.15208333333334</v>
      </c>
      <c r="I93" s="11">
        <f>'Monthly Data'!G93</f>
        <v>152895</v>
      </c>
      <c r="J93" s="21">
        <f>'Monthly Data'!CC93</f>
        <v>0</v>
      </c>
      <c r="K93" s="11">
        <f>'Monthly Data'!CS93</f>
        <v>31</v>
      </c>
      <c r="L93">
        <f>'Monthly Data'!CK93</f>
        <v>1</v>
      </c>
      <c r="M93" s="21">
        <f>'Monthly Data'!DB93</f>
        <v>0</v>
      </c>
      <c r="N93" s="21">
        <f>'Monthly Data'!DG93</f>
        <v>0</v>
      </c>
      <c r="O93">
        <f>'Monthly Data'!CV93</f>
        <v>0</v>
      </c>
      <c r="P93" s="11"/>
      <c r="Q93" s="11">
        <f ca="1">(E93-G93)*'Res Predicted Monthly'!$AB$10</f>
        <v>-440336.88599606103</v>
      </c>
      <c r="R93" s="11">
        <f ca="1">(F93-H93)*'Res Predicted Monthly'!$AB$11</f>
        <v>3688191.3589520906</v>
      </c>
      <c r="S93" s="11"/>
      <c r="T93" s="11"/>
      <c r="U93" s="11"/>
      <c r="V93" s="11"/>
      <c r="W93" s="11"/>
      <c r="X93" s="11"/>
      <c r="Y93" s="18">
        <f t="shared" ca="1" si="11"/>
        <v>123418431.13037707</v>
      </c>
    </row>
    <row r="94" spans="1:25" x14ac:dyDescent="0.2">
      <c r="A94" s="8">
        <f>'Monthly Data'!A94</f>
        <v>45536</v>
      </c>
      <c r="B94">
        <f t="shared" si="8"/>
        <v>2024</v>
      </c>
      <c r="C94">
        <f t="shared" si="9"/>
        <v>9</v>
      </c>
      <c r="D94" s="18">
        <f>'Monthly Data'!F94</f>
        <v>100285392.95244572</v>
      </c>
      <c r="E94" s="21">
        <f t="shared" ref="E94:F113" ca="1" si="12">E82</f>
        <v>56.160416666666663</v>
      </c>
      <c r="F94" s="21">
        <f t="shared" ca="1" si="12"/>
        <v>104.19854166666664</v>
      </c>
      <c r="G94" s="13">
        <f>'Monthly Data'!BF94</f>
        <v>27.772916666666664</v>
      </c>
      <c r="H94" s="13">
        <f>'Monthly Data'!BK94</f>
        <v>120.08541666666667</v>
      </c>
      <c r="I94" s="11">
        <f>'Monthly Data'!G94</f>
        <v>153070</v>
      </c>
      <c r="J94" s="21">
        <f>'Monthly Data'!CC94</f>
        <v>0</v>
      </c>
      <c r="K94" s="11">
        <f>'Monthly Data'!CS94</f>
        <v>30</v>
      </c>
      <c r="L94">
        <f>'Monthly Data'!CK94</f>
        <v>0</v>
      </c>
      <c r="M94" s="21">
        <f>'Monthly Data'!DB94</f>
        <v>0</v>
      </c>
      <c r="N94" s="21">
        <f>'Monthly Data'!DG94</f>
        <v>0</v>
      </c>
      <c r="O94">
        <f>'Monthly Data'!CV94</f>
        <v>0</v>
      </c>
      <c r="P94" s="11"/>
      <c r="Q94" s="11">
        <f ca="1">(E94-G94)*'Res Predicted Monthly'!$AB$10</f>
        <v>1742725.7278986694</v>
      </c>
      <c r="R94" s="11">
        <f ca="1">(F94-H94)*'Res Predicted Monthly'!$AB$11</f>
        <v>-4512714.3389321901</v>
      </c>
      <c r="S94" s="11"/>
      <c r="T94" s="11"/>
      <c r="U94" s="11"/>
      <c r="V94" s="11"/>
      <c r="W94" s="11"/>
      <c r="X94" s="11"/>
      <c r="Y94" s="18">
        <f t="shared" ca="1" si="11"/>
        <v>97515404.341412202</v>
      </c>
    </row>
    <row r="95" spans="1:25" x14ac:dyDescent="0.2">
      <c r="A95" s="8">
        <f>'Monthly Data'!A95</f>
        <v>45566</v>
      </c>
      <c r="B95">
        <f t="shared" si="8"/>
        <v>2024</v>
      </c>
      <c r="C95">
        <f t="shared" si="9"/>
        <v>10</v>
      </c>
      <c r="D95" s="18">
        <f>'Monthly Data'!F95</f>
        <v>83692326.02029407</v>
      </c>
      <c r="E95" s="21">
        <f t="shared" ca="1" si="12"/>
        <v>229.16187499999995</v>
      </c>
      <c r="F95" s="21">
        <f t="shared" ca="1" si="12"/>
        <v>24.703125000000007</v>
      </c>
      <c r="G95" s="13">
        <f>'Monthly Data'!BF95</f>
        <v>215.50416666666672</v>
      </c>
      <c r="H95" s="13">
        <f>'Monthly Data'!BK95</f>
        <v>19.300000000000008</v>
      </c>
      <c r="I95" s="11">
        <f>'Monthly Data'!G95</f>
        <v>153181</v>
      </c>
      <c r="J95" s="21">
        <f>'Monthly Data'!CC95</f>
        <v>0</v>
      </c>
      <c r="K95" s="11">
        <f>'Monthly Data'!CS95</f>
        <v>31</v>
      </c>
      <c r="L95">
        <f>'Monthly Data'!CK95</f>
        <v>0</v>
      </c>
      <c r="M95" s="21">
        <f>'Monthly Data'!DB95</f>
        <v>0</v>
      </c>
      <c r="N95" s="21">
        <f>'Monthly Data'!DG95</f>
        <v>0</v>
      </c>
      <c r="O95">
        <f>'Monthly Data'!CV95</f>
        <v>0</v>
      </c>
      <c r="P95" s="11"/>
      <c r="Q95" s="11">
        <f ca="1">(E95-G95)*'Res Predicted Monthly'!$AB$10</f>
        <v>838454.94307832245</v>
      </c>
      <c r="R95" s="11">
        <f ca="1">(F95-H95)*'Res Predicted Monthly'!$AB$11</f>
        <v>1534773.8093579095</v>
      </c>
      <c r="S95" s="11"/>
      <c r="T95" s="11"/>
      <c r="U95" s="11"/>
      <c r="V95" s="11"/>
      <c r="W95" s="11"/>
      <c r="X95" s="11"/>
      <c r="Y95" s="18">
        <f t="shared" ca="1" si="11"/>
        <v>86065554.772730306</v>
      </c>
    </row>
    <row r="96" spans="1:25" x14ac:dyDescent="0.2">
      <c r="A96" s="8">
        <f>'Monthly Data'!A96</f>
        <v>45597</v>
      </c>
      <c r="B96">
        <f t="shared" si="8"/>
        <v>2024</v>
      </c>
      <c r="C96">
        <f t="shared" si="9"/>
        <v>11</v>
      </c>
      <c r="D96" s="18">
        <f>'Monthly Data'!F96</f>
        <v>88124968.455559433</v>
      </c>
      <c r="E96" s="21">
        <f t="shared" ca="1" si="12"/>
        <v>422.06333333333333</v>
      </c>
      <c r="F96" s="21">
        <f t="shared" ca="1" si="12"/>
        <v>1.6454166666666665</v>
      </c>
      <c r="G96" s="13">
        <f>'Monthly Data'!BF96</f>
        <v>361.28958333333338</v>
      </c>
      <c r="H96" s="13">
        <f>'Monthly Data'!BK96</f>
        <v>7.3583333333333343</v>
      </c>
      <c r="I96" s="11">
        <f>'Monthly Data'!G96</f>
        <v>153239</v>
      </c>
      <c r="J96" s="21">
        <f>'Monthly Data'!CC96</f>
        <v>0</v>
      </c>
      <c r="K96" s="11">
        <f>'Monthly Data'!CS96</f>
        <v>30</v>
      </c>
      <c r="L96">
        <f>'Monthly Data'!CK96</f>
        <v>0</v>
      </c>
      <c r="M96" s="21">
        <f>'Monthly Data'!DB96</f>
        <v>0</v>
      </c>
      <c r="N96" s="21">
        <f>'Monthly Data'!DG96</f>
        <v>0</v>
      </c>
      <c r="O96">
        <f>'Monthly Data'!CV96</f>
        <v>0</v>
      </c>
      <c r="P96" s="11"/>
      <c r="Q96" s="11">
        <f ca="1">(E96-G96)*'Res Predicted Monthly'!$AB$10</f>
        <v>3730937.1274639075</v>
      </c>
      <c r="R96" s="11">
        <f ca="1">(F96-H96)*'Res Predicted Monthly'!$AB$11</f>
        <v>-1622771.0584234667</v>
      </c>
      <c r="S96" s="11"/>
      <c r="T96" s="11"/>
      <c r="U96" s="11"/>
      <c r="V96" s="11"/>
      <c r="W96" s="11"/>
      <c r="X96" s="11"/>
      <c r="Y96" s="18">
        <f t="shared" ca="1" si="11"/>
        <v>90233134.52459988</v>
      </c>
    </row>
    <row r="97" spans="1:28" x14ac:dyDescent="0.2">
      <c r="A97" s="8">
        <f>'Monthly Data'!A97</f>
        <v>45627</v>
      </c>
      <c r="B97">
        <f t="shared" ref="B97:B109" si="13">YEAR(A97)</f>
        <v>2024</v>
      </c>
      <c r="C97">
        <f t="shared" ref="C97:C109" si="14">MONTH(A97)</f>
        <v>12</v>
      </c>
      <c r="D97" s="18">
        <f>'Monthly Data'!F97</f>
        <v>107392341.21479669</v>
      </c>
      <c r="E97" s="21">
        <f t="shared" ca="1" si="12"/>
        <v>591.99583333333339</v>
      </c>
      <c r="F97" s="21">
        <f t="shared" ca="1" si="12"/>
        <v>0</v>
      </c>
      <c r="G97" s="13">
        <f>'Monthly Data'!BF97</f>
        <v>601.23750000000007</v>
      </c>
      <c r="H97" s="13">
        <f>'Monthly Data'!BK97</f>
        <v>0</v>
      </c>
      <c r="I97" s="11">
        <f>'Monthly Data'!G97</f>
        <v>153271</v>
      </c>
      <c r="J97" s="21">
        <f>'Monthly Data'!CC97</f>
        <v>1</v>
      </c>
      <c r="K97" s="11">
        <f>'Monthly Data'!CS97</f>
        <v>31</v>
      </c>
      <c r="L97">
        <f>'Monthly Data'!CK97</f>
        <v>0</v>
      </c>
      <c r="M97" s="21">
        <f>'Monthly Data'!DB97</f>
        <v>0</v>
      </c>
      <c r="N97" s="21">
        <f>'Monthly Data'!DG97</f>
        <v>0</v>
      </c>
      <c r="O97">
        <f>'Monthly Data'!CV97</f>
        <v>0</v>
      </c>
      <c r="P97" s="11"/>
      <c r="Q97" s="11">
        <f ca="1">(E97-G97)*'Res Predicted Monthly'!$AB$10</f>
        <v>-567351.48458524176</v>
      </c>
      <c r="R97" s="11">
        <f ca="1">(F97-H97)*'Res Predicted Monthly'!$AB$11</f>
        <v>0</v>
      </c>
      <c r="S97" s="11"/>
      <c r="T97" s="11"/>
      <c r="U97" s="11"/>
      <c r="V97" s="11"/>
      <c r="W97" s="11"/>
      <c r="X97" s="11"/>
      <c r="Y97" s="18">
        <f t="shared" ref="Y97:Y109" ca="1" si="15">SUM(P97:X97)+D97</f>
        <v>106824989.73021145</v>
      </c>
    </row>
    <row r="98" spans="1:28" x14ac:dyDescent="0.2">
      <c r="A98" s="8">
        <f>'Monthly Data'!A98</f>
        <v>45658</v>
      </c>
      <c r="B98">
        <f t="shared" si="13"/>
        <v>2025</v>
      </c>
      <c r="C98">
        <f t="shared" si="14"/>
        <v>1</v>
      </c>
      <c r="D98" s="18">
        <f>'Monthly Data'!F98</f>
        <v>113660418.88730848</v>
      </c>
      <c r="E98" s="21">
        <f t="shared" ca="1" si="12"/>
        <v>683.09489583333334</v>
      </c>
      <c r="F98" s="21">
        <f t="shared" ca="1" si="12"/>
        <v>0</v>
      </c>
      <c r="G98" s="13">
        <f>'Monthly Data'!BF98</f>
        <v>755.72708333333321</v>
      </c>
      <c r="H98" s="13">
        <f>'Monthly Data'!BK98</f>
        <v>0</v>
      </c>
      <c r="I98" s="11">
        <f>'Monthly Data'!G98</f>
        <v>153385</v>
      </c>
      <c r="J98" s="21">
        <f>'Monthly Data'!CC98</f>
        <v>0</v>
      </c>
      <c r="K98" s="11">
        <f>'Monthly Data'!CS98</f>
        <v>31</v>
      </c>
      <c r="L98">
        <f>'Monthly Data'!CK98</f>
        <v>0</v>
      </c>
      <c r="M98" s="21">
        <f>'Monthly Data'!DB98</f>
        <v>0</v>
      </c>
      <c r="N98" s="21">
        <f>'Monthly Data'!DG98</f>
        <v>0</v>
      </c>
      <c r="O98">
        <f>'Monthly Data'!CV98</f>
        <v>0</v>
      </c>
      <c r="P98" s="11"/>
      <c r="Q98" s="11">
        <f ca="1">(E98-G98)*'Res Predicted Monthly'!$AB$10</f>
        <v>-4458933.7500593541</v>
      </c>
      <c r="R98" s="11">
        <f ca="1">(F98-H98)*'Res Predicted Monthly'!$AB$11</f>
        <v>0</v>
      </c>
      <c r="S98" s="11"/>
      <c r="T98" s="11"/>
      <c r="U98" s="11"/>
      <c r="V98" s="11"/>
      <c r="W98" s="11"/>
      <c r="X98" s="11"/>
      <c r="Y98" s="18">
        <f t="shared" ca="1" si="15"/>
        <v>109201485.13724913</v>
      </c>
    </row>
    <row r="99" spans="1:28" x14ac:dyDescent="0.2">
      <c r="A99" s="8">
        <f>'Monthly Data'!A99</f>
        <v>45689</v>
      </c>
      <c r="B99">
        <f t="shared" si="13"/>
        <v>2025</v>
      </c>
      <c r="C99">
        <f t="shared" si="14"/>
        <v>2</v>
      </c>
      <c r="D99" s="18">
        <f>'Monthly Data'!F99</f>
        <v>99387988.37269628</v>
      </c>
      <c r="E99" s="21">
        <f t="shared" ca="1" si="12"/>
        <v>589.85491666666678</v>
      </c>
      <c r="F99" s="21">
        <f t="shared" ca="1" si="12"/>
        <v>0</v>
      </c>
      <c r="G99" s="13">
        <f>'Monthly Data'!BF99</f>
        <v>659.18750000000011</v>
      </c>
      <c r="H99" s="13">
        <f>'Monthly Data'!BK99</f>
        <v>0</v>
      </c>
      <c r="I99" s="11">
        <f>'Monthly Data'!G99</f>
        <v>153441</v>
      </c>
      <c r="J99" s="21">
        <f>'Monthly Data'!CC99</f>
        <v>0</v>
      </c>
      <c r="K99" s="11">
        <f>'Monthly Data'!CS99</f>
        <v>28</v>
      </c>
      <c r="L99">
        <f>'Monthly Data'!CK99</f>
        <v>0</v>
      </c>
      <c r="M99" s="21">
        <f>'Monthly Data'!DB99</f>
        <v>0</v>
      </c>
      <c r="N99" s="21">
        <f>'Monthly Data'!DG99</f>
        <v>0</v>
      </c>
      <c r="O99">
        <f>'Monthly Data'!CV99</f>
        <v>0</v>
      </c>
      <c r="P99" s="11"/>
      <c r="Q99" s="11">
        <f ca="1">(E99-G99)*'Res Predicted Monthly'!$AB$10</f>
        <v>-4256369.062322448</v>
      </c>
      <c r="R99" s="11">
        <f ca="1">(F99-H99)*'Res Predicted Monthly'!$AB$11</f>
        <v>0</v>
      </c>
      <c r="S99" s="11"/>
      <c r="T99" s="11"/>
      <c r="U99" s="11"/>
      <c r="V99" s="11"/>
      <c r="W99" s="11"/>
      <c r="X99" s="11"/>
      <c r="Y99" s="18">
        <f t="shared" ca="1" si="15"/>
        <v>95131619.310373828</v>
      </c>
    </row>
    <row r="100" spans="1:28" x14ac:dyDescent="0.2">
      <c r="A100" s="8">
        <f>'Monthly Data'!A100</f>
        <v>45717</v>
      </c>
      <c r="B100">
        <f t="shared" si="13"/>
        <v>2025</v>
      </c>
      <c r="C100">
        <f t="shared" si="14"/>
        <v>3</v>
      </c>
      <c r="D100" s="18">
        <f>'Monthly Data'!F100</f>
        <v>96704636.918613061</v>
      </c>
      <c r="E100" s="21">
        <f t="shared" ca="1" si="12"/>
        <v>522.20004166666672</v>
      </c>
      <c r="F100" s="21">
        <f t="shared" ca="1" si="12"/>
        <v>0</v>
      </c>
      <c r="G100" s="13">
        <f>'Monthly Data'!BF100</f>
        <v>474.71041666666667</v>
      </c>
      <c r="H100" s="13">
        <f>'Monthly Data'!BK100</f>
        <v>0</v>
      </c>
      <c r="I100" s="11">
        <f>'Monthly Data'!G100</f>
        <v>153484</v>
      </c>
      <c r="J100" s="21">
        <f>'Monthly Data'!CC100</f>
        <v>0</v>
      </c>
      <c r="K100" s="11">
        <f>'Monthly Data'!CS100</f>
        <v>31</v>
      </c>
      <c r="L100">
        <f>'Monthly Data'!CK100</f>
        <v>0</v>
      </c>
      <c r="M100" s="21">
        <f>'Monthly Data'!DB100</f>
        <v>0</v>
      </c>
      <c r="N100" s="21">
        <f>'Monthly Data'!DG100</f>
        <v>0</v>
      </c>
      <c r="O100">
        <f>'Monthly Data'!CV100</f>
        <v>0</v>
      </c>
      <c r="P100" s="11"/>
      <c r="Q100" s="11">
        <f ca="1">(E100-G100)*'Res Predicted Monthly'!$AB$10</f>
        <v>2915416.690295374</v>
      </c>
      <c r="R100" s="11">
        <f ca="1">(F100-H100)*'Res Predicted Monthly'!$AB$11</f>
        <v>0</v>
      </c>
      <c r="S100" s="11"/>
      <c r="T100" s="11"/>
      <c r="U100" s="11"/>
      <c r="V100" s="11"/>
      <c r="W100" s="11"/>
      <c r="X100" s="11"/>
      <c r="Y100" s="18">
        <f t="shared" ca="1" si="15"/>
        <v>99620053.60890843</v>
      </c>
    </row>
    <row r="101" spans="1:28" x14ac:dyDescent="0.2">
      <c r="A101" s="8">
        <f>'Monthly Data'!A101</f>
        <v>45748</v>
      </c>
      <c r="B101">
        <f t="shared" si="13"/>
        <v>2025</v>
      </c>
      <c r="C101">
        <f t="shared" si="14"/>
        <v>4</v>
      </c>
      <c r="D101" s="18">
        <f>'Monthly Data'!F101</f>
        <v>85992221.873758852</v>
      </c>
      <c r="E101" s="21">
        <f t="shared" ca="1" si="12"/>
        <v>343.18302083333327</v>
      </c>
      <c r="F101" s="21">
        <f t="shared" ca="1" si="12"/>
        <v>6.5650000000000031</v>
      </c>
      <c r="G101" s="13">
        <f>'Monthly Data'!BF101</f>
        <v>320.42500000000018</v>
      </c>
      <c r="H101" s="13">
        <f>'Monthly Data'!BK101</f>
        <v>9.0583333333333371</v>
      </c>
      <c r="I101" s="11">
        <f>'Monthly Data'!G101</f>
        <v>153534</v>
      </c>
      <c r="J101" s="21">
        <f>'Monthly Data'!CC101</f>
        <v>0</v>
      </c>
      <c r="K101" s="11">
        <f>'Monthly Data'!CS101</f>
        <v>30</v>
      </c>
      <c r="L101">
        <f>'Monthly Data'!CK101</f>
        <v>0</v>
      </c>
      <c r="M101" s="21">
        <f>'Monthly Data'!DB101</f>
        <v>0</v>
      </c>
      <c r="N101" s="21">
        <f>'Monthly Data'!DG101</f>
        <v>0</v>
      </c>
      <c r="O101">
        <f>'Monthly Data'!CV101</f>
        <v>0</v>
      </c>
      <c r="P101" s="11"/>
      <c r="Q101" s="11">
        <f ca="1">(E101-G101)*'Res Predicted Monthly'!$AB$10</f>
        <v>1397128.6102088417</v>
      </c>
      <c r="R101" s="11">
        <f ca="1">(F101-H101)*'Res Predicted Monthly'!$AB$11</f>
        <v>-708238.78736824635</v>
      </c>
      <c r="S101" s="11"/>
      <c r="T101" s="11"/>
      <c r="U101" s="11"/>
      <c r="V101" s="11"/>
      <c r="W101" s="11"/>
      <c r="X101" s="11"/>
      <c r="Y101" s="18">
        <f t="shared" ca="1" si="15"/>
        <v>86681111.696599454</v>
      </c>
    </row>
    <row r="102" spans="1:28" x14ac:dyDescent="0.2">
      <c r="A102" s="8">
        <f>'Monthly Data'!A102</f>
        <v>45778</v>
      </c>
      <c r="B102">
        <f t="shared" si="13"/>
        <v>2025</v>
      </c>
      <c r="C102">
        <f t="shared" si="14"/>
        <v>5</v>
      </c>
      <c r="D102" s="18">
        <f>'Monthly Data'!F102</f>
        <v>84993551.117046133</v>
      </c>
      <c r="E102" s="21">
        <f t="shared" ca="1" si="12"/>
        <v>146.15645833333332</v>
      </c>
      <c r="F102" s="21">
        <f t="shared" ca="1" si="12"/>
        <v>59.300416666666649</v>
      </c>
      <c r="G102" s="13">
        <f>'Monthly Data'!BF102</f>
        <v>172.54166666666669</v>
      </c>
      <c r="H102" s="13">
        <f>'Monthly Data'!BK102</f>
        <v>30.504166666666652</v>
      </c>
      <c r="I102" s="11">
        <f>'Monthly Data'!G102</f>
        <v>153566</v>
      </c>
      <c r="J102" s="21">
        <f>'Monthly Data'!CC102</f>
        <v>0</v>
      </c>
      <c r="K102" s="11">
        <f>'Monthly Data'!CS102</f>
        <v>31</v>
      </c>
      <c r="L102">
        <f>'Monthly Data'!CK102</f>
        <v>1</v>
      </c>
      <c r="M102" s="21">
        <f>'Monthly Data'!DB102</f>
        <v>0</v>
      </c>
      <c r="N102" s="21">
        <f>'Monthly Data'!DG102</f>
        <v>0</v>
      </c>
      <c r="O102">
        <f>'Monthly Data'!CV102</f>
        <v>0</v>
      </c>
      <c r="P102" s="11"/>
      <c r="Q102" s="11">
        <f ca="1">(E102-G102)*'Res Predicted Monthly'!$AB$10</f>
        <v>-1619803.8361414857</v>
      </c>
      <c r="R102" s="11">
        <f ca="1">(F102-H102)*'Res Predicted Monthly'!$AB$11</f>
        <v>8179660.901371466</v>
      </c>
      <c r="S102" s="11"/>
      <c r="T102" s="11"/>
      <c r="U102" s="11"/>
      <c r="V102" s="11"/>
      <c r="W102" s="11"/>
      <c r="X102" s="11"/>
      <c r="Y102" s="18">
        <f t="shared" ca="1" si="15"/>
        <v>91553408.182276115</v>
      </c>
    </row>
    <row r="103" spans="1:28" x14ac:dyDescent="0.2">
      <c r="A103" s="8">
        <f>'Monthly Data'!A103</f>
        <v>45809</v>
      </c>
      <c r="B103">
        <f t="shared" si="13"/>
        <v>2025</v>
      </c>
      <c r="C103">
        <f t="shared" si="14"/>
        <v>6</v>
      </c>
      <c r="D103" s="18">
        <f>'Monthly Data'!F103</f>
        <v>115056173.48231643</v>
      </c>
      <c r="E103" s="21">
        <f t="shared" ca="1" si="12"/>
        <v>29.335416666666674</v>
      </c>
      <c r="F103" s="21">
        <f t="shared" ca="1" si="12"/>
        <v>157.17000000000002</v>
      </c>
      <c r="G103" s="13">
        <f>'Monthly Data'!BF103</f>
        <v>17.145833333333339</v>
      </c>
      <c r="H103" s="13">
        <f>'Monthly Data'!BK103</f>
        <v>188.56249999999997</v>
      </c>
      <c r="I103" s="11">
        <f>'Monthly Data'!G103</f>
        <v>153633</v>
      </c>
      <c r="J103" s="21">
        <f>'Monthly Data'!CC103</f>
        <v>0</v>
      </c>
      <c r="K103" s="11">
        <f>'Monthly Data'!CS103</f>
        <v>30</v>
      </c>
      <c r="L103">
        <f>'Monthly Data'!CK103</f>
        <v>1</v>
      </c>
      <c r="M103" s="21">
        <f>'Monthly Data'!DB103</f>
        <v>0</v>
      </c>
      <c r="N103" s="21">
        <f>'Monthly Data'!DG103</f>
        <v>0</v>
      </c>
      <c r="O103">
        <f>'Monthly Data'!CV103</f>
        <v>0</v>
      </c>
      <c r="P103" s="11"/>
      <c r="Q103" s="11">
        <f ca="1">(E103-G103)*'Res Predicted Monthly'!$AB$10</f>
        <v>748325.86481249938</v>
      </c>
      <c r="R103" s="11">
        <f ca="1">(F103-H103)*'Res Predicted Monthly'!$AB$11</f>
        <v>-8917133.4755846132</v>
      </c>
      <c r="S103" s="11"/>
      <c r="T103" s="11"/>
      <c r="U103" s="11"/>
      <c r="V103" s="11"/>
      <c r="W103" s="11"/>
      <c r="X103" s="11"/>
      <c r="Y103" s="18">
        <f t="shared" ca="1" si="15"/>
        <v>106887365.87154432</v>
      </c>
    </row>
    <row r="104" spans="1:28" x14ac:dyDescent="0.2">
      <c r="A104" s="8">
        <f>'Monthly Data'!A104</f>
        <v>45839</v>
      </c>
      <c r="B104">
        <f t="shared" si="13"/>
        <v>2025</v>
      </c>
      <c r="C104">
        <f t="shared" si="14"/>
        <v>7</v>
      </c>
      <c r="D104" s="18">
        <f>'Monthly Data'!F104</f>
        <v>140976675.19585302</v>
      </c>
      <c r="E104" s="21">
        <f t="shared" ca="1" si="12"/>
        <v>1.6731249999999993</v>
      </c>
      <c r="F104" s="21">
        <f t="shared" ca="1" si="12"/>
        <v>231.27145833333333</v>
      </c>
      <c r="G104" s="13">
        <f>'Monthly Data'!BF104</f>
        <v>0.94999999999999574</v>
      </c>
      <c r="H104" s="13">
        <f>'Monthly Data'!BK104</f>
        <v>255.57916666666662</v>
      </c>
      <c r="I104" s="11">
        <f>'Monthly Data'!G104</f>
        <v>153644</v>
      </c>
      <c r="J104" s="21">
        <f>'Monthly Data'!CC104</f>
        <v>0</v>
      </c>
      <c r="K104" s="11">
        <f>'Monthly Data'!CS104</f>
        <v>31</v>
      </c>
      <c r="L104">
        <f>'Monthly Data'!CK104</f>
        <v>1</v>
      </c>
      <c r="M104" s="21">
        <f>'Monthly Data'!DB104</f>
        <v>0</v>
      </c>
      <c r="N104" s="21">
        <f>'Monthly Data'!DG104</f>
        <v>0</v>
      </c>
      <c r="O104">
        <f>'Monthly Data'!CV104</f>
        <v>0</v>
      </c>
      <c r="P104" s="11"/>
      <c r="Q104" s="11">
        <f ca="1">(E104-G104)*'Res Predicted Monthly'!$AB$10</f>
        <v>44393.07941829085</v>
      </c>
      <c r="R104" s="11">
        <f ca="1">(F104-H104)*'Res Predicted Monthly'!$AB$11</f>
        <v>-6904677.2220725873</v>
      </c>
      <c r="S104" s="11"/>
      <c r="T104" s="11"/>
      <c r="U104" s="11"/>
      <c r="V104" s="11"/>
      <c r="W104" s="11"/>
      <c r="X104" s="11"/>
      <c r="Y104" s="18">
        <f t="shared" ca="1" si="15"/>
        <v>134116391.05319872</v>
      </c>
    </row>
    <row r="105" spans="1:28" x14ac:dyDescent="0.2">
      <c r="A105" s="8">
        <f>'Monthly Data'!A105</f>
        <v>45870</v>
      </c>
      <c r="B105">
        <f t="shared" si="13"/>
        <v>2025</v>
      </c>
      <c r="C105">
        <f t="shared" si="14"/>
        <v>8</v>
      </c>
      <c r="D105" s="18">
        <f>'Monthly Data'!F105</f>
        <v>121948218.3047366</v>
      </c>
      <c r="E105" s="21">
        <f t="shared" ca="1" si="12"/>
        <v>7.1606250000000005</v>
      </c>
      <c r="F105" s="21">
        <f t="shared" ca="1" si="12"/>
        <v>196.13625000000002</v>
      </c>
      <c r="G105" s="13">
        <f>'Monthly Data'!BF105</f>
        <v>26.37083333333333</v>
      </c>
      <c r="H105" s="13">
        <f>'Monthly Data'!BK105</f>
        <v>178.91250000000005</v>
      </c>
      <c r="I105" s="11">
        <f>'Monthly Data'!G105</f>
        <v>153658</v>
      </c>
      <c r="J105" s="21">
        <f>'Monthly Data'!CC105</f>
        <v>0</v>
      </c>
      <c r="K105" s="11">
        <f>'Monthly Data'!CS105</f>
        <v>31</v>
      </c>
      <c r="L105">
        <f>'Monthly Data'!CK105</f>
        <v>1</v>
      </c>
      <c r="M105" s="21">
        <f>'Monthly Data'!DB105</f>
        <v>0</v>
      </c>
      <c r="N105" s="21">
        <f>'Monthly Data'!DG105</f>
        <v>0</v>
      </c>
      <c r="O105">
        <f>'Monthly Data'!CV105</f>
        <v>0</v>
      </c>
      <c r="P105" s="11"/>
      <c r="Q105" s="11">
        <f ca="1">(E105-G105)*'Res Predicted Monthly'!$AB$10</f>
        <v>-1179326.2633480728</v>
      </c>
      <c r="R105" s="11">
        <f ca="1">(F105-H105)*'Res Predicted Monthly'!$AB$11</f>
        <v>4892457.679385216</v>
      </c>
      <c r="S105" s="11"/>
      <c r="T105" s="11"/>
      <c r="U105" s="11"/>
      <c r="V105" s="11"/>
      <c r="W105" s="11"/>
      <c r="X105" s="11"/>
      <c r="Y105" s="18">
        <f t="shared" ca="1" si="15"/>
        <v>125661349.72077374</v>
      </c>
    </row>
    <row r="106" spans="1:28" x14ac:dyDescent="0.2">
      <c r="A106" s="8">
        <f>'Monthly Data'!A106</f>
        <v>45901</v>
      </c>
      <c r="B106">
        <f t="shared" si="13"/>
        <v>2025</v>
      </c>
      <c r="C106">
        <f t="shared" si="14"/>
        <v>9</v>
      </c>
      <c r="D106" s="18">
        <f>'Monthly Data'!F106</f>
        <v>95222363.852296785</v>
      </c>
      <c r="E106" s="21">
        <f t="shared" ca="1" si="12"/>
        <v>56.160416666666663</v>
      </c>
      <c r="F106" s="21">
        <f t="shared" ca="1" si="12"/>
        <v>104.19854166666664</v>
      </c>
      <c r="G106" s="13">
        <f>'Monthly Data'!BF106</f>
        <v>32.616666666666667</v>
      </c>
      <c r="H106" s="13">
        <f>'Monthly Data'!BK106</f>
        <v>102.07916666666665</v>
      </c>
      <c r="I106" s="11">
        <f>'Monthly Data'!G106</f>
        <v>153829</v>
      </c>
      <c r="J106" s="21">
        <f>'Monthly Data'!CC106</f>
        <v>0</v>
      </c>
      <c r="K106" s="11">
        <f>'Monthly Data'!CS106</f>
        <v>30</v>
      </c>
      <c r="L106">
        <f>'Monthly Data'!CK106</f>
        <v>0</v>
      </c>
      <c r="M106" s="21">
        <f>'Monthly Data'!DB106</f>
        <v>0</v>
      </c>
      <c r="N106" s="21">
        <f>'Monthly Data'!DG106</f>
        <v>0</v>
      </c>
      <c r="O106">
        <f>'Monthly Data'!CV106</f>
        <v>0</v>
      </c>
      <c r="P106" s="11"/>
      <c r="Q106" s="11">
        <f ca="1">(E106-G106)*'Res Predicted Monthly'!$AB$10</f>
        <v>1445364.9971365668</v>
      </c>
      <c r="R106" s="11">
        <f ca="1">(F106-H106)*'Res Predicted Monthly'!$AB$11</f>
        <v>602014.80480423942</v>
      </c>
      <c r="S106" s="11"/>
      <c r="T106" s="11"/>
      <c r="U106" s="11"/>
      <c r="V106" s="11"/>
      <c r="W106" s="11"/>
      <c r="X106" s="11"/>
      <c r="Y106" s="18">
        <f t="shared" ca="1" si="15"/>
        <v>97269743.654237598</v>
      </c>
    </row>
    <row r="107" spans="1:28" x14ac:dyDescent="0.2">
      <c r="A107" s="8">
        <f>'Monthly Data'!A107</f>
        <v>45931</v>
      </c>
      <c r="B107">
        <f t="shared" si="13"/>
        <v>2025</v>
      </c>
      <c r="C107">
        <f t="shared" si="14"/>
        <v>10</v>
      </c>
      <c r="D107" s="18">
        <f>'Monthly Data'!F107</f>
        <v>87631115.335631788</v>
      </c>
      <c r="E107" s="21">
        <f t="shared" ca="1" si="12"/>
        <v>229.16187499999995</v>
      </c>
      <c r="F107" s="21">
        <f t="shared" ca="1" si="12"/>
        <v>24.703125000000007</v>
      </c>
      <c r="G107" s="13">
        <f>'Monthly Data'!BF107</f>
        <v>218.85416666666663</v>
      </c>
      <c r="H107" s="13">
        <f>'Monthly Data'!BK107</f>
        <v>29.312500000000004</v>
      </c>
      <c r="I107" s="11">
        <f>'Monthly Data'!G107</f>
        <v>153848</v>
      </c>
      <c r="J107" s="21">
        <f>'Monthly Data'!CC107</f>
        <v>0</v>
      </c>
      <c r="K107" s="11">
        <f>'Monthly Data'!CS107</f>
        <v>31</v>
      </c>
      <c r="L107">
        <f>'Monthly Data'!CK107</f>
        <v>0</v>
      </c>
      <c r="M107" s="21">
        <f>'Monthly Data'!DB107</f>
        <v>0</v>
      </c>
      <c r="N107" s="21">
        <f>'Monthly Data'!DG107</f>
        <v>0</v>
      </c>
      <c r="O107">
        <f>'Monthly Data'!CV107</f>
        <v>0</v>
      </c>
      <c r="P107" s="11"/>
      <c r="Q107" s="11">
        <f ca="1">(E107-G107)*'Res Predicted Monthly'!$AB$10</f>
        <v>632796.42477060307</v>
      </c>
      <c r="R107" s="11">
        <f ca="1">(F107-H107)*'Res Predicted Monthly'!$AB$11</f>
        <v>-1309306.7488738664</v>
      </c>
      <c r="S107" s="11"/>
      <c r="T107" s="11"/>
      <c r="U107" s="11"/>
      <c r="V107" s="11"/>
      <c r="W107" s="11"/>
      <c r="X107" s="11"/>
      <c r="Y107" s="18">
        <f t="shared" ca="1" si="15"/>
        <v>86954605.011528522</v>
      </c>
    </row>
    <row r="108" spans="1:28" x14ac:dyDescent="0.2">
      <c r="A108" s="8">
        <f>'Monthly Data'!A108</f>
        <v>45962</v>
      </c>
      <c r="B108">
        <f t="shared" si="13"/>
        <v>2025</v>
      </c>
      <c r="C108">
        <f t="shared" si="14"/>
        <v>11</v>
      </c>
      <c r="D108" s="18">
        <f>'Monthly Data'!F108</f>
        <v>93364815.512638971</v>
      </c>
      <c r="E108" s="21">
        <f t="shared" ca="1" si="12"/>
        <v>422.06333333333333</v>
      </c>
      <c r="F108" s="21">
        <f t="shared" ca="1" si="12"/>
        <v>1.6454166666666665</v>
      </c>
      <c r="G108" s="13">
        <f>'Monthly Data'!BF108</f>
        <v>446.62291666666675</v>
      </c>
      <c r="H108" s="13">
        <f>'Monthly Data'!BK108</f>
        <v>0</v>
      </c>
      <c r="I108" s="11">
        <f>'Monthly Data'!G108</f>
        <v>153992</v>
      </c>
      <c r="J108" s="21">
        <f>'Monthly Data'!CC108</f>
        <v>0</v>
      </c>
      <c r="K108" s="11">
        <f>'Monthly Data'!CS108</f>
        <v>30</v>
      </c>
      <c r="L108">
        <f>'Monthly Data'!CK108</f>
        <v>0</v>
      </c>
      <c r="M108" s="21">
        <f>'Monthly Data'!DB108</f>
        <v>0</v>
      </c>
      <c r="N108" s="21">
        <f>'Monthly Data'!DG108</f>
        <v>0</v>
      </c>
      <c r="O108">
        <f>'Monthly Data'!CV108</f>
        <v>0</v>
      </c>
      <c r="P108" s="11"/>
      <c r="Q108" s="11">
        <f ca="1">(E108-G108)*'Res Predicted Monthly'!$AB$10</f>
        <v>-1507727.617489089</v>
      </c>
      <c r="R108" s="11">
        <f ca="1">(F108-H108)*'Res Predicted Monthly'!$AB$11</f>
        <v>467385.52328161825</v>
      </c>
      <c r="S108" s="11"/>
      <c r="T108" s="11"/>
      <c r="U108" s="11"/>
      <c r="V108" s="11"/>
      <c r="W108" s="11"/>
      <c r="X108" s="11"/>
      <c r="Y108" s="18">
        <f t="shared" ca="1" si="15"/>
        <v>92324473.418431506</v>
      </c>
    </row>
    <row r="109" spans="1:28" x14ac:dyDescent="0.2">
      <c r="A109" s="8">
        <f>'Monthly Data'!A109</f>
        <v>45992</v>
      </c>
      <c r="B109">
        <f t="shared" si="13"/>
        <v>2025</v>
      </c>
      <c r="C109">
        <f t="shared" si="14"/>
        <v>12</v>
      </c>
      <c r="D109" s="18">
        <f>'Monthly Data'!F109</f>
        <v>111581704.96910296</v>
      </c>
      <c r="E109" s="21">
        <f t="shared" ca="1" si="12"/>
        <v>591.99583333333339</v>
      </c>
      <c r="F109" s="21">
        <f t="shared" ca="1" si="12"/>
        <v>0</v>
      </c>
      <c r="G109" s="13">
        <f>'Monthly Data'!BF109</f>
        <v>689.42916666666679</v>
      </c>
      <c r="H109" s="13">
        <f>'Monthly Data'!BK109</f>
        <v>0</v>
      </c>
      <c r="I109" s="11">
        <f>'Monthly Data'!G109</f>
        <v>154071</v>
      </c>
      <c r="J109" s="21">
        <f>'Monthly Data'!CC109</f>
        <v>1</v>
      </c>
      <c r="K109" s="11">
        <f>'Monthly Data'!CS109</f>
        <v>31</v>
      </c>
      <c r="L109">
        <f>'Monthly Data'!CK109</f>
        <v>0</v>
      </c>
      <c r="M109" s="21">
        <f>'Monthly Data'!DB109</f>
        <v>0</v>
      </c>
      <c r="N109" s="21">
        <f>'Monthly Data'!DG109</f>
        <v>0</v>
      </c>
      <c r="O109">
        <f>'Monthly Data'!CV109</f>
        <v>0</v>
      </c>
      <c r="P109" s="11"/>
      <c r="Q109" s="11">
        <f ca="1">(E109-G109)*'Res Predicted Monthly'!$AB$10</f>
        <v>-5981491.0349600045</v>
      </c>
      <c r="R109" s="11">
        <f ca="1">(F109-H109)*'Res Predicted Monthly'!$AB$11</f>
        <v>0</v>
      </c>
      <c r="S109" s="11"/>
      <c r="T109" s="11"/>
      <c r="U109" s="11"/>
      <c r="V109" s="11"/>
      <c r="W109" s="11"/>
      <c r="X109" s="11"/>
      <c r="Y109" s="18">
        <f t="shared" ca="1" si="15"/>
        <v>105600213.93414296</v>
      </c>
      <c r="AA109" s="188"/>
    </row>
    <row r="110" spans="1:28" s="59" customFormat="1" x14ac:dyDescent="0.2">
      <c r="A110" s="506">
        <f t="shared" ref="A110:A133" si="16">EOMONTH(A109,0)+1</f>
        <v>46023</v>
      </c>
      <c r="B110" s="59">
        <f t="shared" si="8"/>
        <v>2026</v>
      </c>
      <c r="C110" s="59">
        <f t="shared" si="9"/>
        <v>1</v>
      </c>
      <c r="D110" s="178"/>
      <c r="E110" s="177">
        <f t="shared" ca="1" si="12"/>
        <v>683.09489583333334</v>
      </c>
      <c r="F110" s="177">
        <f t="shared" ca="1" si="12"/>
        <v>0</v>
      </c>
      <c r="G110" s="509"/>
      <c r="H110" s="509"/>
      <c r="I110" s="188">
        <f>'Customer Count'!C48</f>
        <v>154374.04183624993</v>
      </c>
      <c r="J110" s="177">
        <f t="shared" ref="J110:J133" si="17">J98</f>
        <v>0</v>
      </c>
      <c r="K110" s="188">
        <f t="shared" ref="K110:K133" si="18">K62</f>
        <v>31</v>
      </c>
      <c r="L110" s="177">
        <f t="shared" ref="L110:L133" si="19">L98</f>
        <v>0</v>
      </c>
      <c r="M110" s="177">
        <f>'Monthly Data'!DB110</f>
        <v>0</v>
      </c>
      <c r="N110" s="177">
        <f>'Monthly Data'!DG110</f>
        <v>0</v>
      </c>
      <c r="O110" s="59">
        <f>'Monthly Data'!CV110</f>
        <v>0</v>
      </c>
      <c r="P110" s="188">
        <f>'Res Predicted Monthly'!$AB$9</f>
        <v>-154534728.74811399</v>
      </c>
      <c r="Q110" s="188">
        <f ca="1">E110*'Res Predicted Monthly'!$AB$10</f>
        <v>41935607.20616509</v>
      </c>
      <c r="R110" s="188">
        <f ca="1">F110*'Res Predicted Monthly'!$AB$11</f>
        <v>0</v>
      </c>
      <c r="S110" s="188">
        <f>I110*'Res Predicted Monthly'!$AB$12</f>
        <v>152362256.20994303</v>
      </c>
      <c r="T110" s="188">
        <f>J110*'Res Predicted Monthly'!$AB$13</f>
        <v>0</v>
      </c>
      <c r="U110" s="188">
        <f>K110*'Res Predicted Monthly'!$AB$14</f>
        <v>70054115.695287749</v>
      </c>
      <c r="V110" s="188">
        <f>L110*'Res Predicted Monthly'!$AB$15</f>
        <v>0</v>
      </c>
      <c r="W110" s="188">
        <f>M110*'Res Predicted Monthly'!$AB$16</f>
        <v>0</v>
      </c>
      <c r="X110" s="188">
        <f>N110*'Res Predicted Monthly'!$AB$17</f>
        <v>0</v>
      </c>
      <c r="Y110" s="178">
        <f t="shared" ref="Y110:Y123" ca="1" si="20">SUM(P110:X110)</f>
        <v>109817250.36328188</v>
      </c>
      <c r="AA110" s="188"/>
      <c r="AB110" s="512"/>
    </row>
    <row r="111" spans="1:28" s="59" customFormat="1" x14ac:dyDescent="0.2">
      <c r="A111" s="506">
        <f t="shared" si="16"/>
        <v>46054</v>
      </c>
      <c r="B111" s="59">
        <f t="shared" si="8"/>
        <v>2026</v>
      </c>
      <c r="C111" s="59">
        <f t="shared" si="9"/>
        <v>2</v>
      </c>
      <c r="D111" s="178"/>
      <c r="E111" s="177">
        <f t="shared" ca="1" si="12"/>
        <v>589.85491666666678</v>
      </c>
      <c r="F111" s="177">
        <f t="shared" ca="1" si="12"/>
        <v>0</v>
      </c>
      <c r="G111" s="509"/>
      <c r="H111" s="509"/>
      <c r="I111" s="188">
        <f>'Customer Count'!C49</f>
        <v>154482.14714843917</v>
      </c>
      <c r="J111" s="177">
        <f t="shared" si="17"/>
        <v>0</v>
      </c>
      <c r="K111" s="188">
        <f t="shared" si="18"/>
        <v>28</v>
      </c>
      <c r="L111" s="177">
        <f t="shared" si="19"/>
        <v>0</v>
      </c>
      <c r="M111" s="177">
        <f>'Monthly Data'!DB111</f>
        <v>0</v>
      </c>
      <c r="N111" s="177">
        <f>'Monthly Data'!DG111</f>
        <v>0</v>
      </c>
      <c r="O111" s="59">
        <f>'Monthly Data'!CV111</f>
        <v>0</v>
      </c>
      <c r="P111" s="188">
        <f>'Res Predicted Monthly'!$AB$9</f>
        <v>-154534728.74811399</v>
      </c>
      <c r="Q111" s="188">
        <f ca="1">E111*'Res Predicted Monthly'!$AB$10</f>
        <v>36211548.709908441</v>
      </c>
      <c r="R111" s="188">
        <f ca="1">F111*'Res Predicted Monthly'!$AB$11</f>
        <v>0</v>
      </c>
      <c r="S111" s="188">
        <f>I111*'Res Predicted Monthly'!$AB$12</f>
        <v>152468952.70552939</v>
      </c>
      <c r="T111" s="188">
        <f>J111*'Res Predicted Monthly'!$AB$13</f>
        <v>0</v>
      </c>
      <c r="U111" s="188">
        <f>K111*'Res Predicted Monthly'!$AB$14</f>
        <v>63274685.144130871</v>
      </c>
      <c r="V111" s="188">
        <f>L111*'Res Predicted Monthly'!$AB$15</f>
        <v>0</v>
      </c>
      <c r="W111" s="188">
        <f>M111*'Res Predicted Monthly'!$AB$16</f>
        <v>0</v>
      </c>
      <c r="X111" s="188">
        <f>N111*'Res Predicted Monthly'!$AB$17</f>
        <v>0</v>
      </c>
      <c r="Y111" s="178">
        <f t="shared" ca="1" si="20"/>
        <v>97420457.811454713</v>
      </c>
      <c r="AA111" s="188"/>
      <c r="AB111" s="512"/>
    </row>
    <row r="112" spans="1:28" s="59" customFormat="1" x14ac:dyDescent="0.2">
      <c r="A112" s="506">
        <f t="shared" si="16"/>
        <v>46082</v>
      </c>
      <c r="B112" s="59">
        <f t="shared" si="8"/>
        <v>2026</v>
      </c>
      <c r="C112" s="59">
        <f t="shared" si="9"/>
        <v>3</v>
      </c>
      <c r="D112" s="178"/>
      <c r="E112" s="177">
        <f t="shared" ca="1" si="12"/>
        <v>522.20004166666672</v>
      </c>
      <c r="F112" s="177">
        <f t="shared" ca="1" si="12"/>
        <v>0</v>
      </c>
      <c r="G112" s="509"/>
      <c r="H112" s="509"/>
      <c r="I112" s="188">
        <f>'Customer Count'!C50</f>
        <v>154590.32816479719</v>
      </c>
      <c r="J112" s="177">
        <f t="shared" si="17"/>
        <v>0</v>
      </c>
      <c r="K112" s="188">
        <f t="shared" si="18"/>
        <v>31</v>
      </c>
      <c r="L112" s="177">
        <f t="shared" si="19"/>
        <v>0</v>
      </c>
      <c r="M112" s="177">
        <f>'Monthly Data'!DB112</f>
        <v>0</v>
      </c>
      <c r="N112" s="177">
        <f>'Monthly Data'!DG112</f>
        <v>0</v>
      </c>
      <c r="O112" s="59">
        <f>'Monthly Data'!CV112</f>
        <v>0</v>
      </c>
      <c r="P112" s="188">
        <f>'Res Predicted Monthly'!$AB$9</f>
        <v>-154534728.74811399</v>
      </c>
      <c r="Q112" s="188">
        <f ca="1">E112*'Res Predicted Monthly'!$AB$10</f>
        <v>32058175.172954902</v>
      </c>
      <c r="R112" s="188">
        <f ca="1">F112*'Res Predicted Monthly'!$AB$11</f>
        <v>0</v>
      </c>
      <c r="S112" s="188">
        <f>I112*'Res Predicted Monthly'!$AB$12</f>
        <v>152575723.91871613</v>
      </c>
      <c r="T112" s="188">
        <f>J112*'Res Predicted Monthly'!$AB$13</f>
        <v>0</v>
      </c>
      <c r="U112" s="188">
        <f>K112*'Res Predicted Monthly'!$AB$14</f>
        <v>70054115.695287749</v>
      </c>
      <c r="V112" s="188">
        <f>L112*'Res Predicted Monthly'!$AB$15</f>
        <v>0</v>
      </c>
      <c r="W112" s="188">
        <f>M112*'Res Predicted Monthly'!$AB$16</f>
        <v>0</v>
      </c>
      <c r="X112" s="188">
        <f>N112*'Res Predicted Monthly'!$AB$17</f>
        <v>0</v>
      </c>
      <c r="Y112" s="178">
        <f t="shared" ca="1" si="20"/>
        <v>100153286.03884479</v>
      </c>
      <c r="AA112" s="188"/>
      <c r="AB112" s="512"/>
    </row>
    <row r="113" spans="1:28" s="59" customFormat="1" x14ac:dyDescent="0.2">
      <c r="A113" s="506">
        <f t="shared" si="16"/>
        <v>46113</v>
      </c>
      <c r="B113" s="59">
        <f t="shared" si="8"/>
        <v>2026</v>
      </c>
      <c r="C113" s="59">
        <f t="shared" si="9"/>
        <v>4</v>
      </c>
      <c r="D113" s="178"/>
      <c r="E113" s="177">
        <f t="shared" ca="1" si="12"/>
        <v>343.18302083333327</v>
      </c>
      <c r="F113" s="177">
        <f t="shared" ca="1" si="12"/>
        <v>6.5650000000000031</v>
      </c>
      <c r="G113" s="509"/>
      <c r="H113" s="509"/>
      <c r="I113" s="188">
        <f>'Customer Count'!C51</f>
        <v>154698.58493833829</v>
      </c>
      <c r="J113" s="177">
        <f t="shared" si="17"/>
        <v>0</v>
      </c>
      <c r="K113" s="188">
        <f t="shared" si="18"/>
        <v>30</v>
      </c>
      <c r="L113" s="177">
        <f t="shared" si="19"/>
        <v>0</v>
      </c>
      <c r="M113" s="177">
        <f>'Monthly Data'!DB113</f>
        <v>0</v>
      </c>
      <c r="N113" s="177">
        <f>'Monthly Data'!DG113</f>
        <v>0</v>
      </c>
      <c r="O113" s="59">
        <f>'Monthly Data'!CV113</f>
        <v>0</v>
      </c>
      <c r="P113" s="188">
        <f>'Res Predicted Monthly'!$AB$9</f>
        <v>-154534728.74811399</v>
      </c>
      <c r="Q113" s="188">
        <f ca="1">E113*'Res Predicted Monthly'!$AB$10</f>
        <v>21068212.409836546</v>
      </c>
      <c r="R113" s="188">
        <f ca="1">F113*'Res Predicted Monthly'!$AB$11</f>
        <v>1864807.876633371</v>
      </c>
      <c r="S113" s="188">
        <f>I113*'Res Predicted Monthly'!$AB$12</f>
        <v>152682569.90182659</v>
      </c>
      <c r="T113" s="188">
        <f>J113*'Res Predicted Monthly'!$AB$13</f>
        <v>0</v>
      </c>
      <c r="U113" s="188">
        <f>K113*'Res Predicted Monthly'!$AB$14</f>
        <v>67794305.5115688</v>
      </c>
      <c r="V113" s="188">
        <f>L113*'Res Predicted Monthly'!$AB$15</f>
        <v>0</v>
      </c>
      <c r="W113" s="188">
        <f>M113*'Res Predicted Monthly'!$AB$16</f>
        <v>0</v>
      </c>
      <c r="X113" s="188">
        <f>N113*'Res Predicted Monthly'!$AB$17</f>
        <v>0</v>
      </c>
      <c r="Y113" s="178">
        <f t="shared" ca="1" si="20"/>
        <v>88875166.951751322</v>
      </c>
      <c r="AA113" s="188"/>
      <c r="AB113" s="512"/>
    </row>
    <row r="114" spans="1:28" s="59" customFormat="1" x14ac:dyDescent="0.2">
      <c r="A114" s="506">
        <f t="shared" si="16"/>
        <v>46143</v>
      </c>
      <c r="B114" s="59">
        <f t="shared" si="8"/>
        <v>2026</v>
      </c>
      <c r="C114" s="59">
        <f t="shared" si="9"/>
        <v>5</v>
      </c>
      <c r="D114" s="178"/>
      <c r="E114" s="177">
        <f t="shared" ref="E114:F126" ca="1" si="21">E102</f>
        <v>146.15645833333332</v>
      </c>
      <c r="F114" s="177">
        <f t="shared" ca="1" si="21"/>
        <v>59.300416666666649</v>
      </c>
      <c r="G114" s="509"/>
      <c r="H114" s="509"/>
      <c r="I114" s="188">
        <f>'Customer Count'!C52</f>
        <v>154806.9175221138</v>
      </c>
      <c r="J114" s="177">
        <f t="shared" si="17"/>
        <v>0</v>
      </c>
      <c r="K114" s="188">
        <f t="shared" si="18"/>
        <v>31</v>
      </c>
      <c r="L114" s="177">
        <f t="shared" si="19"/>
        <v>1</v>
      </c>
      <c r="M114" s="177">
        <f>'Monthly Data'!DB114</f>
        <v>0</v>
      </c>
      <c r="N114" s="177">
        <f>'Monthly Data'!DG114</f>
        <v>0</v>
      </c>
      <c r="O114" s="59">
        <f>'Monthly Data'!CV114</f>
        <v>0</v>
      </c>
      <c r="P114" s="188">
        <f>'Res Predicted Monthly'!$AB$9</f>
        <v>-154534728.74811399</v>
      </c>
      <c r="Q114" s="188">
        <f ca="1">E114*'Res Predicted Monthly'!$AB$10</f>
        <v>8972633.033414349</v>
      </c>
      <c r="R114" s="188">
        <f ca="1">F114*'Res Predicted Monthly'!$AB$11</f>
        <v>16844460.637873683</v>
      </c>
      <c r="S114" s="188">
        <f>I114*'Res Predicted Monthly'!$AB$12</f>
        <v>152789490.70722079</v>
      </c>
      <c r="T114" s="188">
        <f>J114*'Res Predicted Monthly'!$AB$13</f>
        <v>0</v>
      </c>
      <c r="U114" s="188">
        <f>K114*'Res Predicted Monthly'!$AB$14</f>
        <v>70054115.695287749</v>
      </c>
      <c r="V114" s="188">
        <f>L114*'Res Predicted Monthly'!$AB$15</f>
        <v>-2784507.8509929599</v>
      </c>
      <c r="W114" s="188">
        <f>M114*'Res Predicted Monthly'!$AB$16</f>
        <v>0</v>
      </c>
      <c r="X114" s="188">
        <f>N114*'Res Predicted Monthly'!$AB$17</f>
        <v>0</v>
      </c>
      <c r="Y114" s="178">
        <f t="shared" ca="1" si="20"/>
        <v>91341463.474689633</v>
      </c>
      <c r="AA114" s="188"/>
      <c r="AB114" s="512"/>
    </row>
    <row r="115" spans="1:28" s="59" customFormat="1" x14ac:dyDescent="0.2">
      <c r="A115" s="506">
        <f t="shared" si="16"/>
        <v>46174</v>
      </c>
      <c r="B115" s="59">
        <f t="shared" si="8"/>
        <v>2026</v>
      </c>
      <c r="C115" s="59">
        <f t="shared" si="9"/>
        <v>6</v>
      </c>
      <c r="D115" s="178"/>
      <c r="E115" s="177">
        <f t="shared" ca="1" si="21"/>
        <v>29.335416666666674</v>
      </c>
      <c r="F115" s="177">
        <f t="shared" ca="1" si="21"/>
        <v>157.17000000000002</v>
      </c>
      <c r="G115" s="509"/>
      <c r="H115" s="509"/>
      <c r="I115" s="188">
        <f>'Customer Count'!C53</f>
        <v>154915.32596921225</v>
      </c>
      <c r="J115" s="177">
        <f t="shared" si="17"/>
        <v>0</v>
      </c>
      <c r="K115" s="188">
        <f t="shared" si="18"/>
        <v>30</v>
      </c>
      <c r="L115" s="177">
        <f t="shared" si="19"/>
        <v>1</v>
      </c>
      <c r="M115" s="177">
        <f>'Monthly Data'!DB115</f>
        <v>0</v>
      </c>
      <c r="N115" s="177">
        <f>'Monthly Data'!DG115</f>
        <v>0</v>
      </c>
      <c r="O115" s="59">
        <f>'Monthly Data'!CV115</f>
        <v>0</v>
      </c>
      <c r="P115" s="188">
        <f>'Res Predicted Monthly'!$AB$9</f>
        <v>-154534728.74811399</v>
      </c>
      <c r="Q115" s="188">
        <f ca="1">E115*'Res Predicted Monthly'!$AB$10</f>
        <v>1800918.903166092</v>
      </c>
      <c r="R115" s="188">
        <f ca="1">F115*'Res Predicted Monthly'!$AB$11</f>
        <v>44644608.373262271</v>
      </c>
      <c r="S115" s="188">
        <f>I115*'Res Predicted Monthly'!$AB$12</f>
        <v>152896486.3872954</v>
      </c>
      <c r="T115" s="188">
        <f>J115*'Res Predicted Monthly'!$AB$13</f>
        <v>0</v>
      </c>
      <c r="U115" s="188">
        <f>K115*'Res Predicted Monthly'!$AB$14</f>
        <v>67794305.5115688</v>
      </c>
      <c r="V115" s="188">
        <f>L115*'Res Predicted Monthly'!$AB$15</f>
        <v>-2784507.8509929599</v>
      </c>
      <c r="W115" s="188">
        <f>M115*'Res Predicted Monthly'!$AB$16</f>
        <v>0</v>
      </c>
      <c r="X115" s="188">
        <f>N115*'Res Predicted Monthly'!$AB$17</f>
        <v>0</v>
      </c>
      <c r="Y115" s="178">
        <f t="shared" ca="1" si="20"/>
        <v>109817082.5761856</v>
      </c>
      <c r="AA115" s="188"/>
      <c r="AB115" s="512"/>
    </row>
    <row r="116" spans="1:28" s="59" customFormat="1" x14ac:dyDescent="0.2">
      <c r="A116" s="506">
        <f t="shared" si="16"/>
        <v>46204</v>
      </c>
      <c r="B116" s="59">
        <f t="shared" ref="B116:B133" si="22">YEAR(A116)</f>
        <v>2026</v>
      </c>
      <c r="C116" s="59">
        <f t="shared" ref="C116:C133" si="23">MONTH(A116)</f>
        <v>7</v>
      </c>
      <c r="D116" s="178"/>
      <c r="E116" s="177">
        <f t="shared" ca="1" si="21"/>
        <v>1.6731249999999993</v>
      </c>
      <c r="F116" s="177">
        <f t="shared" ca="1" si="21"/>
        <v>231.27145833333333</v>
      </c>
      <c r="G116" s="509"/>
      <c r="H116" s="509"/>
      <c r="I116" s="188">
        <f>'Customer Count'!C54</f>
        <v>155023.81033275934</v>
      </c>
      <c r="J116" s="177">
        <f t="shared" si="17"/>
        <v>0</v>
      </c>
      <c r="K116" s="188">
        <f t="shared" si="18"/>
        <v>31</v>
      </c>
      <c r="L116" s="177">
        <f t="shared" si="19"/>
        <v>1</v>
      </c>
      <c r="M116" s="177">
        <f>'Monthly Data'!DB116</f>
        <v>0</v>
      </c>
      <c r="N116" s="177">
        <f>'Monthly Data'!DG116</f>
        <v>0</v>
      </c>
      <c r="O116" s="59">
        <f>'Monthly Data'!CV116</f>
        <v>0</v>
      </c>
      <c r="P116" s="188">
        <f>'Res Predicted Monthly'!$AB$9</f>
        <v>-154534728.74811399</v>
      </c>
      <c r="Q116" s="188">
        <f ca="1">E116*'Res Predicted Monthly'!$AB$10</f>
        <v>102714.15177421259</v>
      </c>
      <c r="R116" s="188">
        <f ca="1">F116*'Res Predicted Monthly'!$AB$11</f>
        <v>65693349.145542458</v>
      </c>
      <c r="S116" s="188">
        <f>I116*'Res Predicted Monthly'!$AB$12</f>
        <v>153003556.9944838</v>
      </c>
      <c r="T116" s="188">
        <f>J116*'Res Predicted Monthly'!$AB$13</f>
        <v>0</v>
      </c>
      <c r="U116" s="188">
        <f>K116*'Res Predicted Monthly'!$AB$14</f>
        <v>70054115.695287749</v>
      </c>
      <c r="V116" s="188">
        <f>L116*'Res Predicted Monthly'!$AB$15</f>
        <v>-2784507.8509929599</v>
      </c>
      <c r="W116" s="188">
        <f>M116*'Res Predicted Monthly'!$AB$16</f>
        <v>0</v>
      </c>
      <c r="X116" s="188">
        <f>N116*'Res Predicted Monthly'!$AB$17</f>
        <v>0</v>
      </c>
      <c r="Y116" s="178">
        <f t="shared" ca="1" si="20"/>
        <v>131534499.38798125</v>
      </c>
      <c r="AA116" s="188"/>
      <c r="AB116" s="512"/>
    </row>
    <row r="117" spans="1:28" s="59" customFormat="1" x14ac:dyDescent="0.2">
      <c r="A117" s="506">
        <f t="shared" si="16"/>
        <v>46235</v>
      </c>
      <c r="B117" s="59">
        <f t="shared" si="22"/>
        <v>2026</v>
      </c>
      <c r="C117" s="59">
        <f t="shared" si="23"/>
        <v>8</v>
      </c>
      <c r="D117" s="178"/>
      <c r="E117" s="177">
        <f t="shared" ca="1" si="21"/>
        <v>7.1606250000000005</v>
      </c>
      <c r="F117" s="177">
        <f t="shared" ca="1" si="21"/>
        <v>196.13625000000002</v>
      </c>
      <c r="G117" s="509"/>
      <c r="H117" s="509"/>
      <c r="I117" s="188">
        <f>'Customer Count'!C55</f>
        <v>155132.37066591796</v>
      </c>
      <c r="J117" s="177">
        <f t="shared" si="17"/>
        <v>0</v>
      </c>
      <c r="K117" s="188">
        <f t="shared" si="18"/>
        <v>31</v>
      </c>
      <c r="L117" s="177">
        <f t="shared" si="19"/>
        <v>1</v>
      </c>
      <c r="M117" s="177">
        <f>'Monthly Data'!DB117</f>
        <v>0</v>
      </c>
      <c r="N117" s="177">
        <f>'Monthly Data'!DG117</f>
        <v>0</v>
      </c>
      <c r="O117" s="59">
        <f>'Monthly Data'!CV117</f>
        <v>0</v>
      </c>
      <c r="P117" s="188">
        <f>'Res Predicted Monthly'!$AB$9</f>
        <v>-154534728.74811399</v>
      </c>
      <c r="Q117" s="188">
        <f ca="1">E117*'Res Predicted Monthly'!$AB$10</f>
        <v>439595.08288276213</v>
      </c>
      <c r="R117" s="188">
        <f ca="1">F117*'Res Predicted Monthly'!$AB$11</f>
        <v>55713088.178725339</v>
      </c>
      <c r="S117" s="188">
        <f>I117*'Res Predicted Monthly'!$AB$12</f>
        <v>153110702.58125606</v>
      </c>
      <c r="T117" s="188">
        <f>J117*'Res Predicted Monthly'!$AB$13</f>
        <v>0</v>
      </c>
      <c r="U117" s="188">
        <f>K117*'Res Predicted Monthly'!$AB$14</f>
        <v>70054115.695287749</v>
      </c>
      <c r="V117" s="188">
        <f>L117*'Res Predicted Monthly'!$AB$15</f>
        <v>-2784507.8509929599</v>
      </c>
      <c r="W117" s="188">
        <f>M117*'Res Predicted Monthly'!$AB$16</f>
        <v>0</v>
      </c>
      <c r="X117" s="188">
        <f>N117*'Res Predicted Monthly'!$AB$17</f>
        <v>0</v>
      </c>
      <c r="Y117" s="178">
        <f t="shared" ca="1" si="20"/>
        <v>121998264.93904495</v>
      </c>
      <c r="AA117" s="188"/>
      <c r="AB117" s="512"/>
    </row>
    <row r="118" spans="1:28" s="59" customFormat="1" x14ac:dyDescent="0.2">
      <c r="A118" s="506">
        <f t="shared" si="16"/>
        <v>46266</v>
      </c>
      <c r="B118" s="59">
        <f t="shared" si="22"/>
        <v>2026</v>
      </c>
      <c r="C118" s="59">
        <f t="shared" si="23"/>
        <v>9</v>
      </c>
      <c r="D118" s="178"/>
      <c r="E118" s="177">
        <f t="shared" ca="1" si="21"/>
        <v>56.160416666666663</v>
      </c>
      <c r="F118" s="177">
        <f t="shared" ca="1" si="21"/>
        <v>104.19854166666664</v>
      </c>
      <c r="G118" s="509"/>
      <c r="H118" s="509"/>
      <c r="I118" s="188">
        <f>'Customer Count'!C56</f>
        <v>155241.00702188825</v>
      </c>
      <c r="J118" s="177">
        <f t="shared" si="17"/>
        <v>0</v>
      </c>
      <c r="K118" s="188">
        <f t="shared" si="18"/>
        <v>30</v>
      </c>
      <c r="L118" s="177">
        <f t="shared" si="19"/>
        <v>0</v>
      </c>
      <c r="M118" s="177">
        <f>'Monthly Data'!DB118</f>
        <v>0</v>
      </c>
      <c r="N118" s="177">
        <f>'Monthly Data'!DG118</f>
        <v>0</v>
      </c>
      <c r="O118" s="59">
        <f>'Monthly Data'!CV118</f>
        <v>0</v>
      </c>
      <c r="P118" s="188">
        <f>'Res Predicted Monthly'!$AB$9</f>
        <v>-154534728.74811399</v>
      </c>
      <c r="Q118" s="188">
        <f ca="1">E118*'Res Predicted Monthly'!$AB$10</f>
        <v>3447721.8146898891</v>
      </c>
      <c r="R118" s="188">
        <f ca="1">F118*'Res Predicted Monthly'!$AB$11</f>
        <v>29597907.270938363</v>
      </c>
      <c r="S118" s="188">
        <f>I118*'Res Predicted Monthly'!$AB$12</f>
        <v>153217923.20011902</v>
      </c>
      <c r="T118" s="188">
        <f>J118*'Res Predicted Monthly'!$AB$13</f>
        <v>0</v>
      </c>
      <c r="U118" s="188">
        <f>K118*'Res Predicted Monthly'!$AB$14</f>
        <v>67794305.5115688</v>
      </c>
      <c r="V118" s="188">
        <f>L118*'Res Predicted Monthly'!$AB$15</f>
        <v>0</v>
      </c>
      <c r="W118" s="188">
        <f>M118*'Res Predicted Monthly'!$AB$16</f>
        <v>0</v>
      </c>
      <c r="X118" s="188">
        <f>N118*'Res Predicted Monthly'!$AB$17</f>
        <v>0</v>
      </c>
      <c r="Y118" s="178">
        <f t="shared" ca="1" si="20"/>
        <v>99523129.04920207</v>
      </c>
      <c r="AA118" s="188"/>
      <c r="AB118" s="512"/>
    </row>
    <row r="119" spans="1:28" s="59" customFormat="1" x14ac:dyDescent="0.2">
      <c r="A119" s="506">
        <f t="shared" si="16"/>
        <v>46296</v>
      </c>
      <c r="B119" s="59">
        <f t="shared" si="22"/>
        <v>2026</v>
      </c>
      <c r="C119" s="59">
        <f t="shared" si="23"/>
        <v>10</v>
      </c>
      <c r="D119" s="178"/>
      <c r="E119" s="177">
        <f t="shared" ca="1" si="21"/>
        <v>229.16187499999995</v>
      </c>
      <c r="F119" s="177">
        <f t="shared" ca="1" si="21"/>
        <v>24.703125000000007</v>
      </c>
      <c r="G119" s="509"/>
      <c r="H119" s="509"/>
      <c r="I119" s="188">
        <f>'Customer Count'!C57</f>
        <v>155349.71945390757</v>
      </c>
      <c r="J119" s="177">
        <f t="shared" si="17"/>
        <v>0</v>
      </c>
      <c r="K119" s="188">
        <f t="shared" si="18"/>
        <v>31</v>
      </c>
      <c r="L119" s="177">
        <f t="shared" si="19"/>
        <v>0</v>
      </c>
      <c r="M119" s="177">
        <f>'Monthly Data'!DB119</f>
        <v>0</v>
      </c>
      <c r="N119" s="177">
        <f>'Monthly Data'!DG119</f>
        <v>0</v>
      </c>
      <c r="O119" s="59">
        <f>'Monthly Data'!CV119</f>
        <v>0</v>
      </c>
      <c r="P119" s="188">
        <f>'Res Predicted Monthly'!$AB$9</f>
        <v>-154534728.74811399</v>
      </c>
      <c r="Q119" s="188">
        <f ca="1">E119*'Res Predicted Monthly'!$AB$10</f>
        <v>14068385.571677633</v>
      </c>
      <c r="R119" s="188">
        <f ca="1">F119*'Res Predicted Monthly'!$AB$11</f>
        <v>7016996.5083714752</v>
      </c>
      <c r="S119" s="188">
        <f>I119*'Res Predicted Monthly'!$AB$12</f>
        <v>153325218.90361628</v>
      </c>
      <c r="T119" s="188">
        <f>J119*'Res Predicted Monthly'!$AB$13</f>
        <v>0</v>
      </c>
      <c r="U119" s="188">
        <f>K119*'Res Predicted Monthly'!$AB$14</f>
        <v>70054115.695287749</v>
      </c>
      <c r="V119" s="188">
        <f>L119*'Res Predicted Monthly'!$AB$15</f>
        <v>0</v>
      </c>
      <c r="W119" s="188">
        <f>M119*'Res Predicted Monthly'!$AB$16</f>
        <v>0</v>
      </c>
      <c r="X119" s="188">
        <f>N119*'Res Predicted Monthly'!$AB$17</f>
        <v>0</v>
      </c>
      <c r="Y119" s="178">
        <f t="shared" ca="1" si="20"/>
        <v>89929987.930839136</v>
      </c>
      <c r="AA119" s="188"/>
      <c r="AB119" s="512"/>
    </row>
    <row r="120" spans="1:28" s="59" customFormat="1" x14ac:dyDescent="0.2">
      <c r="A120" s="506">
        <f t="shared" si="16"/>
        <v>46327</v>
      </c>
      <c r="B120" s="59">
        <f t="shared" si="22"/>
        <v>2026</v>
      </c>
      <c r="C120" s="59">
        <f t="shared" si="23"/>
        <v>11</v>
      </c>
      <c r="D120" s="178"/>
      <c r="E120" s="177">
        <f t="shared" ca="1" si="21"/>
        <v>422.06333333333333</v>
      </c>
      <c r="F120" s="177">
        <f t="shared" ca="1" si="21"/>
        <v>1.6454166666666665</v>
      </c>
      <c r="G120" s="509"/>
      <c r="H120" s="509"/>
      <c r="I120" s="188">
        <f>'Customer Count'!C58</f>
        <v>155458.50801525058</v>
      </c>
      <c r="J120" s="177">
        <f t="shared" si="17"/>
        <v>0</v>
      </c>
      <c r="K120" s="188">
        <f t="shared" si="18"/>
        <v>30</v>
      </c>
      <c r="L120" s="177">
        <f t="shared" si="19"/>
        <v>0</v>
      </c>
      <c r="M120" s="177">
        <f>'Monthly Data'!DB120</f>
        <v>0</v>
      </c>
      <c r="N120" s="177">
        <f>'Monthly Data'!DG120</f>
        <v>0</v>
      </c>
      <c r="O120" s="59">
        <f>'Monthly Data'!CV120</f>
        <v>0</v>
      </c>
      <c r="P120" s="188">
        <f>'Res Predicted Monthly'!$AB$9</f>
        <v>-154534728.74811399</v>
      </c>
      <c r="Q120" s="188">
        <f ca="1">E120*'Res Predicted Monthly'!$AB$10</f>
        <v>25910722.318015747</v>
      </c>
      <c r="R120" s="188">
        <f ca="1">F120*'Res Predicted Monthly'!$AB$11</f>
        <v>467385.52328161825</v>
      </c>
      <c r="S120" s="188">
        <f>I120*'Res Predicted Monthly'!$AB$12</f>
        <v>153432589.7443282</v>
      </c>
      <c r="T120" s="188">
        <f>J120*'Res Predicted Monthly'!$AB$13</f>
        <v>0</v>
      </c>
      <c r="U120" s="188">
        <f>K120*'Res Predicted Monthly'!$AB$14</f>
        <v>67794305.5115688</v>
      </c>
      <c r="V120" s="188">
        <f>L120*'Res Predicted Monthly'!$AB$15</f>
        <v>0</v>
      </c>
      <c r="W120" s="188">
        <f>M120*'Res Predicted Monthly'!$AB$16</f>
        <v>0</v>
      </c>
      <c r="X120" s="188">
        <f>N120*'Res Predicted Monthly'!$AB$17</f>
        <v>0</v>
      </c>
      <c r="Y120" s="178">
        <f t="shared" ca="1" si="20"/>
        <v>93070274.349080384</v>
      </c>
      <c r="AA120" s="188"/>
      <c r="AB120" s="512"/>
    </row>
    <row r="121" spans="1:28" s="59" customFormat="1" x14ac:dyDescent="0.2">
      <c r="A121" s="506">
        <f t="shared" si="16"/>
        <v>46357</v>
      </c>
      <c r="B121" s="59">
        <f t="shared" si="22"/>
        <v>2026</v>
      </c>
      <c r="C121" s="59">
        <f t="shared" si="23"/>
        <v>12</v>
      </c>
      <c r="D121" s="178"/>
      <c r="E121" s="177">
        <f t="shared" ca="1" si="21"/>
        <v>591.99583333333339</v>
      </c>
      <c r="F121" s="177">
        <f t="shared" ca="1" si="21"/>
        <v>0</v>
      </c>
      <c r="G121" s="509"/>
      <c r="H121" s="509"/>
      <c r="I121" s="188">
        <f>'Customer Count'!C59</f>
        <v>155567.37275922927</v>
      </c>
      <c r="J121" s="177">
        <f t="shared" si="17"/>
        <v>1</v>
      </c>
      <c r="K121" s="188">
        <f t="shared" si="18"/>
        <v>31</v>
      </c>
      <c r="L121" s="177">
        <f t="shared" si="19"/>
        <v>0</v>
      </c>
      <c r="M121" s="177">
        <f>'Monthly Data'!DB121</f>
        <v>0</v>
      </c>
      <c r="N121" s="177">
        <f>'Monthly Data'!DG121</f>
        <v>0</v>
      </c>
      <c r="O121" s="59">
        <f>'Monthly Data'!CV121</f>
        <v>0</v>
      </c>
      <c r="P121" s="188">
        <f>'Res Predicted Monthly'!$AB$9</f>
        <v>-154534728.74811399</v>
      </c>
      <c r="Q121" s="188">
        <f ca="1">E121*'Res Predicted Monthly'!$AB$10</f>
        <v>36342980.873934403</v>
      </c>
      <c r="R121" s="188">
        <f ca="1">F121*'Res Predicted Monthly'!$AB$11</f>
        <v>0</v>
      </c>
      <c r="S121" s="188">
        <f>I121*'Res Predicted Monthly'!$AB$12</f>
        <v>153540035.774872</v>
      </c>
      <c r="T121" s="188">
        <f>J121*'Res Predicted Monthly'!$AB$13</f>
        <v>3702152.17603915</v>
      </c>
      <c r="U121" s="188">
        <f>K121*'Res Predicted Monthly'!$AB$14</f>
        <v>70054115.695287749</v>
      </c>
      <c r="V121" s="188">
        <f>L121*'Res Predicted Monthly'!$AB$15</f>
        <v>0</v>
      </c>
      <c r="W121" s="188">
        <f>M121*'Res Predicted Monthly'!$AB$16</f>
        <v>0</v>
      </c>
      <c r="X121" s="188">
        <f>N121*'Res Predicted Monthly'!$AB$17</f>
        <v>0</v>
      </c>
      <c r="Y121" s="178">
        <f t="shared" ca="1" si="20"/>
        <v>109104555.77201933</v>
      </c>
      <c r="AA121" s="188"/>
      <c r="AB121" s="512"/>
    </row>
    <row r="122" spans="1:28" s="59" customFormat="1" x14ac:dyDescent="0.2">
      <c r="A122" s="506">
        <f t="shared" si="16"/>
        <v>46388</v>
      </c>
      <c r="B122" s="59">
        <f>YEAR(A122)</f>
        <v>2027</v>
      </c>
      <c r="C122" s="59">
        <f>MONTH(A122)</f>
        <v>1</v>
      </c>
      <c r="D122" s="178"/>
      <c r="E122" s="177">
        <f t="shared" ca="1" si="21"/>
        <v>683.09489583333334</v>
      </c>
      <c r="F122" s="177">
        <f t="shared" ca="1" si="21"/>
        <v>0</v>
      </c>
      <c r="G122" s="509"/>
      <c r="H122" s="509"/>
      <c r="I122" s="188">
        <f>'Customer Count'!C60</f>
        <v>155676.31373919293</v>
      </c>
      <c r="J122" s="177">
        <f t="shared" si="17"/>
        <v>0</v>
      </c>
      <c r="K122" s="188">
        <f t="shared" si="18"/>
        <v>31</v>
      </c>
      <c r="L122" s="177">
        <f t="shared" si="19"/>
        <v>0</v>
      </c>
      <c r="M122" s="177">
        <f>'Monthly Data'!DB122</f>
        <v>0</v>
      </c>
      <c r="N122" s="177">
        <f>'Monthly Data'!DG122</f>
        <v>0</v>
      </c>
      <c r="O122" s="59">
        <f>'Monthly Data'!CV122</f>
        <v>0</v>
      </c>
      <c r="P122" s="188">
        <f>'Res Predicted Monthly'!$AB$9</f>
        <v>-154534728.74811399</v>
      </c>
      <c r="Q122" s="188">
        <f ca="1">E122*'Res Predicted Monthly'!$AB$10</f>
        <v>41935607.20616509</v>
      </c>
      <c r="R122" s="188">
        <f ca="1">F122*'Res Predicted Monthly'!$AB$11</f>
        <v>0</v>
      </c>
      <c r="S122" s="188">
        <f>I122*'Res Predicted Monthly'!$AB$12</f>
        <v>153647557.04790178</v>
      </c>
      <c r="T122" s="188">
        <f>J122*'Res Predicted Monthly'!$AB$13</f>
        <v>0</v>
      </c>
      <c r="U122" s="188">
        <f>K122*'Res Predicted Monthly'!$AB$14</f>
        <v>70054115.695287749</v>
      </c>
      <c r="V122" s="188">
        <f>L122*'Res Predicted Monthly'!$AB$15</f>
        <v>0</v>
      </c>
      <c r="W122" s="188">
        <f>M122*'Res Predicted Monthly'!$AB$16</f>
        <v>0</v>
      </c>
      <c r="X122" s="188">
        <f>N122*'Res Predicted Monthly'!$AB$17</f>
        <v>0</v>
      </c>
      <c r="Y122" s="178">
        <f t="shared" ca="1" si="20"/>
        <v>111102551.20124063</v>
      </c>
      <c r="AA122" s="188"/>
      <c r="AB122" s="512"/>
    </row>
    <row r="123" spans="1:28" s="59" customFormat="1" x14ac:dyDescent="0.2">
      <c r="A123" s="506">
        <f t="shared" si="16"/>
        <v>46419</v>
      </c>
      <c r="B123" s="59">
        <f>YEAR(A123)</f>
        <v>2027</v>
      </c>
      <c r="C123" s="59">
        <f>MONTH(A123)</f>
        <v>2</v>
      </c>
      <c r="D123" s="178"/>
      <c r="E123" s="177">
        <f t="shared" ca="1" si="21"/>
        <v>589.85491666666678</v>
      </c>
      <c r="F123" s="177">
        <f t="shared" ca="1" si="21"/>
        <v>0</v>
      </c>
      <c r="G123" s="509"/>
      <c r="H123" s="509"/>
      <c r="I123" s="188">
        <f>'Customer Count'!C61</f>
        <v>155785.33100852824</v>
      </c>
      <c r="J123" s="177">
        <f t="shared" si="17"/>
        <v>0</v>
      </c>
      <c r="K123" s="188">
        <f t="shared" si="18"/>
        <v>28</v>
      </c>
      <c r="L123" s="177">
        <f t="shared" si="19"/>
        <v>0</v>
      </c>
      <c r="M123" s="177">
        <f>'Monthly Data'!DB123</f>
        <v>0</v>
      </c>
      <c r="N123" s="177">
        <f>'Monthly Data'!DG123</f>
        <v>0</v>
      </c>
      <c r="O123" s="59">
        <f>'Monthly Data'!CV123</f>
        <v>0</v>
      </c>
      <c r="P123" s="188">
        <f>'Res Predicted Monthly'!$AB$9</f>
        <v>-154534728.74811399</v>
      </c>
      <c r="Q123" s="188">
        <f ca="1">E123*'Res Predicted Monthly'!$AB$10</f>
        <v>36211548.709908441</v>
      </c>
      <c r="R123" s="188">
        <f ca="1">F123*'Res Predicted Monthly'!$AB$11</f>
        <v>0</v>
      </c>
      <c r="S123" s="188">
        <f>I123*'Res Predicted Monthly'!$AB$12</f>
        <v>153755153.61610848</v>
      </c>
      <c r="T123" s="188">
        <f>J123*'Res Predicted Monthly'!$AB$13</f>
        <v>0</v>
      </c>
      <c r="U123" s="188">
        <f>K123*'Res Predicted Monthly'!$AB$14</f>
        <v>63274685.144130871</v>
      </c>
      <c r="V123" s="188">
        <f>L123*'Res Predicted Monthly'!$AB$15</f>
        <v>0</v>
      </c>
      <c r="W123" s="188">
        <f>M123*'Res Predicted Monthly'!$AB$16</f>
        <v>0</v>
      </c>
      <c r="X123" s="188">
        <f>N123*'Res Predicted Monthly'!$AB$17</f>
        <v>0</v>
      </c>
      <c r="Y123" s="178">
        <f t="shared" ca="1" si="20"/>
        <v>98706658.722033799</v>
      </c>
      <c r="AA123" s="188"/>
      <c r="AB123" s="512"/>
    </row>
    <row r="124" spans="1:28" s="59" customFormat="1" x14ac:dyDescent="0.2">
      <c r="A124" s="506">
        <f t="shared" si="16"/>
        <v>46447</v>
      </c>
      <c r="B124" s="59">
        <f>YEAR(A124)</f>
        <v>2027</v>
      </c>
      <c r="C124" s="59">
        <f>MONTH(A124)</f>
        <v>3</v>
      </c>
      <c r="D124" s="178"/>
      <c r="E124" s="177">
        <f t="shared" ca="1" si="21"/>
        <v>522.20004166666672</v>
      </c>
      <c r="F124" s="177">
        <f t="shared" ca="1" si="21"/>
        <v>0</v>
      </c>
      <c r="G124" s="509"/>
      <c r="H124" s="509"/>
      <c r="I124" s="188">
        <f>'Customer Count'!C62</f>
        <v>155894.42462065924</v>
      </c>
      <c r="J124" s="177">
        <f t="shared" si="17"/>
        <v>0</v>
      </c>
      <c r="K124" s="188">
        <f t="shared" si="18"/>
        <v>31</v>
      </c>
      <c r="L124" s="177">
        <f t="shared" si="19"/>
        <v>0</v>
      </c>
      <c r="M124" s="177">
        <f>'Monthly Data'!DB124</f>
        <v>0</v>
      </c>
      <c r="N124" s="177">
        <f>'Monthly Data'!DG124</f>
        <v>0</v>
      </c>
      <c r="O124" s="59">
        <f>'Monthly Data'!CV124</f>
        <v>0</v>
      </c>
      <c r="P124" s="188">
        <f>'Res Predicted Monthly'!$AB$9</f>
        <v>-154534728.74811399</v>
      </c>
      <c r="Q124" s="188">
        <f ca="1">E124*'Res Predicted Monthly'!$AB$10</f>
        <v>32058175.172954902</v>
      </c>
      <c r="R124" s="188">
        <f ca="1">F124*'Res Predicted Monthly'!$AB$11</f>
        <v>0</v>
      </c>
      <c r="S124" s="188">
        <f>I124*'Res Predicted Monthly'!$AB$12</f>
        <v>153862825.53221986</v>
      </c>
      <c r="T124" s="188">
        <f>J124*'Res Predicted Monthly'!$AB$13</f>
        <v>0</v>
      </c>
      <c r="U124" s="188">
        <f>K124*'Res Predicted Monthly'!$AB$14</f>
        <v>70054115.695287749</v>
      </c>
      <c r="V124" s="188">
        <f>L124*'Res Predicted Monthly'!$AB$15</f>
        <v>0</v>
      </c>
      <c r="W124" s="188">
        <f>M124*'Res Predicted Monthly'!$AB$16</f>
        <v>0</v>
      </c>
      <c r="X124" s="188">
        <f>N124*'Res Predicted Monthly'!$AB$17</f>
        <v>0</v>
      </c>
      <c r="Y124" s="178">
        <f t="shared" ref="Y124:Y133" ca="1" si="24">SUM(P124:X124)</f>
        <v>101440387.65234852</v>
      </c>
      <c r="AA124" s="188"/>
      <c r="AB124" s="512"/>
    </row>
    <row r="125" spans="1:28" s="59" customFormat="1" x14ac:dyDescent="0.2">
      <c r="A125" s="506">
        <f t="shared" si="16"/>
        <v>46478</v>
      </c>
      <c r="B125" s="59">
        <f>YEAR(A125)</f>
        <v>2027</v>
      </c>
      <c r="C125" s="59">
        <f>MONTH(A125)</f>
        <v>4</v>
      </c>
      <c r="D125" s="178"/>
      <c r="E125" s="177">
        <f t="shared" ca="1" si="21"/>
        <v>343.18302083333327</v>
      </c>
      <c r="F125" s="177">
        <f t="shared" ca="1" si="21"/>
        <v>6.5650000000000031</v>
      </c>
      <c r="G125" s="509"/>
      <c r="H125" s="509"/>
      <c r="I125" s="188">
        <f>'Customer Count'!C63</f>
        <v>156003.59462904738</v>
      </c>
      <c r="J125" s="177">
        <f t="shared" si="17"/>
        <v>0</v>
      </c>
      <c r="K125" s="188">
        <f t="shared" si="18"/>
        <v>30</v>
      </c>
      <c r="L125" s="177">
        <f t="shared" si="19"/>
        <v>0</v>
      </c>
      <c r="M125" s="177">
        <f>'Monthly Data'!DB125</f>
        <v>0</v>
      </c>
      <c r="N125" s="177">
        <f>'Monthly Data'!DG125</f>
        <v>0</v>
      </c>
      <c r="O125" s="59">
        <f>'Monthly Data'!CV125</f>
        <v>0</v>
      </c>
      <c r="P125" s="188">
        <f>'Res Predicted Monthly'!$AB$9</f>
        <v>-154534728.74811399</v>
      </c>
      <c r="Q125" s="188">
        <f ca="1">E125*'Res Predicted Monthly'!$AB$10</f>
        <v>21068212.409836546</v>
      </c>
      <c r="R125" s="188">
        <f ca="1">F125*'Res Predicted Monthly'!$AB$11</f>
        <v>1864807.876633371</v>
      </c>
      <c r="S125" s="188">
        <f>I125*'Res Predicted Monthly'!$AB$12</f>
        <v>153970572.84900075</v>
      </c>
      <c r="T125" s="188">
        <f>J125*'Res Predicted Monthly'!$AB$13</f>
        <v>0</v>
      </c>
      <c r="U125" s="188">
        <f>K125*'Res Predicted Monthly'!$AB$14</f>
        <v>67794305.5115688</v>
      </c>
      <c r="V125" s="188">
        <f>L125*'Res Predicted Monthly'!$AB$15</f>
        <v>0</v>
      </c>
      <c r="W125" s="188">
        <f>M125*'Res Predicted Monthly'!$AB$16</f>
        <v>0</v>
      </c>
      <c r="X125" s="188">
        <f>N125*'Res Predicted Monthly'!$AB$17</f>
        <v>0</v>
      </c>
      <c r="Y125" s="178">
        <f t="shared" ca="1" si="24"/>
        <v>90163169.898925483</v>
      </c>
      <c r="AA125" s="188"/>
      <c r="AB125" s="512"/>
    </row>
    <row r="126" spans="1:28" s="59" customFormat="1" x14ac:dyDescent="0.2">
      <c r="A126" s="506">
        <f t="shared" si="16"/>
        <v>46508</v>
      </c>
      <c r="B126" s="59">
        <f>YEAR(A126)</f>
        <v>2027</v>
      </c>
      <c r="C126" s="59">
        <f>MONTH(A126)</f>
        <v>5</v>
      </c>
      <c r="D126" s="178"/>
      <c r="E126" s="177">
        <f t="shared" ca="1" si="21"/>
        <v>146.15645833333332</v>
      </c>
      <c r="F126" s="177">
        <f t="shared" ca="1" si="21"/>
        <v>59.300416666666649</v>
      </c>
      <c r="G126" s="509"/>
      <c r="H126" s="509"/>
      <c r="I126" s="188">
        <f>'Customer Count'!C64</f>
        <v>156112.84108719157</v>
      </c>
      <c r="J126" s="177">
        <f t="shared" si="17"/>
        <v>0</v>
      </c>
      <c r="K126" s="188">
        <f t="shared" si="18"/>
        <v>31</v>
      </c>
      <c r="L126" s="177">
        <f t="shared" si="19"/>
        <v>1</v>
      </c>
      <c r="M126" s="177">
        <f>'Monthly Data'!DB126</f>
        <v>0</v>
      </c>
      <c r="N126" s="177">
        <f>'Monthly Data'!DG126</f>
        <v>0</v>
      </c>
      <c r="O126" s="59">
        <f>'Monthly Data'!CV126</f>
        <v>0</v>
      </c>
      <c r="P126" s="188">
        <f>'Res Predicted Monthly'!$AB$9</f>
        <v>-154534728.74811399</v>
      </c>
      <c r="Q126" s="188">
        <f ca="1">E126*'Res Predicted Monthly'!$AB$10</f>
        <v>8972633.033414349</v>
      </c>
      <c r="R126" s="188">
        <f ca="1">F126*'Res Predicted Monthly'!$AB$11</f>
        <v>16844460.637873683</v>
      </c>
      <c r="S126" s="188">
        <f>I126*'Res Predicted Monthly'!$AB$12</f>
        <v>154078395.61925283</v>
      </c>
      <c r="T126" s="188">
        <f>J126*'Res Predicted Monthly'!$AB$13</f>
        <v>0</v>
      </c>
      <c r="U126" s="188">
        <f>K126*'Res Predicted Monthly'!$AB$14</f>
        <v>70054115.695287749</v>
      </c>
      <c r="V126" s="188">
        <f>L126*'Res Predicted Monthly'!$AB$15</f>
        <v>-2784507.8509929599</v>
      </c>
      <c r="W126" s="188">
        <f>M126*'Res Predicted Monthly'!$AB$16</f>
        <v>0</v>
      </c>
      <c r="X126" s="188">
        <f>N126*'Res Predicted Monthly'!$AB$17</f>
        <v>0</v>
      </c>
      <c r="Y126" s="178">
        <f t="shared" ca="1" si="24"/>
        <v>92630368.386721671</v>
      </c>
      <c r="AA126" s="188"/>
      <c r="AB126" s="512"/>
    </row>
    <row r="127" spans="1:28" s="59" customFormat="1" x14ac:dyDescent="0.2">
      <c r="A127" s="506">
        <f t="shared" si="16"/>
        <v>46539</v>
      </c>
      <c r="B127" s="59">
        <f t="shared" si="22"/>
        <v>2027</v>
      </c>
      <c r="C127" s="59">
        <f t="shared" si="23"/>
        <v>6</v>
      </c>
      <c r="E127" s="177">
        <f t="shared" ref="E127:F130" ca="1" si="25">E115</f>
        <v>29.335416666666674</v>
      </c>
      <c r="F127" s="177">
        <f t="shared" ca="1" si="25"/>
        <v>157.17000000000002</v>
      </c>
      <c r="G127" s="509"/>
      <c r="H127" s="509"/>
      <c r="I127" s="188">
        <f>'Customer Count'!C65</f>
        <v>156222.16404862818</v>
      </c>
      <c r="J127" s="177">
        <f t="shared" si="17"/>
        <v>0</v>
      </c>
      <c r="K127" s="188">
        <f t="shared" si="18"/>
        <v>30</v>
      </c>
      <c r="L127" s="177">
        <f t="shared" si="19"/>
        <v>1</v>
      </c>
      <c r="M127" s="177">
        <f>'Monthly Data'!DB127</f>
        <v>0</v>
      </c>
      <c r="N127" s="177">
        <f>'Monthly Data'!DG127</f>
        <v>0</v>
      </c>
      <c r="O127" s="59">
        <f>'Monthly Data'!CV127</f>
        <v>0</v>
      </c>
      <c r="P127" s="188">
        <f>'Res Predicted Monthly'!$AB$9</f>
        <v>-154534728.74811399</v>
      </c>
      <c r="Q127" s="188">
        <f ca="1">E127*'Res Predicted Monthly'!$AB$10</f>
        <v>1800918.903166092</v>
      </c>
      <c r="R127" s="188">
        <f ca="1">F127*'Res Predicted Monthly'!$AB$11</f>
        <v>44644608.373262271</v>
      </c>
      <c r="S127" s="188">
        <f>I127*'Res Predicted Monthly'!$AB$12</f>
        <v>154186293.89581478</v>
      </c>
      <c r="T127" s="188">
        <f>J127*'Res Predicted Monthly'!$AB$13</f>
        <v>0</v>
      </c>
      <c r="U127" s="188">
        <f>K127*'Res Predicted Monthly'!$AB$14</f>
        <v>67794305.5115688</v>
      </c>
      <c r="V127" s="188">
        <f>L127*'Res Predicted Monthly'!$AB$15</f>
        <v>-2784507.8509929599</v>
      </c>
      <c r="W127" s="188">
        <f>M127*'Res Predicted Monthly'!$AB$16</f>
        <v>0</v>
      </c>
      <c r="X127" s="188">
        <f>N127*'Res Predicted Monthly'!$AB$17</f>
        <v>0</v>
      </c>
      <c r="Y127" s="178">
        <f t="shared" ca="1" si="24"/>
        <v>111106890.08470498</v>
      </c>
      <c r="AA127" s="188"/>
      <c r="AB127" s="512"/>
    </row>
    <row r="128" spans="1:28" s="59" customFormat="1" x14ac:dyDescent="0.2">
      <c r="A128" s="506">
        <f t="shared" si="16"/>
        <v>46569</v>
      </c>
      <c r="B128" s="59">
        <f t="shared" si="22"/>
        <v>2027</v>
      </c>
      <c r="C128" s="59">
        <f t="shared" si="23"/>
        <v>7</v>
      </c>
      <c r="E128" s="177">
        <f t="shared" ca="1" si="25"/>
        <v>1.6731249999999993</v>
      </c>
      <c r="F128" s="177">
        <f t="shared" ca="1" si="25"/>
        <v>231.27145833333333</v>
      </c>
      <c r="G128" s="509"/>
      <c r="H128" s="509"/>
      <c r="I128" s="188">
        <f>'Customer Count'!C66</f>
        <v>156331.56356693106</v>
      </c>
      <c r="J128" s="177">
        <f t="shared" si="17"/>
        <v>0</v>
      </c>
      <c r="K128" s="188">
        <f t="shared" si="18"/>
        <v>31</v>
      </c>
      <c r="L128" s="177">
        <f t="shared" si="19"/>
        <v>1</v>
      </c>
      <c r="M128" s="177">
        <f>'Monthly Data'!DB128</f>
        <v>0</v>
      </c>
      <c r="N128" s="177">
        <f>'Monthly Data'!DG128</f>
        <v>0</v>
      </c>
      <c r="O128" s="59">
        <f>'Monthly Data'!CV128</f>
        <v>0</v>
      </c>
      <c r="P128" s="188">
        <f>'Res Predicted Monthly'!$AB$9</f>
        <v>-154534728.74811399</v>
      </c>
      <c r="Q128" s="188">
        <f ca="1">E128*'Res Predicted Monthly'!$AB$10</f>
        <v>102714.15177421259</v>
      </c>
      <c r="R128" s="188">
        <f ca="1">F128*'Res Predicted Monthly'!$AB$11</f>
        <v>65693349.145542458</v>
      </c>
      <c r="S128" s="188">
        <f>I128*'Res Predicted Monthly'!$AB$12</f>
        <v>154294267.73156229</v>
      </c>
      <c r="T128" s="188">
        <f>J128*'Res Predicted Monthly'!$AB$13</f>
        <v>0</v>
      </c>
      <c r="U128" s="188">
        <f>K128*'Res Predicted Monthly'!$AB$14</f>
        <v>70054115.695287749</v>
      </c>
      <c r="V128" s="188">
        <f>L128*'Res Predicted Monthly'!$AB$15</f>
        <v>-2784507.8509929599</v>
      </c>
      <c r="W128" s="188">
        <f>M128*'Res Predicted Monthly'!$AB$16</f>
        <v>0</v>
      </c>
      <c r="X128" s="188">
        <f>N128*'Res Predicted Monthly'!$AB$17</f>
        <v>0</v>
      </c>
      <c r="Y128" s="178">
        <f t="shared" ca="1" si="24"/>
        <v>132825210.12505974</v>
      </c>
      <c r="AA128" s="188"/>
      <c r="AB128" s="512"/>
    </row>
    <row r="129" spans="1:28" s="59" customFormat="1" x14ac:dyDescent="0.2">
      <c r="A129" s="506">
        <f t="shared" si="16"/>
        <v>46600</v>
      </c>
      <c r="B129" s="59">
        <f t="shared" si="22"/>
        <v>2027</v>
      </c>
      <c r="C129" s="59">
        <f t="shared" si="23"/>
        <v>8</v>
      </c>
      <c r="E129" s="177">
        <f t="shared" ca="1" si="25"/>
        <v>7.1606250000000005</v>
      </c>
      <c r="F129" s="177">
        <f t="shared" ca="1" si="25"/>
        <v>196.13625000000002</v>
      </c>
      <c r="G129" s="509"/>
      <c r="H129" s="509"/>
      <c r="I129" s="188">
        <f>'Customer Count'!C67</f>
        <v>156441.03969571157</v>
      </c>
      <c r="J129" s="177">
        <f t="shared" si="17"/>
        <v>0</v>
      </c>
      <c r="K129" s="188">
        <f t="shared" si="18"/>
        <v>31</v>
      </c>
      <c r="L129" s="177">
        <f t="shared" si="19"/>
        <v>1</v>
      </c>
      <c r="M129" s="177">
        <f>'Monthly Data'!DB129</f>
        <v>0</v>
      </c>
      <c r="N129" s="177">
        <f>'Monthly Data'!DG129</f>
        <v>0</v>
      </c>
      <c r="O129" s="59">
        <f>'Monthly Data'!CV129</f>
        <v>0</v>
      </c>
      <c r="P129" s="188">
        <f>'Res Predicted Monthly'!$AB$9</f>
        <v>-154534728.74811399</v>
      </c>
      <c r="Q129" s="188">
        <f ca="1">E129*'Res Predicted Monthly'!$AB$10</f>
        <v>439595.08288276213</v>
      </c>
      <c r="R129" s="188">
        <f ca="1">F129*'Res Predicted Monthly'!$AB$11</f>
        <v>55713088.178725339</v>
      </c>
      <c r="S129" s="188">
        <f>I129*'Res Predicted Monthly'!$AB$12</f>
        <v>154402317.17940807</v>
      </c>
      <c r="T129" s="188">
        <f>J129*'Res Predicted Monthly'!$AB$13</f>
        <v>0</v>
      </c>
      <c r="U129" s="188">
        <f>K129*'Res Predicted Monthly'!$AB$14</f>
        <v>70054115.695287749</v>
      </c>
      <c r="V129" s="188">
        <f>L129*'Res Predicted Monthly'!$AB$15</f>
        <v>-2784507.8509929599</v>
      </c>
      <c r="W129" s="188">
        <f>M129*'Res Predicted Monthly'!$AB$16</f>
        <v>0</v>
      </c>
      <c r="X129" s="188">
        <f>N129*'Res Predicted Monthly'!$AB$17</f>
        <v>0</v>
      </c>
      <c r="Y129" s="178">
        <f t="shared" ca="1" si="24"/>
        <v>123289879.53719696</v>
      </c>
      <c r="AA129" s="188"/>
      <c r="AB129" s="512"/>
    </row>
    <row r="130" spans="1:28" s="59" customFormat="1" x14ac:dyDescent="0.2">
      <c r="A130" s="506">
        <f t="shared" si="16"/>
        <v>46631</v>
      </c>
      <c r="B130" s="59">
        <f t="shared" si="22"/>
        <v>2027</v>
      </c>
      <c r="C130" s="59">
        <f t="shared" si="23"/>
        <v>9</v>
      </c>
      <c r="E130" s="177">
        <f t="shared" ca="1" si="25"/>
        <v>56.160416666666663</v>
      </c>
      <c r="F130" s="177">
        <f t="shared" ca="1" si="25"/>
        <v>104.19854166666664</v>
      </c>
      <c r="G130" s="509"/>
      <c r="H130" s="509"/>
      <c r="I130" s="188">
        <f>'Customer Count'!C68</f>
        <v>156550.59248861863</v>
      </c>
      <c r="J130" s="177">
        <f t="shared" si="17"/>
        <v>0</v>
      </c>
      <c r="K130" s="188">
        <f t="shared" si="18"/>
        <v>30</v>
      </c>
      <c r="L130" s="177">
        <f t="shared" si="19"/>
        <v>0</v>
      </c>
      <c r="M130" s="177">
        <f>'Monthly Data'!DB130</f>
        <v>0</v>
      </c>
      <c r="N130" s="177">
        <f>'Monthly Data'!DG130</f>
        <v>0</v>
      </c>
      <c r="O130" s="59">
        <f>'Monthly Data'!CV130</f>
        <v>0</v>
      </c>
      <c r="P130" s="188">
        <f>'Res Predicted Monthly'!$AB$9</f>
        <v>-154534728.74811399</v>
      </c>
      <c r="Q130" s="188">
        <f ca="1">E130*'Res Predicted Monthly'!$AB$10</f>
        <v>3447721.8146898891</v>
      </c>
      <c r="R130" s="188">
        <f ca="1">F130*'Res Predicted Monthly'!$AB$11</f>
        <v>29597907.270938363</v>
      </c>
      <c r="S130" s="188">
        <f>I130*'Res Predicted Monthly'!$AB$12</f>
        <v>154510442.29230189</v>
      </c>
      <c r="T130" s="188">
        <f>J130*'Res Predicted Monthly'!$AB$13</f>
        <v>0</v>
      </c>
      <c r="U130" s="188">
        <f>K130*'Res Predicted Monthly'!$AB$14</f>
        <v>67794305.5115688</v>
      </c>
      <c r="V130" s="188">
        <f>L130*'Res Predicted Monthly'!$AB$15</f>
        <v>0</v>
      </c>
      <c r="W130" s="188">
        <f>M130*'Res Predicted Monthly'!$AB$16</f>
        <v>0</v>
      </c>
      <c r="X130" s="188">
        <f>N130*'Res Predicted Monthly'!$AB$17</f>
        <v>0</v>
      </c>
      <c r="Y130" s="178">
        <f t="shared" ca="1" si="24"/>
        <v>100815648.14138494</v>
      </c>
      <c r="AA130" s="188"/>
      <c r="AB130" s="512"/>
    </row>
    <row r="131" spans="1:28" s="59" customFormat="1" x14ac:dyDescent="0.2">
      <c r="A131" s="506">
        <f t="shared" si="16"/>
        <v>46661</v>
      </c>
      <c r="B131" s="59">
        <f t="shared" si="22"/>
        <v>2027</v>
      </c>
      <c r="C131" s="59">
        <f t="shared" si="23"/>
        <v>10</v>
      </c>
      <c r="E131" s="177">
        <f t="shared" ref="E131:F133" ca="1" si="26">E119</f>
        <v>229.16187499999995</v>
      </c>
      <c r="F131" s="177">
        <f t="shared" ca="1" si="26"/>
        <v>24.703125000000007</v>
      </c>
      <c r="G131" s="509"/>
      <c r="H131" s="509"/>
      <c r="I131" s="188">
        <f>'Customer Count'!C69</f>
        <v>156660.22199933871</v>
      </c>
      <c r="J131" s="177">
        <f t="shared" si="17"/>
        <v>0</v>
      </c>
      <c r="K131" s="188">
        <f t="shared" si="18"/>
        <v>31</v>
      </c>
      <c r="L131" s="177">
        <f t="shared" si="19"/>
        <v>0</v>
      </c>
      <c r="M131" s="177">
        <f>'Monthly Data'!DB131</f>
        <v>0</v>
      </c>
      <c r="N131" s="177">
        <f>'Monthly Data'!DG131</f>
        <v>0</v>
      </c>
      <c r="O131" s="59">
        <f>'Monthly Data'!CV131</f>
        <v>0</v>
      </c>
      <c r="P131" s="188">
        <f>'Res Predicted Monthly'!$AB$9</f>
        <v>-154534728.74811399</v>
      </c>
      <c r="Q131" s="188">
        <f ca="1">E131*'Res Predicted Monthly'!$AB$10</f>
        <v>14068385.571677633</v>
      </c>
      <c r="R131" s="188">
        <f ca="1">F131*'Res Predicted Monthly'!$AB$11</f>
        <v>7016996.5083714752</v>
      </c>
      <c r="S131" s="188">
        <f>I131*'Res Predicted Monthly'!$AB$12</f>
        <v>154618643.12323061</v>
      </c>
      <c r="T131" s="188">
        <f>J131*'Res Predicted Monthly'!$AB$13</f>
        <v>0</v>
      </c>
      <c r="U131" s="188">
        <f>K131*'Res Predicted Monthly'!$AB$14</f>
        <v>70054115.695287749</v>
      </c>
      <c r="V131" s="188">
        <f>L131*'Res Predicted Monthly'!$AB$15</f>
        <v>0</v>
      </c>
      <c r="W131" s="188">
        <f>M131*'Res Predicted Monthly'!$AB$16</f>
        <v>0</v>
      </c>
      <c r="X131" s="188">
        <f>N131*'Res Predicted Monthly'!$AB$17</f>
        <v>0</v>
      </c>
      <c r="Y131" s="178">
        <f t="shared" ca="1" si="24"/>
        <v>91223412.150453463</v>
      </c>
      <c r="AA131" s="188"/>
      <c r="AB131" s="512"/>
    </row>
    <row r="132" spans="1:28" s="59" customFormat="1" x14ac:dyDescent="0.2">
      <c r="A132" s="506">
        <f t="shared" si="16"/>
        <v>46692</v>
      </c>
      <c r="B132" s="59">
        <f t="shared" si="22"/>
        <v>2027</v>
      </c>
      <c r="C132" s="59">
        <f t="shared" si="23"/>
        <v>11</v>
      </c>
      <c r="E132" s="177">
        <f t="shared" ca="1" si="26"/>
        <v>422.06333333333333</v>
      </c>
      <c r="F132" s="177">
        <f t="shared" ca="1" si="26"/>
        <v>1.6454166666666665</v>
      </c>
      <c r="G132" s="509"/>
      <c r="H132" s="509"/>
      <c r="I132" s="188">
        <f>'Customer Count'!C70</f>
        <v>156769.9282815959</v>
      </c>
      <c r="J132" s="177">
        <f t="shared" si="17"/>
        <v>0</v>
      </c>
      <c r="K132" s="188">
        <f t="shared" si="18"/>
        <v>30</v>
      </c>
      <c r="L132" s="177">
        <f t="shared" si="19"/>
        <v>0</v>
      </c>
      <c r="M132" s="177">
        <f>'Monthly Data'!DB132</f>
        <v>0</v>
      </c>
      <c r="N132" s="177">
        <f>'Monthly Data'!DG132</f>
        <v>0</v>
      </c>
      <c r="O132" s="59">
        <f>'Monthly Data'!CV132</f>
        <v>0</v>
      </c>
      <c r="P132" s="188">
        <f>'Res Predicted Monthly'!$AB$9</f>
        <v>-154534728.74811399</v>
      </c>
      <c r="Q132" s="188">
        <f ca="1">E132*'Res Predicted Monthly'!$AB$10</f>
        <v>25910722.318015747</v>
      </c>
      <c r="R132" s="188">
        <f ca="1">F132*'Res Predicted Monthly'!$AB$11</f>
        <v>467385.52328161825</v>
      </c>
      <c r="S132" s="188">
        <f>I132*'Res Predicted Monthly'!$AB$12</f>
        <v>154726919.72521815</v>
      </c>
      <c r="T132" s="188">
        <f>J132*'Res Predicted Monthly'!$AB$13</f>
        <v>0</v>
      </c>
      <c r="U132" s="188">
        <f>K132*'Res Predicted Monthly'!$AB$14</f>
        <v>67794305.5115688</v>
      </c>
      <c r="V132" s="188">
        <f>L132*'Res Predicted Monthly'!$AB$15</f>
        <v>0</v>
      </c>
      <c r="W132" s="188">
        <f>M132*'Res Predicted Monthly'!$AB$16</f>
        <v>0</v>
      </c>
      <c r="X132" s="188">
        <f>N132*'Res Predicted Monthly'!$AB$17</f>
        <v>0</v>
      </c>
      <c r="Y132" s="178">
        <f t="shared" ca="1" si="24"/>
        <v>94364604.32997033</v>
      </c>
      <c r="AA132" s="188"/>
      <c r="AB132" s="512"/>
    </row>
    <row r="133" spans="1:28" s="59" customFormat="1" x14ac:dyDescent="0.2">
      <c r="A133" s="506">
        <f t="shared" si="16"/>
        <v>46722</v>
      </c>
      <c r="B133" s="59">
        <f t="shared" si="22"/>
        <v>2027</v>
      </c>
      <c r="C133" s="59">
        <f t="shared" si="23"/>
        <v>12</v>
      </c>
      <c r="E133" s="177">
        <f t="shared" ca="1" si="26"/>
        <v>591.99583333333339</v>
      </c>
      <c r="F133" s="177">
        <f t="shared" ca="1" si="26"/>
        <v>0</v>
      </c>
      <c r="G133" s="509"/>
      <c r="H133" s="509"/>
      <c r="I133" s="188">
        <f>'Customer Count'!C71</f>
        <v>156879.7113891519</v>
      </c>
      <c r="J133" s="177">
        <f t="shared" si="17"/>
        <v>1</v>
      </c>
      <c r="K133" s="188">
        <f t="shared" si="18"/>
        <v>31</v>
      </c>
      <c r="L133" s="177">
        <f t="shared" si="19"/>
        <v>0</v>
      </c>
      <c r="M133" s="177">
        <f>'Monthly Data'!DB133</f>
        <v>0</v>
      </c>
      <c r="N133" s="177">
        <f>'Monthly Data'!DG133</f>
        <v>0</v>
      </c>
      <c r="O133" s="59">
        <f>'Monthly Data'!CV133</f>
        <v>0</v>
      </c>
      <c r="P133" s="188">
        <f>'Res Predicted Monthly'!$AB$9</f>
        <v>-154534728.74811399</v>
      </c>
      <c r="Q133" s="188">
        <f ca="1">E133*'Res Predicted Monthly'!$AB$10</f>
        <v>36342980.873934403</v>
      </c>
      <c r="R133" s="188">
        <f ca="1">F133*'Res Predicted Monthly'!$AB$11</f>
        <v>0</v>
      </c>
      <c r="S133" s="188">
        <f>I133*'Res Predicted Monthly'!$AB$12</f>
        <v>154835272.15132558</v>
      </c>
      <c r="T133" s="188">
        <f>J133*'Res Predicted Monthly'!$AB$13</f>
        <v>3702152.17603915</v>
      </c>
      <c r="U133" s="188">
        <f>K133*'Res Predicted Monthly'!$AB$14</f>
        <v>70054115.695287749</v>
      </c>
      <c r="V133" s="188">
        <f>L133*'Res Predicted Monthly'!$AB$15</f>
        <v>0</v>
      </c>
      <c r="W133" s="188">
        <f>M133*'Res Predicted Monthly'!$AB$16</f>
        <v>0</v>
      </c>
      <c r="X133" s="188">
        <f>N133*'Res Predicted Monthly'!$AB$17</f>
        <v>0</v>
      </c>
      <c r="Y133" s="178">
        <f t="shared" ca="1" si="24"/>
        <v>110399792.14847291</v>
      </c>
      <c r="AA133" s="188"/>
      <c r="AB133" s="512"/>
    </row>
    <row r="181" spans="1:21" x14ac:dyDescent="0.2">
      <c r="A181" s="8"/>
      <c r="E181" s="21"/>
      <c r="F181" s="21"/>
      <c r="G181" s="21"/>
      <c r="H181" s="21"/>
      <c r="I181" s="21"/>
      <c r="J181" s="21"/>
      <c r="K181" s="11"/>
      <c r="M181" s="21"/>
      <c r="R181" s="20"/>
      <c r="T181" s="20"/>
      <c r="U181" s="18"/>
    </row>
    <row r="183" spans="1:21" x14ac:dyDescent="0.2">
      <c r="K183" s="11"/>
      <c r="P183" s="11"/>
      <c r="Q183" s="11"/>
      <c r="R183" s="11"/>
      <c r="S183" s="11"/>
      <c r="T183" s="11"/>
      <c r="U183" s="11"/>
    </row>
    <row r="184" spans="1:21" x14ac:dyDescent="0.2">
      <c r="K184" s="11"/>
      <c r="P184" s="11"/>
      <c r="Q184" s="11"/>
      <c r="R184" s="11"/>
      <c r="S184" s="11"/>
      <c r="T184" s="11"/>
      <c r="U184" s="11"/>
    </row>
    <row r="185" spans="1:21" x14ac:dyDescent="0.2">
      <c r="K185" s="11"/>
      <c r="P185" s="11"/>
      <c r="Q185" s="11"/>
      <c r="R185" s="11"/>
      <c r="S185" s="11"/>
      <c r="T185" s="11"/>
      <c r="U185" s="11"/>
    </row>
    <row r="186" spans="1:21" x14ac:dyDescent="0.2">
      <c r="K186" s="11"/>
      <c r="P186" s="11"/>
      <c r="Q186" s="11"/>
      <c r="R186" s="11"/>
      <c r="S186" s="11"/>
      <c r="T186" s="11"/>
      <c r="U186" s="11"/>
    </row>
    <row r="187" spans="1:21" x14ac:dyDescent="0.2">
      <c r="K187" s="11"/>
      <c r="P187" s="11"/>
      <c r="Q187" s="11"/>
      <c r="R187" s="11"/>
      <c r="S187" s="11"/>
      <c r="T187" s="11"/>
      <c r="U187" s="11"/>
    </row>
    <row r="188" spans="1:21" x14ac:dyDescent="0.2">
      <c r="K188" s="11"/>
      <c r="P188" s="11"/>
      <c r="Q188" s="11"/>
      <c r="R188" s="11"/>
      <c r="S188" s="11"/>
      <c r="T188" s="11"/>
      <c r="U188" s="11"/>
    </row>
    <row r="189" spans="1:21" x14ac:dyDescent="0.2">
      <c r="K189" s="11"/>
      <c r="P189" s="11"/>
      <c r="Q189" s="11"/>
      <c r="R189" s="11"/>
      <c r="S189" s="11"/>
      <c r="T189" s="11"/>
      <c r="U189" s="11"/>
    </row>
    <row r="190" spans="1:21" x14ac:dyDescent="0.2">
      <c r="K190" s="11"/>
      <c r="P190" s="11"/>
      <c r="Q190" s="11"/>
      <c r="R190" s="11"/>
      <c r="S190" s="11"/>
      <c r="T190" s="11"/>
      <c r="U190" s="11"/>
    </row>
    <row r="192" spans="1:21" x14ac:dyDescent="0.2">
      <c r="O192" s="19"/>
      <c r="P192" s="19"/>
      <c r="Q192" s="19"/>
      <c r="R192" s="19"/>
      <c r="S192" s="19"/>
      <c r="T192" s="19"/>
      <c r="U192" s="19"/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4C954-9394-43E6-BA36-E8D48A6E3C9E}">
  <sheetPr codeName="Sheet8">
    <tabColor theme="6" tint="0.59999389629810485"/>
  </sheetPr>
  <dimension ref="A1:Y204"/>
  <sheetViews>
    <sheetView topLeftCell="A112" workbookViewId="0">
      <selection activeCell="I110" sqref="I110:I133"/>
    </sheetView>
  </sheetViews>
  <sheetFormatPr defaultColWidth="9.33203125" defaultRowHeight="12.75" x14ac:dyDescent="0.2"/>
  <cols>
    <col min="1" max="1" width="10.33203125" bestFit="1" customWidth="1"/>
    <col min="2" max="3" width="9.5" bestFit="1" customWidth="1"/>
    <col min="4" max="4" width="17.5" customWidth="1"/>
    <col min="5" max="6" width="9.5" bestFit="1" customWidth="1"/>
    <col min="9" max="9" width="9.5" style="11" bestFit="1" customWidth="1"/>
    <col min="10" max="10" width="10.6640625" customWidth="1"/>
    <col min="11" max="11" width="10.33203125" bestFit="1" customWidth="1"/>
    <col min="12" max="12" width="10.1640625" customWidth="1"/>
    <col min="14" max="14" width="14.83203125" bestFit="1" customWidth="1"/>
    <col min="15" max="16" width="12.83203125" bestFit="1" customWidth="1"/>
    <col min="17" max="17" width="12.5" customWidth="1"/>
    <col min="18" max="18" width="15.5" customWidth="1"/>
    <col min="19" max="20" width="16.1640625" customWidth="1"/>
    <col min="21" max="21" width="14.33203125" bestFit="1" customWidth="1"/>
    <col min="23" max="23" width="13.83203125" bestFit="1" customWidth="1"/>
    <col min="24" max="24" width="14.83203125" bestFit="1" customWidth="1"/>
  </cols>
  <sheetData>
    <row r="1" spans="1:21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Data'!J1</f>
        <v>GS_lt_50_NoCDM</v>
      </c>
      <c r="E1" s="181" t="str">
        <f>'Monthly Data'!BJ1</f>
        <v>HDD14</v>
      </c>
      <c r="F1" s="181" t="str">
        <f>'Monthly Data'!BK1</f>
        <v>CDD14</v>
      </c>
      <c r="G1" s="181" t="str">
        <f>'Monthly Data'!BJ1</f>
        <v>HDD14</v>
      </c>
      <c r="H1" s="181" t="str">
        <f>'Monthly Data'!BK1</f>
        <v>CDD14</v>
      </c>
      <c r="I1" s="182" t="str">
        <f>'Monthly Data'!CV1</f>
        <v>COVID_AM</v>
      </c>
      <c r="J1" s="181" t="str">
        <f>'Monthly Data'!CS1</f>
        <v>Month Days</v>
      </c>
      <c r="K1" s="180" t="str">
        <f>'Monthly Data'!AO1</f>
        <v>OEA_GDP</v>
      </c>
      <c r="L1" s="180" t="str">
        <f>'Monthly Data'!BT1</f>
        <v>Mar</v>
      </c>
      <c r="N1" s="181" t="s">
        <v>65</v>
      </c>
      <c r="O1" s="181" t="str">
        <f>E1</f>
        <v>HDD14</v>
      </c>
      <c r="P1" s="181" t="str">
        <f>F1</f>
        <v>CDD14</v>
      </c>
      <c r="Q1" s="181" t="str">
        <f>I1</f>
        <v>COVID_AM</v>
      </c>
      <c r="R1" s="181" t="str">
        <f>J1</f>
        <v>Month Days</v>
      </c>
      <c r="S1" s="181" t="str">
        <f>K1</f>
        <v>OEA_GDP</v>
      </c>
      <c r="T1" s="181" t="str">
        <f>L1</f>
        <v>Mar</v>
      </c>
      <c r="U1" s="171" t="s">
        <v>101</v>
      </c>
    </row>
    <row r="2" spans="1:21" x14ac:dyDescent="0.2">
      <c r="A2" s="8">
        <f>'Monthly Data'!A2</f>
        <v>42736</v>
      </c>
      <c r="B2">
        <f t="shared" ref="B2:B55" si="0">YEAR(A2)</f>
        <v>2017</v>
      </c>
      <c r="C2">
        <f t="shared" ref="C2:C55" si="1">MONTH(A2)</f>
        <v>1</v>
      </c>
      <c r="D2" s="18">
        <f>'Monthly Data'!J2</f>
        <v>34683049.001843154</v>
      </c>
      <c r="E2" s="290">
        <f ca="1">Weather!BQ34</f>
        <v>566.30416666666667</v>
      </c>
      <c r="F2" s="290">
        <f ca="1">Weather!BR34</f>
        <v>0</v>
      </c>
      <c r="G2" s="21">
        <f>'Monthly Data'!BJ2</f>
        <v>507.0916666666667</v>
      </c>
      <c r="H2" s="21">
        <f>'Monthly Data'!BK2</f>
        <v>0</v>
      </c>
      <c r="I2" s="11">
        <f>'Monthly Data'!CV2</f>
        <v>0</v>
      </c>
      <c r="J2" s="7">
        <f>'Monthly Data'!CS2</f>
        <v>31</v>
      </c>
      <c r="K2" s="19">
        <f>'Monthly Data'!AO2</f>
        <v>756670</v>
      </c>
      <c r="L2" s="19">
        <f>'Monthly Data'!BT2</f>
        <v>0</v>
      </c>
      <c r="N2" s="11"/>
      <c r="O2" s="11">
        <f ca="1">(E2-G2)*'GS&lt;50 Predicted Monthly'!$X$9</f>
        <v>818065.65832904971</v>
      </c>
      <c r="P2" s="11">
        <f ca="1">(F2-H2)*'GS&lt;50 Predicted Monthly'!$X$10</f>
        <v>0</v>
      </c>
      <c r="Q2" s="11"/>
      <c r="R2" s="11"/>
      <c r="S2" s="11"/>
      <c r="T2" s="11"/>
      <c r="U2" s="13">
        <f t="shared" ref="U2:U33" ca="1" si="2">D2+O2+P2</f>
        <v>35501114.660172202</v>
      </c>
    </row>
    <row r="3" spans="1:21" x14ac:dyDescent="0.2">
      <c r="A3" s="8">
        <f>'Monthly Data'!A3</f>
        <v>42767</v>
      </c>
      <c r="B3">
        <f t="shared" si="0"/>
        <v>2017</v>
      </c>
      <c r="C3">
        <f t="shared" si="1"/>
        <v>2</v>
      </c>
      <c r="D3" s="18">
        <f>'Monthly Data'!J3</f>
        <v>31630788.735422239</v>
      </c>
      <c r="E3" s="290">
        <f ca="1">Weather!BQ35</f>
        <v>483.54541666666665</v>
      </c>
      <c r="F3" s="290">
        <f ca="1">Weather!BR35</f>
        <v>0</v>
      </c>
      <c r="G3" s="21">
        <f>'Monthly Data'!BJ3</f>
        <v>393.97916666666669</v>
      </c>
      <c r="H3" s="21">
        <f>'Monthly Data'!BK3</f>
        <v>0</v>
      </c>
      <c r="I3" s="11">
        <f>'Monthly Data'!CV3</f>
        <v>0</v>
      </c>
      <c r="J3" s="7">
        <f>'Monthly Data'!CS3</f>
        <v>28</v>
      </c>
      <c r="K3" s="19">
        <f>'Monthly Data'!AO3</f>
        <v>756670</v>
      </c>
      <c r="L3" s="19">
        <f>'Monthly Data'!BT3</f>
        <v>0</v>
      </c>
      <c r="N3" s="11"/>
      <c r="O3" s="11">
        <f ca="1">(E3-G3)*'GS&lt;50 Predicted Monthly'!$X$9</f>
        <v>1237425.767706384</v>
      </c>
      <c r="P3" s="11">
        <f ca="1">(F3-H3)*'GS&lt;50 Predicted Monthly'!$X$10</f>
        <v>0</v>
      </c>
      <c r="Q3" s="11"/>
      <c r="R3" s="11"/>
      <c r="S3" s="11"/>
      <c r="T3" s="11"/>
      <c r="U3" s="13">
        <f t="shared" ca="1" si="2"/>
        <v>32868214.503128622</v>
      </c>
    </row>
    <row r="4" spans="1:21" x14ac:dyDescent="0.2">
      <c r="A4" s="8">
        <f>'Monthly Data'!A4</f>
        <v>42795</v>
      </c>
      <c r="B4">
        <f t="shared" si="0"/>
        <v>2017</v>
      </c>
      <c r="C4">
        <f t="shared" si="1"/>
        <v>3</v>
      </c>
      <c r="D4" s="18">
        <f>'Monthly Data'!J4</f>
        <v>33721872.46900133</v>
      </c>
      <c r="E4" s="290">
        <f ca="1">Weather!BQ36</f>
        <v>393.96333333333331</v>
      </c>
      <c r="F4" s="290">
        <f ca="1">Weather!BR36</f>
        <v>0</v>
      </c>
      <c r="G4" s="21">
        <f>'Monthly Data'!BJ4</f>
        <v>439.39166666666665</v>
      </c>
      <c r="H4" s="21">
        <f>'Monthly Data'!BK4</f>
        <v>0</v>
      </c>
      <c r="I4" s="11">
        <f>'Monthly Data'!CV4</f>
        <v>0</v>
      </c>
      <c r="J4" s="7">
        <f>'Monthly Data'!CS4</f>
        <v>31</v>
      </c>
      <c r="K4" s="19">
        <f>'Monthly Data'!AO4</f>
        <v>756670</v>
      </c>
      <c r="L4" s="19">
        <f>'Monthly Data'!BT4</f>
        <v>1</v>
      </c>
      <c r="N4" s="11"/>
      <c r="O4" s="11">
        <f ca="1">(E4-G4)*'GS&lt;50 Predicted Monthly'!$X$9</f>
        <v>-627626.92700231995</v>
      </c>
      <c r="P4" s="11">
        <f ca="1">(F4-H4)*'GS&lt;50 Predicted Monthly'!$X$10</f>
        <v>0</v>
      </c>
      <c r="Q4" s="11"/>
      <c r="R4" s="11"/>
      <c r="S4" s="11"/>
      <c r="T4" s="11"/>
      <c r="U4" s="13">
        <f t="shared" ca="1" si="2"/>
        <v>33094245.541999012</v>
      </c>
    </row>
    <row r="5" spans="1:21" x14ac:dyDescent="0.2">
      <c r="A5" s="8">
        <f>'Monthly Data'!A5</f>
        <v>42826</v>
      </c>
      <c r="B5">
        <f t="shared" si="0"/>
        <v>2017</v>
      </c>
      <c r="C5">
        <f t="shared" si="1"/>
        <v>4</v>
      </c>
      <c r="D5" s="18">
        <f>'Monthly Data'!J5</f>
        <v>29000476.202580415</v>
      </c>
      <c r="E5" s="290">
        <f ca="1">Weather!BQ37</f>
        <v>226.60145833333337</v>
      </c>
      <c r="F5" s="290">
        <f ca="1">Weather!BR37</f>
        <v>6.5650000000000031</v>
      </c>
      <c r="G5" s="21">
        <f>'Monthly Data'!BJ5</f>
        <v>150.22500000000002</v>
      </c>
      <c r="H5" s="21">
        <f>'Monthly Data'!BK5</f>
        <v>11.354166666666671</v>
      </c>
      <c r="I5" s="11">
        <f>'Monthly Data'!CV5</f>
        <v>0</v>
      </c>
      <c r="J5" s="7">
        <f>'Monthly Data'!CS5</f>
        <v>30</v>
      </c>
      <c r="K5" s="19">
        <f>'Monthly Data'!AO5</f>
        <v>764676</v>
      </c>
      <c r="L5" s="19">
        <f>'Monthly Data'!BT5</f>
        <v>0</v>
      </c>
      <c r="N5" s="11"/>
      <c r="O5" s="11">
        <f ca="1">(E5-G5)*'GS&lt;50 Predicted Monthly'!$X$9</f>
        <v>1055198.7784217794</v>
      </c>
      <c r="P5" s="11">
        <f ca="1">(F5-H5)*'GS&lt;50 Predicted Monthly'!$X$10</f>
        <v>-206156.11293400341</v>
      </c>
      <c r="Q5" s="11"/>
      <c r="R5" s="11"/>
      <c r="S5" s="11"/>
      <c r="T5" s="11"/>
      <c r="U5" s="13">
        <f t="shared" ca="1" si="2"/>
        <v>29849518.868068188</v>
      </c>
    </row>
    <row r="6" spans="1:21" x14ac:dyDescent="0.2">
      <c r="A6" s="8">
        <f>'Monthly Data'!A6</f>
        <v>42856</v>
      </c>
      <c r="B6">
        <f t="shared" si="0"/>
        <v>2017</v>
      </c>
      <c r="C6">
        <f t="shared" si="1"/>
        <v>5</v>
      </c>
      <c r="D6" s="18">
        <f>'Monthly Data'!J6</f>
        <v>30141065.936159503</v>
      </c>
      <c r="E6" s="290">
        <f ca="1">Weather!BQ38</f>
        <v>65.335833333333326</v>
      </c>
      <c r="F6" s="290">
        <f ca="1">Weather!BR38</f>
        <v>59.300416666666649</v>
      </c>
      <c r="G6" s="21">
        <f>'Monthly Data'!BJ6</f>
        <v>92.170833333333348</v>
      </c>
      <c r="H6" s="21">
        <f>'Monthly Data'!BK6</f>
        <v>37.183333333333337</v>
      </c>
      <c r="I6" s="11">
        <f>'Monthly Data'!CV6</f>
        <v>0</v>
      </c>
      <c r="J6" s="7">
        <f>'Monthly Data'!CS6</f>
        <v>31</v>
      </c>
      <c r="K6" s="19">
        <f>'Monthly Data'!AO6</f>
        <v>764676</v>
      </c>
      <c r="L6" s="19">
        <f>'Monthly Data'!BT6</f>
        <v>0</v>
      </c>
      <c r="N6" s="11"/>
      <c r="O6" s="11">
        <f ca="1">(E6-G6)*'GS&lt;50 Predicted Monthly'!$X$9</f>
        <v>-370745.90569998021</v>
      </c>
      <c r="P6" s="11">
        <f ca="1">(F6-H6)*'GS&lt;50 Predicted Monthly'!$X$10</f>
        <v>952059.5641769463</v>
      </c>
      <c r="Q6" s="11"/>
      <c r="R6" s="11"/>
      <c r="S6" s="11"/>
      <c r="T6" s="11"/>
      <c r="U6" s="13">
        <f t="shared" ca="1" si="2"/>
        <v>30722379.59463647</v>
      </c>
    </row>
    <row r="7" spans="1:21" x14ac:dyDescent="0.2">
      <c r="A7" s="8">
        <f>'Monthly Data'!A7</f>
        <v>42887</v>
      </c>
      <c r="B7">
        <f t="shared" si="0"/>
        <v>2017</v>
      </c>
      <c r="C7">
        <f t="shared" si="1"/>
        <v>6</v>
      </c>
      <c r="D7" s="18">
        <f>'Monthly Data'!J7</f>
        <v>32275893.669738587</v>
      </c>
      <c r="E7" s="290">
        <f ca="1">Weather!BQ39</f>
        <v>3.0447916666666672</v>
      </c>
      <c r="F7" s="290">
        <f ca="1">Weather!BR39</f>
        <v>157.17000000000002</v>
      </c>
      <c r="G7" s="21">
        <f>'Monthly Data'!BJ7</f>
        <v>0.98333333333333428</v>
      </c>
      <c r="H7" s="21">
        <f>'Monthly Data'!BK7</f>
        <v>147.1333333333333</v>
      </c>
      <c r="I7" s="11">
        <f>'Monthly Data'!CV7</f>
        <v>0</v>
      </c>
      <c r="J7" s="7">
        <f>'Monthly Data'!CS7</f>
        <v>30</v>
      </c>
      <c r="K7" s="19">
        <f>'Monthly Data'!AO7</f>
        <v>764676</v>
      </c>
      <c r="L7" s="19">
        <f>'Monthly Data'!BT7</f>
        <v>0</v>
      </c>
      <c r="N7" s="11"/>
      <c r="O7" s="11">
        <f ca="1">(E7-G7)*'GS&lt;50 Predicted Monthly'!$X$9</f>
        <v>28480.612515537079</v>
      </c>
      <c r="P7" s="11">
        <f ca="1">(F7-H7)*'GS&lt;50 Predicted Monthly'!$X$10</f>
        <v>432041.7999264223</v>
      </c>
      <c r="Q7" s="11"/>
      <c r="R7" s="11"/>
      <c r="S7" s="11"/>
      <c r="T7" s="11"/>
      <c r="U7" s="13">
        <f t="shared" ca="1" si="2"/>
        <v>32736416.082180548</v>
      </c>
    </row>
    <row r="8" spans="1:21" x14ac:dyDescent="0.2">
      <c r="A8" s="8">
        <f>'Monthly Data'!A8</f>
        <v>42917</v>
      </c>
      <c r="B8">
        <f t="shared" si="0"/>
        <v>2017</v>
      </c>
      <c r="C8">
        <f t="shared" si="1"/>
        <v>7</v>
      </c>
      <c r="D8" s="18">
        <f>'Monthly Data'!J8</f>
        <v>35056085.403317675</v>
      </c>
      <c r="E8" s="290">
        <f ca="1">Weather!BQ40</f>
        <v>0</v>
      </c>
      <c r="F8" s="290">
        <f ca="1">Weather!BR40</f>
        <v>231.27145833333333</v>
      </c>
      <c r="G8" s="21">
        <f>'Monthly Data'!BJ8</f>
        <v>0</v>
      </c>
      <c r="H8" s="21">
        <f>'Monthly Data'!BK8</f>
        <v>206.83541666666665</v>
      </c>
      <c r="I8" s="11">
        <f>'Monthly Data'!CV8</f>
        <v>0</v>
      </c>
      <c r="J8" s="7">
        <f>'Monthly Data'!CS8</f>
        <v>31</v>
      </c>
      <c r="K8" s="19">
        <f>'Monthly Data'!AO8</f>
        <v>765009</v>
      </c>
      <c r="L8" s="19">
        <f>'Monthly Data'!BT8</f>
        <v>0</v>
      </c>
      <c r="N8" s="11"/>
      <c r="O8" s="11">
        <f ca="1">(E8-G8)*'GS&lt;50 Predicted Monthly'!$X$9</f>
        <v>0</v>
      </c>
      <c r="P8" s="11">
        <f ca="1">(F8-H8)*'GS&lt;50 Predicted Monthly'!$X$10</f>
        <v>1051882.2409243113</v>
      </c>
      <c r="Q8" s="11"/>
      <c r="R8" s="11"/>
      <c r="S8" s="11"/>
      <c r="T8" s="11"/>
      <c r="U8" s="13">
        <f t="shared" ca="1" si="2"/>
        <v>36107967.644241989</v>
      </c>
    </row>
    <row r="9" spans="1:21" x14ac:dyDescent="0.2">
      <c r="A9" s="8">
        <f>'Monthly Data'!A9</f>
        <v>42948</v>
      </c>
      <c r="B9">
        <f t="shared" si="0"/>
        <v>2017</v>
      </c>
      <c r="C9">
        <f t="shared" si="1"/>
        <v>8</v>
      </c>
      <c r="D9" s="18">
        <f>'Monthly Data'!J9</f>
        <v>33724240.136896759</v>
      </c>
      <c r="E9" s="290">
        <f ca="1">Weather!BQ41</f>
        <v>0.27875000000000066</v>
      </c>
      <c r="F9" s="290">
        <f ca="1">Weather!BR41</f>
        <v>196.13625000000002</v>
      </c>
      <c r="G9" s="21">
        <f>'Monthly Data'!BJ9</f>
        <v>0</v>
      </c>
      <c r="H9" s="21">
        <f>'Monthly Data'!BK9</f>
        <v>149.20833333333331</v>
      </c>
      <c r="I9" s="11">
        <f>'Monthly Data'!CV9</f>
        <v>0</v>
      </c>
      <c r="J9" s="7">
        <f>'Monthly Data'!CS9</f>
        <v>31</v>
      </c>
      <c r="K9" s="19">
        <f>'Monthly Data'!AO9</f>
        <v>765009</v>
      </c>
      <c r="L9" s="19">
        <f>'Monthly Data'!BT9</f>
        <v>0</v>
      </c>
      <c r="N9" s="11"/>
      <c r="O9" s="11">
        <f ca="1">(E9-G9)*'GS&lt;50 Predicted Monthly'!$X$9</f>
        <v>3851.1429556128055</v>
      </c>
      <c r="P9" s="11">
        <f ca="1">(F9-H9)*'GS&lt;50 Predicted Monthly'!$X$10</f>
        <v>2020075.2158881165</v>
      </c>
      <c r="Q9" s="11"/>
      <c r="R9" s="11"/>
      <c r="S9" s="11"/>
      <c r="T9" s="11"/>
      <c r="U9" s="13">
        <f t="shared" ca="1" si="2"/>
        <v>35748166.495740488</v>
      </c>
    </row>
    <row r="10" spans="1:21" x14ac:dyDescent="0.2">
      <c r="A10" s="8">
        <f>'Monthly Data'!A10</f>
        <v>42979</v>
      </c>
      <c r="B10">
        <f t="shared" si="0"/>
        <v>2017</v>
      </c>
      <c r="C10">
        <f t="shared" si="1"/>
        <v>9</v>
      </c>
      <c r="D10" s="18">
        <f>'Monthly Data'!J10</f>
        <v>31894077.870475851</v>
      </c>
      <c r="E10" s="290">
        <f ca="1">Weather!BQ42</f>
        <v>11.319999999999997</v>
      </c>
      <c r="F10" s="290">
        <f ca="1">Weather!BR42</f>
        <v>104.19854166666664</v>
      </c>
      <c r="G10" s="21">
        <f>'Monthly Data'!BJ10</f>
        <v>20.80416666666666</v>
      </c>
      <c r="H10" s="21">
        <f>'Monthly Data'!BK10</f>
        <v>112.60833333333332</v>
      </c>
      <c r="I10" s="11">
        <f>'Monthly Data'!CV10</f>
        <v>0</v>
      </c>
      <c r="J10" s="7">
        <f>'Monthly Data'!CS10</f>
        <v>30</v>
      </c>
      <c r="K10" s="19">
        <f>'Monthly Data'!AO10</f>
        <v>765009</v>
      </c>
      <c r="L10" s="19">
        <f>'Monthly Data'!BT10</f>
        <v>0</v>
      </c>
      <c r="N10" s="11"/>
      <c r="O10" s="11">
        <f ca="1">(E10-G10)*'GS&lt;50 Predicted Monthly'!$X$9</f>
        <v>-131030.9655540485</v>
      </c>
      <c r="P10" s="11">
        <f ca="1">(F10-H10)*'GS&lt;50 Predicted Monthly'!$X$10</f>
        <v>-362010.78000726132</v>
      </c>
      <c r="Q10" s="11"/>
      <c r="R10" s="11"/>
      <c r="S10" s="11"/>
      <c r="T10" s="11"/>
      <c r="U10" s="13">
        <f t="shared" ca="1" si="2"/>
        <v>31401036.124914542</v>
      </c>
    </row>
    <row r="11" spans="1:21" x14ac:dyDescent="0.2">
      <c r="A11" s="8">
        <f>'Monthly Data'!A11</f>
        <v>43009</v>
      </c>
      <c r="B11">
        <f t="shared" si="0"/>
        <v>2017</v>
      </c>
      <c r="C11">
        <f t="shared" si="1"/>
        <v>10</v>
      </c>
      <c r="D11" s="18">
        <f>'Monthly Data'!J11</f>
        <v>30146026.604054935</v>
      </c>
      <c r="E11" s="290">
        <f ca="1">Weather!BQ43</f>
        <v>126.12583333333332</v>
      </c>
      <c r="F11" s="290">
        <f ca="1">Weather!BR43</f>
        <v>24.703125000000007</v>
      </c>
      <c r="G11" s="21">
        <f>'Monthly Data'!BJ11</f>
        <v>90.324999999999989</v>
      </c>
      <c r="H11" s="21">
        <f>'Monthly Data'!BK11</f>
        <v>36.987500000000026</v>
      </c>
      <c r="I11" s="11">
        <f>'Monthly Data'!CV11</f>
        <v>0</v>
      </c>
      <c r="J11" s="7">
        <f>'Monthly Data'!CS11</f>
        <v>31</v>
      </c>
      <c r="K11" s="19">
        <f>'Monthly Data'!AO11</f>
        <v>771506</v>
      </c>
      <c r="L11" s="19">
        <f>'Monthly Data'!BT11</f>
        <v>0</v>
      </c>
      <c r="N11" s="11"/>
      <c r="O11" s="11">
        <f ca="1">(E11-G11)*'GS&lt;50 Predicted Monthly'!$X$9</f>
        <v>494615.70258918183</v>
      </c>
      <c r="P11" s="11">
        <f ca="1">(F11-H11)*'GS&lt;50 Predicted Monthly'!$X$10</f>
        <v>-528797.42470652191</v>
      </c>
      <c r="Q11" s="11"/>
      <c r="R11" s="11"/>
      <c r="S11" s="11"/>
      <c r="T11" s="11"/>
      <c r="U11" s="13">
        <f t="shared" ca="1" si="2"/>
        <v>30111844.881937593</v>
      </c>
    </row>
    <row r="12" spans="1:21" x14ac:dyDescent="0.2">
      <c r="A12" s="8">
        <f>'Monthly Data'!A12</f>
        <v>43040</v>
      </c>
      <c r="B12">
        <f t="shared" si="0"/>
        <v>2017</v>
      </c>
      <c r="C12">
        <f t="shared" si="1"/>
        <v>11</v>
      </c>
      <c r="D12" s="18">
        <f>'Monthly Data'!J12</f>
        <v>31440394.337634023</v>
      </c>
      <c r="E12" s="290">
        <f ca="1">Weather!BQ44</f>
        <v>312.40687500000001</v>
      </c>
      <c r="F12" s="290">
        <f ca="1">Weather!BR44</f>
        <v>1.6454166666666665</v>
      </c>
      <c r="G12" s="21">
        <f>'Monthly Data'!BJ12</f>
        <v>331.08124999999995</v>
      </c>
      <c r="H12" s="21">
        <f>'Monthly Data'!BK12</f>
        <v>0</v>
      </c>
      <c r="I12" s="11">
        <f>'Monthly Data'!CV12</f>
        <v>0</v>
      </c>
      <c r="J12" s="7">
        <f>'Monthly Data'!CS12</f>
        <v>30</v>
      </c>
      <c r="K12" s="19">
        <f>'Monthly Data'!AO12</f>
        <v>771506</v>
      </c>
      <c r="L12" s="19">
        <f>'Monthly Data'!BT12</f>
        <v>0</v>
      </c>
      <c r="N12" s="11"/>
      <c r="O12" s="11">
        <f ca="1">(E12-G12)*'GS&lt;50 Predicted Monthly'!$X$9</f>
        <v>-258000.67347702777</v>
      </c>
      <c r="P12" s="11">
        <f ca="1">(F12-H12)*'GS&lt;50 Predicted Monthly'!$X$10</f>
        <v>70829.170869704118</v>
      </c>
      <c r="Q12" s="11"/>
      <c r="R12" s="11"/>
      <c r="S12" s="11"/>
      <c r="T12" s="11"/>
      <c r="U12" s="13">
        <f t="shared" ca="1" si="2"/>
        <v>31253222.8350267</v>
      </c>
    </row>
    <row r="13" spans="1:21" x14ac:dyDescent="0.2">
      <c r="A13" s="8">
        <f>'Monthly Data'!A13</f>
        <v>43070</v>
      </c>
      <c r="B13">
        <f t="shared" si="0"/>
        <v>2017</v>
      </c>
      <c r="C13">
        <f t="shared" si="1"/>
        <v>12</v>
      </c>
      <c r="D13" s="18">
        <f>'Monthly Data'!J13</f>
        <v>34201747.071213111</v>
      </c>
      <c r="E13" s="290">
        <f ca="1">Weather!BQ45</f>
        <v>473.52499999999998</v>
      </c>
      <c r="F13" s="290">
        <f ca="1">Weather!BR45</f>
        <v>0</v>
      </c>
      <c r="G13" s="21">
        <f>'Monthly Data'!BJ13</f>
        <v>592.54583333333346</v>
      </c>
      <c r="H13" s="21">
        <f>'Monthly Data'!BK13</f>
        <v>0</v>
      </c>
      <c r="I13" s="11">
        <f>'Monthly Data'!CV13</f>
        <v>0</v>
      </c>
      <c r="J13" s="7">
        <f>'Monthly Data'!CS13</f>
        <v>31</v>
      </c>
      <c r="K13" s="19">
        <f>'Monthly Data'!AO13</f>
        <v>771506</v>
      </c>
      <c r="L13" s="19">
        <f>'Monthly Data'!BT13</f>
        <v>0</v>
      </c>
      <c r="N13" s="11"/>
      <c r="O13" s="11">
        <f ca="1">(E13-G13)*'GS&lt;50 Predicted Monthly'!$X$9</f>
        <v>-1644363.2066828052</v>
      </c>
      <c r="P13" s="11">
        <f ca="1">(F13-H13)*'GS&lt;50 Predicted Monthly'!$X$10</f>
        <v>0</v>
      </c>
      <c r="Q13" s="11"/>
      <c r="R13" s="11"/>
      <c r="S13" s="11"/>
      <c r="T13" s="11"/>
      <c r="U13" s="13">
        <f t="shared" ca="1" si="2"/>
        <v>32557383.864530306</v>
      </c>
    </row>
    <row r="14" spans="1:21" x14ac:dyDescent="0.2">
      <c r="A14" s="8">
        <f>'Monthly Data'!A14</f>
        <v>43101</v>
      </c>
      <c r="B14">
        <f t="shared" si="0"/>
        <v>2018</v>
      </c>
      <c r="C14">
        <f t="shared" si="1"/>
        <v>1</v>
      </c>
      <c r="D14" s="18">
        <f>'Monthly Data'!J14</f>
        <v>37147855.281969562</v>
      </c>
      <c r="E14" s="21">
        <f t="shared" ref="E14:F25" ca="1" si="3">E2</f>
        <v>566.30416666666667</v>
      </c>
      <c r="F14" s="21">
        <f t="shared" ca="1" si="3"/>
        <v>0</v>
      </c>
      <c r="G14" s="21">
        <f>'Monthly Data'!BJ14</f>
        <v>626.29583333333323</v>
      </c>
      <c r="H14" s="21">
        <f>'Monthly Data'!BK14</f>
        <v>0</v>
      </c>
      <c r="I14" s="11">
        <f>'Monthly Data'!CV14</f>
        <v>0</v>
      </c>
      <c r="J14" s="7">
        <f>'Monthly Data'!CS14</f>
        <v>31</v>
      </c>
      <c r="K14" s="19">
        <f>'Monthly Data'!AO14</f>
        <v>779694</v>
      </c>
      <c r="L14" s="19">
        <f>'Monthly Data'!BT14</f>
        <v>0</v>
      </c>
      <c r="N14" s="11"/>
      <c r="O14" s="11">
        <f ca="1">(E14-G14)*'GS&lt;50 Predicted Monthly'!$X$9</f>
        <v>-828830.43759212177</v>
      </c>
      <c r="P14" s="11">
        <f ca="1">(F14-H14)*'GS&lt;50 Predicted Monthly'!$X$10</f>
        <v>0</v>
      </c>
      <c r="Q14" s="11"/>
      <c r="R14" s="11"/>
      <c r="S14" s="11"/>
      <c r="T14" s="11"/>
      <c r="U14" s="13">
        <f t="shared" ca="1" si="2"/>
        <v>36319024.844377443</v>
      </c>
    </row>
    <row r="15" spans="1:21" x14ac:dyDescent="0.2">
      <c r="A15" s="8">
        <f>'Monthly Data'!A15</f>
        <v>43132</v>
      </c>
      <c r="B15">
        <f t="shared" si="0"/>
        <v>2018</v>
      </c>
      <c r="C15">
        <f t="shared" si="1"/>
        <v>2</v>
      </c>
      <c r="D15" s="18">
        <f>'Monthly Data'!J15</f>
        <v>32130532.581361752</v>
      </c>
      <c r="E15" s="21">
        <f t="shared" ca="1" si="3"/>
        <v>483.54541666666665</v>
      </c>
      <c r="F15" s="21">
        <f t="shared" ca="1" si="3"/>
        <v>0</v>
      </c>
      <c r="G15" s="21">
        <f>'Monthly Data'!BJ15</f>
        <v>462.37083333333339</v>
      </c>
      <c r="H15" s="21">
        <f>'Monthly Data'!BK15</f>
        <v>0</v>
      </c>
      <c r="I15" s="11">
        <f>'Monthly Data'!CV15</f>
        <v>0</v>
      </c>
      <c r="J15" s="7">
        <f>'Monthly Data'!CS15</f>
        <v>28</v>
      </c>
      <c r="K15" s="19">
        <f>'Monthly Data'!AO15</f>
        <v>779694</v>
      </c>
      <c r="L15" s="19">
        <f>'Monthly Data'!BT15</f>
        <v>0</v>
      </c>
      <c r="N15" s="11"/>
      <c r="O15" s="11">
        <f ca="1">(E15-G15)*'GS&lt;50 Predicted Monthly'!$X$9</f>
        <v>292542.95046530047</v>
      </c>
      <c r="P15" s="11">
        <f ca="1">(F15-H15)*'GS&lt;50 Predicted Monthly'!$X$10</f>
        <v>0</v>
      </c>
      <c r="Q15" s="11"/>
      <c r="R15" s="11"/>
      <c r="S15" s="11"/>
      <c r="T15" s="11"/>
      <c r="U15" s="13">
        <f t="shared" ca="1" si="2"/>
        <v>32423075.531827051</v>
      </c>
    </row>
    <row r="16" spans="1:21" x14ac:dyDescent="0.2">
      <c r="A16" s="8">
        <f>'Monthly Data'!A16</f>
        <v>43160</v>
      </c>
      <c r="B16">
        <f t="shared" si="0"/>
        <v>2018</v>
      </c>
      <c r="C16">
        <f t="shared" si="1"/>
        <v>3</v>
      </c>
      <c r="D16" s="18">
        <f>'Monthly Data'!J16</f>
        <v>34082211.880753942</v>
      </c>
      <c r="E16" s="21">
        <f t="shared" ca="1" si="3"/>
        <v>393.96333333333331</v>
      </c>
      <c r="F16" s="21">
        <f t="shared" ca="1" si="3"/>
        <v>0</v>
      </c>
      <c r="G16" s="21">
        <f>'Monthly Data'!BJ16</f>
        <v>471.81666666666666</v>
      </c>
      <c r="H16" s="21">
        <f>'Monthly Data'!BK16</f>
        <v>0</v>
      </c>
      <c r="I16" s="11">
        <f>'Monthly Data'!CV16</f>
        <v>0</v>
      </c>
      <c r="J16" s="7">
        <f>'Monthly Data'!CS16</f>
        <v>31</v>
      </c>
      <c r="K16" s="19">
        <f>'Monthly Data'!AO16</f>
        <v>779694</v>
      </c>
      <c r="L16" s="19">
        <f>'Monthly Data'!BT16</f>
        <v>1</v>
      </c>
      <c r="N16" s="11"/>
      <c r="O16" s="11">
        <f ca="1">(E16-G16)*'GS&lt;50 Predicted Monthly'!$X$9</f>
        <v>-1075602.9282067863</v>
      </c>
      <c r="P16" s="11">
        <f ca="1">(F16-H16)*'GS&lt;50 Predicted Monthly'!$X$10</f>
        <v>0</v>
      </c>
      <c r="Q16" s="11"/>
      <c r="R16" s="11"/>
      <c r="S16" s="11"/>
      <c r="T16" s="11"/>
      <c r="U16" s="13">
        <f t="shared" ca="1" si="2"/>
        <v>33006608.952547155</v>
      </c>
    </row>
    <row r="17" spans="1:21" x14ac:dyDescent="0.2">
      <c r="A17" s="8">
        <f>'Monthly Data'!A17</f>
        <v>43191</v>
      </c>
      <c r="B17">
        <f t="shared" si="0"/>
        <v>2018</v>
      </c>
      <c r="C17">
        <f t="shared" si="1"/>
        <v>4</v>
      </c>
      <c r="D17" s="18">
        <f>'Monthly Data'!J17</f>
        <v>31578780.180146135</v>
      </c>
      <c r="E17" s="21">
        <f t="shared" ca="1" si="3"/>
        <v>226.60145833333337</v>
      </c>
      <c r="F17" s="21">
        <f t="shared" ca="1" si="3"/>
        <v>6.5650000000000031</v>
      </c>
      <c r="G17" s="21">
        <f>'Monthly Data'!BJ17</f>
        <v>340.9</v>
      </c>
      <c r="H17" s="21">
        <f>'Monthly Data'!BK17</f>
        <v>0</v>
      </c>
      <c r="I17" s="11">
        <f>'Monthly Data'!CV17</f>
        <v>0</v>
      </c>
      <c r="J17" s="7">
        <f>'Monthly Data'!CS17</f>
        <v>30</v>
      </c>
      <c r="K17" s="19">
        <f>'Monthly Data'!AO17</f>
        <v>785185</v>
      </c>
      <c r="L17" s="19">
        <f>'Monthly Data'!BT17</f>
        <v>0</v>
      </c>
      <c r="N17" s="11"/>
      <c r="O17" s="11">
        <f ca="1">(E17-G17)*'GS&lt;50 Predicted Monthly'!$X$9</f>
        <v>-1579121.1608121931</v>
      </c>
      <c r="P17" s="11">
        <f ca="1">(F17-H17)*'GS&lt;50 Predicted Monthly'!$X$10</f>
        <v>282599.24442214705</v>
      </c>
      <c r="Q17" s="11"/>
      <c r="R17" s="11"/>
      <c r="S17" s="11"/>
      <c r="T17" s="11"/>
      <c r="U17" s="13">
        <f t="shared" ca="1" si="2"/>
        <v>30282258.263756089</v>
      </c>
    </row>
    <row r="18" spans="1:21" x14ac:dyDescent="0.2">
      <c r="A18" s="8">
        <f>'Monthly Data'!A18</f>
        <v>43221</v>
      </c>
      <c r="B18">
        <f t="shared" si="0"/>
        <v>2018</v>
      </c>
      <c r="C18">
        <f t="shared" si="1"/>
        <v>5</v>
      </c>
      <c r="D18" s="18">
        <f>'Monthly Data'!J18</f>
        <v>32437913.479538325</v>
      </c>
      <c r="E18" s="21">
        <f t="shared" ca="1" si="3"/>
        <v>65.335833333333326</v>
      </c>
      <c r="F18" s="21">
        <f t="shared" ca="1" si="3"/>
        <v>59.300416666666649</v>
      </c>
      <c r="G18" s="21">
        <f>'Monthly Data'!BJ18</f>
        <v>15.375000000000002</v>
      </c>
      <c r="H18" s="21">
        <f>'Monthly Data'!BK18</f>
        <v>107.17916666666667</v>
      </c>
      <c r="I18" s="11">
        <f>'Monthly Data'!CV18</f>
        <v>0</v>
      </c>
      <c r="J18" s="7">
        <f>'Monthly Data'!CS18</f>
        <v>31</v>
      </c>
      <c r="K18" s="19">
        <f>'Monthly Data'!AO18</f>
        <v>785185</v>
      </c>
      <c r="L18" s="19">
        <f>'Monthly Data'!BT18</f>
        <v>0</v>
      </c>
      <c r="N18" s="11"/>
      <c r="O18" s="11">
        <f ca="1">(E18-G18)*'GS&lt;50 Predicted Monthly'!$X$9</f>
        <v>690246.85685457091</v>
      </c>
      <c r="P18" s="11">
        <f ca="1">(F18-H18)*'GS&lt;50 Predicted Monthly'!$X$10</f>
        <v>-2061005.1140711156</v>
      </c>
      <c r="Q18" s="11"/>
      <c r="R18" s="11"/>
      <c r="S18" s="11"/>
      <c r="T18" s="11"/>
      <c r="U18" s="13">
        <f t="shared" ca="1" si="2"/>
        <v>31067155.222321779</v>
      </c>
    </row>
    <row r="19" spans="1:21" x14ac:dyDescent="0.2">
      <c r="A19" s="8">
        <f>'Monthly Data'!A19</f>
        <v>43252</v>
      </c>
      <c r="B19">
        <f t="shared" si="0"/>
        <v>2018</v>
      </c>
      <c r="C19">
        <f t="shared" si="1"/>
        <v>6</v>
      </c>
      <c r="D19" s="18">
        <f>'Monthly Data'!J19</f>
        <v>33981626.778930515</v>
      </c>
      <c r="E19" s="21">
        <f t="shared" ca="1" si="3"/>
        <v>3.0447916666666672</v>
      </c>
      <c r="F19" s="21">
        <f t="shared" ca="1" si="3"/>
        <v>157.17000000000002</v>
      </c>
      <c r="G19" s="21">
        <f>'Monthly Data'!BJ19</f>
        <v>4.6208333333333336</v>
      </c>
      <c r="H19" s="21">
        <f>'Monthly Data'!BK19</f>
        <v>155.0625</v>
      </c>
      <c r="I19" s="11">
        <f>'Monthly Data'!CV19</f>
        <v>0</v>
      </c>
      <c r="J19" s="7">
        <f>'Monthly Data'!CS19</f>
        <v>30</v>
      </c>
      <c r="K19" s="19">
        <f>'Monthly Data'!AO19</f>
        <v>785185</v>
      </c>
      <c r="L19" s="19">
        <f>'Monthly Data'!BT19</f>
        <v>0</v>
      </c>
      <c r="N19" s="11"/>
      <c r="O19" s="11">
        <f ca="1">(E19-G19)*'GS&lt;50 Predicted Monthly'!$X$9</f>
        <v>-21774.212600307026</v>
      </c>
      <c r="P19" s="11">
        <f ca="1">(F19-H19)*'GS&lt;50 Predicted Monthly'!$X$10</f>
        <v>90720.168715868873</v>
      </c>
      <c r="Q19" s="11"/>
      <c r="R19" s="11"/>
      <c r="S19" s="11"/>
      <c r="T19" s="11"/>
      <c r="U19" s="13">
        <f t="shared" ca="1" si="2"/>
        <v>34050572.735046081</v>
      </c>
    </row>
    <row r="20" spans="1:21" x14ac:dyDescent="0.2">
      <c r="A20" s="8">
        <f>'Monthly Data'!A20</f>
        <v>43282</v>
      </c>
      <c r="B20">
        <f t="shared" si="0"/>
        <v>2018</v>
      </c>
      <c r="C20">
        <f t="shared" si="1"/>
        <v>7</v>
      </c>
      <c r="D20" s="18">
        <f>'Monthly Data'!J20</f>
        <v>37340418.078322709</v>
      </c>
      <c r="E20" s="21">
        <f t="shared" ca="1" si="3"/>
        <v>0</v>
      </c>
      <c r="F20" s="21">
        <f t="shared" ca="1" si="3"/>
        <v>231.27145833333333</v>
      </c>
      <c r="G20" s="21">
        <f>'Monthly Data'!BJ20</f>
        <v>0</v>
      </c>
      <c r="H20" s="21">
        <f>'Monthly Data'!BK20</f>
        <v>224.81458333333336</v>
      </c>
      <c r="I20" s="11">
        <f>'Monthly Data'!CV20</f>
        <v>0</v>
      </c>
      <c r="J20" s="7">
        <f>'Monthly Data'!CS20</f>
        <v>31</v>
      </c>
      <c r="K20" s="19">
        <f>'Monthly Data'!AO20</f>
        <v>794512</v>
      </c>
      <c r="L20" s="19">
        <f>'Monthly Data'!BT20</f>
        <v>0</v>
      </c>
      <c r="N20" s="11"/>
      <c r="O20" s="11">
        <f ca="1">(E20-G20)*'GS&lt;50 Predicted Monthly'!$X$9</f>
        <v>0</v>
      </c>
      <c r="P20" s="11">
        <f ca="1">(F20-H20)*'GS&lt;50 Predicted Monthly'!$X$10</f>
        <v>277944.85854200163</v>
      </c>
      <c r="Q20" s="11"/>
      <c r="R20" s="11"/>
      <c r="S20" s="11"/>
      <c r="T20" s="11"/>
      <c r="U20" s="13">
        <f t="shared" ca="1" si="2"/>
        <v>37618362.936864711</v>
      </c>
    </row>
    <row r="21" spans="1:21" x14ac:dyDescent="0.2">
      <c r="A21" s="8">
        <f>'Monthly Data'!A21</f>
        <v>43313</v>
      </c>
      <c r="B21">
        <f t="shared" si="0"/>
        <v>2018</v>
      </c>
      <c r="C21">
        <f t="shared" si="1"/>
        <v>8</v>
      </c>
      <c r="D21" s="18">
        <f>'Monthly Data'!J21</f>
        <v>37258199.377714895</v>
      </c>
      <c r="E21" s="21">
        <f t="shared" ca="1" si="3"/>
        <v>0.27875000000000066</v>
      </c>
      <c r="F21" s="21">
        <f t="shared" ca="1" si="3"/>
        <v>196.13625000000002</v>
      </c>
      <c r="G21" s="21">
        <f>'Monthly Data'!BJ21</f>
        <v>0</v>
      </c>
      <c r="H21" s="21">
        <f>'Monthly Data'!BK21</f>
        <v>230.90833333333327</v>
      </c>
      <c r="I21" s="11">
        <f>'Monthly Data'!CV21</f>
        <v>0</v>
      </c>
      <c r="J21" s="7">
        <f>'Monthly Data'!CS21</f>
        <v>31</v>
      </c>
      <c r="K21" s="19">
        <f>'Monthly Data'!AO21</f>
        <v>794512</v>
      </c>
      <c r="L21" s="19">
        <f>'Monthly Data'!BT21</f>
        <v>0</v>
      </c>
      <c r="N21" s="11"/>
      <c r="O21" s="11">
        <f ca="1">(E21-G21)*'GS&lt;50 Predicted Monthly'!$X$9</f>
        <v>3851.1429556128055</v>
      </c>
      <c r="P21" s="11">
        <f ca="1">(F21-H21)*'GS&lt;50 Predicted Monthly'!$X$10</f>
        <v>-1496811.0399061549</v>
      </c>
      <c r="Q21" s="11"/>
      <c r="R21" s="11"/>
      <c r="S21" s="11"/>
      <c r="T21" s="11"/>
      <c r="U21" s="13">
        <f t="shared" ca="1" si="2"/>
        <v>35765239.480764359</v>
      </c>
    </row>
    <row r="22" spans="1:21" x14ac:dyDescent="0.2">
      <c r="A22" s="8">
        <f>'Monthly Data'!A22</f>
        <v>43344</v>
      </c>
      <c r="B22">
        <f t="shared" si="0"/>
        <v>2018</v>
      </c>
      <c r="C22">
        <f t="shared" si="1"/>
        <v>9</v>
      </c>
      <c r="D22" s="18">
        <f>'Monthly Data'!J22</f>
        <v>32457955.677107088</v>
      </c>
      <c r="E22" s="21">
        <f t="shared" ca="1" si="3"/>
        <v>11.319999999999997</v>
      </c>
      <c r="F22" s="21">
        <f t="shared" ca="1" si="3"/>
        <v>104.19854166666664</v>
      </c>
      <c r="G22" s="21">
        <f>'Monthly Data'!BJ22</f>
        <v>20.0625</v>
      </c>
      <c r="H22" s="21">
        <f>'Monthly Data'!BK22</f>
        <v>130.34583333333333</v>
      </c>
      <c r="I22" s="11">
        <f>'Monthly Data'!CV22</f>
        <v>0</v>
      </c>
      <c r="J22" s="7">
        <f>'Monthly Data'!CS22</f>
        <v>30</v>
      </c>
      <c r="K22" s="19">
        <f>'Monthly Data'!AO22</f>
        <v>794512</v>
      </c>
      <c r="L22" s="19">
        <f>'Monthly Data'!BT22</f>
        <v>0</v>
      </c>
      <c r="N22" s="11"/>
      <c r="O22" s="11">
        <f ca="1">(E22-G22)*'GS&lt;50 Predicted Monthly'!$X$9</f>
        <v>-120784.27727155115</v>
      </c>
      <c r="P22" s="11">
        <f ca="1">(F22-H22)*'GS&lt;50 Predicted Monthly'!$X$10</f>
        <v>-1125545.2960678607</v>
      </c>
      <c r="Q22" s="11"/>
      <c r="R22" s="11"/>
      <c r="S22" s="11"/>
      <c r="T22" s="11"/>
      <c r="U22" s="13">
        <f t="shared" ca="1" si="2"/>
        <v>31211626.103767678</v>
      </c>
    </row>
    <row r="23" spans="1:21" x14ac:dyDescent="0.2">
      <c r="A23" s="8">
        <f>'Monthly Data'!A23</f>
        <v>43374</v>
      </c>
      <c r="B23">
        <f t="shared" si="0"/>
        <v>2018</v>
      </c>
      <c r="C23">
        <f t="shared" si="1"/>
        <v>10</v>
      </c>
      <c r="D23" s="18">
        <f>'Monthly Data'!J23</f>
        <v>30886290.976499278</v>
      </c>
      <c r="E23" s="21">
        <f t="shared" ca="1" si="3"/>
        <v>126.12583333333332</v>
      </c>
      <c r="F23" s="21">
        <f t="shared" ca="1" si="3"/>
        <v>24.703125000000007</v>
      </c>
      <c r="G23" s="21">
        <f>'Monthly Data'!BJ23</f>
        <v>181.64999999999998</v>
      </c>
      <c r="H23" s="21">
        <f>'Monthly Data'!BK23</f>
        <v>22.829166666666666</v>
      </c>
      <c r="I23" s="11">
        <f>'Monthly Data'!CV23</f>
        <v>0</v>
      </c>
      <c r="J23" s="7">
        <f>'Monthly Data'!CS23</f>
        <v>31</v>
      </c>
      <c r="K23" s="19">
        <f>'Monthly Data'!AO23</f>
        <v>799922</v>
      </c>
      <c r="L23" s="19">
        <f>'Monthly Data'!BT23</f>
        <v>0</v>
      </c>
      <c r="N23" s="11"/>
      <c r="O23" s="11">
        <f ca="1">(E23-G23)*'GS&lt;50 Predicted Monthly'!$X$9</f>
        <v>-767108.53210620326</v>
      </c>
      <c r="P23" s="11">
        <f ca="1">(F23-H23)*'GS&lt;50 Predicted Monthly'!$X$10</f>
        <v>80667.053934286057</v>
      </c>
      <c r="Q23" s="11"/>
      <c r="R23" s="11"/>
      <c r="S23" s="11"/>
      <c r="T23" s="11"/>
      <c r="U23" s="13">
        <f t="shared" ca="1" si="2"/>
        <v>30199849.498327363</v>
      </c>
    </row>
    <row r="24" spans="1:21" x14ac:dyDescent="0.2">
      <c r="A24" s="8">
        <f>'Monthly Data'!A24</f>
        <v>43405</v>
      </c>
      <c r="B24">
        <f t="shared" si="0"/>
        <v>2018</v>
      </c>
      <c r="C24">
        <f t="shared" si="1"/>
        <v>11</v>
      </c>
      <c r="D24" s="18">
        <f>'Monthly Data'!J24</f>
        <v>33064714.275891468</v>
      </c>
      <c r="E24" s="21">
        <f t="shared" ca="1" si="3"/>
        <v>312.40687500000001</v>
      </c>
      <c r="F24" s="21">
        <f t="shared" ca="1" si="3"/>
        <v>1.6454166666666665</v>
      </c>
      <c r="G24" s="21">
        <f>'Monthly Data'!BJ24</f>
        <v>398.42499999999995</v>
      </c>
      <c r="H24" s="21">
        <f>'Monthly Data'!BK24</f>
        <v>0</v>
      </c>
      <c r="I24" s="11">
        <f>'Monthly Data'!CV24</f>
        <v>0</v>
      </c>
      <c r="J24" s="7">
        <f>'Monthly Data'!CS24</f>
        <v>30</v>
      </c>
      <c r="K24" s="19">
        <f>'Monthly Data'!AO24</f>
        <v>799922</v>
      </c>
      <c r="L24" s="19">
        <f>'Monthly Data'!BT24</f>
        <v>0</v>
      </c>
      <c r="N24" s="11"/>
      <c r="O24" s="11">
        <f ca="1">(E24-G24)*'GS&lt;50 Predicted Monthly'!$X$9</f>
        <v>-1188405.7260942447</v>
      </c>
      <c r="P24" s="11">
        <f ca="1">(F24-H24)*'GS&lt;50 Predicted Monthly'!$X$10</f>
        <v>70829.170869704118</v>
      </c>
      <c r="Q24" s="11"/>
      <c r="R24" s="11"/>
      <c r="S24" s="11"/>
      <c r="T24" s="11"/>
      <c r="U24" s="13">
        <f t="shared" ca="1" si="2"/>
        <v>31947137.720666926</v>
      </c>
    </row>
    <row r="25" spans="1:21" x14ac:dyDescent="0.2">
      <c r="A25" s="8">
        <f>'Monthly Data'!A25</f>
        <v>43435</v>
      </c>
      <c r="B25">
        <f t="shared" si="0"/>
        <v>2018</v>
      </c>
      <c r="C25">
        <f t="shared" si="1"/>
        <v>12</v>
      </c>
      <c r="D25" s="18">
        <f>'Monthly Data'!J25</f>
        <v>33697422.575283661</v>
      </c>
      <c r="E25" s="21">
        <f t="shared" ca="1" si="3"/>
        <v>473.52499999999998</v>
      </c>
      <c r="F25" s="21">
        <f t="shared" ca="1" si="3"/>
        <v>0</v>
      </c>
      <c r="G25" s="21">
        <f>'Monthly Data'!BJ25</f>
        <v>449.47083333333325</v>
      </c>
      <c r="H25" s="21">
        <f>'Monthly Data'!BK25</f>
        <v>0</v>
      </c>
      <c r="I25" s="11">
        <f>'Monthly Data'!CV25</f>
        <v>0</v>
      </c>
      <c r="J25" s="7">
        <f>'Monthly Data'!CS25</f>
        <v>31</v>
      </c>
      <c r="K25" s="19">
        <f>'Monthly Data'!AO25</f>
        <v>799922</v>
      </c>
      <c r="L25" s="19">
        <f>'Monthly Data'!BT25</f>
        <v>0</v>
      </c>
      <c r="N25" s="11"/>
      <c r="O25" s="11">
        <f ca="1">(E25-G25)*'GS&lt;50 Predicted Monthly'!$X$9</f>
        <v>332326.58120706625</v>
      </c>
      <c r="P25" s="11">
        <f ca="1">(F25-H25)*'GS&lt;50 Predicted Monthly'!$X$10</f>
        <v>0</v>
      </c>
      <c r="Q25" s="11"/>
      <c r="R25" s="11"/>
      <c r="S25" s="11"/>
      <c r="T25" s="11"/>
      <c r="U25" s="13">
        <f t="shared" ca="1" si="2"/>
        <v>34029749.156490728</v>
      </c>
    </row>
    <row r="26" spans="1:21" x14ac:dyDescent="0.2">
      <c r="A26" s="8">
        <f>'Monthly Data'!A26</f>
        <v>43466</v>
      </c>
      <c r="B26">
        <f t="shared" si="0"/>
        <v>2019</v>
      </c>
      <c r="C26">
        <f t="shared" si="1"/>
        <v>1</v>
      </c>
      <c r="D26" s="18">
        <f>'Monthly Data'!J26</f>
        <v>36829480.752867945</v>
      </c>
      <c r="E26" s="21">
        <f t="shared" ref="E26:F33" ca="1" si="4">E14</f>
        <v>566.30416666666667</v>
      </c>
      <c r="F26" s="21">
        <f t="shared" ca="1" si="4"/>
        <v>0</v>
      </c>
      <c r="G26" s="21">
        <f>'Monthly Data'!BJ26</f>
        <v>654.33749999999986</v>
      </c>
      <c r="H26" s="21">
        <f>'Monthly Data'!BK26</f>
        <v>0</v>
      </c>
      <c r="I26" s="11">
        <f>'Monthly Data'!CV26</f>
        <v>0</v>
      </c>
      <c r="J26" s="7">
        <f>'Monthly Data'!CS26</f>
        <v>31</v>
      </c>
      <c r="K26" s="19">
        <f>'Monthly Data'!AO26</f>
        <v>800743</v>
      </c>
      <c r="L26" s="19">
        <f>'Monthly Data'!BT26</f>
        <v>0</v>
      </c>
      <c r="N26" s="11"/>
      <c r="O26" s="11">
        <f ca="1">(E26-G26)*'GS&lt;50 Predicted Monthly'!$X$9</f>
        <v>-1216247.3597337373</v>
      </c>
      <c r="P26" s="11">
        <f ca="1">(F26-H26)*'GS&lt;50 Predicted Monthly'!$X$10</f>
        <v>0</v>
      </c>
      <c r="Q26" s="11"/>
      <c r="R26" s="11"/>
      <c r="S26" s="11"/>
      <c r="T26" s="11"/>
      <c r="U26" s="13">
        <f t="shared" ca="1" si="2"/>
        <v>35613233.393134207</v>
      </c>
    </row>
    <row r="27" spans="1:21" x14ac:dyDescent="0.2">
      <c r="A27" s="8">
        <f>'Monthly Data'!A27</f>
        <v>43497</v>
      </c>
      <c r="B27">
        <f t="shared" si="0"/>
        <v>2019</v>
      </c>
      <c r="C27">
        <f t="shared" si="1"/>
        <v>2</v>
      </c>
      <c r="D27" s="18">
        <f>'Monthly Data'!J27</f>
        <v>33366900.493147276</v>
      </c>
      <c r="E27" s="21">
        <f t="shared" ca="1" si="4"/>
        <v>483.54541666666665</v>
      </c>
      <c r="F27" s="21">
        <f t="shared" ca="1" si="4"/>
        <v>0</v>
      </c>
      <c r="G27" s="21">
        <f>'Monthly Data'!BJ27</f>
        <v>517.91250000000002</v>
      </c>
      <c r="H27" s="21">
        <f>'Monthly Data'!BK27</f>
        <v>0</v>
      </c>
      <c r="I27" s="11">
        <f>'Monthly Data'!CV27</f>
        <v>0</v>
      </c>
      <c r="J27" s="7">
        <f>'Monthly Data'!CS27</f>
        <v>28</v>
      </c>
      <c r="K27" s="19">
        <f>'Monthly Data'!AO27</f>
        <v>800743</v>
      </c>
      <c r="L27" s="19">
        <f>'Monthly Data'!BT27</f>
        <v>0</v>
      </c>
      <c r="N27" s="11"/>
      <c r="O27" s="11">
        <f ca="1">(E27-G27)*'GS&lt;50 Predicted Monthly'!$X$9</f>
        <v>-474807.35743183765</v>
      </c>
      <c r="P27" s="11">
        <f ca="1">(F27-H27)*'GS&lt;50 Predicted Monthly'!$X$10</f>
        <v>0</v>
      </c>
      <c r="Q27" s="11"/>
      <c r="R27" s="11"/>
      <c r="S27" s="11"/>
      <c r="T27" s="11"/>
      <c r="U27" s="13">
        <f t="shared" ca="1" si="2"/>
        <v>32892093.13571544</v>
      </c>
    </row>
    <row r="28" spans="1:21" x14ac:dyDescent="0.2">
      <c r="A28" s="8">
        <f>'Monthly Data'!A28</f>
        <v>43525</v>
      </c>
      <c r="B28">
        <f t="shared" si="0"/>
        <v>2019</v>
      </c>
      <c r="C28">
        <f t="shared" si="1"/>
        <v>3</v>
      </c>
      <c r="D28" s="18">
        <f>'Monthly Data'!J28</f>
        <v>34872336.488189504</v>
      </c>
      <c r="E28" s="21">
        <f t="shared" ca="1" si="4"/>
        <v>393.96333333333331</v>
      </c>
      <c r="F28" s="21">
        <f t="shared" ca="1" si="4"/>
        <v>0</v>
      </c>
      <c r="G28" s="21">
        <f>'Monthly Data'!BJ28</f>
        <v>488.37083333333339</v>
      </c>
      <c r="H28" s="21">
        <f>'Monthly Data'!BK28</f>
        <v>0</v>
      </c>
      <c r="I28" s="11">
        <f>'Monthly Data'!CV28</f>
        <v>0</v>
      </c>
      <c r="J28" s="7">
        <f>'Monthly Data'!CS28</f>
        <v>31</v>
      </c>
      <c r="K28" s="19">
        <f>'Monthly Data'!AO28</f>
        <v>800743</v>
      </c>
      <c r="L28" s="19">
        <f>'Monthly Data'!BT28</f>
        <v>1</v>
      </c>
      <c r="N28" s="11"/>
      <c r="O28" s="11">
        <f ca="1">(E28-G28)*'GS&lt;50 Predicted Monthly'!$X$9</f>
        <v>-1304311.3132987099</v>
      </c>
      <c r="P28" s="11">
        <f ca="1">(F28-H28)*'GS&lt;50 Predicted Monthly'!$X$10</f>
        <v>0</v>
      </c>
      <c r="Q28" s="11"/>
      <c r="R28" s="11"/>
      <c r="S28" s="11"/>
      <c r="T28" s="11"/>
      <c r="U28" s="13">
        <f t="shared" ca="1" si="2"/>
        <v>33568025.174890794</v>
      </c>
    </row>
    <row r="29" spans="1:21" x14ac:dyDescent="0.2">
      <c r="A29" s="8">
        <f>'Monthly Data'!A29</f>
        <v>43556</v>
      </c>
      <c r="B29">
        <f t="shared" si="0"/>
        <v>2019</v>
      </c>
      <c r="C29">
        <f t="shared" si="1"/>
        <v>4</v>
      </c>
      <c r="D29" s="18">
        <f>'Monthly Data'!J29</f>
        <v>30563948.842154223</v>
      </c>
      <c r="E29" s="21">
        <f t="shared" ca="1" si="4"/>
        <v>226.60145833333337</v>
      </c>
      <c r="F29" s="21">
        <f t="shared" ca="1" si="4"/>
        <v>6.5650000000000031</v>
      </c>
      <c r="G29" s="21">
        <f>'Monthly Data'!BJ29</f>
        <v>235.04791666666668</v>
      </c>
      <c r="H29" s="21">
        <f>'Monthly Data'!BK29</f>
        <v>0</v>
      </c>
      <c r="I29" s="11">
        <f>'Monthly Data'!CV29</f>
        <v>0</v>
      </c>
      <c r="J29" s="7">
        <f>'Monthly Data'!CS29</f>
        <v>30</v>
      </c>
      <c r="K29" s="19">
        <f>'Monthly Data'!AO29</f>
        <v>806729</v>
      </c>
      <c r="L29" s="19">
        <f>'Monthly Data'!BT29</f>
        <v>0</v>
      </c>
      <c r="N29" s="11"/>
      <c r="O29" s="11">
        <f ca="1">(E29-G29)*'GS&lt;50 Predicted Monthly'!$X$9</f>
        <v>-116694.2368082281</v>
      </c>
      <c r="P29" s="11">
        <f ca="1">(F29-H29)*'GS&lt;50 Predicted Monthly'!$X$10</f>
        <v>282599.24442214705</v>
      </c>
      <c r="Q29" s="11"/>
      <c r="R29" s="11"/>
      <c r="S29" s="11"/>
      <c r="T29" s="11"/>
      <c r="U29" s="13">
        <f t="shared" ca="1" si="2"/>
        <v>30729853.849768139</v>
      </c>
    </row>
    <row r="30" spans="1:21" x14ac:dyDescent="0.2">
      <c r="A30" s="8">
        <f>'Monthly Data'!A30</f>
        <v>43586</v>
      </c>
      <c r="B30">
        <f t="shared" si="0"/>
        <v>2019</v>
      </c>
      <c r="C30">
        <f t="shared" si="1"/>
        <v>5</v>
      </c>
      <c r="D30" s="18">
        <f>'Monthly Data'!J30</f>
        <v>30439981.506023146</v>
      </c>
      <c r="E30" s="21">
        <f t="shared" ca="1" si="4"/>
        <v>65.335833333333326</v>
      </c>
      <c r="F30" s="21">
        <f t="shared" ca="1" si="4"/>
        <v>59.300416666666649</v>
      </c>
      <c r="G30" s="21">
        <f>'Monthly Data'!BJ30</f>
        <v>74.912499999999994</v>
      </c>
      <c r="H30" s="21">
        <f>'Monthly Data'!BK30</f>
        <v>20.48749999999999</v>
      </c>
      <c r="I30" s="11">
        <f>'Monthly Data'!CV30</f>
        <v>0</v>
      </c>
      <c r="J30" s="7">
        <f>'Monthly Data'!CS30</f>
        <v>31</v>
      </c>
      <c r="K30" s="19">
        <f>'Monthly Data'!AO30</f>
        <v>806729</v>
      </c>
      <c r="L30" s="19">
        <f>'Monthly Data'!BT30</f>
        <v>0</v>
      </c>
      <c r="N30" s="11"/>
      <c r="O30" s="11">
        <f ca="1">(E30-G30)*'GS&lt;50 Predicted Monthly'!$X$9</f>
        <v>-132308.92330613532</v>
      </c>
      <c r="P30" s="11">
        <f ca="1">(F30-H30)*'GS&lt;50 Predicted Monthly'!$X$10</f>
        <v>1670754.1391956969</v>
      </c>
      <c r="Q30" s="11"/>
      <c r="R30" s="11"/>
      <c r="S30" s="11"/>
      <c r="T30" s="11"/>
      <c r="U30" s="13">
        <f t="shared" ca="1" si="2"/>
        <v>31978426.721912708</v>
      </c>
    </row>
    <row r="31" spans="1:21" x14ac:dyDescent="0.2">
      <c r="A31" s="8">
        <f>'Monthly Data'!A31</f>
        <v>43617</v>
      </c>
      <c r="B31">
        <f t="shared" si="0"/>
        <v>2019</v>
      </c>
      <c r="C31">
        <f t="shared" si="1"/>
        <v>6</v>
      </c>
      <c r="D31" s="18">
        <f>'Monthly Data'!J31</f>
        <v>31958460.559302475</v>
      </c>
      <c r="E31" s="21">
        <f t="shared" ca="1" si="4"/>
        <v>3.0447916666666672</v>
      </c>
      <c r="F31" s="21">
        <f t="shared" ca="1" si="4"/>
        <v>157.17000000000002</v>
      </c>
      <c r="G31" s="21">
        <f>'Monthly Data'!BJ31</f>
        <v>4.4958333333333336</v>
      </c>
      <c r="H31" s="21">
        <f>'Monthly Data'!BK31</f>
        <v>127.21041666666667</v>
      </c>
      <c r="I31" s="11">
        <f>'Monthly Data'!CV31</f>
        <v>0</v>
      </c>
      <c r="J31" s="7">
        <f>'Monthly Data'!CS31</f>
        <v>30</v>
      </c>
      <c r="K31" s="19">
        <f>'Monthly Data'!AO31</f>
        <v>806729</v>
      </c>
      <c r="L31" s="19">
        <f>'Monthly Data'!BT31</f>
        <v>0</v>
      </c>
      <c r="N31" s="11"/>
      <c r="O31" s="11">
        <f ca="1">(E31-G31)*'GS&lt;50 Predicted Monthly'!$X$9</f>
        <v>-20047.242665054651</v>
      </c>
      <c r="P31" s="11">
        <f ca="1">(F31-H31)*'GS&lt;50 Predicted Monthly'!$X$10</f>
        <v>1289650.5122928177</v>
      </c>
      <c r="Q31" s="11"/>
      <c r="R31" s="11"/>
      <c r="S31" s="11"/>
      <c r="T31" s="11"/>
      <c r="U31" s="13">
        <f t="shared" ca="1" si="2"/>
        <v>33228063.828930236</v>
      </c>
    </row>
    <row r="32" spans="1:21" x14ac:dyDescent="0.2">
      <c r="A32" s="8">
        <f>'Monthly Data'!A32</f>
        <v>43647</v>
      </c>
      <c r="B32">
        <f t="shared" si="0"/>
        <v>2019</v>
      </c>
      <c r="C32">
        <f t="shared" si="1"/>
        <v>7</v>
      </c>
      <c r="D32" s="18">
        <f>'Monthly Data'!J32</f>
        <v>39000790.891762398</v>
      </c>
      <c r="E32" s="21">
        <f t="shared" ca="1" si="4"/>
        <v>0</v>
      </c>
      <c r="F32" s="21">
        <f t="shared" ca="1" si="4"/>
        <v>231.27145833333333</v>
      </c>
      <c r="G32" s="21">
        <f>'Monthly Data'!BJ32</f>
        <v>0</v>
      </c>
      <c r="H32" s="21">
        <f>'Monthly Data'!BK32</f>
        <v>252.07500000000005</v>
      </c>
      <c r="I32" s="11">
        <f>'Monthly Data'!CV32</f>
        <v>0</v>
      </c>
      <c r="J32" s="7">
        <f>'Monthly Data'!CS32</f>
        <v>31</v>
      </c>
      <c r="K32" s="19">
        <f>'Monthly Data'!AO32</f>
        <v>810697</v>
      </c>
      <c r="L32" s="19">
        <f>'Monthly Data'!BT32</f>
        <v>0</v>
      </c>
      <c r="N32" s="11"/>
      <c r="O32" s="11">
        <f ca="1">(E32-G32)*'GS&lt;50 Predicted Monthly'!$X$9</f>
        <v>0</v>
      </c>
      <c r="P32" s="11">
        <f ca="1">(F32-H32)*'GS&lt;50 Predicted Monthly'!$X$10</f>
        <v>-895516.3985231783</v>
      </c>
      <c r="Q32" s="11"/>
      <c r="R32" s="11"/>
      <c r="S32" s="11"/>
      <c r="T32" s="11"/>
      <c r="U32" s="13">
        <f t="shared" ca="1" si="2"/>
        <v>38105274.493239217</v>
      </c>
    </row>
    <row r="33" spans="1:21" x14ac:dyDescent="0.2">
      <c r="A33" s="8">
        <f>'Monthly Data'!A33</f>
        <v>43678</v>
      </c>
      <c r="B33">
        <f t="shared" si="0"/>
        <v>2019</v>
      </c>
      <c r="C33">
        <f t="shared" si="1"/>
        <v>8</v>
      </c>
      <c r="D33" s="18">
        <f>'Monthly Data'!J33</f>
        <v>36320178.532291718</v>
      </c>
      <c r="E33" s="21">
        <f t="shared" ca="1" si="4"/>
        <v>0.27875000000000066</v>
      </c>
      <c r="F33" s="21">
        <f t="shared" ca="1" si="4"/>
        <v>196.13625000000002</v>
      </c>
      <c r="G33" s="21">
        <f>'Monthly Data'!BJ33</f>
        <v>0</v>
      </c>
      <c r="H33" s="21">
        <f>'Monthly Data'!BK33</f>
        <v>182.71666666666661</v>
      </c>
      <c r="I33" s="11">
        <f>'Monthly Data'!CV33</f>
        <v>0</v>
      </c>
      <c r="J33" s="7">
        <f>'Monthly Data'!CS33</f>
        <v>31</v>
      </c>
      <c r="K33" s="19">
        <f>'Monthly Data'!AO33</f>
        <v>810697</v>
      </c>
      <c r="L33" s="19">
        <f>'Monthly Data'!BT33</f>
        <v>0</v>
      </c>
      <c r="N33" s="11"/>
      <c r="O33" s="11">
        <f ca="1">(E33-G33)*'GS&lt;50 Predicted Monthly'!$X$9</f>
        <v>3851.1429556128055</v>
      </c>
      <c r="P33" s="11">
        <f ca="1">(F33-H33)*'GS&lt;50 Predicted Monthly'!$X$10</f>
        <v>577663.9924539309</v>
      </c>
      <c r="Q33" s="11"/>
      <c r="R33" s="11"/>
      <c r="S33" s="11"/>
      <c r="T33" s="11"/>
      <c r="U33" s="13">
        <f t="shared" ca="1" si="2"/>
        <v>36901693.667701267</v>
      </c>
    </row>
    <row r="34" spans="1:21" x14ac:dyDescent="0.2">
      <c r="A34" s="8">
        <f>'Monthly Data'!A34</f>
        <v>43709</v>
      </c>
      <c r="B34">
        <f t="shared" si="0"/>
        <v>2019</v>
      </c>
      <c r="C34">
        <f t="shared" si="1"/>
        <v>9</v>
      </c>
      <c r="D34" s="18">
        <f>'Monthly Data'!J34</f>
        <v>31962336.608666547</v>
      </c>
      <c r="E34" s="21">
        <f t="shared" ref="E34:F49" ca="1" si="5">E22</f>
        <v>11.319999999999997</v>
      </c>
      <c r="F34" s="21">
        <f t="shared" ca="1" si="5"/>
        <v>104.19854166666664</v>
      </c>
      <c r="G34" s="21">
        <f>'Monthly Data'!BJ34</f>
        <v>1.8833333333333364</v>
      </c>
      <c r="H34" s="21">
        <f>'Monthly Data'!BK34</f>
        <v>103.38124999999999</v>
      </c>
      <c r="I34" s="11">
        <f>'Monthly Data'!CV34</f>
        <v>0</v>
      </c>
      <c r="J34" s="7">
        <f>'Monthly Data'!CS34</f>
        <v>30</v>
      </c>
      <c r="K34" s="19">
        <f>'Monthly Data'!AO34</f>
        <v>810697</v>
      </c>
      <c r="L34" s="19">
        <f>'Monthly Data'!BT34</f>
        <v>0</v>
      </c>
      <c r="N34" s="11"/>
      <c r="O34" s="11">
        <f ca="1">(E34-G34)*'GS&lt;50 Predicted Monthly'!$X$9</f>
        <v>130374.71697865255</v>
      </c>
      <c r="P34" s="11">
        <f ca="1">(F34-H34)*'GS&lt;50 Predicted Monthly'!$X$10</f>
        <v>35181.417741433652</v>
      </c>
      <c r="Q34" s="11"/>
      <c r="R34" s="11"/>
      <c r="S34" s="11"/>
      <c r="T34" s="11"/>
      <c r="U34" s="13">
        <f t="shared" ref="U34:U65" ca="1" si="6">D34+O34+P34</f>
        <v>32127892.743386634</v>
      </c>
    </row>
    <row r="35" spans="1:21" x14ac:dyDescent="0.2">
      <c r="A35" s="8">
        <f>'Monthly Data'!A35</f>
        <v>43739</v>
      </c>
      <c r="B35">
        <f t="shared" si="0"/>
        <v>2019</v>
      </c>
      <c r="C35">
        <f t="shared" si="1"/>
        <v>10</v>
      </c>
      <c r="D35" s="18">
        <f>'Monthly Data'!J35</f>
        <v>30759281.251047574</v>
      </c>
      <c r="E35" s="21">
        <f t="shared" ca="1" si="5"/>
        <v>126.12583333333332</v>
      </c>
      <c r="F35" s="21">
        <f t="shared" ca="1" si="5"/>
        <v>24.703125000000007</v>
      </c>
      <c r="G35" s="21">
        <f>'Monthly Data'!BJ35</f>
        <v>126.96250000000001</v>
      </c>
      <c r="H35" s="21">
        <f>'Monthly Data'!BK35</f>
        <v>10.866666666666669</v>
      </c>
      <c r="I35" s="11">
        <f>'Monthly Data'!CV35</f>
        <v>0</v>
      </c>
      <c r="J35" s="7">
        <f>'Monthly Data'!CS35</f>
        <v>31</v>
      </c>
      <c r="K35" s="19">
        <f>'Monthly Data'!AO35</f>
        <v>812164</v>
      </c>
      <c r="L35" s="19">
        <f>'Monthly Data'!BT35</f>
        <v>0</v>
      </c>
      <c r="N35" s="11"/>
      <c r="O35" s="11">
        <f ca="1">(E35-G35)*'GS&lt;50 Predicted Monthly'!$X$9</f>
        <v>-11559.185433289516</v>
      </c>
      <c r="P35" s="11">
        <f ca="1">(F35-H35)*'GS&lt;50 Predicted Monthly'!$X$10</f>
        <v>595608.93685887579</v>
      </c>
      <c r="Q35" s="11"/>
      <c r="R35" s="11"/>
      <c r="S35" s="11"/>
      <c r="T35" s="11"/>
      <c r="U35" s="13">
        <f t="shared" ca="1" si="6"/>
        <v>31343331.002473161</v>
      </c>
    </row>
    <row r="36" spans="1:21" x14ac:dyDescent="0.2">
      <c r="A36" s="8">
        <f>'Monthly Data'!A36</f>
        <v>43770</v>
      </c>
      <c r="B36">
        <f t="shared" si="0"/>
        <v>2019</v>
      </c>
      <c r="C36">
        <f t="shared" si="1"/>
        <v>11</v>
      </c>
      <c r="D36" s="18">
        <f>'Monthly Data'!J36</f>
        <v>33141456.629586298</v>
      </c>
      <c r="E36" s="21">
        <f t="shared" ca="1" si="5"/>
        <v>312.40687500000001</v>
      </c>
      <c r="F36" s="21">
        <f t="shared" ca="1" si="5"/>
        <v>1.6454166666666665</v>
      </c>
      <c r="G36" s="21">
        <f>'Monthly Data'!BJ36</f>
        <v>403.4666666666667</v>
      </c>
      <c r="H36" s="21">
        <f>'Monthly Data'!BK36</f>
        <v>0</v>
      </c>
      <c r="I36" s="11">
        <f>'Monthly Data'!CV36</f>
        <v>0</v>
      </c>
      <c r="J36" s="7">
        <f>'Monthly Data'!CS36</f>
        <v>30</v>
      </c>
      <c r="K36" s="19">
        <f>'Monthly Data'!AO36</f>
        <v>812164</v>
      </c>
      <c r="L36" s="19">
        <f>'Monthly Data'!BT36</f>
        <v>0</v>
      </c>
      <c r="N36" s="11"/>
      <c r="O36" s="11">
        <f ca="1">(E36-G36)*'GS&lt;50 Predicted Monthly'!$X$9</f>
        <v>-1258060.1801494251</v>
      </c>
      <c r="P36" s="11">
        <f ca="1">(F36-H36)*'GS&lt;50 Predicted Monthly'!$X$10</f>
        <v>70829.170869704118</v>
      </c>
      <c r="Q36" s="11"/>
      <c r="R36" s="11"/>
      <c r="S36" s="11"/>
      <c r="T36" s="11"/>
      <c r="U36" s="13">
        <f t="shared" ca="1" si="6"/>
        <v>31954225.620306578</v>
      </c>
    </row>
    <row r="37" spans="1:21" x14ac:dyDescent="0.2">
      <c r="A37" s="8">
        <f>'Monthly Data'!A37</f>
        <v>43800</v>
      </c>
      <c r="B37">
        <f t="shared" si="0"/>
        <v>2019</v>
      </c>
      <c r="C37">
        <f t="shared" si="1"/>
        <v>12</v>
      </c>
      <c r="D37" s="18">
        <f>'Monthly Data'!J37</f>
        <v>34727182.032087423</v>
      </c>
      <c r="E37" s="21">
        <f t="shared" ca="1" si="5"/>
        <v>473.52499999999998</v>
      </c>
      <c r="F37" s="21">
        <f t="shared" ca="1" si="5"/>
        <v>0</v>
      </c>
      <c r="G37" s="21">
        <f>'Monthly Data'!BJ37</f>
        <v>456.13125000000002</v>
      </c>
      <c r="H37" s="21">
        <f>'Monthly Data'!BK37</f>
        <v>0</v>
      </c>
      <c r="I37" s="11">
        <f>'Monthly Data'!CV37</f>
        <v>0</v>
      </c>
      <c r="J37" s="7">
        <f>'Monthly Data'!CS37</f>
        <v>31</v>
      </c>
      <c r="K37" s="19">
        <f>'Monthly Data'!AO37</f>
        <v>812164</v>
      </c>
      <c r="L37" s="19">
        <f>'Monthly Data'!BT37</f>
        <v>0</v>
      </c>
      <c r="N37" s="11"/>
      <c r="O37" s="11">
        <f ca="1">(E37-G37)*'GS&lt;50 Predicted Monthly'!$X$9</f>
        <v>240307.86649036736</v>
      </c>
      <c r="P37" s="11">
        <f ca="1">(F37-H37)*'GS&lt;50 Predicted Monthly'!$X$10</f>
        <v>0</v>
      </c>
      <c r="Q37" s="11"/>
      <c r="R37" s="11"/>
      <c r="S37" s="11"/>
      <c r="T37" s="11"/>
      <c r="U37" s="13">
        <f t="shared" ca="1" si="6"/>
        <v>34967489.898577787</v>
      </c>
    </row>
    <row r="38" spans="1:21" x14ac:dyDescent="0.2">
      <c r="A38" s="8">
        <f>'Monthly Data'!A38</f>
        <v>43831</v>
      </c>
      <c r="B38">
        <f t="shared" si="0"/>
        <v>2020</v>
      </c>
      <c r="C38">
        <f t="shared" si="1"/>
        <v>1</v>
      </c>
      <c r="D38" s="18">
        <f>'Monthly Data'!J38</f>
        <v>35587534.780226827</v>
      </c>
      <c r="E38" s="21">
        <f t="shared" ca="1" si="5"/>
        <v>566.30416666666667</v>
      </c>
      <c r="F38" s="21">
        <f t="shared" ca="1" si="5"/>
        <v>0</v>
      </c>
      <c r="G38" s="21">
        <f>'Monthly Data'!BJ38</f>
        <v>478.31249999999994</v>
      </c>
      <c r="H38" s="21">
        <f>'Monthly Data'!BK38</f>
        <v>0</v>
      </c>
      <c r="I38" s="11">
        <f>'Monthly Data'!CV38</f>
        <v>0</v>
      </c>
      <c r="J38" s="7">
        <f>'Monthly Data'!CS38</f>
        <v>31</v>
      </c>
      <c r="K38" s="19">
        <f>'Monthly Data'!AO38</f>
        <v>801246</v>
      </c>
      <c r="L38" s="19">
        <f>'Monthly Data'!BT38</f>
        <v>0</v>
      </c>
      <c r="N38" s="11"/>
      <c r="O38" s="11">
        <f ca="1">(E38-G38)*'GS&lt;50 Predicted Monthly'!$X$9</f>
        <v>1215671.7030886561</v>
      </c>
      <c r="P38" s="11">
        <f ca="1">(F38-H38)*'GS&lt;50 Predicted Monthly'!$X$10</f>
        <v>0</v>
      </c>
      <c r="Q38" s="11"/>
      <c r="R38" s="11"/>
      <c r="S38" s="11"/>
      <c r="T38" s="11"/>
      <c r="U38" s="13">
        <f t="shared" ca="1" si="6"/>
        <v>36803206.483315483</v>
      </c>
    </row>
    <row r="39" spans="1:21" x14ac:dyDescent="0.2">
      <c r="A39" s="8">
        <f>'Monthly Data'!A39</f>
        <v>43862</v>
      </c>
      <c r="B39">
        <f t="shared" si="0"/>
        <v>2020</v>
      </c>
      <c r="C39">
        <f t="shared" si="1"/>
        <v>2</v>
      </c>
      <c r="D39" s="18">
        <f>'Monthly Data'!J39</f>
        <v>33755956.937224291</v>
      </c>
      <c r="E39" s="21">
        <f t="shared" ca="1" si="5"/>
        <v>483.54541666666665</v>
      </c>
      <c r="F39" s="21">
        <f t="shared" ca="1" si="5"/>
        <v>0</v>
      </c>
      <c r="G39" s="21">
        <f>'Monthly Data'!BJ39</f>
        <v>496.01666666666659</v>
      </c>
      <c r="H39" s="21">
        <f>'Monthly Data'!BK39</f>
        <v>0</v>
      </c>
      <c r="I39" s="11">
        <f>'Monthly Data'!CV39</f>
        <v>0</v>
      </c>
      <c r="J39" s="7">
        <f>'Monthly Data'!CS39</f>
        <v>29</v>
      </c>
      <c r="K39" s="19">
        <f>'Monthly Data'!AO39</f>
        <v>801246</v>
      </c>
      <c r="L39" s="19">
        <f>'Monthly Data'!BT39</f>
        <v>0</v>
      </c>
      <c r="N39" s="11"/>
      <c r="O39" s="11">
        <f ca="1">(E39-G39)*'GS&lt;50 Predicted Monthly'!$X$9</f>
        <v>-172299.79044012865</v>
      </c>
      <c r="P39" s="11">
        <f ca="1">(F39-H39)*'GS&lt;50 Predicted Monthly'!$X$10</f>
        <v>0</v>
      </c>
      <c r="Q39" s="11"/>
      <c r="R39" s="11"/>
      <c r="S39" s="11"/>
      <c r="T39" s="11"/>
      <c r="U39" s="13">
        <f t="shared" ca="1" si="6"/>
        <v>33583657.146784164</v>
      </c>
    </row>
    <row r="40" spans="1:21" x14ac:dyDescent="0.2">
      <c r="A40" s="8">
        <f>'Monthly Data'!A40</f>
        <v>43891</v>
      </c>
      <c r="B40">
        <f t="shared" si="0"/>
        <v>2020</v>
      </c>
      <c r="C40">
        <f t="shared" si="1"/>
        <v>3</v>
      </c>
      <c r="D40" s="18">
        <f>'Monthly Data'!J40</f>
        <v>31961407.074373361</v>
      </c>
      <c r="E40" s="21">
        <f t="shared" ca="1" si="5"/>
        <v>393.96333333333331</v>
      </c>
      <c r="F40" s="21">
        <f t="shared" ca="1" si="5"/>
        <v>0</v>
      </c>
      <c r="G40" s="21">
        <f>'Monthly Data'!BJ40</f>
        <v>346.7208333333333</v>
      </c>
      <c r="H40" s="21">
        <f>'Monthly Data'!BK40</f>
        <v>0</v>
      </c>
      <c r="I40" s="11">
        <f>'Monthly Data'!CV40</f>
        <v>0.5</v>
      </c>
      <c r="J40" s="7">
        <f>'Monthly Data'!CS40</f>
        <v>31</v>
      </c>
      <c r="K40" s="19">
        <f>'Monthly Data'!AO40</f>
        <v>801246</v>
      </c>
      <c r="L40" s="19">
        <f>'Monthly Data'!BT40</f>
        <v>1</v>
      </c>
      <c r="N40" s="11"/>
      <c r="O40" s="11">
        <f ca="1">(E40-G40)*'GS&lt;50 Predicted Monthly'!$X$9</f>
        <v>652691.01732928271</v>
      </c>
      <c r="P40" s="11">
        <f ca="1">(F40-H40)*'GS&lt;50 Predicted Monthly'!$X$10</f>
        <v>0</v>
      </c>
      <c r="Q40" s="11"/>
      <c r="R40" s="11"/>
      <c r="S40" s="11"/>
      <c r="T40" s="11"/>
      <c r="U40" s="13">
        <f t="shared" ca="1" si="6"/>
        <v>32614098.091702644</v>
      </c>
    </row>
    <row r="41" spans="1:21" x14ac:dyDescent="0.2">
      <c r="A41" s="8">
        <f>'Monthly Data'!A41</f>
        <v>43922</v>
      </c>
      <c r="B41">
        <f t="shared" si="0"/>
        <v>2020</v>
      </c>
      <c r="C41">
        <f t="shared" si="1"/>
        <v>4</v>
      </c>
      <c r="D41" s="18">
        <f>'Monthly Data'!J41</f>
        <v>26435861.898934826</v>
      </c>
      <c r="E41" s="21">
        <f t="shared" ca="1" si="5"/>
        <v>226.60145833333337</v>
      </c>
      <c r="F41" s="21">
        <f t="shared" ca="1" si="5"/>
        <v>6.5650000000000031</v>
      </c>
      <c r="G41" s="21">
        <f>'Monthly Data'!BJ41</f>
        <v>265.07083333333338</v>
      </c>
      <c r="H41" s="21">
        <f>'Monthly Data'!BK41</f>
        <v>0</v>
      </c>
      <c r="I41" s="11">
        <f>'Monthly Data'!CV41</f>
        <v>1</v>
      </c>
      <c r="J41" s="7">
        <f>'Monthly Data'!CS41</f>
        <v>30</v>
      </c>
      <c r="K41" s="19">
        <f>'Monthly Data'!AO41</f>
        <v>705711</v>
      </c>
      <c r="L41" s="19">
        <f>'Monthly Data'!BT41</f>
        <v>0</v>
      </c>
      <c r="N41" s="11"/>
      <c r="O41" s="11">
        <f ca="1">(E41-G41)*'GS&lt;50 Predicted Monthly'!$X$9</f>
        <v>-531483.63242359483</v>
      </c>
      <c r="P41" s="11">
        <f ca="1">(F41-H41)*'GS&lt;50 Predicted Monthly'!$X$10</f>
        <v>282599.24442214705</v>
      </c>
      <c r="Q41" s="11"/>
      <c r="R41" s="11"/>
      <c r="S41" s="11"/>
      <c r="T41" s="11"/>
      <c r="U41" s="13">
        <f t="shared" ca="1" si="6"/>
        <v>26186977.510933377</v>
      </c>
    </row>
    <row r="42" spans="1:21" x14ac:dyDescent="0.2">
      <c r="A42" s="8">
        <f>'Monthly Data'!A42</f>
        <v>43952</v>
      </c>
      <c r="B42">
        <f t="shared" si="0"/>
        <v>2020</v>
      </c>
      <c r="C42">
        <f t="shared" si="1"/>
        <v>5</v>
      </c>
      <c r="D42" s="18">
        <f>'Monthly Data'!J42</f>
        <v>27588460.479361489</v>
      </c>
      <c r="E42" s="21">
        <f t="shared" ca="1" si="5"/>
        <v>65.335833333333326</v>
      </c>
      <c r="F42" s="21">
        <f t="shared" ca="1" si="5"/>
        <v>59.300416666666649</v>
      </c>
      <c r="G42" s="21">
        <f>'Monthly Data'!BJ42</f>
        <v>117.34583333333333</v>
      </c>
      <c r="H42" s="21">
        <f>'Monthly Data'!BK42</f>
        <v>55.616666666666646</v>
      </c>
      <c r="I42" s="11">
        <f>'Monthly Data'!CV42</f>
        <v>1</v>
      </c>
      <c r="J42" s="7">
        <f>'Monthly Data'!CS42</f>
        <v>31</v>
      </c>
      <c r="K42" s="19">
        <f>'Monthly Data'!AO42</f>
        <v>705711</v>
      </c>
      <c r="L42" s="19">
        <f>'Monthly Data'!BT42</f>
        <v>0</v>
      </c>
      <c r="N42" s="11"/>
      <c r="O42" s="11">
        <f ca="1">(E42-G42)*'GS&lt;50 Predicted Monthly'!$X$9</f>
        <v>-718557.65065980831</v>
      </c>
      <c r="P42" s="11">
        <f ca="1">(F42-H42)*'GS&lt;50 Predicted Monthly'!$X$10</f>
        <v>158571.96750039372</v>
      </c>
      <c r="Q42" s="11"/>
      <c r="R42" s="11"/>
      <c r="S42" s="11"/>
      <c r="T42" s="11"/>
      <c r="U42" s="13">
        <f t="shared" ca="1" si="6"/>
        <v>27028474.796202075</v>
      </c>
    </row>
    <row r="43" spans="1:21" x14ac:dyDescent="0.2">
      <c r="A43" s="8">
        <f>'Monthly Data'!A43</f>
        <v>43983</v>
      </c>
      <c r="B43">
        <f t="shared" si="0"/>
        <v>2020</v>
      </c>
      <c r="C43">
        <f t="shared" si="1"/>
        <v>6</v>
      </c>
      <c r="D43" s="18">
        <f>'Monthly Data'!J43</f>
        <v>32012058.677479155</v>
      </c>
      <c r="E43" s="21">
        <f t="shared" ca="1" si="5"/>
        <v>3.0447916666666672</v>
      </c>
      <c r="F43" s="21">
        <f t="shared" ca="1" si="5"/>
        <v>157.17000000000002</v>
      </c>
      <c r="G43" s="21">
        <f>'Monthly Data'!BJ43</f>
        <v>3.7708333333333339</v>
      </c>
      <c r="H43" s="21">
        <f>'Monthly Data'!BK43</f>
        <v>167.22499999999997</v>
      </c>
      <c r="I43" s="11">
        <f>'Monthly Data'!CV43</f>
        <v>0.5</v>
      </c>
      <c r="J43" s="7">
        <f>'Monthly Data'!CS43</f>
        <v>30</v>
      </c>
      <c r="K43" s="19">
        <f>'Monthly Data'!AO43</f>
        <v>705711</v>
      </c>
      <c r="L43" s="19">
        <f>'Monthly Data'!BT43</f>
        <v>0</v>
      </c>
      <c r="N43" s="11"/>
      <c r="O43" s="11">
        <f ca="1">(E43-G43)*'GS&lt;50 Predicted Monthly'!$X$9</f>
        <v>-10030.817040590879</v>
      </c>
      <c r="P43" s="11">
        <f ca="1">(F43-H43)*'GS&lt;50 Predicted Monthly'!$X$10</f>
        <v>-432830.98288875446</v>
      </c>
      <c r="Q43" s="11"/>
      <c r="R43" s="11"/>
      <c r="S43" s="11"/>
      <c r="T43" s="11"/>
      <c r="U43" s="13">
        <f t="shared" ca="1" si="6"/>
        <v>31569196.877549808</v>
      </c>
    </row>
    <row r="44" spans="1:21" x14ac:dyDescent="0.2">
      <c r="A44" s="8">
        <f>'Monthly Data'!A44</f>
        <v>44013</v>
      </c>
      <c r="B44">
        <f t="shared" si="0"/>
        <v>2020</v>
      </c>
      <c r="C44">
        <f t="shared" si="1"/>
        <v>7</v>
      </c>
      <c r="D44" s="18">
        <f>'Monthly Data'!J44</f>
        <v>38745453.377998121</v>
      </c>
      <c r="E44" s="21">
        <f t="shared" ca="1" si="5"/>
        <v>0</v>
      </c>
      <c r="F44" s="21">
        <f t="shared" ca="1" si="5"/>
        <v>231.27145833333333</v>
      </c>
      <c r="G44" s="21">
        <f>'Monthly Data'!BJ44</f>
        <v>0</v>
      </c>
      <c r="H44" s="21">
        <f>'Monthly Data'!BK44</f>
        <v>285.85000000000008</v>
      </c>
      <c r="I44" s="11">
        <f>'Monthly Data'!CV44</f>
        <v>0.5</v>
      </c>
      <c r="J44" s="7">
        <f>'Monthly Data'!CS44</f>
        <v>31</v>
      </c>
      <c r="K44" s="19">
        <f>'Monthly Data'!AO44</f>
        <v>778294</v>
      </c>
      <c r="L44" s="19">
        <f>'Monthly Data'!BT44</f>
        <v>0</v>
      </c>
      <c r="N44" s="11"/>
      <c r="O44" s="11">
        <f ca="1">(E44-G44)*'GS&lt;50 Predicted Monthly'!$X$9</f>
        <v>0</v>
      </c>
      <c r="P44" s="11">
        <f ca="1">(F44-H44)*'GS&lt;50 Predicted Monthly'!$X$10</f>
        <v>-2349406.6468640803</v>
      </c>
      <c r="Q44" s="11"/>
      <c r="R44" s="11"/>
      <c r="S44" s="11"/>
      <c r="T44" s="11"/>
      <c r="U44" s="13">
        <f t="shared" ca="1" si="6"/>
        <v>36396046.731134042</v>
      </c>
    </row>
    <row r="45" spans="1:21" x14ac:dyDescent="0.2">
      <c r="A45" s="8">
        <f>'Monthly Data'!A45</f>
        <v>44044</v>
      </c>
      <c r="B45">
        <f t="shared" si="0"/>
        <v>2020</v>
      </c>
      <c r="C45">
        <f t="shared" si="1"/>
        <v>8</v>
      </c>
      <c r="D45" s="18">
        <f>'Monthly Data'!J45</f>
        <v>35336767.432149887</v>
      </c>
      <c r="E45" s="21">
        <f t="shared" ca="1" si="5"/>
        <v>0.27875000000000066</v>
      </c>
      <c r="F45" s="21">
        <f t="shared" ca="1" si="5"/>
        <v>196.13625000000002</v>
      </c>
      <c r="G45" s="21">
        <f>'Monthly Data'!BJ45</f>
        <v>0</v>
      </c>
      <c r="H45" s="21">
        <f>'Monthly Data'!BK45</f>
        <v>199.54583333333341</v>
      </c>
      <c r="I45" s="11">
        <f>'Monthly Data'!CV45</f>
        <v>0.5</v>
      </c>
      <c r="J45" s="7">
        <f>'Monthly Data'!CS45</f>
        <v>31</v>
      </c>
      <c r="K45" s="19">
        <f>'Monthly Data'!AO45</f>
        <v>778294</v>
      </c>
      <c r="L45" s="19">
        <f>'Monthly Data'!BT45</f>
        <v>0</v>
      </c>
      <c r="N45" s="11"/>
      <c r="O45" s="11">
        <f ca="1">(E45-G45)*'GS&lt;50 Predicted Monthly'!$X$9</f>
        <v>3851.1429556128055</v>
      </c>
      <c r="P45" s="11">
        <f ca="1">(F45-H45)*'GS&lt;50 Predicted Monthly'!$X$10</f>
        <v>-146770.09501818131</v>
      </c>
      <c r="Q45" s="11"/>
      <c r="R45" s="11"/>
      <c r="S45" s="11"/>
      <c r="T45" s="11"/>
      <c r="U45" s="13">
        <f t="shared" ca="1" si="6"/>
        <v>35193848.480087325</v>
      </c>
    </row>
    <row r="46" spans="1:21" x14ac:dyDescent="0.2">
      <c r="A46" s="8">
        <f>'Monthly Data'!A46</f>
        <v>44075</v>
      </c>
      <c r="B46">
        <f t="shared" si="0"/>
        <v>2020</v>
      </c>
      <c r="C46">
        <f t="shared" si="1"/>
        <v>9</v>
      </c>
      <c r="D46" s="18">
        <f>'Monthly Data'!J46</f>
        <v>30064424.989130653</v>
      </c>
      <c r="E46" s="21">
        <f t="shared" ca="1" si="5"/>
        <v>11.319999999999997</v>
      </c>
      <c r="F46" s="21">
        <f t="shared" ca="1" si="5"/>
        <v>104.19854166666664</v>
      </c>
      <c r="G46" s="21">
        <f>'Monthly Data'!BJ46</f>
        <v>25.787499999999994</v>
      </c>
      <c r="H46" s="21">
        <f>'Monthly Data'!BK46</f>
        <v>71.695833333333354</v>
      </c>
      <c r="I46" s="11">
        <f>'Monthly Data'!CV46</f>
        <v>0.5</v>
      </c>
      <c r="J46" s="7">
        <f>'Monthly Data'!CS46</f>
        <v>30</v>
      </c>
      <c r="K46" s="19">
        <f>'Monthly Data'!AO46</f>
        <v>778294</v>
      </c>
      <c r="L46" s="19">
        <f>'Monthly Data'!BT46</f>
        <v>0</v>
      </c>
      <c r="N46" s="11"/>
      <c r="O46" s="11">
        <f ca="1">(E46-G46)*'GS&lt;50 Predicted Monthly'!$X$9</f>
        <v>-199879.50030610987</v>
      </c>
      <c r="P46" s="11">
        <f ca="1">(F46-H46)*'GS&lt;50 Predicted Monthly'!$X$10</f>
        <v>1399122.7443523847</v>
      </c>
      <c r="Q46" s="11"/>
      <c r="R46" s="11"/>
      <c r="S46" s="11"/>
      <c r="T46" s="11"/>
      <c r="U46" s="13">
        <f t="shared" ca="1" si="6"/>
        <v>31263668.233176928</v>
      </c>
    </row>
    <row r="47" spans="1:21" x14ac:dyDescent="0.2">
      <c r="A47" s="8">
        <f>'Monthly Data'!A47</f>
        <v>44105</v>
      </c>
      <c r="B47">
        <f t="shared" si="0"/>
        <v>2020</v>
      </c>
      <c r="C47">
        <f t="shared" si="1"/>
        <v>10</v>
      </c>
      <c r="D47" s="18">
        <f>'Monthly Data'!J47</f>
        <v>29507060.335061818</v>
      </c>
      <c r="E47" s="21">
        <f t="shared" ca="1" si="5"/>
        <v>126.12583333333332</v>
      </c>
      <c r="F47" s="21">
        <f t="shared" ca="1" si="5"/>
        <v>24.703125000000007</v>
      </c>
      <c r="G47" s="21">
        <f>'Monthly Data'!BJ47</f>
        <v>165.45833333333334</v>
      </c>
      <c r="H47" s="21">
        <f>'Monthly Data'!BK47</f>
        <v>4.0104166666666714</v>
      </c>
      <c r="I47" s="11">
        <f>'Monthly Data'!CV47</f>
        <v>0.5</v>
      </c>
      <c r="J47" s="7">
        <f>'Monthly Data'!CS47</f>
        <v>31</v>
      </c>
      <c r="K47" s="19">
        <f>'Monthly Data'!AO47</f>
        <v>797313</v>
      </c>
      <c r="L47" s="19">
        <f>'Monthly Data'!BT47</f>
        <v>0</v>
      </c>
      <c r="N47" s="11"/>
      <c r="O47" s="11">
        <f ca="1">(E47-G47)*'GS&lt;50 Predicted Monthly'!$X$9</f>
        <v>-543408.35982651263</v>
      </c>
      <c r="P47" s="11">
        <f ca="1">(F47-H47)*'GS&lt;50 Predicted Monthly'!$X$10</f>
        <v>890745.42879632348</v>
      </c>
      <c r="Q47" s="11"/>
      <c r="R47" s="11"/>
      <c r="S47" s="11"/>
      <c r="T47" s="11"/>
      <c r="U47" s="13">
        <f t="shared" ca="1" si="6"/>
        <v>29854397.404031631</v>
      </c>
    </row>
    <row r="48" spans="1:21" x14ac:dyDescent="0.2">
      <c r="A48" s="8">
        <f>'Monthly Data'!A48</f>
        <v>44136</v>
      </c>
      <c r="B48">
        <f t="shared" si="0"/>
        <v>2020</v>
      </c>
      <c r="C48">
        <f t="shared" si="1"/>
        <v>11</v>
      </c>
      <c r="D48" s="18">
        <f>'Monthly Data'!J48</f>
        <v>30257073.560644682</v>
      </c>
      <c r="E48" s="21">
        <f t="shared" ca="1" si="5"/>
        <v>312.40687500000001</v>
      </c>
      <c r="F48" s="21">
        <f t="shared" ca="1" si="5"/>
        <v>1.6454166666666665</v>
      </c>
      <c r="G48" s="21">
        <f>'Monthly Data'!BJ48</f>
        <v>238.94583333333335</v>
      </c>
      <c r="H48" s="21">
        <f>'Monthly Data'!BK48</f>
        <v>3.091666666666665</v>
      </c>
      <c r="I48" s="11">
        <f>'Monthly Data'!CV48</f>
        <v>0.5</v>
      </c>
      <c r="J48" s="7">
        <f>'Monthly Data'!CS48</f>
        <v>30</v>
      </c>
      <c r="K48" s="19">
        <f>'Monthly Data'!AO48</f>
        <v>797313</v>
      </c>
      <c r="L48" s="19">
        <f>'Monthly Data'!BT48</f>
        <v>0</v>
      </c>
      <c r="N48" s="11"/>
      <c r="O48" s="11">
        <f ca="1">(E48-G48)*'GS&lt;50 Predicted Monthly'!$X$9</f>
        <v>1014920.0829652428</v>
      </c>
      <c r="P48" s="11">
        <f ca="1">(F48-H48)*'GS&lt;50 Predicted Monthly'!$X$10</f>
        <v>-62255.774142502596</v>
      </c>
      <c r="Q48" s="11"/>
      <c r="R48" s="11"/>
      <c r="S48" s="11"/>
      <c r="T48" s="11"/>
      <c r="U48" s="13">
        <f t="shared" ca="1" si="6"/>
        <v>31209737.869467422</v>
      </c>
    </row>
    <row r="49" spans="1:21" x14ac:dyDescent="0.2">
      <c r="A49" s="8">
        <f>'Monthly Data'!A49</f>
        <v>44166</v>
      </c>
      <c r="B49">
        <f t="shared" si="0"/>
        <v>2020</v>
      </c>
      <c r="C49">
        <f t="shared" si="1"/>
        <v>12</v>
      </c>
      <c r="D49" s="18">
        <f>'Monthly Data'!J49</f>
        <v>33353346.81291895</v>
      </c>
      <c r="E49" s="21">
        <f t="shared" ca="1" si="5"/>
        <v>473.52499999999998</v>
      </c>
      <c r="F49" s="21">
        <f t="shared" ca="1" si="5"/>
        <v>0</v>
      </c>
      <c r="G49" s="21">
        <f>'Monthly Data'!BJ49</f>
        <v>455.59791666666672</v>
      </c>
      <c r="H49" s="21">
        <f>'Monthly Data'!BK49</f>
        <v>0</v>
      </c>
      <c r="I49" s="11">
        <f>'Monthly Data'!CV49</f>
        <v>0.5</v>
      </c>
      <c r="J49" s="7">
        <f>'Monthly Data'!CS49</f>
        <v>31</v>
      </c>
      <c r="K49" s="19">
        <f>'Monthly Data'!AO49</f>
        <v>797313</v>
      </c>
      <c r="L49" s="19">
        <f>'Monthly Data'!BT49</f>
        <v>0</v>
      </c>
      <c r="N49" s="11"/>
      <c r="O49" s="11">
        <f ca="1">(E49-G49)*'GS&lt;50 Predicted Monthly'!$X$9</f>
        <v>247676.27154744376</v>
      </c>
      <c r="P49" s="11">
        <f ca="1">(F49-H49)*'GS&lt;50 Predicted Monthly'!$X$10</f>
        <v>0</v>
      </c>
      <c r="Q49" s="11"/>
      <c r="R49" s="11"/>
      <c r="S49" s="11"/>
      <c r="T49" s="11"/>
      <c r="U49" s="13">
        <f t="shared" ca="1" si="6"/>
        <v>33601023.08446639</v>
      </c>
    </row>
    <row r="50" spans="1:21" x14ac:dyDescent="0.2">
      <c r="A50" s="8">
        <f>'Monthly Data'!A50</f>
        <v>44197</v>
      </c>
      <c r="B50">
        <f t="shared" si="0"/>
        <v>2021</v>
      </c>
      <c r="C50">
        <f t="shared" si="1"/>
        <v>1</v>
      </c>
      <c r="D50" s="18">
        <f>'Monthly Data'!J50</f>
        <v>33188670.928305969</v>
      </c>
      <c r="E50" s="21">
        <f t="shared" ref="E50:F65" ca="1" si="7">E38</f>
        <v>566.30416666666667</v>
      </c>
      <c r="F50" s="21">
        <f t="shared" ca="1" si="7"/>
        <v>0</v>
      </c>
      <c r="G50" s="21">
        <f>'Monthly Data'!BJ50</f>
        <v>523.92083333333335</v>
      </c>
      <c r="H50" s="21">
        <f>'Monthly Data'!BK50</f>
        <v>0</v>
      </c>
      <c r="I50" s="11">
        <f>'Monthly Data'!CV50</f>
        <v>0.5</v>
      </c>
      <c r="J50" s="7">
        <f>'Monthly Data'!CS50</f>
        <v>31</v>
      </c>
      <c r="K50" s="19">
        <f>'Monthly Data'!AO50</f>
        <v>809994</v>
      </c>
      <c r="L50" s="19">
        <f>'Monthly Data'!BT50</f>
        <v>0</v>
      </c>
      <c r="N50" s="11"/>
      <c r="O50" s="11">
        <f ca="1">(E50-G50)*'GS&lt;50 Predicted Monthly'!$X$9</f>
        <v>585557.93937957182</v>
      </c>
      <c r="P50" s="11">
        <f ca="1">(F50-H50)*'GS&lt;50 Predicted Monthly'!$X$10</f>
        <v>0</v>
      </c>
      <c r="Q50" s="11"/>
      <c r="R50" s="11"/>
      <c r="S50" s="11"/>
      <c r="T50" s="11"/>
      <c r="U50" s="13">
        <f t="shared" ca="1" si="6"/>
        <v>33774228.867685542</v>
      </c>
    </row>
    <row r="51" spans="1:21" x14ac:dyDescent="0.2">
      <c r="A51" s="8">
        <f>'Monthly Data'!A51</f>
        <v>44228</v>
      </c>
      <c r="B51">
        <f t="shared" si="0"/>
        <v>2021</v>
      </c>
      <c r="C51">
        <f t="shared" si="1"/>
        <v>2</v>
      </c>
      <c r="D51" s="18">
        <f>'Monthly Data'!J51</f>
        <v>32029961.907204423</v>
      </c>
      <c r="E51" s="21">
        <f t="shared" ca="1" si="7"/>
        <v>483.54541666666665</v>
      </c>
      <c r="F51" s="21">
        <f t="shared" ca="1" si="7"/>
        <v>0</v>
      </c>
      <c r="G51" s="21">
        <f>'Monthly Data'!BJ51</f>
        <v>570.50000000000011</v>
      </c>
      <c r="H51" s="21">
        <f>'Monthly Data'!BK51</f>
        <v>0</v>
      </c>
      <c r="I51" s="11">
        <f>'Monthly Data'!CV51</f>
        <v>0.5</v>
      </c>
      <c r="J51" s="7">
        <f>'Monthly Data'!CS51</f>
        <v>28</v>
      </c>
      <c r="K51" s="19">
        <f>'Monthly Data'!AO51</f>
        <v>809994</v>
      </c>
      <c r="L51" s="19">
        <f>'Monthly Data'!BT51</f>
        <v>0</v>
      </c>
      <c r="N51" s="11"/>
      <c r="O51" s="11">
        <f ca="1">(E51-G51)*'GS&lt;50 Predicted Monthly'!$X$9</f>
        <v>-1201343.6091925132</v>
      </c>
      <c r="P51" s="11">
        <f ca="1">(F51-H51)*'GS&lt;50 Predicted Monthly'!$X$10</f>
        <v>0</v>
      </c>
      <c r="Q51" s="11"/>
      <c r="R51" s="11"/>
      <c r="S51" s="11"/>
      <c r="T51" s="11"/>
      <c r="U51" s="13">
        <f t="shared" ca="1" si="6"/>
        <v>30828618.29801191</v>
      </c>
    </row>
    <row r="52" spans="1:21" x14ac:dyDescent="0.2">
      <c r="A52" s="8">
        <f>'Monthly Data'!A52</f>
        <v>44256</v>
      </c>
      <c r="B52">
        <f t="shared" si="0"/>
        <v>2021</v>
      </c>
      <c r="C52">
        <f t="shared" si="1"/>
        <v>3</v>
      </c>
      <c r="D52" s="18">
        <f>'Monthly Data'!J52</f>
        <v>32767606.297940973</v>
      </c>
      <c r="E52" s="21">
        <f t="shared" ca="1" si="7"/>
        <v>393.96333333333331</v>
      </c>
      <c r="F52" s="21">
        <f t="shared" ca="1" si="7"/>
        <v>0</v>
      </c>
      <c r="G52" s="21">
        <f>'Monthly Data'!BJ52</f>
        <v>328.07083333333333</v>
      </c>
      <c r="H52" s="21">
        <f>'Monthly Data'!BK52</f>
        <v>0</v>
      </c>
      <c r="I52" s="11">
        <f>'Monthly Data'!CV52</f>
        <v>0.5</v>
      </c>
      <c r="J52" s="7">
        <f>'Monthly Data'!CS52</f>
        <v>31</v>
      </c>
      <c r="K52" s="19">
        <f>'Monthly Data'!AO52</f>
        <v>809994</v>
      </c>
      <c r="L52" s="19">
        <f>'Monthly Data'!BT52</f>
        <v>1</v>
      </c>
      <c r="N52" s="11"/>
      <c r="O52" s="11">
        <f ca="1">(E52-G52)*'GS&lt;50 Predicted Monthly'!$X$9</f>
        <v>910354.93166893674</v>
      </c>
      <c r="P52" s="11">
        <f ca="1">(F52-H52)*'GS&lt;50 Predicted Monthly'!$X$10</f>
        <v>0</v>
      </c>
      <c r="Q52" s="11"/>
      <c r="R52" s="11"/>
      <c r="S52" s="11"/>
      <c r="T52" s="11"/>
      <c r="U52" s="13">
        <f t="shared" ca="1" si="6"/>
        <v>33677961.229609907</v>
      </c>
    </row>
    <row r="53" spans="1:21" x14ac:dyDescent="0.2">
      <c r="A53" s="8">
        <f>'Monthly Data'!A53</f>
        <v>44287</v>
      </c>
      <c r="B53">
        <f t="shared" si="0"/>
        <v>2021</v>
      </c>
      <c r="C53">
        <f t="shared" si="1"/>
        <v>4</v>
      </c>
      <c r="D53" s="18">
        <f>'Monthly Data'!J53</f>
        <v>28526897.993398827</v>
      </c>
      <c r="E53" s="21">
        <f t="shared" ca="1" si="7"/>
        <v>226.60145833333337</v>
      </c>
      <c r="F53" s="21">
        <f t="shared" ca="1" si="7"/>
        <v>6.5650000000000031</v>
      </c>
      <c r="G53" s="21">
        <f>'Monthly Data'!BJ53</f>
        <v>195.19166666666669</v>
      </c>
      <c r="H53" s="21">
        <f>'Monthly Data'!BK53</f>
        <v>8.0499999999999954</v>
      </c>
      <c r="I53" s="11">
        <f>'Monthly Data'!CV53</f>
        <v>0.5</v>
      </c>
      <c r="J53" s="7">
        <f>'Monthly Data'!CS53</f>
        <v>30</v>
      </c>
      <c r="K53" s="19">
        <f>'Monthly Data'!AO53</f>
        <v>803585</v>
      </c>
      <c r="L53" s="19">
        <f>'Monthly Data'!BT53</f>
        <v>0</v>
      </c>
      <c r="N53" s="11"/>
      <c r="O53" s="11">
        <f ca="1">(E53-G53)*'GS&lt;50 Predicted Monthly'!$X$9</f>
        <v>433950.12704699155</v>
      </c>
      <c r="P53" s="11">
        <f ca="1">(F53-H53)*'GS&lt;50 Predicted Monthly'!$X$10</f>
        <v>-63923.819949259101</v>
      </c>
      <c r="Q53" s="11"/>
      <c r="R53" s="11"/>
      <c r="S53" s="11"/>
      <c r="T53" s="11"/>
      <c r="U53" s="13">
        <f t="shared" ca="1" si="6"/>
        <v>28896924.30049656</v>
      </c>
    </row>
    <row r="54" spans="1:21" x14ac:dyDescent="0.2">
      <c r="A54" s="8">
        <f>'Monthly Data'!A54</f>
        <v>44317</v>
      </c>
      <c r="B54">
        <f t="shared" si="0"/>
        <v>2021</v>
      </c>
      <c r="C54">
        <f t="shared" si="1"/>
        <v>5</v>
      </c>
      <c r="D54" s="18">
        <f>'Monthly Data'!J54</f>
        <v>29460273.547266677</v>
      </c>
      <c r="E54" s="21">
        <f t="shared" ca="1" si="7"/>
        <v>65.335833333333326</v>
      </c>
      <c r="F54" s="21">
        <f t="shared" ca="1" si="7"/>
        <v>59.300416666666649</v>
      </c>
      <c r="G54" s="21">
        <f>'Monthly Data'!BJ54</f>
        <v>93.4375</v>
      </c>
      <c r="H54" s="21">
        <f>'Monthly Data'!BK54</f>
        <v>66.793749999999989</v>
      </c>
      <c r="I54" s="11">
        <f>'Monthly Data'!CV54</f>
        <v>0.5</v>
      </c>
      <c r="J54" s="7">
        <f>'Monthly Data'!CS54</f>
        <v>31</v>
      </c>
      <c r="K54" s="19">
        <f>'Monthly Data'!AO54</f>
        <v>803585</v>
      </c>
      <c r="L54" s="19">
        <f>'Monthly Data'!BT54</f>
        <v>0</v>
      </c>
      <c r="N54" s="11"/>
      <c r="O54" s="11">
        <f ca="1">(E54-G54)*'GS&lt;50 Predicted Monthly'!$X$9</f>
        <v>-388245.86771053739</v>
      </c>
      <c r="P54" s="11">
        <f ca="1">(F54-H54)*'GS&lt;50 Predicted Monthly'!$X$10</f>
        <v>-322560.59987864271</v>
      </c>
      <c r="Q54" s="11"/>
      <c r="R54" s="11"/>
      <c r="S54" s="11"/>
      <c r="T54" s="11"/>
      <c r="U54" s="13">
        <f t="shared" ca="1" si="6"/>
        <v>28749467.079677496</v>
      </c>
    </row>
    <row r="55" spans="1:21" x14ac:dyDescent="0.2">
      <c r="A55" s="8">
        <f>'Monthly Data'!A55</f>
        <v>44348</v>
      </c>
      <c r="B55">
        <f t="shared" si="0"/>
        <v>2021</v>
      </c>
      <c r="C55">
        <f t="shared" si="1"/>
        <v>6</v>
      </c>
      <c r="D55" s="18">
        <f>'Monthly Data'!J55</f>
        <v>33741581.231269225</v>
      </c>
      <c r="E55" s="21">
        <f t="shared" ca="1" si="7"/>
        <v>3.0447916666666672</v>
      </c>
      <c r="F55" s="21">
        <f t="shared" ca="1" si="7"/>
        <v>157.17000000000002</v>
      </c>
      <c r="G55" s="21">
        <f>'Monthly Data'!BJ55</f>
        <v>1.1083333333333361</v>
      </c>
      <c r="H55" s="21">
        <f>'Monthly Data'!BK55</f>
        <v>198.83750000000006</v>
      </c>
      <c r="I55" s="11">
        <f>'Monthly Data'!CV55</f>
        <v>0.5</v>
      </c>
      <c r="J55" s="7">
        <f>'Monthly Data'!CS55</f>
        <v>30</v>
      </c>
      <c r="K55" s="19">
        <f>'Monthly Data'!AO55</f>
        <v>803585</v>
      </c>
      <c r="L55" s="19">
        <f>'Monthly Data'!BT55</f>
        <v>0</v>
      </c>
      <c r="N55" s="11"/>
      <c r="O55" s="11">
        <f ca="1">(E55-G55)*'GS&lt;50 Predicted Monthly'!$X$9</f>
        <v>26753.642580284682</v>
      </c>
      <c r="P55" s="11">
        <f ca="1">(F55-H55)*'GS&lt;50 Predicted Monthly'!$X$10</f>
        <v>-1793633.5136267813</v>
      </c>
      <c r="Q55" s="11"/>
      <c r="R55" s="11"/>
      <c r="S55" s="11"/>
      <c r="T55" s="11"/>
      <c r="U55" s="13">
        <f t="shared" ca="1" si="6"/>
        <v>31974701.360222731</v>
      </c>
    </row>
    <row r="56" spans="1:21" x14ac:dyDescent="0.2">
      <c r="A56" s="8">
        <f>'Monthly Data'!A56</f>
        <v>44378</v>
      </c>
      <c r="B56">
        <f t="shared" ref="B56:B115" si="8">YEAR(A56)</f>
        <v>2021</v>
      </c>
      <c r="C56">
        <f t="shared" ref="C56:C115" si="9">MONTH(A56)</f>
        <v>7</v>
      </c>
      <c r="D56" s="18">
        <f>'Monthly Data'!J56</f>
        <v>35821107.582326174</v>
      </c>
      <c r="E56" s="21">
        <f t="shared" ca="1" si="7"/>
        <v>0</v>
      </c>
      <c r="F56" s="21">
        <f t="shared" ca="1" si="7"/>
        <v>231.27145833333333</v>
      </c>
      <c r="G56" s="21">
        <f>'Monthly Data'!BJ56</f>
        <v>0</v>
      </c>
      <c r="H56" s="21">
        <f>'Monthly Data'!BK56</f>
        <v>193.42708333333331</v>
      </c>
      <c r="I56" s="11">
        <f>'Monthly Data'!CV56</f>
        <v>0.5</v>
      </c>
      <c r="J56" s="7">
        <f>'Monthly Data'!CS56</f>
        <v>31</v>
      </c>
      <c r="K56" s="19">
        <f>'Monthly Data'!AO56</f>
        <v>821006</v>
      </c>
      <c r="L56" s="19">
        <f>'Monthly Data'!BT56</f>
        <v>0</v>
      </c>
      <c r="N56" s="11"/>
      <c r="O56" s="11">
        <f ca="1">(E56-G56)*'GS&lt;50 Predicted Monthly'!$X$9</f>
        <v>0</v>
      </c>
      <c r="P56" s="11">
        <f ca="1">(F56-H56)*'GS&lt;50 Predicted Monthly'!$X$10</f>
        <v>1629061.9620149871</v>
      </c>
      <c r="Q56" s="11"/>
      <c r="R56" s="11"/>
      <c r="S56" s="11"/>
      <c r="T56" s="11"/>
      <c r="U56" s="13">
        <f t="shared" ca="1" si="6"/>
        <v>37450169.544341162</v>
      </c>
    </row>
    <row r="57" spans="1:21" x14ac:dyDescent="0.2">
      <c r="A57" s="8">
        <f>'Monthly Data'!A57</f>
        <v>44409</v>
      </c>
      <c r="B57">
        <f t="shared" si="8"/>
        <v>2021</v>
      </c>
      <c r="C57">
        <f t="shared" si="9"/>
        <v>8</v>
      </c>
      <c r="D57" s="18">
        <f>'Monthly Data'!J57</f>
        <v>38356548.084514029</v>
      </c>
      <c r="E57" s="21">
        <f t="shared" ca="1" si="7"/>
        <v>0.27875000000000066</v>
      </c>
      <c r="F57" s="21">
        <f t="shared" ca="1" si="7"/>
        <v>196.13625000000002</v>
      </c>
      <c r="G57" s="21">
        <f>'Monthly Data'!BJ57</f>
        <v>0</v>
      </c>
      <c r="H57" s="21">
        <f>'Monthly Data'!BK57</f>
        <v>234.19791666666669</v>
      </c>
      <c r="I57" s="11">
        <f>'Monthly Data'!CV57</f>
        <v>0.5</v>
      </c>
      <c r="J57" s="7">
        <f>'Monthly Data'!CS57</f>
        <v>31</v>
      </c>
      <c r="K57" s="19">
        <f>'Monthly Data'!AO57</f>
        <v>821006</v>
      </c>
      <c r="L57" s="19">
        <f>'Monthly Data'!BT57</f>
        <v>0</v>
      </c>
      <c r="N57" s="11"/>
      <c r="O57" s="11">
        <f ca="1">(E57-G57)*'GS&lt;50 Predicted Monthly'!$X$9</f>
        <v>3851.1429556128055</v>
      </c>
      <c r="P57" s="11">
        <f ca="1">(F57-H57)*'GS&lt;50 Predicted Monthly'!$X$10</f>
        <v>-1638415.5737163161</v>
      </c>
      <c r="Q57" s="11"/>
      <c r="R57" s="11"/>
      <c r="S57" s="11"/>
      <c r="T57" s="11"/>
      <c r="U57" s="13">
        <f t="shared" ca="1" si="6"/>
        <v>36721983.653753333</v>
      </c>
    </row>
    <row r="58" spans="1:21" x14ac:dyDescent="0.2">
      <c r="A58" s="8">
        <f>'Monthly Data'!A58</f>
        <v>44440</v>
      </c>
      <c r="B58">
        <f t="shared" si="8"/>
        <v>2021</v>
      </c>
      <c r="C58">
        <f t="shared" si="9"/>
        <v>9</v>
      </c>
      <c r="D58" s="18">
        <f>'Monthly Data'!J58</f>
        <v>31815550.085094079</v>
      </c>
      <c r="E58" s="21">
        <f t="shared" ca="1" si="7"/>
        <v>11.319999999999997</v>
      </c>
      <c r="F58" s="21">
        <f t="shared" ca="1" si="7"/>
        <v>104.19854166666664</v>
      </c>
      <c r="G58" s="21">
        <f>'Monthly Data'!BJ58</f>
        <v>6.8624999999999954</v>
      </c>
      <c r="H58" s="21">
        <f>'Monthly Data'!BK58</f>
        <v>86.675000000000011</v>
      </c>
      <c r="I58" s="11">
        <f>'Monthly Data'!CV58</f>
        <v>0.5</v>
      </c>
      <c r="J58" s="7">
        <f>'Monthly Data'!CS58</f>
        <v>30</v>
      </c>
      <c r="K58" s="19">
        <f>'Monthly Data'!AO58</f>
        <v>821006</v>
      </c>
      <c r="L58" s="19">
        <f>'Monthly Data'!BT58</f>
        <v>0</v>
      </c>
      <c r="N58" s="11"/>
      <c r="O58" s="11">
        <f ca="1">(E58-G58)*'GS&lt;50 Predicted Monthly'!$X$9</f>
        <v>61583.747891099716</v>
      </c>
      <c r="P58" s="11">
        <f ca="1">(F58-H58)*'GS&lt;50 Predicted Monthly'!$X$10</f>
        <v>754324.39217060152</v>
      </c>
      <c r="Q58" s="11"/>
      <c r="R58" s="11"/>
      <c r="S58" s="11"/>
      <c r="T58" s="11"/>
      <c r="U58" s="13">
        <f t="shared" ca="1" si="6"/>
        <v>32631458.225155778</v>
      </c>
    </row>
    <row r="59" spans="1:21" x14ac:dyDescent="0.2">
      <c r="A59" s="8">
        <f>'Monthly Data'!A59</f>
        <v>44470</v>
      </c>
      <c r="B59">
        <f t="shared" si="8"/>
        <v>2021</v>
      </c>
      <c r="C59">
        <f t="shared" si="9"/>
        <v>10</v>
      </c>
      <c r="D59" s="18">
        <f>'Monthly Data'!J59</f>
        <v>30918107.462813132</v>
      </c>
      <c r="E59" s="21">
        <f t="shared" ca="1" si="7"/>
        <v>126.12583333333332</v>
      </c>
      <c r="F59" s="21">
        <f t="shared" ca="1" si="7"/>
        <v>24.703125000000007</v>
      </c>
      <c r="G59" s="21">
        <f>'Monthly Data'!BJ59</f>
        <v>80.245833333333309</v>
      </c>
      <c r="H59" s="21">
        <f>'Monthly Data'!BK59</f>
        <v>50.395833333333336</v>
      </c>
      <c r="I59" s="11">
        <f>'Monthly Data'!CV59</f>
        <v>0.5</v>
      </c>
      <c r="J59" s="7">
        <f>'Monthly Data'!CS59</f>
        <v>31</v>
      </c>
      <c r="K59" s="19">
        <f>'Monthly Data'!AO59</f>
        <v>840399</v>
      </c>
      <c r="L59" s="19">
        <f>'Monthly Data'!BT59</f>
        <v>0</v>
      </c>
      <c r="N59" s="11"/>
      <c r="O59" s="11">
        <f ca="1">(E59-G59)*'GS&lt;50 Predicted Monthly'!$X$9</f>
        <v>633867.04503503186</v>
      </c>
      <c r="P59" s="11">
        <f ca="1">(F59-H59)*'GS&lt;50 Predicted Monthly'!$X$10</f>
        <v>-1105977.1457971968</v>
      </c>
      <c r="Q59" s="11"/>
      <c r="R59" s="11"/>
      <c r="S59" s="11"/>
      <c r="T59" s="11"/>
      <c r="U59" s="13">
        <f t="shared" ca="1" si="6"/>
        <v>30445997.362050965</v>
      </c>
    </row>
    <row r="60" spans="1:21" x14ac:dyDescent="0.2">
      <c r="A60" s="8">
        <f>'Monthly Data'!A60</f>
        <v>44501</v>
      </c>
      <c r="B60">
        <f t="shared" si="8"/>
        <v>2021</v>
      </c>
      <c r="C60">
        <f t="shared" si="9"/>
        <v>11</v>
      </c>
      <c r="D60" s="18">
        <f>'Monthly Data'!J60</f>
        <v>31869917.672068384</v>
      </c>
      <c r="E60" s="21">
        <f t="shared" ca="1" si="7"/>
        <v>312.40687500000001</v>
      </c>
      <c r="F60" s="21">
        <f t="shared" ca="1" si="7"/>
        <v>1.6454166666666665</v>
      </c>
      <c r="G60" s="21">
        <f>'Monthly Data'!BJ60</f>
        <v>328.07916666666665</v>
      </c>
      <c r="H60" s="21">
        <f>'Monthly Data'!BK60</f>
        <v>0</v>
      </c>
      <c r="I60" s="11">
        <f>'Monthly Data'!CV60</f>
        <v>0.5</v>
      </c>
      <c r="J60" s="7">
        <f>'Monthly Data'!CS60</f>
        <v>30</v>
      </c>
      <c r="K60" s="19">
        <f>'Monthly Data'!AO60</f>
        <v>840399</v>
      </c>
      <c r="L60" s="19">
        <f>'Monthly Data'!BT60</f>
        <v>0</v>
      </c>
      <c r="N60" s="11"/>
      <c r="O60" s="11">
        <f ca="1">(E60-G60)*'GS&lt;50 Predicted Monthly'!$X$9</f>
        <v>-216524.61219871696</v>
      </c>
      <c r="P60" s="11">
        <f ca="1">(F60-H60)*'GS&lt;50 Predicted Monthly'!$X$10</f>
        <v>70829.170869704118</v>
      </c>
      <c r="Q60" s="11"/>
      <c r="R60" s="11"/>
      <c r="S60" s="11"/>
      <c r="T60" s="11"/>
      <c r="U60" s="13">
        <f t="shared" ca="1" si="6"/>
        <v>31724222.23073937</v>
      </c>
    </row>
    <row r="61" spans="1:21" x14ac:dyDescent="0.2">
      <c r="A61" s="8">
        <f>'Monthly Data'!A61</f>
        <v>44531</v>
      </c>
      <c r="B61">
        <f t="shared" si="8"/>
        <v>2021</v>
      </c>
      <c r="C61">
        <f t="shared" si="9"/>
        <v>12</v>
      </c>
      <c r="D61" s="18">
        <f>'Monthly Data'!J61</f>
        <v>33904688.36236053</v>
      </c>
      <c r="E61" s="21">
        <f t="shared" ca="1" si="7"/>
        <v>473.52499999999998</v>
      </c>
      <c r="F61" s="21">
        <f t="shared" ca="1" si="7"/>
        <v>0</v>
      </c>
      <c r="G61" s="21">
        <f>'Monthly Data'!BJ61</f>
        <v>403.17083333333323</v>
      </c>
      <c r="H61" s="21">
        <f>'Monthly Data'!BK61</f>
        <v>0</v>
      </c>
      <c r="I61" s="11">
        <f>'Monthly Data'!CV61</f>
        <v>0.5</v>
      </c>
      <c r="J61" s="7">
        <f>'Monthly Data'!CS61</f>
        <v>31</v>
      </c>
      <c r="K61" s="19">
        <f>'Monthly Data'!AO61</f>
        <v>840399</v>
      </c>
      <c r="L61" s="19">
        <f>'Monthly Data'!BT61</f>
        <v>0</v>
      </c>
      <c r="N61" s="11"/>
      <c r="O61" s="11">
        <f ca="1">(E61-G61)*'GS&lt;50 Predicted Monthly'!$X$9</f>
        <v>971996.24522454618</v>
      </c>
      <c r="P61" s="11">
        <f ca="1">(F61-H61)*'GS&lt;50 Predicted Monthly'!$X$10</f>
        <v>0</v>
      </c>
      <c r="Q61" s="11"/>
      <c r="R61" s="11"/>
      <c r="S61" s="11"/>
      <c r="T61" s="11"/>
      <c r="U61" s="13">
        <f t="shared" ca="1" si="6"/>
        <v>34876684.607585073</v>
      </c>
    </row>
    <row r="62" spans="1:21" x14ac:dyDescent="0.2">
      <c r="A62" s="8">
        <f>'Monthly Data'!A62</f>
        <v>44562</v>
      </c>
      <c r="B62">
        <f t="shared" si="8"/>
        <v>2022</v>
      </c>
      <c r="C62">
        <f t="shared" si="9"/>
        <v>1</v>
      </c>
      <c r="D62" s="18">
        <f>'Monthly Data'!J62</f>
        <v>37072199.286133692</v>
      </c>
      <c r="E62" s="21">
        <f t="shared" ca="1" si="7"/>
        <v>566.30416666666667</v>
      </c>
      <c r="F62" s="21">
        <f t="shared" ca="1" si="7"/>
        <v>0</v>
      </c>
      <c r="G62" s="21">
        <f>'Monthly Data'!BJ62</f>
        <v>680.12083333333328</v>
      </c>
      <c r="H62" s="21">
        <f>'Monthly Data'!BK62</f>
        <v>0</v>
      </c>
      <c r="I62" s="11">
        <f>'Monthly Data'!CV62</f>
        <v>0.25</v>
      </c>
      <c r="J62" s="7">
        <f>'Monthly Data'!CS62</f>
        <v>31</v>
      </c>
      <c r="K62" s="19">
        <f>'Monthly Data'!AO62</f>
        <v>847546</v>
      </c>
      <c r="L62" s="19">
        <f>'Monthly Data'!BT62</f>
        <v>0</v>
      </c>
      <c r="N62" s="11"/>
      <c r="O62" s="11">
        <f ca="1">(E62-G62)*'GS&lt;50 Predicted Monthly'!$X$9</f>
        <v>-1572463.6917117951</v>
      </c>
      <c r="P62" s="11">
        <f ca="1">(F62-H62)*'GS&lt;50 Predicted Monthly'!$X$10</f>
        <v>0</v>
      </c>
      <c r="Q62" s="11"/>
      <c r="R62" s="11"/>
      <c r="S62" s="11"/>
      <c r="T62" s="11"/>
      <c r="U62" s="13">
        <f t="shared" ca="1" si="6"/>
        <v>35499735.594421893</v>
      </c>
    </row>
    <row r="63" spans="1:21" x14ac:dyDescent="0.2">
      <c r="A63" s="8">
        <f>'Monthly Data'!A63</f>
        <v>44593</v>
      </c>
      <c r="B63">
        <f t="shared" si="8"/>
        <v>2022</v>
      </c>
      <c r="C63">
        <f t="shared" si="9"/>
        <v>2</v>
      </c>
      <c r="D63" s="18">
        <f>'Monthly Data'!J63</f>
        <v>34106025.220729686</v>
      </c>
      <c r="E63" s="21">
        <f t="shared" ca="1" si="7"/>
        <v>483.54541666666665</v>
      </c>
      <c r="F63" s="21">
        <f t="shared" ca="1" si="7"/>
        <v>0</v>
      </c>
      <c r="G63" s="21">
        <f>'Monthly Data'!BJ63</f>
        <v>528.55208333333337</v>
      </c>
      <c r="H63" s="21">
        <f>'Monthly Data'!BK63</f>
        <v>0</v>
      </c>
      <c r="I63" s="11">
        <f>'Monthly Data'!CV63</f>
        <v>0.25</v>
      </c>
      <c r="J63" s="7">
        <f>'Monthly Data'!CS63</f>
        <v>28</v>
      </c>
      <c r="K63" s="19">
        <f>'Monthly Data'!AO63</f>
        <v>847546</v>
      </c>
      <c r="L63" s="19">
        <f>'Monthly Data'!BT63</f>
        <v>0</v>
      </c>
      <c r="N63" s="11"/>
      <c r="O63" s="11">
        <f ca="1">(E63-G63)*'GS&lt;50 Predicted Monthly'!$X$9</f>
        <v>-621801.28175406915</v>
      </c>
      <c r="P63" s="11">
        <f ca="1">(F63-H63)*'GS&lt;50 Predicted Monthly'!$X$10</f>
        <v>0</v>
      </c>
      <c r="Q63" s="11"/>
      <c r="R63" s="11"/>
      <c r="S63" s="11"/>
      <c r="T63" s="11"/>
      <c r="U63" s="13">
        <f t="shared" ca="1" si="6"/>
        <v>33484223.938975617</v>
      </c>
    </row>
    <row r="64" spans="1:21" x14ac:dyDescent="0.2">
      <c r="A64" s="8">
        <f>'Monthly Data'!A64</f>
        <v>44621</v>
      </c>
      <c r="B64">
        <f t="shared" si="8"/>
        <v>2022</v>
      </c>
      <c r="C64">
        <f t="shared" si="9"/>
        <v>3</v>
      </c>
      <c r="D64" s="18">
        <f>'Monthly Data'!J64</f>
        <v>35656141.74767568</v>
      </c>
      <c r="E64" s="21">
        <f t="shared" ca="1" si="7"/>
        <v>393.96333333333331</v>
      </c>
      <c r="F64" s="21">
        <f t="shared" ca="1" si="7"/>
        <v>0</v>
      </c>
      <c r="G64" s="21">
        <f>'Monthly Data'!BJ64</f>
        <v>412.21041666666667</v>
      </c>
      <c r="H64" s="21">
        <f>'Monthly Data'!BK64</f>
        <v>0</v>
      </c>
      <c r="I64" s="11">
        <f>'Monthly Data'!CV64</f>
        <v>0.25</v>
      </c>
      <c r="J64" s="7">
        <f>'Monthly Data'!CS64</f>
        <v>31</v>
      </c>
      <c r="K64" s="19">
        <f>'Monthly Data'!AO64</f>
        <v>847546</v>
      </c>
      <c r="L64" s="19">
        <f>'Monthly Data'!BT64</f>
        <v>1</v>
      </c>
      <c r="N64" s="11"/>
      <c r="O64" s="11">
        <f ca="1">(E64-G64)*'GS&lt;50 Predicted Monthly'!$X$9</f>
        <v>-252097.31458169132</v>
      </c>
      <c r="P64" s="11">
        <f ca="1">(F64-H64)*'GS&lt;50 Predicted Monthly'!$X$10</f>
        <v>0</v>
      </c>
      <c r="Q64" s="11"/>
      <c r="R64" s="11"/>
      <c r="S64" s="11"/>
      <c r="T64" s="11"/>
      <c r="U64" s="13">
        <f t="shared" ca="1" si="6"/>
        <v>35404044.433093987</v>
      </c>
    </row>
    <row r="65" spans="1:21" x14ac:dyDescent="0.2">
      <c r="A65" s="8">
        <f>'Monthly Data'!A65</f>
        <v>44652</v>
      </c>
      <c r="B65">
        <f t="shared" si="8"/>
        <v>2022</v>
      </c>
      <c r="C65">
        <f t="shared" si="9"/>
        <v>4</v>
      </c>
      <c r="D65" s="18">
        <f>'Monthly Data'!J65</f>
        <v>31746429.201593272</v>
      </c>
      <c r="E65" s="21">
        <f t="shared" ca="1" si="7"/>
        <v>226.60145833333337</v>
      </c>
      <c r="F65" s="21">
        <f t="shared" ca="1" si="7"/>
        <v>6.5650000000000031</v>
      </c>
      <c r="G65" s="21">
        <f>'Monthly Data'!BJ65</f>
        <v>250.45416666666662</v>
      </c>
      <c r="H65" s="21">
        <f>'Monthly Data'!BK65</f>
        <v>2.5416666666666696</v>
      </c>
      <c r="I65" s="11">
        <f>'Monthly Data'!CV65</f>
        <v>0.25</v>
      </c>
      <c r="J65" s="7">
        <f>'Monthly Data'!CS65</f>
        <v>30</v>
      </c>
      <c r="K65" s="19">
        <f>'Monthly Data'!AO65</f>
        <v>854755</v>
      </c>
      <c r="L65" s="19">
        <f>'Monthly Data'!BT65</f>
        <v>0</v>
      </c>
      <c r="N65" s="11"/>
      <c r="O65" s="11">
        <f ca="1">(E65-G65)*'GS&lt;50 Predicted Monthly'!$X$9</f>
        <v>-329543.28132808255</v>
      </c>
      <c r="P65" s="11">
        <f ca="1">(F65-H65)*'GS&lt;50 Predicted Monthly'!$X$10</f>
        <v>173189.78828003621</v>
      </c>
      <c r="Q65" s="11"/>
      <c r="R65" s="11"/>
      <c r="S65" s="11"/>
      <c r="T65" s="11"/>
      <c r="U65" s="13">
        <f t="shared" ca="1" si="6"/>
        <v>31590075.708545227</v>
      </c>
    </row>
    <row r="66" spans="1:21" x14ac:dyDescent="0.2">
      <c r="A66" s="8">
        <f>'Monthly Data'!A66</f>
        <v>44682</v>
      </c>
      <c r="B66">
        <f t="shared" si="8"/>
        <v>2022</v>
      </c>
      <c r="C66">
        <f t="shared" si="9"/>
        <v>5</v>
      </c>
      <c r="D66" s="18">
        <f>'Monthly Data'!J66</f>
        <v>32818195.351553965</v>
      </c>
      <c r="E66" s="21">
        <f t="shared" ref="E66:F81" ca="1" si="10">E54</f>
        <v>65.335833333333326</v>
      </c>
      <c r="F66" s="21">
        <f t="shared" ca="1" si="10"/>
        <v>59.300416666666649</v>
      </c>
      <c r="G66" s="21">
        <f>'Monthly Data'!BJ66</f>
        <v>44.104166666666664</v>
      </c>
      <c r="H66" s="21">
        <f>'Monthly Data'!BK66</f>
        <v>80.722916666666649</v>
      </c>
      <c r="I66" s="11">
        <f>'Monthly Data'!CV66</f>
        <v>0.25</v>
      </c>
      <c r="J66" s="7">
        <f>'Monthly Data'!CS66</f>
        <v>31</v>
      </c>
      <c r="K66" s="19">
        <f>'Monthly Data'!AO66</f>
        <v>854755</v>
      </c>
      <c r="L66" s="19">
        <f>'Monthly Data'!BT66</f>
        <v>0</v>
      </c>
      <c r="N66" s="11"/>
      <c r="O66" s="11">
        <f ca="1">(E66-G66)*'GS&lt;50 Predicted Monthly'!$X$9</f>
        <v>293331.60006906668</v>
      </c>
      <c r="P66" s="11">
        <f ca="1">(F66-H66)*'GS&lt;50 Predicted Monthly'!$X$10</f>
        <v>-922160.29149024247</v>
      </c>
      <c r="Q66" s="11"/>
      <c r="R66" s="11"/>
      <c r="S66" s="11"/>
      <c r="T66" s="11"/>
      <c r="U66" s="13">
        <f t="shared" ref="U66:U109" ca="1" si="11">D66+O66+P66</f>
        <v>32189366.660132792</v>
      </c>
    </row>
    <row r="67" spans="1:21" x14ac:dyDescent="0.2">
      <c r="A67" s="8">
        <f>'Monthly Data'!A67</f>
        <v>44713</v>
      </c>
      <c r="B67">
        <f t="shared" si="8"/>
        <v>2022</v>
      </c>
      <c r="C67">
        <f t="shared" si="9"/>
        <v>6</v>
      </c>
      <c r="D67" s="18">
        <f>'Monthly Data'!J67</f>
        <v>35352197.196220562</v>
      </c>
      <c r="E67" s="21">
        <f t="shared" ca="1" si="10"/>
        <v>3.0447916666666672</v>
      </c>
      <c r="F67" s="21">
        <f t="shared" ca="1" si="10"/>
        <v>157.17000000000002</v>
      </c>
      <c r="G67" s="21">
        <f>'Monthly Data'!BJ67</f>
        <v>0.97291666666666998</v>
      </c>
      <c r="H67" s="21">
        <f>'Monthly Data'!BK67</f>
        <v>142.82500000000002</v>
      </c>
      <c r="I67" s="11">
        <f>'Monthly Data'!CV67</f>
        <v>0.25</v>
      </c>
      <c r="J67" s="7">
        <f>'Monthly Data'!CS67</f>
        <v>30</v>
      </c>
      <c r="K67" s="19">
        <f>'Monthly Data'!AO67</f>
        <v>854755</v>
      </c>
      <c r="L67" s="19">
        <f>'Monthly Data'!BT67</f>
        <v>0</v>
      </c>
      <c r="N67" s="11"/>
      <c r="O67" s="11">
        <f ca="1">(E67-G67)*'GS&lt;50 Predicted Monthly'!$X$9</f>
        <v>28624.52667680808</v>
      </c>
      <c r="P67" s="11">
        <f ca="1">(F67-H67)*'GS&lt;50 Predicted Monthly'!$X$10</f>
        <v>617499.79607550602</v>
      </c>
      <c r="Q67" s="11"/>
      <c r="R67" s="11"/>
      <c r="S67" s="11"/>
      <c r="T67" s="11"/>
      <c r="U67" s="13">
        <f t="shared" ca="1" si="11"/>
        <v>35998321.518972881</v>
      </c>
    </row>
    <row r="68" spans="1:21" x14ac:dyDescent="0.2">
      <c r="A68" s="8">
        <f>'Monthly Data'!A68</f>
        <v>44743</v>
      </c>
      <c r="B68">
        <f t="shared" si="8"/>
        <v>2022</v>
      </c>
      <c r="C68">
        <f t="shared" si="9"/>
        <v>7</v>
      </c>
      <c r="D68" s="18">
        <f>'Monthly Data'!J68</f>
        <v>38896081.999405652</v>
      </c>
      <c r="E68" s="21">
        <f t="shared" ca="1" si="10"/>
        <v>0</v>
      </c>
      <c r="F68" s="21">
        <f t="shared" ca="1" si="10"/>
        <v>231.27145833333333</v>
      </c>
      <c r="G68" s="21">
        <f>'Monthly Data'!BJ68</f>
        <v>0</v>
      </c>
      <c r="H68" s="21">
        <f>'Monthly Data'!BK68</f>
        <v>224.93333333333328</v>
      </c>
      <c r="I68" s="11">
        <f>'Monthly Data'!CV68</f>
        <v>0.25</v>
      </c>
      <c r="J68" s="7">
        <f>'Monthly Data'!CS68</f>
        <v>31</v>
      </c>
      <c r="K68" s="19">
        <f>'Monthly Data'!AO68</f>
        <v>856819</v>
      </c>
      <c r="L68" s="19">
        <f>'Monthly Data'!BT68</f>
        <v>0</v>
      </c>
      <c r="N68" s="11"/>
      <c r="O68" s="11">
        <f ca="1">(E68-G68)*'GS&lt;50 Predicted Monthly'!$X$9</f>
        <v>0</v>
      </c>
      <c r="P68" s="11">
        <f ca="1">(F68-H68)*'GS&lt;50 Predicted Monthly'!$X$10</f>
        <v>272833.10526323435</v>
      </c>
      <c r="Q68" s="11"/>
      <c r="R68" s="11"/>
      <c r="S68" s="11"/>
      <c r="T68" s="11"/>
      <c r="U68" s="13">
        <f t="shared" ca="1" si="11"/>
        <v>39168915.104668885</v>
      </c>
    </row>
    <row r="69" spans="1:21" x14ac:dyDescent="0.2">
      <c r="A69" s="8">
        <f>'Monthly Data'!A69</f>
        <v>44774</v>
      </c>
      <c r="B69">
        <f t="shared" si="8"/>
        <v>2022</v>
      </c>
      <c r="C69">
        <f t="shared" si="9"/>
        <v>8</v>
      </c>
      <c r="D69" s="18">
        <f>'Monthly Data'!J69</f>
        <v>38840185.92272944</v>
      </c>
      <c r="E69" s="21">
        <f t="shared" ca="1" si="10"/>
        <v>0.27875000000000066</v>
      </c>
      <c r="F69" s="21">
        <f t="shared" ca="1" si="10"/>
        <v>196.13625000000002</v>
      </c>
      <c r="G69" s="21">
        <f>'Monthly Data'!BJ69</f>
        <v>0</v>
      </c>
      <c r="H69" s="21">
        <f>'Monthly Data'!BK69</f>
        <v>208.27916666666667</v>
      </c>
      <c r="I69" s="11">
        <f>'Monthly Data'!CV69</f>
        <v>0.25</v>
      </c>
      <c r="J69" s="7">
        <f>'Monthly Data'!CS69</f>
        <v>31</v>
      </c>
      <c r="K69" s="19">
        <f>'Monthly Data'!AO69</f>
        <v>856819</v>
      </c>
      <c r="L69" s="19">
        <f>'Monthly Data'!BT69</f>
        <v>0</v>
      </c>
      <c r="N69" s="11"/>
      <c r="O69" s="11">
        <f ca="1">(E69-G69)*'GS&lt;50 Predicted Monthly'!$X$9</f>
        <v>3851.1429556128055</v>
      </c>
      <c r="P69" s="11">
        <f ca="1">(F69-H69)*'GS&lt;50 Predicted Monthly'!$X$10</f>
        <v>-522708.16071303736</v>
      </c>
      <c r="Q69" s="11"/>
      <c r="R69" s="11"/>
      <c r="S69" s="11"/>
      <c r="T69" s="11"/>
      <c r="U69" s="13">
        <f t="shared" ca="1" si="11"/>
        <v>38321328.904972017</v>
      </c>
    </row>
    <row r="70" spans="1:21" x14ac:dyDescent="0.2">
      <c r="A70" s="8">
        <f>'Monthly Data'!A70</f>
        <v>44805</v>
      </c>
      <c r="B70">
        <f t="shared" si="8"/>
        <v>2022</v>
      </c>
      <c r="C70">
        <f t="shared" si="9"/>
        <v>9</v>
      </c>
      <c r="D70" s="18">
        <f>'Monthly Data'!J70</f>
        <v>33654327.730507731</v>
      </c>
      <c r="E70" s="21">
        <f t="shared" ca="1" si="10"/>
        <v>11.319999999999997</v>
      </c>
      <c r="F70" s="21">
        <f t="shared" ca="1" si="10"/>
        <v>104.19854166666664</v>
      </c>
      <c r="G70" s="21">
        <f>'Monthly Data'!BJ70</f>
        <v>24.349999999999994</v>
      </c>
      <c r="H70" s="21">
        <f>'Monthly Data'!BK70</f>
        <v>101.75833333333333</v>
      </c>
      <c r="I70" s="11">
        <f>'Monthly Data'!CV70</f>
        <v>0.25</v>
      </c>
      <c r="J70" s="7">
        <f>'Monthly Data'!CS70</f>
        <v>30</v>
      </c>
      <c r="K70" s="19">
        <f>'Monthly Data'!AO70</f>
        <v>856819</v>
      </c>
      <c r="L70" s="19">
        <f>'Monthly Data'!BT70</f>
        <v>0</v>
      </c>
      <c r="N70" s="11"/>
      <c r="O70" s="11">
        <f ca="1">(E70-G70)*'GS&lt;50 Predicted Monthly'!$X$9</f>
        <v>-180019.34605070754</v>
      </c>
      <c r="P70" s="11">
        <f ca="1">(F70-H70)*'GS&lt;50 Predicted Monthly'!$X$10</f>
        <v>105042.04588463392</v>
      </c>
      <c r="Q70" s="11"/>
      <c r="R70" s="11"/>
      <c r="S70" s="11"/>
      <c r="T70" s="11"/>
      <c r="U70" s="13">
        <f t="shared" ca="1" si="11"/>
        <v>33579350.430341661</v>
      </c>
    </row>
    <row r="71" spans="1:21" x14ac:dyDescent="0.2">
      <c r="A71" s="8">
        <f>'Monthly Data'!A71</f>
        <v>44835</v>
      </c>
      <c r="B71">
        <f t="shared" si="8"/>
        <v>2022</v>
      </c>
      <c r="C71">
        <f t="shared" si="9"/>
        <v>10</v>
      </c>
      <c r="D71" s="18">
        <f>'Monthly Data'!J71</f>
        <v>31415307.367699027</v>
      </c>
      <c r="E71" s="21">
        <f t="shared" ca="1" si="10"/>
        <v>126.12583333333332</v>
      </c>
      <c r="F71" s="21">
        <f t="shared" ca="1" si="10"/>
        <v>24.703125000000007</v>
      </c>
      <c r="G71" s="21">
        <f>'Monthly Data'!BJ71</f>
        <v>138.87083333333328</v>
      </c>
      <c r="H71" s="21">
        <f>'Monthly Data'!BK71</f>
        <v>4.3500000000000014</v>
      </c>
      <c r="I71" s="11">
        <f>'Monthly Data'!CV71</f>
        <v>0.25</v>
      </c>
      <c r="J71" s="7">
        <f>'Monthly Data'!CS71</f>
        <v>31</v>
      </c>
      <c r="K71" s="19">
        <f>'Monthly Data'!AO71</f>
        <v>856887</v>
      </c>
      <c r="L71" s="19">
        <f>'Monthly Data'!BT71</f>
        <v>0</v>
      </c>
      <c r="N71" s="11"/>
      <c r="O71" s="11">
        <f ca="1">(E71-G71)*'GS&lt;50 Predicted Monthly'!$X$9</f>
        <v>-176081.85459833164</v>
      </c>
      <c r="P71" s="11">
        <f ca="1">(F71-H71)*'GS&lt;50 Predicted Monthly'!$X$10</f>
        <v>876127.60801668093</v>
      </c>
      <c r="Q71" s="11"/>
      <c r="R71" s="11"/>
      <c r="S71" s="11"/>
      <c r="T71" s="11"/>
      <c r="U71" s="13">
        <f t="shared" ca="1" si="11"/>
        <v>32115353.121117376</v>
      </c>
    </row>
    <row r="72" spans="1:21" x14ac:dyDescent="0.2">
      <c r="A72" s="8">
        <f>'Monthly Data'!A72</f>
        <v>44866</v>
      </c>
      <c r="B72">
        <f t="shared" si="8"/>
        <v>2022</v>
      </c>
      <c r="C72">
        <f t="shared" si="9"/>
        <v>11</v>
      </c>
      <c r="D72" s="18">
        <f>'Monthly Data'!J72</f>
        <v>33054898.399967819</v>
      </c>
      <c r="E72" s="21">
        <f t="shared" ca="1" si="10"/>
        <v>312.40687500000001</v>
      </c>
      <c r="F72" s="21">
        <f t="shared" ca="1" si="10"/>
        <v>1.6454166666666665</v>
      </c>
      <c r="G72" s="21">
        <f>'Monthly Data'!BJ72</f>
        <v>285.52916666666664</v>
      </c>
      <c r="H72" s="21">
        <f>'Monthly Data'!BK72</f>
        <v>4.2666666666666639</v>
      </c>
      <c r="I72" s="11">
        <f>'Monthly Data'!CV72</f>
        <v>0.25</v>
      </c>
      <c r="J72" s="7">
        <f>'Monthly Data'!CS72</f>
        <v>30</v>
      </c>
      <c r="K72" s="19">
        <f>'Monthly Data'!AO72</f>
        <v>856887</v>
      </c>
      <c r="L72" s="19">
        <f>'Monthly Data'!BT72</f>
        <v>0</v>
      </c>
      <c r="N72" s="11"/>
      <c r="O72" s="11">
        <f ca="1">(E72-G72)*'GS&lt;50 Predicted Monthly'!$X$9</f>
        <v>371335.95376119169</v>
      </c>
      <c r="P72" s="11">
        <f ca="1">(F72-H72)*'GS&lt;50 Predicted Monthly'!$X$10</f>
        <v>-112835.22763770781</v>
      </c>
      <c r="Q72" s="11"/>
      <c r="R72" s="11"/>
      <c r="S72" s="11"/>
      <c r="T72" s="11"/>
      <c r="U72" s="13">
        <f t="shared" ca="1" si="11"/>
        <v>33313399.126091301</v>
      </c>
    </row>
    <row r="73" spans="1:21" x14ac:dyDescent="0.2">
      <c r="A73" s="8">
        <f>'Monthly Data'!A73</f>
        <v>44896</v>
      </c>
      <c r="B73">
        <f t="shared" si="8"/>
        <v>2022</v>
      </c>
      <c r="C73">
        <f t="shared" si="9"/>
        <v>12</v>
      </c>
      <c r="D73" s="18">
        <f>'Monthly Data'!J73</f>
        <v>36113207.191137917</v>
      </c>
      <c r="E73" s="21">
        <f t="shared" ca="1" si="10"/>
        <v>473.52499999999998</v>
      </c>
      <c r="F73" s="21">
        <f t="shared" ca="1" si="10"/>
        <v>0</v>
      </c>
      <c r="G73" s="21">
        <f>'Monthly Data'!BJ73</f>
        <v>469.42500000000007</v>
      </c>
      <c r="H73" s="21">
        <f>'Monthly Data'!BK73</f>
        <v>0</v>
      </c>
      <c r="I73" s="11">
        <f>'Monthly Data'!CV73</f>
        <v>0.25</v>
      </c>
      <c r="J73" s="7">
        <f>'Monthly Data'!CS73</f>
        <v>31</v>
      </c>
      <c r="K73" s="19">
        <f>'Monthly Data'!AO73</f>
        <v>856887</v>
      </c>
      <c r="L73" s="19">
        <f>'Monthly Data'!BT73</f>
        <v>0</v>
      </c>
      <c r="N73" s="11"/>
      <c r="O73" s="11">
        <f ca="1">(E73-G73)*'GS&lt;50 Predicted Monthly'!$X$9</f>
        <v>56644.61387627665</v>
      </c>
      <c r="P73" s="11">
        <f ca="1">(F73-H73)*'GS&lt;50 Predicted Monthly'!$X$10</f>
        <v>0</v>
      </c>
      <c r="Q73" s="11"/>
      <c r="R73" s="11"/>
      <c r="S73" s="11"/>
      <c r="T73" s="11"/>
      <c r="U73" s="13">
        <f t="shared" ca="1" si="11"/>
        <v>36169851.805014193</v>
      </c>
    </row>
    <row r="74" spans="1:21" x14ac:dyDescent="0.2">
      <c r="A74" s="8">
        <f>'Monthly Data'!A74</f>
        <v>44927</v>
      </c>
      <c r="B74">
        <f t="shared" si="8"/>
        <v>2023</v>
      </c>
      <c r="C74">
        <f t="shared" si="9"/>
        <v>1</v>
      </c>
      <c r="D74" s="18">
        <f>'Monthly Data'!J74</f>
        <v>36644302.910595365</v>
      </c>
      <c r="E74" s="21">
        <f t="shared" ca="1" si="10"/>
        <v>566.30416666666667</v>
      </c>
      <c r="F74" s="21">
        <f t="shared" ca="1" si="10"/>
        <v>0</v>
      </c>
      <c r="G74" s="21">
        <f>'Monthly Data'!BJ74</f>
        <v>465.55416666666667</v>
      </c>
      <c r="H74" s="21">
        <f>'Monthly Data'!BK74</f>
        <v>0</v>
      </c>
      <c r="I74" s="11">
        <f>'Monthly Data'!CV74</f>
        <v>0</v>
      </c>
      <c r="J74" s="7">
        <f>'Monthly Data'!CS74</f>
        <v>31</v>
      </c>
      <c r="K74" s="19">
        <f>'Monthly Data'!AO74</f>
        <v>867096</v>
      </c>
      <c r="L74" s="19">
        <f>'Monthly Data'!BT74</f>
        <v>0</v>
      </c>
      <c r="N74" s="11"/>
      <c r="O74" s="11">
        <f ca="1">(E74-G74)*'GS&lt;50 Predicted Monthly'!$X$9</f>
        <v>1391937.7678134143</v>
      </c>
      <c r="P74" s="11">
        <f ca="1">(F74-H74)*'GS&lt;50 Predicted Monthly'!$X$10</f>
        <v>0</v>
      </c>
      <c r="Q74" s="11"/>
      <c r="R74" s="11"/>
      <c r="S74" s="11"/>
      <c r="T74" s="11"/>
      <c r="U74" s="13">
        <f t="shared" ca="1" si="11"/>
        <v>38036240.678408779</v>
      </c>
    </row>
    <row r="75" spans="1:21" x14ac:dyDescent="0.2">
      <c r="A75" s="8">
        <f>'Monthly Data'!A75</f>
        <v>44958</v>
      </c>
      <c r="B75">
        <f t="shared" si="8"/>
        <v>2023</v>
      </c>
      <c r="C75">
        <f t="shared" si="9"/>
        <v>2</v>
      </c>
      <c r="D75" s="18">
        <f>'Monthly Data'!J75</f>
        <v>33697550.512014888</v>
      </c>
      <c r="E75" s="21">
        <f t="shared" ca="1" si="10"/>
        <v>483.54541666666665</v>
      </c>
      <c r="F75" s="21">
        <f t="shared" ca="1" si="10"/>
        <v>0</v>
      </c>
      <c r="G75" s="21">
        <f>'Monthly Data'!BJ75</f>
        <v>433.21666666666664</v>
      </c>
      <c r="H75" s="21">
        <f>'Monthly Data'!BK75</f>
        <v>0</v>
      </c>
      <c r="I75" s="11">
        <f>'Monthly Data'!CV75</f>
        <v>0</v>
      </c>
      <c r="J75" s="7">
        <f>'Monthly Data'!CS75</f>
        <v>28</v>
      </c>
      <c r="K75" s="19">
        <f>'Monthly Data'!AO75</f>
        <v>867096</v>
      </c>
      <c r="L75" s="19">
        <f>'Monthly Data'!BT75</f>
        <v>0</v>
      </c>
      <c r="N75" s="11"/>
      <c r="O75" s="11">
        <f ca="1">(E75-G75)*'GS&lt;50 Predicted Monthly'!$X$9</f>
        <v>695329.90503066394</v>
      </c>
      <c r="P75" s="11">
        <f ca="1">(F75-H75)*'GS&lt;50 Predicted Monthly'!$X$10</f>
        <v>0</v>
      </c>
      <c r="Q75" s="11"/>
      <c r="R75" s="11"/>
      <c r="S75" s="11"/>
      <c r="T75" s="11"/>
      <c r="U75" s="13">
        <f t="shared" ca="1" si="11"/>
        <v>34392880.417045549</v>
      </c>
    </row>
    <row r="76" spans="1:21" x14ac:dyDescent="0.2">
      <c r="A76" s="8">
        <f>'Monthly Data'!A76</f>
        <v>44986</v>
      </c>
      <c r="B76">
        <f t="shared" si="8"/>
        <v>2023</v>
      </c>
      <c r="C76">
        <f t="shared" si="9"/>
        <v>3</v>
      </c>
      <c r="D76" s="18">
        <f>'Monthly Data'!J76</f>
        <v>36355592.281842805</v>
      </c>
      <c r="E76" s="21">
        <f t="shared" ca="1" si="10"/>
        <v>393.96333333333331</v>
      </c>
      <c r="F76" s="21">
        <f t="shared" ca="1" si="10"/>
        <v>0</v>
      </c>
      <c r="G76" s="21">
        <f>'Monthly Data'!BJ76</f>
        <v>428.04583333333323</v>
      </c>
      <c r="H76" s="21">
        <f>'Monthly Data'!BK76</f>
        <v>0</v>
      </c>
      <c r="I76" s="11">
        <f>'Monthly Data'!CV76</f>
        <v>0</v>
      </c>
      <c r="J76" s="7">
        <f>'Monthly Data'!CS76</f>
        <v>31</v>
      </c>
      <c r="K76" s="19">
        <f>'Monthly Data'!AO76</f>
        <v>867096</v>
      </c>
      <c r="L76" s="19">
        <f>'Monthly Data'!BT76</f>
        <v>1</v>
      </c>
      <c r="N76" s="11"/>
      <c r="O76" s="11">
        <f ca="1">(E76-G76)*'GS&lt;50 Predicted Monthly'!$X$9</f>
        <v>-470875.62254591158</v>
      </c>
      <c r="P76" s="11">
        <f ca="1">(F76-H76)*'GS&lt;50 Predicted Monthly'!$X$10</f>
        <v>0</v>
      </c>
      <c r="Q76" s="11"/>
      <c r="R76" s="11"/>
      <c r="S76" s="11"/>
      <c r="T76" s="11"/>
      <c r="U76" s="13">
        <f t="shared" ca="1" si="11"/>
        <v>35884716.659296893</v>
      </c>
    </row>
    <row r="77" spans="1:21" x14ac:dyDescent="0.2">
      <c r="A77" s="8">
        <f>'Monthly Data'!A77</f>
        <v>45017</v>
      </c>
      <c r="B77">
        <f t="shared" si="8"/>
        <v>2023</v>
      </c>
      <c r="C77">
        <f t="shared" si="9"/>
        <v>4</v>
      </c>
      <c r="D77" s="18">
        <f>'Monthly Data'!J77</f>
        <v>31973002.845864329</v>
      </c>
      <c r="E77" s="21">
        <f t="shared" ca="1" si="10"/>
        <v>226.60145833333337</v>
      </c>
      <c r="F77" s="21">
        <f t="shared" ca="1" si="10"/>
        <v>6.5650000000000031</v>
      </c>
      <c r="G77" s="21">
        <f>'Monthly Data'!BJ77</f>
        <v>192.73750000000004</v>
      </c>
      <c r="H77" s="21">
        <f>'Monthly Data'!BK77</f>
        <v>22.516666666666687</v>
      </c>
      <c r="I77" s="11">
        <f>'Monthly Data'!CV77</f>
        <v>0</v>
      </c>
      <c r="J77" s="7">
        <f>'Monthly Data'!CS77</f>
        <v>30</v>
      </c>
      <c r="K77" s="19">
        <f>'Monthly Data'!AO77</f>
        <v>873385</v>
      </c>
      <c r="L77" s="19">
        <f>'Monthly Data'!BT77</f>
        <v>0</v>
      </c>
      <c r="N77" s="11"/>
      <c r="O77" s="11">
        <f ca="1">(E77-G77)*'GS&lt;50 Predicted Monthly'!$X$9</f>
        <v>467856.30344244628</v>
      </c>
      <c r="P77" s="11">
        <f ca="1">(F77-H77)*'GS&lt;50 Predicted Monthly'!$X$10</f>
        <v>-686660.92113845423</v>
      </c>
      <c r="Q77" s="11"/>
      <c r="R77" s="11"/>
      <c r="S77" s="11"/>
      <c r="T77" s="11"/>
      <c r="U77" s="13">
        <f t="shared" ca="1" si="11"/>
        <v>31754198.22816832</v>
      </c>
    </row>
    <row r="78" spans="1:21" x14ac:dyDescent="0.2">
      <c r="A78" s="8">
        <f>'Monthly Data'!A78</f>
        <v>45047</v>
      </c>
      <c r="B78">
        <f t="shared" si="8"/>
        <v>2023</v>
      </c>
      <c r="C78">
        <f t="shared" si="9"/>
        <v>5</v>
      </c>
      <c r="D78" s="18">
        <f>'Monthly Data'!J78</f>
        <v>33099271.600468054</v>
      </c>
      <c r="E78" s="21">
        <f t="shared" ca="1" si="10"/>
        <v>65.335833333333326</v>
      </c>
      <c r="F78" s="21">
        <f t="shared" ca="1" si="10"/>
        <v>59.300416666666649</v>
      </c>
      <c r="G78" s="21">
        <f>'Monthly Data'!BJ78</f>
        <v>62.808333333333323</v>
      </c>
      <c r="H78" s="21">
        <f>'Monthly Data'!BK78</f>
        <v>49.670833333333306</v>
      </c>
      <c r="I78" s="11">
        <f>'Monthly Data'!CV78</f>
        <v>0</v>
      </c>
      <c r="J78" s="7">
        <f>'Monthly Data'!CS78</f>
        <v>31</v>
      </c>
      <c r="K78" s="19">
        <f>'Monthly Data'!AO78</f>
        <v>873385</v>
      </c>
      <c r="L78" s="19">
        <f>'Monthly Data'!BT78</f>
        <v>0</v>
      </c>
      <c r="N78" s="11"/>
      <c r="O78" s="11">
        <f ca="1">(E78-G78)*'GS&lt;50 Predicted Monthly'!$X$9</f>
        <v>34919.332090803073</v>
      </c>
      <c r="P78" s="11">
        <f ca="1">(F78-H78)*'GS&lt;50 Predicted Monthly'!$X$10</f>
        <v>414518.35096726607</v>
      </c>
      <c r="Q78" s="11"/>
      <c r="R78" s="11"/>
      <c r="S78" s="11"/>
      <c r="T78" s="11"/>
      <c r="U78" s="13">
        <f t="shared" ca="1" si="11"/>
        <v>33548709.283526123</v>
      </c>
    </row>
    <row r="79" spans="1:21" x14ac:dyDescent="0.2">
      <c r="A79" s="8">
        <f>'Monthly Data'!A79</f>
        <v>45078</v>
      </c>
      <c r="B79">
        <f t="shared" si="8"/>
        <v>2023</v>
      </c>
      <c r="C79">
        <f t="shared" si="9"/>
        <v>6</v>
      </c>
      <c r="D79" s="18">
        <f>'Monthly Data'!J79</f>
        <v>34472273.31071417</v>
      </c>
      <c r="E79" s="21">
        <f t="shared" ca="1" si="10"/>
        <v>3.0447916666666672</v>
      </c>
      <c r="F79" s="21">
        <f t="shared" ca="1" si="10"/>
        <v>157.17000000000002</v>
      </c>
      <c r="G79" s="21">
        <f>'Monthly Data'!BJ79</f>
        <v>1.8374999999999932</v>
      </c>
      <c r="H79" s="21">
        <f>'Monthly Data'!BK79</f>
        <v>130.14166666666665</v>
      </c>
      <c r="I79" s="11">
        <f>'Monthly Data'!CV79</f>
        <v>0</v>
      </c>
      <c r="J79" s="7">
        <f>'Monthly Data'!CS79</f>
        <v>30</v>
      </c>
      <c r="K79" s="19">
        <f>'Monthly Data'!AO79</f>
        <v>873385</v>
      </c>
      <c r="L79" s="19">
        <f>'Monthly Data'!BT79</f>
        <v>0</v>
      </c>
      <c r="N79" s="11"/>
      <c r="O79" s="11">
        <f ca="1">(E79-G79)*'GS&lt;50 Predicted Monthly'!$X$9</f>
        <v>16679.651291312624</v>
      </c>
      <c r="P79" s="11">
        <f ca="1">(F79-H79)*'GS&lt;50 Predicted Monthly'!$X$10</f>
        <v>1163470.9182010565</v>
      </c>
      <c r="Q79" s="11"/>
      <c r="R79" s="11"/>
      <c r="S79" s="11"/>
      <c r="T79" s="11"/>
      <c r="U79" s="13">
        <f t="shared" ca="1" si="11"/>
        <v>35652423.88020654</v>
      </c>
    </row>
    <row r="80" spans="1:21" x14ac:dyDescent="0.2">
      <c r="A80" s="8">
        <f>'Monthly Data'!A80</f>
        <v>45108</v>
      </c>
      <c r="B80">
        <f t="shared" si="8"/>
        <v>2023</v>
      </c>
      <c r="C80">
        <f t="shared" si="9"/>
        <v>7</v>
      </c>
      <c r="D80" s="18">
        <f>'Monthly Data'!J80</f>
        <v>38328544.836939998</v>
      </c>
      <c r="E80" s="21">
        <f t="shared" ca="1" si="10"/>
        <v>0</v>
      </c>
      <c r="F80" s="21">
        <f t="shared" ca="1" si="10"/>
        <v>231.27145833333333</v>
      </c>
      <c r="G80" s="21">
        <f>'Monthly Data'!BJ80</f>
        <v>0</v>
      </c>
      <c r="H80" s="21">
        <f>'Monthly Data'!BK80</f>
        <v>203.20000000000002</v>
      </c>
      <c r="I80" s="11">
        <f>'Monthly Data'!CV80</f>
        <v>0</v>
      </c>
      <c r="J80" s="7">
        <f>'Monthly Data'!CS80</f>
        <v>31</v>
      </c>
      <c r="K80" s="19">
        <f>'Monthly Data'!AO80</f>
        <v>876964</v>
      </c>
      <c r="L80" s="19">
        <f>'Monthly Data'!BT80</f>
        <v>0</v>
      </c>
      <c r="N80" s="11"/>
      <c r="O80" s="11">
        <f ca="1">(E80-G80)*'GS&lt;50 Predicted Monthly'!$X$9</f>
        <v>0</v>
      </c>
      <c r="P80" s="11">
        <f ca="1">(F80-H80)*'GS&lt;50 Predicted Monthly'!$X$10</f>
        <v>1208373.6351603614</v>
      </c>
      <c r="Q80" s="11"/>
      <c r="R80" s="11"/>
      <c r="S80" s="11"/>
      <c r="T80" s="11"/>
      <c r="U80" s="13">
        <f t="shared" ca="1" si="11"/>
        <v>39536918.472100362</v>
      </c>
    </row>
    <row r="81" spans="1:21" x14ac:dyDescent="0.2">
      <c r="A81" s="8">
        <f>'Monthly Data'!A81</f>
        <v>45139</v>
      </c>
      <c r="B81">
        <f t="shared" si="8"/>
        <v>2023</v>
      </c>
      <c r="C81">
        <f t="shared" si="9"/>
        <v>8</v>
      </c>
      <c r="D81" s="18">
        <f>'Monthly Data'!J81</f>
        <v>36428584.860646717</v>
      </c>
      <c r="E81" s="21">
        <f t="shared" ca="1" si="10"/>
        <v>0.27875000000000066</v>
      </c>
      <c r="F81" s="21">
        <f t="shared" ca="1" si="10"/>
        <v>196.13625000000002</v>
      </c>
      <c r="G81" s="21">
        <f>'Monthly Data'!BJ81</f>
        <v>4.1666666666646535E-3</v>
      </c>
      <c r="H81" s="21">
        <f>'Monthly Data'!BK81</f>
        <v>144.09583333333336</v>
      </c>
      <c r="I81" s="11">
        <f>'Monthly Data'!CV81</f>
        <v>0</v>
      </c>
      <c r="J81" s="7">
        <f>'Monthly Data'!CS81</f>
        <v>31</v>
      </c>
      <c r="K81" s="19">
        <f>'Monthly Data'!AO81</f>
        <v>876964</v>
      </c>
      <c r="L81" s="19">
        <f>'Monthly Data'!BT81</f>
        <v>0</v>
      </c>
      <c r="N81" s="11"/>
      <c r="O81" s="11">
        <f ca="1">(E81-G81)*'GS&lt;50 Predicted Monthly'!$X$9</f>
        <v>3793.577291104421</v>
      </c>
      <c r="P81" s="11">
        <f ca="1">(F81-H81)*'GS&lt;50 Predicted Monthly'!$X$10</f>
        <v>2240149.6465215078</v>
      </c>
      <c r="Q81" s="11"/>
      <c r="R81" s="11"/>
      <c r="S81" s="11"/>
      <c r="T81" s="11"/>
      <c r="U81" s="13">
        <f t="shared" ca="1" si="11"/>
        <v>38672528.084459327</v>
      </c>
    </row>
    <row r="82" spans="1:21" x14ac:dyDescent="0.2">
      <c r="A82" s="8">
        <f>'Monthly Data'!A82</f>
        <v>45170</v>
      </c>
      <c r="B82">
        <f t="shared" si="8"/>
        <v>2023</v>
      </c>
      <c r="C82">
        <f t="shared" si="9"/>
        <v>9</v>
      </c>
      <c r="D82" s="18">
        <f>'Monthly Data'!J82</f>
        <v>33579765.16547174</v>
      </c>
      <c r="E82" s="21">
        <f t="shared" ref="E82:F109" ca="1" si="12">E70</f>
        <v>11.319999999999997</v>
      </c>
      <c r="F82" s="21">
        <f t="shared" ca="1" si="12"/>
        <v>104.19854166666664</v>
      </c>
      <c r="G82" s="21">
        <f>'Monthly Data'!BJ82</f>
        <v>3.8624999999999901</v>
      </c>
      <c r="H82" s="21">
        <f>'Monthly Data'!BK82</f>
        <v>90.90416666666664</v>
      </c>
      <c r="I82" s="11">
        <f>'Monthly Data'!CV82</f>
        <v>0</v>
      </c>
      <c r="J82" s="7">
        <f>'Monthly Data'!CS82</f>
        <v>30</v>
      </c>
      <c r="K82" s="19">
        <f>'Monthly Data'!AO82</f>
        <v>876964</v>
      </c>
      <c r="L82" s="19">
        <f>'Monthly Data'!BT82</f>
        <v>0</v>
      </c>
      <c r="N82" s="11"/>
      <c r="O82" s="11">
        <f ca="1">(E82-G82)*'GS&lt;50 Predicted Monthly'!$X$9</f>
        <v>103031.02633715679</v>
      </c>
      <c r="P82" s="11">
        <f ca="1">(F82-H82)*'GS&lt;50 Predicted Monthly'!$X$10</f>
        <v>572274.23154069763</v>
      </c>
      <c r="Q82" s="11"/>
      <c r="R82" s="11"/>
      <c r="S82" s="11"/>
      <c r="T82" s="11"/>
      <c r="U82" s="13">
        <f t="shared" ca="1" si="11"/>
        <v>34255070.423349589</v>
      </c>
    </row>
    <row r="83" spans="1:21" x14ac:dyDescent="0.2">
      <c r="A83" s="8">
        <f>'Monthly Data'!A83</f>
        <v>45200</v>
      </c>
      <c r="B83">
        <f t="shared" si="8"/>
        <v>2023</v>
      </c>
      <c r="C83">
        <f t="shared" si="9"/>
        <v>10</v>
      </c>
      <c r="D83" s="18">
        <f>'Monthly Data'!J83</f>
        <v>32793920.29388446</v>
      </c>
      <c r="E83" s="21">
        <f t="shared" ca="1" si="12"/>
        <v>126.12583333333332</v>
      </c>
      <c r="F83" s="21">
        <f t="shared" ca="1" si="12"/>
        <v>24.703125000000007</v>
      </c>
      <c r="G83" s="21">
        <f>'Monthly Data'!BJ83</f>
        <v>126.92083333333335</v>
      </c>
      <c r="H83" s="21">
        <f>'Monthly Data'!BK83</f>
        <v>37.479166666666657</v>
      </c>
      <c r="I83" s="11">
        <f>'Monthly Data'!CV83</f>
        <v>0</v>
      </c>
      <c r="J83" s="7">
        <f>'Monthly Data'!CS83</f>
        <v>31</v>
      </c>
      <c r="K83" s="19">
        <f>'Monthly Data'!AO83</f>
        <v>880255</v>
      </c>
      <c r="L83" s="19">
        <f>'Monthly Data'!BT83</f>
        <v>0</v>
      </c>
      <c r="N83" s="11"/>
      <c r="O83" s="11">
        <f ca="1">(E83-G83)*'GS&lt;50 Predicted Monthly'!$X$9</f>
        <v>-10983.528788205522</v>
      </c>
      <c r="P83" s="11">
        <f ca="1">(F83-H83)*'GS&lt;50 Predicted Monthly'!$X$10</f>
        <v>-549961.87687827297</v>
      </c>
      <c r="Q83" s="11"/>
      <c r="R83" s="11"/>
      <c r="S83" s="11"/>
      <c r="T83" s="11"/>
      <c r="U83" s="13">
        <f t="shared" ca="1" si="11"/>
        <v>32232974.888217982</v>
      </c>
    </row>
    <row r="84" spans="1:21" x14ac:dyDescent="0.2">
      <c r="A84" s="8">
        <f>'Monthly Data'!A84</f>
        <v>45231</v>
      </c>
      <c r="B84">
        <f t="shared" si="8"/>
        <v>2023</v>
      </c>
      <c r="C84">
        <f t="shared" si="9"/>
        <v>11</v>
      </c>
      <c r="D84" s="18">
        <f>'Monthly Data'!J84</f>
        <v>33988995.077233881</v>
      </c>
      <c r="E84" s="21">
        <f t="shared" ca="1" si="12"/>
        <v>312.40687500000001</v>
      </c>
      <c r="F84" s="21">
        <f t="shared" ca="1" si="12"/>
        <v>1.6454166666666665</v>
      </c>
      <c r="G84" s="21">
        <f>'Monthly Data'!BJ84</f>
        <v>323.11666666666673</v>
      </c>
      <c r="H84" s="21">
        <f>'Monthly Data'!BK84</f>
        <v>0</v>
      </c>
      <c r="I84" s="11">
        <f>'Monthly Data'!CV84</f>
        <v>0</v>
      </c>
      <c r="J84" s="7">
        <f>'Monthly Data'!CS84</f>
        <v>30</v>
      </c>
      <c r="K84" s="19">
        <f>'Monthly Data'!AO84</f>
        <v>880255</v>
      </c>
      <c r="L84" s="19">
        <f>'Monthly Data'!BT84</f>
        <v>0</v>
      </c>
      <c r="N84" s="11"/>
      <c r="O84" s="11">
        <f ca="1">(E84-G84)*'GS&lt;50 Predicted Monthly'!$X$9</f>
        <v>-147963.90576919878</v>
      </c>
      <c r="P84" s="11">
        <f ca="1">(F84-H84)*'GS&lt;50 Predicted Monthly'!$X$10</f>
        <v>70829.170869704118</v>
      </c>
      <c r="Q84" s="11"/>
      <c r="R84" s="11"/>
      <c r="S84" s="11"/>
      <c r="T84" s="11"/>
      <c r="U84" s="13">
        <f t="shared" ca="1" si="11"/>
        <v>33911860.342334382</v>
      </c>
    </row>
    <row r="85" spans="1:21" x14ac:dyDescent="0.2">
      <c r="A85" s="8">
        <f>'Monthly Data'!A85</f>
        <v>45261</v>
      </c>
      <c r="B85">
        <f t="shared" si="8"/>
        <v>2023</v>
      </c>
      <c r="C85">
        <f t="shared" si="9"/>
        <v>12</v>
      </c>
      <c r="D85" s="18">
        <f>'Monthly Data'!J85</f>
        <v>35287478.129461206</v>
      </c>
      <c r="E85" s="21">
        <f t="shared" ca="1" si="12"/>
        <v>473.52499999999998</v>
      </c>
      <c r="F85" s="21">
        <f t="shared" ca="1" si="12"/>
        <v>0</v>
      </c>
      <c r="G85" s="21">
        <f>'Monthly Data'!BJ85</f>
        <v>356.10416666666674</v>
      </c>
      <c r="H85" s="21">
        <f>'Monthly Data'!BK85</f>
        <v>0</v>
      </c>
      <c r="I85" s="11">
        <f>'Monthly Data'!CV85</f>
        <v>0</v>
      </c>
      <c r="J85" s="7">
        <f>'Monthly Data'!CS85</f>
        <v>31</v>
      </c>
      <c r="K85" s="19">
        <f>'Monthly Data'!AO85</f>
        <v>880255</v>
      </c>
      <c r="L85" s="19">
        <f>'Monthly Data'!BT85</f>
        <v>0</v>
      </c>
      <c r="N85" s="11"/>
      <c r="O85" s="11">
        <f ca="1">(E85-G85)*'GS&lt;50 Predicted Monthly'!$X$9</f>
        <v>1622257.9915115715</v>
      </c>
      <c r="P85" s="11">
        <f ca="1">(F85-H85)*'GS&lt;50 Predicted Monthly'!$X$10</f>
        <v>0</v>
      </c>
      <c r="Q85" s="11"/>
      <c r="R85" s="11"/>
      <c r="S85" s="11"/>
      <c r="T85" s="11"/>
      <c r="U85" s="13">
        <f t="shared" ca="1" si="11"/>
        <v>36909736.120972775</v>
      </c>
    </row>
    <row r="86" spans="1:21" x14ac:dyDescent="0.2">
      <c r="A86" s="8">
        <f>'Monthly Data'!A86</f>
        <v>45292</v>
      </c>
      <c r="B86">
        <f t="shared" si="8"/>
        <v>2024</v>
      </c>
      <c r="C86">
        <f t="shared" si="9"/>
        <v>1</v>
      </c>
      <c r="D86" s="18">
        <f>'Monthly Data'!J86</f>
        <v>38219875.681387417</v>
      </c>
      <c r="E86" s="21">
        <f t="shared" ca="1" si="12"/>
        <v>566.30416666666667</v>
      </c>
      <c r="F86" s="21">
        <f t="shared" ca="1" si="12"/>
        <v>0</v>
      </c>
      <c r="G86" s="21">
        <f>'Monthly Data'!BJ86</f>
        <v>530.65208333333339</v>
      </c>
      <c r="H86" s="21">
        <f>'Monthly Data'!BK86</f>
        <v>0</v>
      </c>
      <c r="I86" s="11">
        <f>'Monthly Data'!CV86</f>
        <v>0</v>
      </c>
      <c r="J86" s="7">
        <f>'Monthly Data'!CS86</f>
        <v>31</v>
      </c>
      <c r="K86" s="19">
        <f>'Monthly Data'!AO86</f>
        <v>885802</v>
      </c>
      <c r="L86" s="19">
        <f>'Monthly Data'!BT86</f>
        <v>0</v>
      </c>
      <c r="N86" s="11"/>
      <c r="O86" s="11">
        <f ca="1">(E86-G86)*'GS&lt;50 Predicted Monthly'!$X$9</f>
        <v>492560.60836623085</v>
      </c>
      <c r="P86" s="11">
        <f ca="1">(F86-H86)*'GS&lt;50 Predicted Monthly'!$X$10</f>
        <v>0</v>
      </c>
      <c r="Q86" s="11"/>
      <c r="R86" s="11"/>
      <c r="S86" s="11"/>
      <c r="T86" s="11"/>
      <c r="U86" s="13">
        <f t="shared" ca="1" si="11"/>
        <v>38712436.289753646</v>
      </c>
    </row>
    <row r="87" spans="1:21" x14ac:dyDescent="0.2">
      <c r="A87" s="8">
        <f>'Monthly Data'!A87</f>
        <v>45323</v>
      </c>
      <c r="B87">
        <f t="shared" si="8"/>
        <v>2024</v>
      </c>
      <c r="C87">
        <f t="shared" si="9"/>
        <v>2</v>
      </c>
      <c r="D87" s="18">
        <f>'Monthly Data'!J87</f>
        <v>34257979.157338955</v>
      </c>
      <c r="E87" s="21">
        <f t="shared" ca="1" si="12"/>
        <v>483.54541666666665</v>
      </c>
      <c r="F87" s="21">
        <f t="shared" ca="1" si="12"/>
        <v>0</v>
      </c>
      <c r="G87" s="21">
        <f>'Monthly Data'!BJ87</f>
        <v>407.16041666666661</v>
      </c>
      <c r="H87" s="21">
        <f>'Monthly Data'!BK87</f>
        <v>0</v>
      </c>
      <c r="I87" s="11">
        <f>'Monthly Data'!CV87</f>
        <v>0</v>
      </c>
      <c r="J87" s="7">
        <f>'Monthly Data'!CS87</f>
        <v>29</v>
      </c>
      <c r="K87" s="19">
        <f>'Monthly Data'!AO87</f>
        <v>885802</v>
      </c>
      <c r="L87" s="19">
        <f>'Monthly Data'!BT87</f>
        <v>0</v>
      </c>
      <c r="N87" s="11"/>
      <c r="O87" s="11">
        <f ca="1">(E87-G87)*'GS&lt;50 Predicted Monthly'!$X$9</f>
        <v>1055316.7880340221</v>
      </c>
      <c r="P87" s="11">
        <f ca="1">(F87-H87)*'GS&lt;50 Predicted Monthly'!$X$10</f>
        <v>0</v>
      </c>
      <c r="Q87" s="11"/>
      <c r="R87" s="11"/>
      <c r="S87" s="11"/>
      <c r="T87" s="11"/>
      <c r="U87" s="13">
        <f t="shared" ca="1" si="11"/>
        <v>35313295.945372976</v>
      </c>
    </row>
    <row r="88" spans="1:21" x14ac:dyDescent="0.2">
      <c r="A88" s="8">
        <f>'Monthly Data'!A88</f>
        <v>45352</v>
      </c>
      <c r="B88">
        <f t="shared" si="8"/>
        <v>2024</v>
      </c>
      <c r="C88">
        <f t="shared" si="9"/>
        <v>3</v>
      </c>
      <c r="D88" s="18">
        <f>'Monthly Data'!J88</f>
        <v>34527361.185368188</v>
      </c>
      <c r="E88" s="21">
        <f t="shared" ca="1" si="12"/>
        <v>393.96333333333331</v>
      </c>
      <c r="F88" s="21">
        <f t="shared" ca="1" si="12"/>
        <v>0</v>
      </c>
      <c r="G88" s="21">
        <f>'Monthly Data'!BJ88</f>
        <v>332.44375000000008</v>
      </c>
      <c r="H88" s="21">
        <f>'Monthly Data'!BK88</f>
        <v>0</v>
      </c>
      <c r="I88" s="11">
        <f>'Monthly Data'!CV88</f>
        <v>0</v>
      </c>
      <c r="J88" s="7">
        <f>'Monthly Data'!CS88</f>
        <v>31</v>
      </c>
      <c r="K88" s="19">
        <f>'Monthly Data'!AO88</f>
        <v>885802</v>
      </c>
      <c r="L88" s="19">
        <f>'Monthly Data'!BT88</f>
        <v>1</v>
      </c>
      <c r="N88" s="11"/>
      <c r="O88" s="11">
        <f ca="1">(E88-G88)*'GS&lt;50 Predicted Monthly'!$X$9</f>
        <v>849939.76676735666</v>
      </c>
      <c r="P88" s="11">
        <f ca="1">(F88-H88)*'GS&lt;50 Predicted Monthly'!$X$10</f>
        <v>0</v>
      </c>
      <c r="Q88" s="11"/>
      <c r="R88" s="11"/>
      <c r="S88" s="11"/>
      <c r="T88" s="11"/>
      <c r="U88" s="13">
        <f t="shared" ca="1" si="11"/>
        <v>35377300.952135548</v>
      </c>
    </row>
    <row r="89" spans="1:21" x14ac:dyDescent="0.2">
      <c r="A89" s="8">
        <f>'Monthly Data'!A89</f>
        <v>45383</v>
      </c>
      <c r="B89">
        <f t="shared" si="8"/>
        <v>2024</v>
      </c>
      <c r="C89">
        <f t="shared" si="9"/>
        <v>4</v>
      </c>
      <c r="D89" s="18">
        <f>'Monthly Data'!J89</f>
        <v>31963168.830053426</v>
      </c>
      <c r="E89" s="21">
        <f t="shared" ca="1" si="12"/>
        <v>226.60145833333337</v>
      </c>
      <c r="F89" s="21">
        <f t="shared" ca="1" si="12"/>
        <v>6.5650000000000031</v>
      </c>
      <c r="G89" s="21">
        <f>'Monthly Data'!BJ89</f>
        <v>158.17500000000004</v>
      </c>
      <c r="H89" s="21">
        <f>'Monthly Data'!BK89</f>
        <v>8.4166666666666679</v>
      </c>
      <c r="I89" s="11">
        <f>'Monthly Data'!CV89</f>
        <v>0</v>
      </c>
      <c r="J89" s="7">
        <f>'Monthly Data'!CS89</f>
        <v>30</v>
      </c>
      <c r="K89" s="19">
        <f>'Monthly Data'!AO89</f>
        <v>888733</v>
      </c>
      <c r="L89" s="19">
        <f>'Monthly Data'!BT89</f>
        <v>0</v>
      </c>
      <c r="N89" s="11"/>
      <c r="O89" s="11">
        <f ca="1">(E89-G89)*'GS&lt;50 Predicted Monthly'!$X$9</f>
        <v>945363.49053972797</v>
      </c>
      <c r="P89" s="11">
        <f ca="1">(F89-H89)*'GS&lt;50 Predicted Monthly'!$X$10</f>
        <v>-79707.479195990076</v>
      </c>
      <c r="Q89" s="11"/>
      <c r="R89" s="11"/>
      <c r="S89" s="11"/>
      <c r="T89" s="11"/>
      <c r="U89" s="13">
        <f t="shared" ca="1" si="11"/>
        <v>32828824.841397166</v>
      </c>
    </row>
    <row r="90" spans="1:21" x14ac:dyDescent="0.2">
      <c r="A90" s="8">
        <f>'Monthly Data'!A90</f>
        <v>45413</v>
      </c>
      <c r="B90">
        <f t="shared" si="8"/>
        <v>2024</v>
      </c>
      <c r="C90">
        <f t="shared" si="9"/>
        <v>5</v>
      </c>
      <c r="D90" s="18">
        <f>'Monthly Data'!J90</f>
        <v>33702078.344445564</v>
      </c>
      <c r="E90" s="21">
        <f t="shared" ca="1" si="12"/>
        <v>65.335833333333326</v>
      </c>
      <c r="F90" s="21">
        <f t="shared" ca="1" si="12"/>
        <v>59.300416666666649</v>
      </c>
      <c r="G90" s="21">
        <f>'Monthly Data'!BJ90</f>
        <v>14.683333333333328</v>
      </c>
      <c r="H90" s="21">
        <f>'Monthly Data'!BK90</f>
        <v>73.216666666666654</v>
      </c>
      <c r="I90" s="11">
        <f>'Monthly Data'!CV90</f>
        <v>0</v>
      </c>
      <c r="J90" s="7">
        <f>'Monthly Data'!CS90</f>
        <v>31</v>
      </c>
      <c r="K90" s="19">
        <f>'Monthly Data'!AO90</f>
        <v>888733</v>
      </c>
      <c r="L90" s="19">
        <f>'Monthly Data'!BT90</f>
        <v>0</v>
      </c>
      <c r="N90" s="11"/>
      <c r="O90" s="11">
        <f ca="1">(E90-G90)*'GS&lt;50 Predicted Monthly'!$X$9</f>
        <v>699802.75716296735</v>
      </c>
      <c r="P90" s="11">
        <f ca="1">(F90-H90)*'GS&lt;50 Predicted Monthly'!$X$10</f>
        <v>-599043.6763426814</v>
      </c>
      <c r="Q90" s="11"/>
      <c r="R90" s="11"/>
      <c r="S90" s="11"/>
      <c r="T90" s="11"/>
      <c r="U90" s="13">
        <f t="shared" ca="1" si="11"/>
        <v>33802837.425265849</v>
      </c>
    </row>
    <row r="91" spans="1:21" x14ac:dyDescent="0.2">
      <c r="A91" s="8">
        <f>'Monthly Data'!A91</f>
        <v>45444</v>
      </c>
      <c r="B91">
        <f t="shared" si="8"/>
        <v>2024</v>
      </c>
      <c r="C91">
        <f t="shared" si="9"/>
        <v>6</v>
      </c>
      <c r="D91" s="18">
        <f>'Monthly Data'!J91</f>
        <v>36390924.841228999</v>
      </c>
      <c r="E91" s="21">
        <f t="shared" ca="1" si="12"/>
        <v>3.0447916666666672</v>
      </c>
      <c r="F91" s="21">
        <f t="shared" ca="1" si="12"/>
        <v>157.17000000000002</v>
      </c>
      <c r="G91" s="21">
        <f>'Monthly Data'!BJ91</f>
        <v>1.9666666666666686</v>
      </c>
      <c r="H91" s="21">
        <f>'Monthly Data'!BK91</f>
        <v>169.16458333333333</v>
      </c>
      <c r="I91" s="11">
        <f>'Monthly Data'!CV91</f>
        <v>0</v>
      </c>
      <c r="J91" s="7">
        <f>'Monthly Data'!CS91</f>
        <v>30</v>
      </c>
      <c r="K91" s="19">
        <f>'Monthly Data'!AO91</f>
        <v>888733</v>
      </c>
      <c r="L91" s="19">
        <f>'Monthly Data'!BT91</f>
        <v>0</v>
      </c>
      <c r="N91" s="11"/>
      <c r="O91" s="11">
        <f ca="1">(E91-G91)*'GS&lt;50 Predicted Monthly'!$X$9</f>
        <v>14895.115691551717</v>
      </c>
      <c r="P91" s="11">
        <f ca="1">(F91-H91)*'GS&lt;50 Predicted Monthly'!$X$10</f>
        <v>-516322.95310867782</v>
      </c>
      <c r="Q91" s="11"/>
      <c r="R91" s="11"/>
      <c r="S91" s="11"/>
      <c r="T91" s="11"/>
      <c r="U91" s="13">
        <f t="shared" ca="1" si="11"/>
        <v>35889497.003811873</v>
      </c>
    </row>
    <row r="92" spans="1:21" x14ac:dyDescent="0.2">
      <c r="A92" s="8">
        <f>'Monthly Data'!A92</f>
        <v>45474</v>
      </c>
      <c r="B92">
        <f t="shared" si="8"/>
        <v>2024</v>
      </c>
      <c r="C92">
        <f t="shared" si="9"/>
        <v>7</v>
      </c>
      <c r="D92" s="18">
        <f>'Monthly Data'!J92</f>
        <v>40087127.052448839</v>
      </c>
      <c r="E92" s="21">
        <f t="shared" ca="1" si="12"/>
        <v>0</v>
      </c>
      <c r="F92" s="21">
        <f t="shared" ca="1" si="12"/>
        <v>231.27145833333333</v>
      </c>
      <c r="G92" s="21">
        <f>'Monthly Data'!BJ92</f>
        <v>0</v>
      </c>
      <c r="H92" s="21">
        <f>'Monthly Data'!BK92</f>
        <v>221.45416666666657</v>
      </c>
      <c r="I92" s="11">
        <f>'Monthly Data'!CV92</f>
        <v>0</v>
      </c>
      <c r="J92" s="7">
        <f>'Monthly Data'!CS92</f>
        <v>31</v>
      </c>
      <c r="K92" s="19">
        <f>'Monthly Data'!AO92</f>
        <v>890079</v>
      </c>
      <c r="L92" s="19">
        <f>'Monthly Data'!BT92</f>
        <v>0</v>
      </c>
      <c r="N92" s="11"/>
      <c r="O92" s="11">
        <f ca="1">(E92-G92)*'GS&lt;50 Predicted Monthly'!$X$9</f>
        <v>0</v>
      </c>
      <c r="P92" s="11">
        <f ca="1">(F92-H92)*'GS&lt;50 Predicted Monthly'!$X$10</f>
        <v>422598.50834301085</v>
      </c>
      <c r="Q92" s="11"/>
      <c r="R92" s="11"/>
      <c r="S92" s="11"/>
      <c r="T92" s="11"/>
      <c r="U92" s="13">
        <f t="shared" ca="1" si="11"/>
        <v>40509725.56079185</v>
      </c>
    </row>
    <row r="93" spans="1:21" x14ac:dyDescent="0.2">
      <c r="A93" s="8">
        <f>'Monthly Data'!A93</f>
        <v>45505</v>
      </c>
      <c r="B93">
        <f t="shared" si="8"/>
        <v>2024</v>
      </c>
      <c r="C93">
        <f t="shared" si="9"/>
        <v>8</v>
      </c>
      <c r="D93" s="18">
        <f>'Monthly Data'!J93</f>
        <v>38411450.880521774</v>
      </c>
      <c r="E93" s="21">
        <f t="shared" ca="1" si="12"/>
        <v>0.27875000000000066</v>
      </c>
      <c r="F93" s="21">
        <f t="shared" ca="1" si="12"/>
        <v>196.13625000000002</v>
      </c>
      <c r="G93" s="21">
        <f>'Monthly Data'!BJ93</f>
        <v>0.30000000000000426</v>
      </c>
      <c r="H93" s="21">
        <f>'Monthly Data'!BK93</f>
        <v>183.15208333333334</v>
      </c>
      <c r="I93" s="11">
        <f>'Monthly Data'!CV93</f>
        <v>0</v>
      </c>
      <c r="J93" s="7">
        <f>'Monthly Data'!CS93</f>
        <v>31</v>
      </c>
      <c r="K93" s="19">
        <f>'Monthly Data'!AO93</f>
        <v>890079</v>
      </c>
      <c r="L93" s="19">
        <f>'Monthly Data'!BT93</f>
        <v>0</v>
      </c>
      <c r="N93" s="11"/>
      <c r="O93" s="11">
        <f ca="1">(E93-G93)*'GS&lt;50 Predicted Monthly'!$X$9</f>
        <v>-293.58488899295349</v>
      </c>
      <c r="P93" s="11">
        <f ca="1">(F93-H93)*'GS&lt;50 Predicted Monthly'!$X$10</f>
        <v>558920.89709843567</v>
      </c>
      <c r="Q93" s="11"/>
      <c r="R93" s="11"/>
      <c r="S93" s="11"/>
      <c r="T93" s="11"/>
      <c r="U93" s="13">
        <f t="shared" ca="1" si="11"/>
        <v>38970078.192731217</v>
      </c>
    </row>
    <row r="94" spans="1:21" x14ac:dyDescent="0.2">
      <c r="A94" s="8">
        <f>'Monthly Data'!A94</f>
        <v>45536</v>
      </c>
      <c r="B94">
        <f t="shared" si="8"/>
        <v>2024</v>
      </c>
      <c r="C94">
        <f t="shared" si="9"/>
        <v>9</v>
      </c>
      <c r="D94" s="18">
        <f>'Monthly Data'!J94</f>
        <v>34606193.578424111</v>
      </c>
      <c r="E94" s="21">
        <f t="shared" ca="1" si="12"/>
        <v>11.319999999999997</v>
      </c>
      <c r="F94" s="21">
        <f t="shared" ca="1" si="12"/>
        <v>104.19854166666664</v>
      </c>
      <c r="G94" s="21">
        <f>'Monthly Data'!BJ94</f>
        <v>4.2874999999999979</v>
      </c>
      <c r="H94" s="21">
        <f>'Monthly Data'!BK94</f>
        <v>120.08541666666667</v>
      </c>
      <c r="I94" s="11">
        <f>'Monthly Data'!CV94</f>
        <v>0</v>
      </c>
      <c r="J94" s="7">
        <f>'Monthly Data'!CS94</f>
        <v>30</v>
      </c>
      <c r="K94" s="19">
        <f>'Monthly Data'!AO94</f>
        <v>890079</v>
      </c>
      <c r="L94" s="19">
        <f>'Monthly Data'!BT94</f>
        <v>0</v>
      </c>
      <c r="N94" s="11"/>
      <c r="O94" s="11">
        <f ca="1">(E94-G94)*'GS&lt;50 Predicted Monthly'!$X$9</f>
        <v>97159.328557298606</v>
      </c>
      <c r="P94" s="11">
        <f ca="1">(F94-H94)*'GS&lt;50 Predicted Monthly'!$X$10</f>
        <v>-683871.87680565182</v>
      </c>
      <c r="Q94" s="11"/>
      <c r="R94" s="11"/>
      <c r="S94" s="11"/>
      <c r="T94" s="11"/>
      <c r="U94" s="13">
        <f t="shared" ca="1" si="11"/>
        <v>34019481.03017576</v>
      </c>
    </row>
    <row r="95" spans="1:21" x14ac:dyDescent="0.2">
      <c r="A95" s="8">
        <f>'Monthly Data'!A95</f>
        <v>45566</v>
      </c>
      <c r="B95">
        <f t="shared" si="8"/>
        <v>2024</v>
      </c>
      <c r="C95">
        <f t="shared" si="9"/>
        <v>10</v>
      </c>
      <c r="D95" s="18">
        <f>'Monthly Data'!J95</f>
        <v>32483265.88042035</v>
      </c>
      <c r="E95" s="21">
        <f t="shared" ca="1" si="12"/>
        <v>126.12583333333332</v>
      </c>
      <c r="F95" s="21">
        <f t="shared" ca="1" si="12"/>
        <v>24.703125000000007</v>
      </c>
      <c r="G95" s="21">
        <f>'Monthly Data'!BJ95</f>
        <v>109.52916666666667</v>
      </c>
      <c r="H95" s="21">
        <f>'Monthly Data'!BK95</f>
        <v>19.300000000000008</v>
      </c>
      <c r="I95" s="11">
        <f>'Monthly Data'!CV95</f>
        <v>0</v>
      </c>
      <c r="J95" s="7">
        <f>'Monthly Data'!CS95</f>
        <v>31</v>
      </c>
      <c r="K95" s="19">
        <f>'Monthly Data'!AO95</f>
        <v>893201</v>
      </c>
      <c r="L95" s="19">
        <f>'Monthly Data'!BT95</f>
        <v>0</v>
      </c>
      <c r="N95" s="11"/>
      <c r="O95" s="11">
        <f ca="1">(E95-G95)*'GS&lt;50 Predicted Monthly'!$X$9</f>
        <v>229295.55486990846</v>
      </c>
      <c r="P95" s="11">
        <f ca="1">(F95-H95)*'GS&lt;50 Predicted Monthly'!$X$10</f>
        <v>232584.7741840689</v>
      </c>
      <c r="Q95" s="11"/>
      <c r="R95" s="11"/>
      <c r="S95" s="11"/>
      <c r="T95" s="11"/>
      <c r="U95" s="13">
        <f t="shared" ca="1" si="11"/>
        <v>32945146.209474329</v>
      </c>
    </row>
    <row r="96" spans="1:21" x14ac:dyDescent="0.2">
      <c r="A96" s="8">
        <f>'Monthly Data'!A96</f>
        <v>45597</v>
      </c>
      <c r="B96">
        <f t="shared" si="8"/>
        <v>2024</v>
      </c>
      <c r="C96">
        <f t="shared" si="9"/>
        <v>11</v>
      </c>
      <c r="D96" s="18">
        <f>'Monthly Data'!J96</f>
        <v>32809368.372306686</v>
      </c>
      <c r="E96" s="21">
        <f t="shared" ca="1" si="12"/>
        <v>312.40687500000001</v>
      </c>
      <c r="F96" s="21">
        <f t="shared" ca="1" si="12"/>
        <v>1.6454166666666665</v>
      </c>
      <c r="G96" s="21">
        <f>'Monthly Data'!BJ96</f>
        <v>248.15208333333331</v>
      </c>
      <c r="H96" s="21">
        <f>'Monthly Data'!BK96</f>
        <v>7.3583333333333343</v>
      </c>
      <c r="I96" s="11">
        <f>'Monthly Data'!CV96</f>
        <v>0</v>
      </c>
      <c r="J96" s="7">
        <f>'Monthly Data'!CS96</f>
        <v>30</v>
      </c>
      <c r="K96" s="19">
        <f>'Monthly Data'!AO96</f>
        <v>893201</v>
      </c>
      <c r="L96" s="19">
        <f>'Monthly Data'!BT96</f>
        <v>0</v>
      </c>
      <c r="N96" s="11"/>
      <c r="O96" s="11">
        <f ca="1">(E96-G96)*'GS&lt;50 Predicted Monthly'!$X$9</f>
        <v>887728.74723390595</v>
      </c>
      <c r="P96" s="11">
        <f ca="1">(F96-H96)*'GS&lt;50 Predicted Monthly'!$X$10</f>
        <v>-245920.17264991475</v>
      </c>
      <c r="Q96" s="11"/>
      <c r="R96" s="11"/>
      <c r="S96" s="11"/>
      <c r="T96" s="11"/>
      <c r="U96" s="13">
        <f t="shared" ca="1" si="11"/>
        <v>33451176.946890678</v>
      </c>
    </row>
    <row r="97" spans="1:25" x14ac:dyDescent="0.2">
      <c r="A97" s="8">
        <f>'Monthly Data'!A97</f>
        <v>45627</v>
      </c>
      <c r="B97">
        <f t="shared" si="8"/>
        <v>2024</v>
      </c>
      <c r="C97">
        <f t="shared" si="9"/>
        <v>12</v>
      </c>
      <c r="D97" s="18">
        <f>'Monthly Data'!J97</f>
        <v>36744901.690685332</v>
      </c>
      <c r="E97" s="21">
        <f t="shared" ca="1" si="12"/>
        <v>473.52499999999998</v>
      </c>
      <c r="F97" s="21">
        <f t="shared" ca="1" si="12"/>
        <v>0</v>
      </c>
      <c r="G97" s="21">
        <f>'Monthly Data'!BJ97</f>
        <v>477.23749999999995</v>
      </c>
      <c r="H97" s="21">
        <f>'Monthly Data'!BK97</f>
        <v>0</v>
      </c>
      <c r="I97" s="11">
        <f>'Monthly Data'!CV97</f>
        <v>0</v>
      </c>
      <c r="J97" s="7">
        <f>'Monthly Data'!CS97</f>
        <v>31</v>
      </c>
      <c r="K97" s="19">
        <f>'Monthly Data'!AO97</f>
        <v>893201</v>
      </c>
      <c r="L97" s="19">
        <f>'Monthly Data'!BT97</f>
        <v>0</v>
      </c>
      <c r="N97" s="11"/>
      <c r="O97" s="11">
        <f ca="1">(E97-G97)*'GS&lt;50 Predicted Monthly'!$X$9</f>
        <v>-51291.007076995229</v>
      </c>
      <c r="P97" s="11">
        <f ca="1">(F97-H97)*'GS&lt;50 Predicted Monthly'!$X$10</f>
        <v>0</v>
      </c>
      <c r="Q97" s="11"/>
      <c r="R97" s="11"/>
      <c r="S97" s="11"/>
      <c r="T97" s="11"/>
      <c r="U97" s="13">
        <f t="shared" ca="1" si="11"/>
        <v>36693610.683608338</v>
      </c>
    </row>
    <row r="98" spans="1:25" x14ac:dyDescent="0.2">
      <c r="A98" s="8">
        <f>EOMONTH(A97,0)+1</f>
        <v>45658</v>
      </c>
      <c r="B98">
        <f t="shared" si="8"/>
        <v>2025</v>
      </c>
      <c r="C98">
        <f t="shared" si="9"/>
        <v>1</v>
      </c>
      <c r="D98" s="18">
        <f>'Monthly Data'!J98</f>
        <v>40183559.338830374</v>
      </c>
      <c r="E98" s="21">
        <f t="shared" ca="1" si="12"/>
        <v>566.30416666666667</v>
      </c>
      <c r="F98" s="21">
        <f t="shared" ca="1" si="12"/>
        <v>0</v>
      </c>
      <c r="G98" s="21">
        <f>'Monthly Data'!BJ98</f>
        <v>631.72708333333333</v>
      </c>
      <c r="H98" s="21">
        <f>'Monthly Data'!BK98</f>
        <v>0</v>
      </c>
      <c r="I98" s="11">
        <f>'Monthly Data'!CV98</f>
        <v>0</v>
      </c>
      <c r="J98" s="7">
        <f>'Monthly Data'!CS98</f>
        <v>31</v>
      </c>
      <c r="K98" s="19">
        <f>'Monthly Data'!AO98</f>
        <v>898185</v>
      </c>
      <c r="L98" s="19">
        <f>'Monthly Data'!BT98</f>
        <v>0</v>
      </c>
      <c r="N98" s="11"/>
      <c r="O98" s="11">
        <f ca="1">(E98-G98)*'GS&lt;50 Predicted Monthly'!$X$9</f>
        <v>-903867.28127883875</v>
      </c>
      <c r="P98" s="11">
        <f ca="1">(F98-H98)*'GS&lt;50 Predicted Monthly'!$X$10</f>
        <v>0</v>
      </c>
      <c r="Q98" s="11"/>
      <c r="R98" s="11"/>
      <c r="S98" s="11"/>
      <c r="T98" s="11"/>
      <c r="U98" s="13">
        <f t="shared" ca="1" si="11"/>
        <v>39279692.057551533</v>
      </c>
    </row>
    <row r="99" spans="1:25" x14ac:dyDescent="0.2">
      <c r="A99" s="8">
        <f>'Monthly Data'!A99</f>
        <v>45689</v>
      </c>
      <c r="B99">
        <f t="shared" ref="B99:B109" si="13">YEAR(A99)</f>
        <v>2025</v>
      </c>
      <c r="C99">
        <f t="shared" ref="C99:C109" si="14">MONTH(A99)</f>
        <v>2</v>
      </c>
      <c r="D99" s="18">
        <f>'Monthly Data'!J99</f>
        <v>36188686.913162045</v>
      </c>
      <c r="E99" s="21">
        <f t="shared" ca="1" si="12"/>
        <v>483.54541666666665</v>
      </c>
      <c r="F99" s="21">
        <f t="shared" ca="1" si="12"/>
        <v>0</v>
      </c>
      <c r="G99" s="21">
        <f>'Monthly Data'!BJ99</f>
        <v>547.18750000000011</v>
      </c>
      <c r="H99" s="21">
        <f>'Monthly Data'!BK99</f>
        <v>0</v>
      </c>
      <c r="I99" s="11">
        <f>'Monthly Data'!CV99</f>
        <v>0</v>
      </c>
      <c r="J99" s="7">
        <f>'Monthly Data'!CS99</f>
        <v>28</v>
      </c>
      <c r="K99" s="19">
        <f>'Monthly Data'!AO99</f>
        <v>898185</v>
      </c>
      <c r="L99" s="19">
        <f>'Monthly Data'!BT99</f>
        <v>0</v>
      </c>
      <c r="N99" s="11"/>
      <c r="O99" s="11">
        <f ca="1">(E99-G99)*'GS&lt;50 Predicted Monthly'!$X$9</f>
        <v>-879263.71626794513</v>
      </c>
      <c r="P99" s="11">
        <f ca="1">(F99-H99)*'GS&lt;50 Predicted Monthly'!$X$10</f>
        <v>0</v>
      </c>
      <c r="Q99" s="11"/>
      <c r="R99" s="11"/>
      <c r="S99" s="11"/>
      <c r="T99" s="11"/>
      <c r="U99" s="13">
        <f t="shared" ca="1" si="11"/>
        <v>35309423.196894102</v>
      </c>
    </row>
    <row r="100" spans="1:25" x14ac:dyDescent="0.2">
      <c r="A100" s="8">
        <f>'Monthly Data'!A100</f>
        <v>45717</v>
      </c>
      <c r="B100">
        <f t="shared" si="13"/>
        <v>2025</v>
      </c>
      <c r="C100">
        <f t="shared" si="14"/>
        <v>3</v>
      </c>
      <c r="D100" s="18">
        <f>'Monthly Data'!J100</f>
        <v>36194100.339142725</v>
      </c>
      <c r="E100" s="21">
        <f t="shared" ca="1" si="12"/>
        <v>393.96333333333331</v>
      </c>
      <c r="F100" s="21">
        <f t="shared" ca="1" si="12"/>
        <v>0</v>
      </c>
      <c r="G100" s="21">
        <f>'Monthly Data'!BJ100</f>
        <v>350.71041666666673</v>
      </c>
      <c r="H100" s="21">
        <f>'Monthly Data'!BK100</f>
        <v>0</v>
      </c>
      <c r="I100" s="11">
        <f>'Monthly Data'!CV100</f>
        <v>0</v>
      </c>
      <c r="J100" s="7">
        <f>'Monthly Data'!CS100</f>
        <v>31</v>
      </c>
      <c r="K100" s="19">
        <f>'Monthly Data'!AO100</f>
        <v>898185</v>
      </c>
      <c r="L100" s="19">
        <f>'Monthly Data'!BT100</f>
        <v>1</v>
      </c>
      <c r="N100" s="11"/>
      <c r="O100" s="11">
        <f ca="1">(E100-G100)*'GS&lt;50 Predicted Monthly'!$X$9</f>
        <v>597571.8935624765</v>
      </c>
      <c r="P100" s="11">
        <f ca="1">(F100-H100)*'GS&lt;50 Predicted Monthly'!$X$10</f>
        <v>0</v>
      </c>
      <c r="Q100" s="11"/>
      <c r="R100" s="11"/>
      <c r="S100" s="11"/>
      <c r="T100" s="11"/>
      <c r="U100" s="13">
        <f t="shared" ca="1" si="11"/>
        <v>36791672.232705198</v>
      </c>
      <c r="X100" s="11"/>
      <c r="Y100" s="22"/>
    </row>
    <row r="101" spans="1:25" x14ac:dyDescent="0.2">
      <c r="A101" s="8">
        <f>'Monthly Data'!A101</f>
        <v>45748</v>
      </c>
      <c r="B101">
        <f t="shared" si="13"/>
        <v>2025</v>
      </c>
      <c r="C101">
        <f t="shared" si="14"/>
        <v>4</v>
      </c>
      <c r="D101" s="18">
        <f>'Monthly Data'!J101</f>
        <v>33302287.632952996</v>
      </c>
      <c r="E101" s="21">
        <f t="shared" ca="1" si="12"/>
        <v>226.60145833333337</v>
      </c>
      <c r="F101" s="21">
        <f t="shared" ca="1" si="12"/>
        <v>6.5650000000000031</v>
      </c>
      <c r="G101" s="21">
        <f>'Monthly Data'!BJ101</f>
        <v>209.11249999999995</v>
      </c>
      <c r="H101" s="21">
        <f>'Monthly Data'!BK101</f>
        <v>9.0583333333333371</v>
      </c>
      <c r="I101" s="11">
        <f>'Monthly Data'!CV101</f>
        <v>0</v>
      </c>
      <c r="J101" s="7">
        <f>'Monthly Data'!CS101</f>
        <v>30</v>
      </c>
      <c r="K101" s="19">
        <f>'Monthly Data'!AO101</f>
        <v>895773</v>
      </c>
      <c r="L101" s="19">
        <f>'Monthly Data'!BT101</f>
        <v>0</v>
      </c>
      <c r="N101" s="11"/>
      <c r="O101" s="11">
        <f ca="1">(E101-G101)*'GS&lt;50 Predicted Monthly'!$X$9</f>
        <v>241623.24192438633</v>
      </c>
      <c r="P101" s="11">
        <f ca="1">(F101-H101)*'GS&lt;50 Predicted Monthly'!$X$10</f>
        <v>-107328.88287776895</v>
      </c>
      <c r="Q101" s="11"/>
      <c r="R101" s="11"/>
      <c r="S101" s="11"/>
      <c r="T101" s="11"/>
      <c r="U101" s="13">
        <f t="shared" ca="1" si="11"/>
        <v>33436581.991999611</v>
      </c>
      <c r="X101" s="11"/>
      <c r="Y101" s="22"/>
    </row>
    <row r="102" spans="1:25" x14ac:dyDescent="0.2">
      <c r="A102" s="8">
        <f>'Monthly Data'!A102</f>
        <v>45778</v>
      </c>
      <c r="B102">
        <f t="shared" si="13"/>
        <v>2025</v>
      </c>
      <c r="C102">
        <f t="shared" si="14"/>
        <v>5</v>
      </c>
      <c r="D102" s="18">
        <f>'Monthly Data'!J102</f>
        <v>32819813.044337571</v>
      </c>
      <c r="E102" s="21">
        <f t="shared" ca="1" si="12"/>
        <v>65.335833333333326</v>
      </c>
      <c r="F102" s="21">
        <f t="shared" ca="1" si="12"/>
        <v>59.300416666666649</v>
      </c>
      <c r="G102" s="21">
        <f>'Monthly Data'!BJ102</f>
        <v>73.445833333333326</v>
      </c>
      <c r="H102" s="21">
        <f>'Monthly Data'!BK102</f>
        <v>30.504166666666652</v>
      </c>
      <c r="I102" s="11">
        <f>'Monthly Data'!CV102</f>
        <v>0</v>
      </c>
      <c r="J102" s="7">
        <f>'Monthly Data'!CS102</f>
        <v>31</v>
      </c>
      <c r="K102" s="19">
        <f>'Monthly Data'!AO102</f>
        <v>895773</v>
      </c>
      <c r="L102" s="19">
        <f>'Monthly Data'!BT102</f>
        <v>0</v>
      </c>
      <c r="N102" s="11"/>
      <c r="O102" s="11">
        <f ca="1">(E102-G102)*'GS&lt;50 Predicted Monthly'!$X$9</f>
        <v>-112045.80939917409</v>
      </c>
      <c r="P102" s="11">
        <f ca="1">(F102-H102)*'GS&lt;50 Predicted Monthly'!$X$10</f>
        <v>1239573.2661372805</v>
      </c>
      <c r="Q102" s="11"/>
      <c r="R102" s="11"/>
      <c r="S102" s="11"/>
      <c r="T102" s="11"/>
      <c r="U102" s="13">
        <f t="shared" ca="1" si="11"/>
        <v>33947340.501075678</v>
      </c>
      <c r="X102" s="11"/>
      <c r="Y102" s="22"/>
    </row>
    <row r="103" spans="1:25" x14ac:dyDescent="0.2">
      <c r="A103" s="8">
        <f>'Monthly Data'!A103</f>
        <v>45809</v>
      </c>
      <c r="B103">
        <f t="shared" si="13"/>
        <v>2025</v>
      </c>
      <c r="C103">
        <f t="shared" si="14"/>
        <v>6</v>
      </c>
      <c r="D103" s="18">
        <f>'Monthly Data'!J103</f>
        <v>37612354.418116137</v>
      </c>
      <c r="E103" s="21">
        <f t="shared" ca="1" si="12"/>
        <v>3.0447916666666672</v>
      </c>
      <c r="F103" s="21">
        <f t="shared" ca="1" si="12"/>
        <v>157.17000000000002</v>
      </c>
      <c r="G103" s="21">
        <f>'Monthly Data'!BJ103</f>
        <v>4.3041666666666671</v>
      </c>
      <c r="H103" s="21">
        <f>'Monthly Data'!BK103</f>
        <v>188.56249999999997</v>
      </c>
      <c r="I103" s="11">
        <f>'Monthly Data'!CV103</f>
        <v>0</v>
      </c>
      <c r="J103" s="7">
        <f>'Monthly Data'!CS103</f>
        <v>30</v>
      </c>
      <c r="K103" s="19">
        <f>'Monthly Data'!AO103</f>
        <v>895773</v>
      </c>
      <c r="L103" s="19">
        <f>'Monthly Data'!BT103</f>
        <v>0</v>
      </c>
      <c r="N103" s="11"/>
      <c r="O103" s="11">
        <f ca="1">(E103-G103)*'GS&lt;50 Predicted Monthly'!$X$9</f>
        <v>-17399.222097667676</v>
      </c>
      <c r="P103" s="11">
        <f ca="1">(F103-H103)*'GS&lt;50 Predicted Monthly'!$X$10</f>
        <v>-1351332.3351899823</v>
      </c>
      <c r="Q103" s="11"/>
      <c r="R103" s="11"/>
      <c r="S103" s="11"/>
      <c r="T103" s="11"/>
      <c r="U103" s="13">
        <f t="shared" ca="1" si="11"/>
        <v>36243622.860828489</v>
      </c>
      <c r="X103" s="11"/>
      <c r="Y103" s="22"/>
    </row>
    <row r="104" spans="1:25" x14ac:dyDescent="0.2">
      <c r="A104" s="8">
        <f>EOMONTH(A103,0)+1</f>
        <v>45839</v>
      </c>
      <c r="B104">
        <f t="shared" si="13"/>
        <v>2025</v>
      </c>
      <c r="C104">
        <f t="shared" si="14"/>
        <v>7</v>
      </c>
      <c r="D104" s="18">
        <f>'Monthly Data'!J104</f>
        <v>42809598.246677913</v>
      </c>
      <c r="E104" s="21">
        <f t="shared" ca="1" si="12"/>
        <v>0</v>
      </c>
      <c r="F104" s="21">
        <f t="shared" ca="1" si="12"/>
        <v>231.27145833333333</v>
      </c>
      <c r="G104" s="21">
        <f>'Monthly Data'!BJ104</f>
        <v>0</v>
      </c>
      <c r="H104" s="21">
        <f>'Monthly Data'!BK104</f>
        <v>255.57916666666662</v>
      </c>
      <c r="I104" s="11">
        <f>'Monthly Data'!CV104</f>
        <v>0</v>
      </c>
      <c r="J104" s="7">
        <f>'Monthly Data'!CS104</f>
        <v>31</v>
      </c>
      <c r="K104" s="19">
        <f>'Monthly Data'!AO104</f>
        <v>901842</v>
      </c>
      <c r="L104" s="19">
        <f>'Monthly Data'!BT104</f>
        <v>0</v>
      </c>
      <c r="N104" s="11"/>
      <c r="O104" s="11">
        <f ca="1">(E104-G104)*'GS&lt;50 Predicted Monthly'!$X$9</f>
        <v>0</v>
      </c>
      <c r="P104" s="11">
        <f ca="1">(F104-H104)*'GS&lt;50 Predicted Monthly'!$X$10</f>
        <v>-1046357.9601879533</v>
      </c>
      <c r="Q104" s="11"/>
      <c r="R104" s="11"/>
      <c r="S104" s="11"/>
      <c r="T104" s="11"/>
      <c r="U104" s="13">
        <f t="shared" ca="1" si="11"/>
        <v>41763240.286489956</v>
      </c>
      <c r="X104" s="11"/>
      <c r="Y104" s="22"/>
    </row>
    <row r="105" spans="1:25" x14ac:dyDescent="0.2">
      <c r="A105" s="8">
        <f>'Monthly Data'!A105</f>
        <v>45870</v>
      </c>
      <c r="B105">
        <f t="shared" si="13"/>
        <v>2025</v>
      </c>
      <c r="C105">
        <f t="shared" si="14"/>
        <v>8</v>
      </c>
      <c r="D105" s="18">
        <f>'Monthly Data'!J105</f>
        <v>39144829.233934194</v>
      </c>
      <c r="E105" s="21">
        <f t="shared" ca="1" si="12"/>
        <v>0.27875000000000066</v>
      </c>
      <c r="F105" s="21">
        <f t="shared" ca="1" si="12"/>
        <v>196.13625000000002</v>
      </c>
      <c r="G105" s="21">
        <f>'Monthly Data'!BJ105</f>
        <v>2.4833333333333378</v>
      </c>
      <c r="H105" s="21">
        <f>'Monthly Data'!BK105</f>
        <v>178.91250000000005</v>
      </c>
      <c r="I105" s="11">
        <f>'Monthly Data'!CV105</f>
        <v>0</v>
      </c>
      <c r="J105" s="7">
        <f>'Monthly Data'!CS105</f>
        <v>31</v>
      </c>
      <c r="K105" s="19">
        <f>'Monthly Data'!AO105</f>
        <v>901842</v>
      </c>
      <c r="L105" s="19">
        <f>'Monthly Data'!BT105</f>
        <v>0</v>
      </c>
      <c r="N105" s="11"/>
      <c r="O105" s="11">
        <f ca="1">(E105-G105)*'GS&lt;50 Predicted Monthly'!$X$9</f>
        <v>-30457.993091401109</v>
      </c>
      <c r="P105" s="11">
        <f ca="1">(F105-H105)*'GS&lt;50 Predicted Monthly'!$X$10</f>
        <v>741419.45713875757</v>
      </c>
      <c r="Q105" s="11"/>
      <c r="R105" s="11"/>
      <c r="S105" s="11"/>
      <c r="T105" s="11"/>
      <c r="U105" s="13">
        <f t="shared" ca="1" si="11"/>
        <v>39855790.697981544</v>
      </c>
      <c r="X105" s="11"/>
      <c r="Y105" s="22"/>
    </row>
    <row r="106" spans="1:25" x14ac:dyDescent="0.2">
      <c r="A106" s="8">
        <f>'Monthly Data'!A106</f>
        <v>45901</v>
      </c>
      <c r="B106">
        <f t="shared" si="13"/>
        <v>2025</v>
      </c>
      <c r="C106">
        <f t="shared" si="14"/>
        <v>9</v>
      </c>
      <c r="D106" s="18">
        <f>'Monthly Data'!J106</f>
        <v>34783887.287649468</v>
      </c>
      <c r="E106" s="21">
        <f t="shared" ca="1" si="12"/>
        <v>11.319999999999997</v>
      </c>
      <c r="F106" s="21">
        <f t="shared" ca="1" si="12"/>
        <v>104.19854166666664</v>
      </c>
      <c r="G106" s="21">
        <f>'Monthly Data'!BJ106</f>
        <v>3.1125000000000025</v>
      </c>
      <c r="H106" s="21">
        <f>'Monthly Data'!BK106</f>
        <v>102.07916666666665</v>
      </c>
      <c r="I106" s="11">
        <f>'Monthly Data'!CV106</f>
        <v>0</v>
      </c>
      <c r="J106" s="7">
        <f>'Monthly Data'!CS106</f>
        <v>30</v>
      </c>
      <c r="K106" s="19">
        <f>'Monthly Data'!AO106</f>
        <v>901842</v>
      </c>
      <c r="L106" s="19">
        <f>'Monthly Data'!BT106</f>
        <v>0</v>
      </c>
      <c r="N106" s="11"/>
      <c r="O106" s="11">
        <f ca="1">(E106-G106)*'GS&lt;50 Predicted Monthly'!$X$9</f>
        <v>113392.84594867087</v>
      </c>
      <c r="P106" s="11">
        <f ca="1">(F106-H106)*'GS&lt;50 Predicted Monthly'!$X$10</f>
        <v>91231.344043744859</v>
      </c>
      <c r="Q106" s="11"/>
      <c r="R106" s="11"/>
      <c r="S106" s="11"/>
      <c r="T106" s="11"/>
      <c r="U106" s="13">
        <f t="shared" ca="1" si="11"/>
        <v>34988511.477641888</v>
      </c>
      <c r="X106" s="11"/>
      <c r="Y106" s="22"/>
    </row>
    <row r="107" spans="1:25" x14ac:dyDescent="0.2">
      <c r="A107" s="8">
        <f>'Monthly Data'!A107</f>
        <v>45931</v>
      </c>
      <c r="B107">
        <f t="shared" si="13"/>
        <v>2025</v>
      </c>
      <c r="C107">
        <f t="shared" si="14"/>
        <v>10</v>
      </c>
      <c r="D107" s="18">
        <f>'Monthly Data'!J107</f>
        <v>33721107.220164739</v>
      </c>
      <c r="E107" s="21">
        <f t="shared" ca="1" si="12"/>
        <v>126.12583333333332</v>
      </c>
      <c r="F107" s="21">
        <f t="shared" ca="1" si="12"/>
        <v>24.703125000000007</v>
      </c>
      <c r="G107" s="21">
        <f>'Monthly Data'!BJ107</f>
        <v>119.57916666666667</v>
      </c>
      <c r="H107" s="21">
        <f>'Monthly Data'!BK107</f>
        <v>29.312500000000004</v>
      </c>
      <c r="I107" s="11">
        <f>'Monthly Data'!CV107</f>
        <v>0</v>
      </c>
      <c r="J107" s="7">
        <f>'Monthly Data'!CS107</f>
        <v>31</v>
      </c>
      <c r="K107" s="19">
        <f>'Monthly Data'!AO107</f>
        <v>900059</v>
      </c>
      <c r="L107" s="19">
        <f>'Monthly Data'!BT107</f>
        <v>0</v>
      </c>
      <c r="N107" s="11"/>
      <c r="O107" s="11">
        <f ca="1">(E107-G107)*'GS&lt;50 Predicted Monthly'!$X$9</f>
        <v>90447.172075617535</v>
      </c>
      <c r="P107" s="11">
        <f ca="1">(F107-H107)*'GS&lt;50 Predicted Monthly'!$X$10</f>
        <v>-198416.73911018012</v>
      </c>
      <c r="Q107" s="11"/>
      <c r="R107" s="11"/>
      <c r="S107" s="11"/>
      <c r="T107" s="11"/>
      <c r="U107" s="13">
        <f t="shared" ca="1" si="11"/>
        <v>33613137.653130174</v>
      </c>
      <c r="X107" s="11"/>
      <c r="Y107" s="22"/>
    </row>
    <row r="108" spans="1:25" x14ac:dyDescent="0.2">
      <c r="A108" s="8">
        <f>'Monthly Data'!A108</f>
        <v>45962</v>
      </c>
      <c r="B108">
        <f t="shared" si="13"/>
        <v>2025</v>
      </c>
      <c r="C108">
        <f t="shared" si="14"/>
        <v>11</v>
      </c>
      <c r="D108" s="18">
        <f>'Monthly Data'!J108</f>
        <v>34683043.361470014</v>
      </c>
      <c r="E108" s="21">
        <f t="shared" ca="1" si="12"/>
        <v>312.40687500000001</v>
      </c>
      <c r="F108" s="21">
        <f t="shared" ca="1" si="12"/>
        <v>1.6454166666666665</v>
      </c>
      <c r="G108" s="21">
        <f>'Monthly Data'!BJ108</f>
        <v>326.6229166666667</v>
      </c>
      <c r="H108" s="21">
        <f>'Monthly Data'!BK108</f>
        <v>0</v>
      </c>
      <c r="I108" s="11">
        <f>'Monthly Data'!CV108</f>
        <v>0</v>
      </c>
      <c r="J108" s="7">
        <f>'Monthly Data'!CS108</f>
        <v>30</v>
      </c>
      <c r="K108" s="19">
        <f>'Monthly Data'!AO108</f>
        <v>900059</v>
      </c>
      <c r="L108" s="19">
        <f>'Monthly Data'!BT108</f>
        <v>0</v>
      </c>
      <c r="N108" s="11"/>
      <c r="O108" s="11">
        <f ca="1">(E108-G108)*'GS&lt;50 Predicted Monthly'!$X$9</f>
        <v>-196405.41245302744</v>
      </c>
      <c r="P108" s="11">
        <f ca="1">(F108-H108)*'GS&lt;50 Predicted Monthly'!$X$10</f>
        <v>70829.170869704118</v>
      </c>
      <c r="Q108" s="11"/>
      <c r="R108" s="11"/>
      <c r="S108" s="11"/>
      <c r="T108" s="11"/>
      <c r="U108" s="13">
        <f t="shared" ca="1" si="11"/>
        <v>34557467.119886689</v>
      </c>
      <c r="X108" s="11"/>
      <c r="Y108" s="22"/>
    </row>
    <row r="109" spans="1:25" x14ac:dyDescent="0.2">
      <c r="A109" s="8">
        <f>'Monthly Data'!A109</f>
        <v>45992</v>
      </c>
      <c r="B109">
        <f t="shared" si="13"/>
        <v>2025</v>
      </c>
      <c r="C109">
        <f t="shared" si="14"/>
        <v>12</v>
      </c>
      <c r="D109" s="18">
        <f>'Monthly Data'!J109</f>
        <v>38907834.05508209</v>
      </c>
      <c r="E109" s="21">
        <f t="shared" ca="1" si="12"/>
        <v>473.52499999999998</v>
      </c>
      <c r="F109" s="21">
        <f t="shared" ca="1" si="12"/>
        <v>0</v>
      </c>
      <c r="G109" s="21">
        <f>'Monthly Data'!BJ109</f>
        <v>565.42916666666667</v>
      </c>
      <c r="H109" s="21">
        <f>'Monthly Data'!BK109</f>
        <v>0</v>
      </c>
      <c r="I109" s="11">
        <f>'Monthly Data'!CV109</f>
        <v>0</v>
      </c>
      <c r="J109" s="7">
        <f>'Monthly Data'!CS109</f>
        <v>31</v>
      </c>
      <c r="K109" s="19">
        <f>'Monthly Data'!AO109</f>
        <v>900059</v>
      </c>
      <c r="L109" s="19">
        <f>'Monthly Data'!BT109</f>
        <v>0</v>
      </c>
      <c r="N109" s="11"/>
      <c r="O109" s="11">
        <f ca="1">(E109-G109)*'GS&lt;50 Predicted Monthly'!$X$9</f>
        <v>-1269725.8620620549</v>
      </c>
      <c r="P109" s="11">
        <f ca="1">(F109-H109)*'GS&lt;50 Predicted Monthly'!$X$10</f>
        <v>0</v>
      </c>
      <c r="Q109" s="11"/>
      <c r="R109" s="11"/>
      <c r="S109" s="11"/>
      <c r="T109" s="11"/>
      <c r="U109" s="13">
        <f t="shared" ca="1" si="11"/>
        <v>37638108.193020038</v>
      </c>
      <c r="X109" s="11"/>
      <c r="Y109" s="22"/>
    </row>
    <row r="110" spans="1:25" s="59" customFormat="1" x14ac:dyDescent="0.2">
      <c r="A110" s="506">
        <f t="shared" ref="A110:A133" si="15">EOMONTH(A109,0)+1</f>
        <v>46023</v>
      </c>
      <c r="B110" s="59">
        <f t="shared" si="8"/>
        <v>2026</v>
      </c>
      <c r="C110" s="59">
        <f t="shared" si="9"/>
        <v>1</v>
      </c>
      <c r="D110" s="178"/>
      <c r="E110" s="177">
        <f t="shared" ref="E110:F126" ca="1" si="16">E98</f>
        <v>566.30416666666667</v>
      </c>
      <c r="F110" s="177">
        <f t="shared" ca="1" si="16"/>
        <v>0</v>
      </c>
      <c r="G110" s="177"/>
      <c r="H110" s="177"/>
      <c r="I110" s="188">
        <f>'Monthly Data'!BB110</f>
        <v>0</v>
      </c>
      <c r="J110" s="176">
        <f t="shared" ref="J110:J133" si="17">J62</f>
        <v>31</v>
      </c>
      <c r="K110" s="508">
        <f>Economic!M124</f>
        <v>913903.23750000005</v>
      </c>
      <c r="L110" s="508">
        <f t="shared" ref="L110:L133" si="18">L98</f>
        <v>0</v>
      </c>
      <c r="N110" s="188">
        <f>'GS&lt;50 Predicted Monthly'!$X$8</f>
        <v>-13592432.544671699</v>
      </c>
      <c r="O110" s="188">
        <f ca="1">E110*'GS&lt;50 Predicted Monthly'!$X$9</f>
        <v>7823922.1603318686</v>
      </c>
      <c r="P110" s="188">
        <f ca="1">F110*'GS&lt;50 Predicted Monthly'!$X$10</f>
        <v>0</v>
      </c>
      <c r="Q110" s="188">
        <f>I110*'GS&lt;50 Predicted Monthly'!$X$11</f>
        <v>0</v>
      </c>
      <c r="R110" s="188">
        <f>J110*'GS&lt;50 Predicted Monthly'!$X$12</f>
        <v>20753533.272940867</v>
      </c>
      <c r="S110" s="188">
        <f>K110*'GS&lt;50 Predicted Monthly'!$X$13</f>
        <v>23850147.776201855</v>
      </c>
      <c r="T110" s="188">
        <f>L110*'GS&lt;50 Predicted Monthly'!$X$14</f>
        <v>0</v>
      </c>
      <c r="U110" s="509">
        <f t="shared" ref="U110:U133" ca="1" si="19">SUM(N110:T110)</f>
        <v>38835170.664802894</v>
      </c>
      <c r="W110" s="178"/>
      <c r="X110" s="188"/>
      <c r="Y110" s="510"/>
    </row>
    <row r="111" spans="1:25" s="59" customFormat="1" x14ac:dyDescent="0.2">
      <c r="A111" s="506">
        <f t="shared" si="15"/>
        <v>46054</v>
      </c>
      <c r="B111" s="59">
        <f t="shared" si="8"/>
        <v>2026</v>
      </c>
      <c r="C111" s="59">
        <f t="shared" si="9"/>
        <v>2</v>
      </c>
      <c r="D111" s="178"/>
      <c r="E111" s="177">
        <f t="shared" ca="1" si="16"/>
        <v>483.54541666666665</v>
      </c>
      <c r="F111" s="177">
        <f t="shared" ca="1" si="16"/>
        <v>0</v>
      </c>
      <c r="G111" s="177"/>
      <c r="H111" s="177"/>
      <c r="I111" s="188">
        <f>'Monthly Data'!BB111</f>
        <v>0</v>
      </c>
      <c r="J111" s="176">
        <f t="shared" si="17"/>
        <v>28</v>
      </c>
      <c r="K111" s="508">
        <f>Economic!M125</f>
        <v>913903.23750000005</v>
      </c>
      <c r="L111" s="508">
        <f t="shared" si="18"/>
        <v>0</v>
      </c>
      <c r="N111" s="188">
        <f>'GS&lt;50 Predicted Monthly'!$X$8</f>
        <v>-13592432.544671699</v>
      </c>
      <c r="O111" s="188">
        <f ca="1">E111*'GS&lt;50 Predicted Monthly'!$X$9</f>
        <v>6680547.1752993288</v>
      </c>
      <c r="P111" s="188">
        <f ca="1">F111*'GS&lt;50 Predicted Monthly'!$X$10</f>
        <v>0</v>
      </c>
      <c r="Q111" s="188">
        <f>I111*'GS&lt;50 Predicted Monthly'!$X$11</f>
        <v>0</v>
      </c>
      <c r="R111" s="188">
        <f>J111*'GS&lt;50 Predicted Monthly'!$X$12</f>
        <v>18745126.827172395</v>
      </c>
      <c r="S111" s="188">
        <f>K111*'GS&lt;50 Predicted Monthly'!$X$13</f>
        <v>23850147.776201855</v>
      </c>
      <c r="T111" s="188">
        <f>L111*'GS&lt;50 Predicted Monthly'!$X$14</f>
        <v>0</v>
      </c>
      <c r="U111" s="509">
        <f t="shared" ca="1" si="19"/>
        <v>35683389.234001875</v>
      </c>
      <c r="W111" s="178"/>
      <c r="X111" s="188"/>
      <c r="Y111" s="510"/>
    </row>
    <row r="112" spans="1:25" s="59" customFormat="1" x14ac:dyDescent="0.2">
      <c r="A112" s="506">
        <f t="shared" si="15"/>
        <v>46082</v>
      </c>
      <c r="B112" s="59">
        <f t="shared" si="8"/>
        <v>2026</v>
      </c>
      <c r="C112" s="59">
        <f t="shared" si="9"/>
        <v>3</v>
      </c>
      <c r="D112" s="178"/>
      <c r="E112" s="177">
        <f t="shared" ca="1" si="16"/>
        <v>393.96333333333331</v>
      </c>
      <c r="F112" s="177">
        <f t="shared" ca="1" si="16"/>
        <v>0</v>
      </c>
      <c r="G112" s="177"/>
      <c r="H112" s="177"/>
      <c r="I112" s="188">
        <f>'Monthly Data'!BB112</f>
        <v>0</v>
      </c>
      <c r="J112" s="176">
        <f t="shared" si="17"/>
        <v>31</v>
      </c>
      <c r="K112" s="508">
        <f>Economic!M126</f>
        <v>913903.23750000005</v>
      </c>
      <c r="L112" s="508">
        <f t="shared" si="18"/>
        <v>1</v>
      </c>
      <c r="N112" s="188">
        <f>'GS&lt;50 Predicted Monthly'!$X$8</f>
        <v>-13592432.544671699</v>
      </c>
      <c r="O112" s="188">
        <f ca="1">E112*'GS&lt;50 Predicted Monthly'!$X$9</f>
        <v>5442902.6580678122</v>
      </c>
      <c r="P112" s="188">
        <f ca="1">F112*'GS&lt;50 Predicted Monthly'!$X$10</f>
        <v>0</v>
      </c>
      <c r="Q112" s="188">
        <f>I112*'GS&lt;50 Predicted Monthly'!$X$11</f>
        <v>0</v>
      </c>
      <c r="R112" s="188">
        <f>J112*'GS&lt;50 Predicted Monthly'!$X$12</f>
        <v>20753533.272940867</v>
      </c>
      <c r="S112" s="188">
        <f>K112*'GS&lt;50 Predicted Monthly'!$X$13</f>
        <v>23850147.776201855</v>
      </c>
      <c r="T112" s="188">
        <f>L112*'GS&lt;50 Predicted Monthly'!$X$14</f>
        <v>522033.18159628101</v>
      </c>
      <c r="U112" s="509">
        <f t="shared" ca="1" si="19"/>
        <v>36976184.344135113</v>
      </c>
      <c r="W112" s="178"/>
    </row>
    <row r="113" spans="1:24" s="59" customFormat="1" x14ac:dyDescent="0.2">
      <c r="A113" s="506">
        <f t="shared" si="15"/>
        <v>46113</v>
      </c>
      <c r="B113" s="59">
        <f t="shared" si="8"/>
        <v>2026</v>
      </c>
      <c r="C113" s="59">
        <f t="shared" si="9"/>
        <v>4</v>
      </c>
      <c r="D113" s="178"/>
      <c r="E113" s="177">
        <f t="shared" ca="1" si="16"/>
        <v>226.60145833333337</v>
      </c>
      <c r="F113" s="177">
        <f t="shared" ca="1" si="16"/>
        <v>6.5650000000000031</v>
      </c>
      <c r="G113" s="177"/>
      <c r="H113" s="177"/>
      <c r="I113" s="188">
        <f>'Monthly Data'!BB113</f>
        <v>0</v>
      </c>
      <c r="J113" s="176">
        <f t="shared" si="17"/>
        <v>30</v>
      </c>
      <c r="K113" s="508">
        <f>Economic!M127</f>
        <v>911449.02750000008</v>
      </c>
      <c r="L113" s="508">
        <f t="shared" si="18"/>
        <v>0</v>
      </c>
      <c r="N113" s="188">
        <f>'GS&lt;50 Predicted Monthly'!$X$8</f>
        <v>-13592432.544671699</v>
      </c>
      <c r="O113" s="188">
        <f ca="1">E113*'GS&lt;50 Predicted Monthly'!$X$9</f>
        <v>3130671.2466080841</v>
      </c>
      <c r="P113" s="188">
        <f ca="1">F113*'GS&lt;50 Predicted Monthly'!$X$10</f>
        <v>282599.24442214705</v>
      </c>
      <c r="Q113" s="188">
        <f>I113*'GS&lt;50 Predicted Monthly'!$X$11</f>
        <v>0</v>
      </c>
      <c r="R113" s="188">
        <f>J113*'GS&lt;50 Predicted Monthly'!$X$12</f>
        <v>20084064.457684711</v>
      </c>
      <c r="S113" s="188">
        <f>K113*'GS&lt;50 Predicted Monthly'!$X$13</f>
        <v>23786100.217585091</v>
      </c>
      <c r="T113" s="188">
        <f>L113*'GS&lt;50 Predicted Monthly'!$X$14</f>
        <v>0</v>
      </c>
      <c r="U113" s="509">
        <f t="shared" ca="1" si="19"/>
        <v>33691002.621628329</v>
      </c>
      <c r="W113" s="178"/>
      <c r="X113" s="188"/>
    </row>
    <row r="114" spans="1:24" s="59" customFormat="1" x14ac:dyDescent="0.2">
      <c r="A114" s="506">
        <f t="shared" si="15"/>
        <v>46143</v>
      </c>
      <c r="B114" s="59">
        <f t="shared" si="8"/>
        <v>2026</v>
      </c>
      <c r="C114" s="59">
        <f t="shared" si="9"/>
        <v>5</v>
      </c>
      <c r="D114" s="178"/>
      <c r="E114" s="177">
        <f t="shared" ca="1" si="16"/>
        <v>65.335833333333326</v>
      </c>
      <c r="F114" s="177">
        <f t="shared" ca="1" si="16"/>
        <v>59.300416666666649</v>
      </c>
      <c r="G114" s="177"/>
      <c r="H114" s="177"/>
      <c r="I114" s="188">
        <f>'Monthly Data'!BB114</f>
        <v>0</v>
      </c>
      <c r="J114" s="176">
        <f t="shared" si="17"/>
        <v>31</v>
      </c>
      <c r="K114" s="508">
        <f>Economic!M128</f>
        <v>911449.02750000008</v>
      </c>
      <c r="L114" s="508">
        <f t="shared" si="18"/>
        <v>0</v>
      </c>
      <c r="N114" s="188">
        <f>'GS&lt;50 Predicted Monthly'!$X$8</f>
        <v>-13592432.544671699</v>
      </c>
      <c r="O114" s="188">
        <f ca="1">E114*'GS&lt;50 Predicted Monthly'!$X$9</f>
        <v>902664.15889061301</v>
      </c>
      <c r="P114" s="188">
        <f ca="1">F114*'GS&lt;50 Predicted Monthly'!$X$10</f>
        <v>2552666.0996067757</v>
      </c>
      <c r="Q114" s="188">
        <f>I114*'GS&lt;50 Predicted Monthly'!$X$11</f>
        <v>0</v>
      </c>
      <c r="R114" s="188">
        <f>J114*'GS&lt;50 Predicted Monthly'!$X$12</f>
        <v>20753533.272940867</v>
      </c>
      <c r="S114" s="188">
        <f>K114*'GS&lt;50 Predicted Monthly'!$X$13</f>
        <v>23786100.217585091</v>
      </c>
      <c r="T114" s="188">
        <f>L114*'GS&lt;50 Predicted Monthly'!$X$14</f>
        <v>0</v>
      </c>
      <c r="U114" s="509">
        <f t="shared" ca="1" si="19"/>
        <v>34402531.204351649</v>
      </c>
      <c r="W114" s="178"/>
      <c r="X114" s="188"/>
    </row>
    <row r="115" spans="1:24" s="59" customFormat="1" x14ac:dyDescent="0.2">
      <c r="A115" s="506">
        <f t="shared" si="15"/>
        <v>46174</v>
      </c>
      <c r="B115" s="59">
        <f t="shared" si="8"/>
        <v>2026</v>
      </c>
      <c r="C115" s="59">
        <f t="shared" si="9"/>
        <v>6</v>
      </c>
      <c r="D115" s="178"/>
      <c r="E115" s="177">
        <f t="shared" ca="1" si="16"/>
        <v>3.0447916666666672</v>
      </c>
      <c r="F115" s="177">
        <f t="shared" ca="1" si="16"/>
        <v>157.17000000000002</v>
      </c>
      <c r="G115" s="177"/>
      <c r="H115" s="177"/>
      <c r="I115" s="188">
        <f>'Monthly Data'!BB115</f>
        <v>0</v>
      </c>
      <c r="J115" s="176">
        <f t="shared" si="17"/>
        <v>30</v>
      </c>
      <c r="K115" s="508">
        <f>Economic!M129</f>
        <v>911449.02750000008</v>
      </c>
      <c r="L115" s="508">
        <f t="shared" si="18"/>
        <v>0</v>
      </c>
      <c r="N115" s="188">
        <f>'GS&lt;50 Predicted Monthly'!$X$8</f>
        <v>-13592432.544671699</v>
      </c>
      <c r="O115" s="188">
        <f ca="1">E115*'GS&lt;50 Predicted Monthly'!$X$9</f>
        <v>42066.109339522445</v>
      </c>
      <c r="P115" s="188">
        <f ca="1">F115*'GS&lt;50 Predicted Monthly'!$X$10</f>
        <v>6765593.7922054585</v>
      </c>
      <c r="Q115" s="188">
        <f>I115*'GS&lt;50 Predicted Monthly'!$X$11</f>
        <v>0</v>
      </c>
      <c r="R115" s="188">
        <f>J115*'GS&lt;50 Predicted Monthly'!$X$12</f>
        <v>20084064.457684711</v>
      </c>
      <c r="S115" s="188">
        <f>K115*'GS&lt;50 Predicted Monthly'!$X$13</f>
        <v>23786100.217585091</v>
      </c>
      <c r="T115" s="188">
        <f>L115*'GS&lt;50 Predicted Monthly'!$X$14</f>
        <v>0</v>
      </c>
      <c r="U115" s="509">
        <f t="shared" ca="1" si="19"/>
        <v>37085392.032143086</v>
      </c>
      <c r="W115" s="178"/>
      <c r="X115" s="188"/>
    </row>
    <row r="116" spans="1:24" s="59" customFormat="1" x14ac:dyDescent="0.2">
      <c r="A116" s="506">
        <f t="shared" si="15"/>
        <v>46204</v>
      </c>
      <c r="B116" s="59">
        <f t="shared" ref="B116:B133" si="20">YEAR(A116)</f>
        <v>2026</v>
      </c>
      <c r="C116" s="59">
        <f t="shared" ref="C116:C133" si="21">MONTH(A116)</f>
        <v>7</v>
      </c>
      <c r="D116" s="178"/>
      <c r="E116" s="177">
        <f t="shared" ca="1" si="16"/>
        <v>0</v>
      </c>
      <c r="F116" s="177">
        <f t="shared" ca="1" si="16"/>
        <v>231.27145833333333</v>
      </c>
      <c r="G116" s="177"/>
      <c r="H116" s="177"/>
      <c r="I116" s="188">
        <f>'Monthly Data'!BB116</f>
        <v>0</v>
      </c>
      <c r="J116" s="176">
        <f t="shared" si="17"/>
        <v>31</v>
      </c>
      <c r="K116" s="508">
        <f>Economic!M130</f>
        <v>917624.2350000001</v>
      </c>
      <c r="L116" s="508">
        <f t="shared" si="18"/>
        <v>0</v>
      </c>
      <c r="N116" s="188">
        <f>'GS&lt;50 Predicted Monthly'!$X$8</f>
        <v>-13592432.544671699</v>
      </c>
      <c r="O116" s="188">
        <f ca="1">E116*'GS&lt;50 Predicted Monthly'!$X$9</f>
        <v>0</v>
      </c>
      <c r="P116" s="188">
        <f ca="1">F116*'GS&lt;50 Predicted Monthly'!$X$10</f>
        <v>9955390.6140758619</v>
      </c>
      <c r="Q116" s="188">
        <f>I116*'GS&lt;50 Predicted Monthly'!$X$11</f>
        <v>0</v>
      </c>
      <c r="R116" s="188">
        <f>J116*'GS&lt;50 Predicted Monthly'!$X$12</f>
        <v>20753533.272940867</v>
      </c>
      <c r="S116" s="188">
        <f>K116*'GS&lt;50 Predicted Monthly'!$X$13</f>
        <v>23947254.708980259</v>
      </c>
      <c r="T116" s="188">
        <f>L116*'GS&lt;50 Predicted Monthly'!$X$14</f>
        <v>0</v>
      </c>
      <c r="U116" s="509">
        <f t="shared" ca="1" si="19"/>
        <v>41063746.051325291</v>
      </c>
      <c r="X116" s="188"/>
    </row>
    <row r="117" spans="1:24" s="59" customFormat="1" x14ac:dyDescent="0.2">
      <c r="A117" s="506">
        <f t="shared" si="15"/>
        <v>46235</v>
      </c>
      <c r="B117" s="59">
        <f t="shared" si="20"/>
        <v>2026</v>
      </c>
      <c r="C117" s="59">
        <f t="shared" si="21"/>
        <v>8</v>
      </c>
      <c r="D117" s="178"/>
      <c r="E117" s="177">
        <f t="shared" ca="1" si="16"/>
        <v>0.27875000000000066</v>
      </c>
      <c r="F117" s="177">
        <f t="shared" ca="1" si="16"/>
        <v>196.13625000000002</v>
      </c>
      <c r="G117" s="177"/>
      <c r="H117" s="177"/>
      <c r="I117" s="188">
        <f>'Monthly Data'!BB117</f>
        <v>0</v>
      </c>
      <c r="J117" s="176">
        <f t="shared" si="17"/>
        <v>31</v>
      </c>
      <c r="K117" s="508">
        <f>Economic!M131</f>
        <v>917624.2350000001</v>
      </c>
      <c r="L117" s="508">
        <f t="shared" si="18"/>
        <v>0</v>
      </c>
      <c r="N117" s="188">
        <f>'GS&lt;50 Predicted Monthly'!$X$8</f>
        <v>-13592432.544671699</v>
      </c>
      <c r="O117" s="188">
        <f ca="1">E117*'GS&lt;50 Predicted Monthly'!$X$9</f>
        <v>3851.1429556128055</v>
      </c>
      <c r="P117" s="188">
        <f ca="1">F117*'GS&lt;50 Predicted Monthly'!$X$10</f>
        <v>8442948.3707225155</v>
      </c>
      <c r="Q117" s="188">
        <f>I117*'GS&lt;50 Predicted Monthly'!$X$11</f>
        <v>0</v>
      </c>
      <c r="R117" s="188">
        <f>J117*'GS&lt;50 Predicted Monthly'!$X$12</f>
        <v>20753533.272940867</v>
      </c>
      <c r="S117" s="188">
        <f>K117*'GS&lt;50 Predicted Monthly'!$X$13</f>
        <v>23947254.708980259</v>
      </c>
      <c r="T117" s="188">
        <f>L117*'GS&lt;50 Predicted Monthly'!$X$14</f>
        <v>0</v>
      </c>
      <c r="U117" s="509">
        <f t="shared" ca="1" si="19"/>
        <v>39555154.950927556</v>
      </c>
      <c r="X117" s="188"/>
    </row>
    <row r="118" spans="1:24" s="59" customFormat="1" x14ac:dyDescent="0.2">
      <c r="A118" s="506">
        <f t="shared" si="15"/>
        <v>46266</v>
      </c>
      <c r="B118" s="59">
        <f t="shared" si="20"/>
        <v>2026</v>
      </c>
      <c r="C118" s="59">
        <f t="shared" si="21"/>
        <v>9</v>
      </c>
      <c r="D118" s="178"/>
      <c r="E118" s="177">
        <f t="shared" ca="1" si="16"/>
        <v>11.319999999999997</v>
      </c>
      <c r="F118" s="177">
        <f t="shared" ca="1" si="16"/>
        <v>104.19854166666664</v>
      </c>
      <c r="G118" s="177"/>
      <c r="H118" s="177"/>
      <c r="I118" s="188">
        <f>'Monthly Data'!BB118</f>
        <v>0</v>
      </c>
      <c r="J118" s="176">
        <f t="shared" si="17"/>
        <v>30</v>
      </c>
      <c r="K118" s="508">
        <f>Economic!M132</f>
        <v>917624.2350000001</v>
      </c>
      <c r="L118" s="508">
        <f t="shared" si="18"/>
        <v>0</v>
      </c>
      <c r="N118" s="188">
        <f>'GS&lt;50 Predicted Monthly'!$X$8</f>
        <v>-13592432.544671699</v>
      </c>
      <c r="O118" s="188">
        <f ca="1">E118*'GS&lt;50 Predicted Monthly'!$X$9</f>
        <v>156394.39733645503</v>
      </c>
      <c r="P118" s="188">
        <f ca="1">F118*'GS&lt;50 Predicted Monthly'!$X$10</f>
        <v>4485366.2063807445</v>
      </c>
      <c r="Q118" s="188">
        <f>I118*'GS&lt;50 Predicted Monthly'!$X$11</f>
        <v>0</v>
      </c>
      <c r="R118" s="188">
        <f>J118*'GS&lt;50 Predicted Monthly'!$X$12</f>
        <v>20084064.457684711</v>
      </c>
      <c r="S118" s="188">
        <f>K118*'GS&lt;50 Predicted Monthly'!$X$13</f>
        <v>23947254.708980259</v>
      </c>
      <c r="T118" s="188">
        <f>L118*'GS&lt;50 Predicted Monthly'!$X$14</f>
        <v>0</v>
      </c>
      <c r="U118" s="509">
        <f t="shared" ca="1" si="19"/>
        <v>35080647.225710467</v>
      </c>
      <c r="X118" s="188"/>
    </row>
    <row r="119" spans="1:24" s="59" customFormat="1" x14ac:dyDescent="0.2">
      <c r="A119" s="506">
        <f t="shared" si="15"/>
        <v>46296</v>
      </c>
      <c r="B119" s="59">
        <f t="shared" si="20"/>
        <v>2026</v>
      </c>
      <c r="C119" s="59">
        <f t="shared" si="21"/>
        <v>10</v>
      </c>
      <c r="D119" s="178"/>
      <c r="E119" s="177">
        <f t="shared" ca="1" si="16"/>
        <v>126.12583333333332</v>
      </c>
      <c r="F119" s="177">
        <f t="shared" ca="1" si="16"/>
        <v>24.703125000000007</v>
      </c>
      <c r="G119" s="177"/>
      <c r="H119" s="177"/>
      <c r="I119" s="188">
        <f>'Monthly Data'!BB119</f>
        <v>0</v>
      </c>
      <c r="J119" s="176">
        <f t="shared" si="17"/>
        <v>31</v>
      </c>
      <c r="K119" s="508">
        <f>Economic!M133</f>
        <v>915810.03250000009</v>
      </c>
      <c r="L119" s="508">
        <f t="shared" si="18"/>
        <v>0</v>
      </c>
      <c r="N119" s="188">
        <f>'GS&lt;50 Predicted Monthly'!$X$8</f>
        <v>-13592432.544671699</v>
      </c>
      <c r="O119" s="188">
        <f ca="1">E119*'GS&lt;50 Predicted Monthly'!$X$9</f>
        <v>1742524.177802548</v>
      </c>
      <c r="P119" s="188">
        <f ca="1">F119*'GS&lt;50 Predicted Monthly'!$X$10</f>
        <v>1063379.201807441</v>
      </c>
      <c r="Q119" s="188">
        <f>I119*'GS&lt;50 Predicted Monthly'!$X$11</f>
        <v>0</v>
      </c>
      <c r="R119" s="188">
        <f>J119*'GS&lt;50 Predicted Monthly'!$X$12</f>
        <v>20753533.272940867</v>
      </c>
      <c r="S119" s="188">
        <f>K119*'GS&lt;50 Predicted Monthly'!$X$13</f>
        <v>23899909.436586522</v>
      </c>
      <c r="T119" s="188">
        <f>L119*'GS&lt;50 Predicted Monthly'!$X$14</f>
        <v>0</v>
      </c>
      <c r="U119" s="509">
        <f t="shared" ca="1" si="19"/>
        <v>33866913.544465676</v>
      </c>
      <c r="X119" s="188"/>
    </row>
    <row r="120" spans="1:24" s="59" customFormat="1" x14ac:dyDescent="0.2">
      <c r="A120" s="506">
        <f t="shared" si="15"/>
        <v>46327</v>
      </c>
      <c r="B120" s="59">
        <f t="shared" si="20"/>
        <v>2026</v>
      </c>
      <c r="C120" s="59">
        <f t="shared" si="21"/>
        <v>11</v>
      </c>
      <c r="D120" s="178"/>
      <c r="E120" s="177">
        <f t="shared" ca="1" si="16"/>
        <v>312.40687500000001</v>
      </c>
      <c r="F120" s="177">
        <f t="shared" ca="1" si="16"/>
        <v>1.6454166666666665</v>
      </c>
      <c r="G120" s="177"/>
      <c r="H120" s="177"/>
      <c r="I120" s="188">
        <f>'Monthly Data'!BB120</f>
        <v>0</v>
      </c>
      <c r="J120" s="176">
        <f t="shared" si="17"/>
        <v>30</v>
      </c>
      <c r="K120" s="508">
        <f>Economic!M134</f>
        <v>915810.03250000009</v>
      </c>
      <c r="L120" s="508">
        <f t="shared" si="18"/>
        <v>0</v>
      </c>
      <c r="N120" s="188">
        <f>'GS&lt;50 Predicted Monthly'!$X$8</f>
        <v>-13592432.544671699</v>
      </c>
      <c r="O120" s="188">
        <f ca="1">E120*'GS&lt;50 Predicted Monthly'!$X$9</f>
        <v>4316138.2455291748</v>
      </c>
      <c r="P120" s="188">
        <f ca="1">F120*'GS&lt;50 Predicted Monthly'!$X$10</f>
        <v>70829.170869704118</v>
      </c>
      <c r="Q120" s="188">
        <f>I120*'GS&lt;50 Predicted Monthly'!$X$11</f>
        <v>0</v>
      </c>
      <c r="R120" s="188">
        <f>J120*'GS&lt;50 Predicted Monthly'!$X$12</f>
        <v>20084064.457684711</v>
      </c>
      <c r="S120" s="188">
        <f>K120*'GS&lt;50 Predicted Monthly'!$X$13</f>
        <v>23899909.436586522</v>
      </c>
      <c r="T120" s="188">
        <f>L120*'GS&lt;50 Predicted Monthly'!$X$14</f>
        <v>0</v>
      </c>
      <c r="U120" s="509">
        <f t="shared" ca="1" si="19"/>
        <v>34778508.765998408</v>
      </c>
      <c r="X120" s="188"/>
    </row>
    <row r="121" spans="1:24" s="59" customFormat="1" x14ac:dyDescent="0.2">
      <c r="A121" s="506">
        <f t="shared" si="15"/>
        <v>46357</v>
      </c>
      <c r="B121" s="59">
        <f t="shared" si="20"/>
        <v>2026</v>
      </c>
      <c r="C121" s="59">
        <f t="shared" si="21"/>
        <v>12</v>
      </c>
      <c r="D121" s="178"/>
      <c r="E121" s="177">
        <f t="shared" ca="1" si="16"/>
        <v>473.52499999999998</v>
      </c>
      <c r="F121" s="177">
        <f t="shared" ca="1" si="16"/>
        <v>0</v>
      </c>
      <c r="G121" s="177"/>
      <c r="H121" s="177"/>
      <c r="I121" s="188">
        <f>'Monthly Data'!BB121</f>
        <v>0</v>
      </c>
      <c r="J121" s="176">
        <f t="shared" si="17"/>
        <v>31</v>
      </c>
      <c r="K121" s="508">
        <f>Economic!M135</f>
        <v>915810.03250000009</v>
      </c>
      <c r="L121" s="508">
        <f t="shared" si="18"/>
        <v>0</v>
      </c>
      <c r="N121" s="188">
        <f>'GS&lt;50 Predicted Monthly'!$X$8</f>
        <v>-13592432.544671699</v>
      </c>
      <c r="O121" s="188">
        <f ca="1">E121*'GS&lt;50 Predicted Monthly'!$X$9</f>
        <v>6542107.5087230466</v>
      </c>
      <c r="P121" s="188">
        <f ca="1">F121*'GS&lt;50 Predicted Monthly'!$X$10</f>
        <v>0</v>
      </c>
      <c r="Q121" s="188">
        <f>I121*'GS&lt;50 Predicted Monthly'!$X$11</f>
        <v>0</v>
      </c>
      <c r="R121" s="188">
        <f>J121*'GS&lt;50 Predicted Monthly'!$X$12</f>
        <v>20753533.272940867</v>
      </c>
      <c r="S121" s="188">
        <f>K121*'GS&lt;50 Predicted Monthly'!$X$13</f>
        <v>23899909.436586522</v>
      </c>
      <c r="T121" s="188">
        <f>L121*'GS&lt;50 Predicted Monthly'!$X$14</f>
        <v>0</v>
      </c>
      <c r="U121" s="509">
        <f t="shared" ca="1" si="19"/>
        <v>37603117.673578739</v>
      </c>
      <c r="X121" s="188"/>
    </row>
    <row r="122" spans="1:24" s="59" customFormat="1" x14ac:dyDescent="0.2">
      <c r="A122" s="506">
        <f t="shared" si="15"/>
        <v>46388</v>
      </c>
      <c r="B122" s="59">
        <f>YEAR(A122)</f>
        <v>2027</v>
      </c>
      <c r="C122" s="59">
        <f>MONTH(A122)</f>
        <v>1</v>
      </c>
      <c r="D122" s="178"/>
      <c r="E122" s="177">
        <f t="shared" ca="1" si="16"/>
        <v>566.30416666666667</v>
      </c>
      <c r="F122" s="177">
        <f t="shared" ca="1" si="16"/>
        <v>0</v>
      </c>
      <c r="G122" s="177"/>
      <c r="H122" s="177"/>
      <c r="I122" s="188">
        <f>'Monthly Data'!BB122</f>
        <v>0</v>
      </c>
      <c r="J122" s="176">
        <f t="shared" si="17"/>
        <v>31</v>
      </c>
      <c r="K122" s="508">
        <f>Economic!M136</f>
        <v>929896.54415625008</v>
      </c>
      <c r="L122" s="508">
        <f t="shared" si="18"/>
        <v>0</v>
      </c>
      <c r="N122" s="188">
        <f>'GS&lt;50 Predicted Monthly'!$X$8</f>
        <v>-13592432.544671699</v>
      </c>
      <c r="O122" s="188">
        <f ca="1">E122*'GS&lt;50 Predicted Monthly'!$X$9</f>
        <v>7823922.1603318686</v>
      </c>
      <c r="P122" s="188">
        <f ca="1">F122*'GS&lt;50 Predicted Monthly'!$X$10</f>
        <v>0</v>
      </c>
      <c r="Q122" s="188">
        <f>I122*'GS&lt;50 Predicted Monthly'!$X$11</f>
        <v>0</v>
      </c>
      <c r="R122" s="188">
        <f>J122*'GS&lt;50 Predicted Monthly'!$X$12</f>
        <v>20753533.272940867</v>
      </c>
      <c r="S122" s="188">
        <f>K122*'GS&lt;50 Predicted Monthly'!$X$13</f>
        <v>24267525.362285387</v>
      </c>
      <c r="T122" s="188">
        <f>L122*'GS&lt;50 Predicted Monthly'!$X$14</f>
        <v>0</v>
      </c>
      <c r="U122" s="509">
        <f t="shared" ca="1" si="19"/>
        <v>39252548.250886425</v>
      </c>
      <c r="X122" s="188"/>
    </row>
    <row r="123" spans="1:24" s="59" customFormat="1" x14ac:dyDescent="0.2">
      <c r="A123" s="506">
        <f t="shared" si="15"/>
        <v>46419</v>
      </c>
      <c r="B123" s="59">
        <f>YEAR(A123)</f>
        <v>2027</v>
      </c>
      <c r="C123" s="59">
        <f>MONTH(A123)</f>
        <v>2</v>
      </c>
      <c r="D123" s="178"/>
      <c r="E123" s="177">
        <f t="shared" ca="1" si="16"/>
        <v>483.54541666666665</v>
      </c>
      <c r="F123" s="177">
        <f t="shared" ca="1" si="16"/>
        <v>0</v>
      </c>
      <c r="G123" s="177"/>
      <c r="H123" s="177"/>
      <c r="I123" s="188">
        <f>'Monthly Data'!BB123</f>
        <v>0</v>
      </c>
      <c r="J123" s="176">
        <f t="shared" si="17"/>
        <v>28</v>
      </c>
      <c r="K123" s="508">
        <f>Economic!M137</f>
        <v>929896.54415625008</v>
      </c>
      <c r="L123" s="508">
        <f t="shared" si="18"/>
        <v>0</v>
      </c>
      <c r="N123" s="188">
        <f>'GS&lt;50 Predicted Monthly'!$X$8</f>
        <v>-13592432.544671699</v>
      </c>
      <c r="O123" s="188">
        <f ca="1">E123*'GS&lt;50 Predicted Monthly'!$X$9</f>
        <v>6680547.1752993288</v>
      </c>
      <c r="P123" s="188">
        <f ca="1">F123*'GS&lt;50 Predicted Monthly'!$X$10</f>
        <v>0</v>
      </c>
      <c r="Q123" s="188">
        <f>I123*'GS&lt;50 Predicted Monthly'!$X$11</f>
        <v>0</v>
      </c>
      <c r="R123" s="188">
        <f>J123*'GS&lt;50 Predicted Monthly'!$X$12</f>
        <v>18745126.827172395</v>
      </c>
      <c r="S123" s="188">
        <f>K123*'GS&lt;50 Predicted Monthly'!$X$13</f>
        <v>24267525.362285387</v>
      </c>
      <c r="T123" s="188">
        <f>L123*'GS&lt;50 Predicted Monthly'!$X$14</f>
        <v>0</v>
      </c>
      <c r="U123" s="509">
        <f t="shared" ca="1" si="19"/>
        <v>36100766.820085406</v>
      </c>
      <c r="X123" s="188"/>
    </row>
    <row r="124" spans="1:24" s="59" customFormat="1" x14ac:dyDescent="0.2">
      <c r="A124" s="506">
        <f t="shared" si="15"/>
        <v>46447</v>
      </c>
      <c r="B124" s="59">
        <f>YEAR(A124)</f>
        <v>2027</v>
      </c>
      <c r="C124" s="59">
        <f>MONTH(A124)</f>
        <v>3</v>
      </c>
      <c r="D124" s="178"/>
      <c r="E124" s="177">
        <f t="shared" ca="1" si="16"/>
        <v>393.96333333333331</v>
      </c>
      <c r="F124" s="177">
        <f t="shared" ca="1" si="16"/>
        <v>0</v>
      </c>
      <c r="G124" s="177"/>
      <c r="H124" s="177"/>
      <c r="I124" s="188">
        <f>'Monthly Data'!BB124</f>
        <v>0</v>
      </c>
      <c r="J124" s="176">
        <f t="shared" si="17"/>
        <v>31</v>
      </c>
      <c r="K124" s="508">
        <f>Economic!M138</f>
        <v>929896.54415625008</v>
      </c>
      <c r="L124" s="508">
        <f t="shared" si="18"/>
        <v>1</v>
      </c>
      <c r="N124" s="188">
        <f>'GS&lt;50 Predicted Monthly'!$X$8</f>
        <v>-13592432.544671699</v>
      </c>
      <c r="O124" s="188">
        <f ca="1">E124*'GS&lt;50 Predicted Monthly'!$X$9</f>
        <v>5442902.6580678122</v>
      </c>
      <c r="P124" s="188">
        <f ca="1">F124*'GS&lt;50 Predicted Monthly'!$X$10</f>
        <v>0</v>
      </c>
      <c r="Q124" s="188">
        <f>I124*'GS&lt;50 Predicted Monthly'!$X$11</f>
        <v>0</v>
      </c>
      <c r="R124" s="188">
        <f>J124*'GS&lt;50 Predicted Monthly'!$X$12</f>
        <v>20753533.272940867</v>
      </c>
      <c r="S124" s="188">
        <f>K124*'GS&lt;50 Predicted Monthly'!$X$13</f>
        <v>24267525.362285387</v>
      </c>
      <c r="T124" s="188">
        <f>L124*'GS&lt;50 Predicted Monthly'!$X$14</f>
        <v>522033.18159628101</v>
      </c>
      <c r="U124" s="509">
        <f t="shared" ca="1" si="19"/>
        <v>37393561.930218644</v>
      </c>
      <c r="X124" s="188"/>
    </row>
    <row r="125" spans="1:24" s="59" customFormat="1" x14ac:dyDescent="0.2">
      <c r="A125" s="506">
        <f t="shared" si="15"/>
        <v>46478</v>
      </c>
      <c r="B125" s="59">
        <f>YEAR(A125)</f>
        <v>2027</v>
      </c>
      <c r="C125" s="59">
        <f>MONTH(A125)</f>
        <v>4</v>
      </c>
      <c r="D125" s="178"/>
      <c r="E125" s="177">
        <f t="shared" ca="1" si="16"/>
        <v>226.60145833333337</v>
      </c>
      <c r="F125" s="177">
        <f t="shared" ca="1" si="16"/>
        <v>6.5650000000000031</v>
      </c>
      <c r="G125" s="177"/>
      <c r="H125" s="177"/>
      <c r="I125" s="188">
        <f>'Monthly Data'!BB125</f>
        <v>0</v>
      </c>
      <c r="J125" s="176">
        <f t="shared" si="17"/>
        <v>30</v>
      </c>
      <c r="K125" s="508">
        <f>Economic!M139</f>
        <v>927399.38548125012</v>
      </c>
      <c r="L125" s="508">
        <f t="shared" si="18"/>
        <v>0</v>
      </c>
      <c r="N125" s="188">
        <f>'GS&lt;50 Predicted Monthly'!$X$8</f>
        <v>-13592432.544671699</v>
      </c>
      <c r="O125" s="188">
        <f ca="1">E125*'GS&lt;50 Predicted Monthly'!$X$9</f>
        <v>3130671.2466080841</v>
      </c>
      <c r="P125" s="188">
        <f ca="1">F125*'GS&lt;50 Predicted Monthly'!$X$10</f>
        <v>282599.24442214705</v>
      </c>
      <c r="Q125" s="188">
        <f>I125*'GS&lt;50 Predicted Monthly'!$X$11</f>
        <v>0</v>
      </c>
      <c r="R125" s="188">
        <f>J125*'GS&lt;50 Predicted Monthly'!$X$12</f>
        <v>20084064.457684711</v>
      </c>
      <c r="S125" s="188">
        <f>K125*'GS&lt;50 Predicted Monthly'!$X$13</f>
        <v>24202356.971392833</v>
      </c>
      <c r="T125" s="188">
        <f>L125*'GS&lt;50 Predicted Monthly'!$X$14</f>
        <v>0</v>
      </c>
      <c r="U125" s="509">
        <f t="shared" ca="1" si="19"/>
        <v>34107259.375436075</v>
      </c>
    </row>
    <row r="126" spans="1:24" s="59" customFormat="1" x14ac:dyDescent="0.2">
      <c r="A126" s="506">
        <f t="shared" si="15"/>
        <v>46508</v>
      </c>
      <c r="B126" s="59">
        <f>YEAR(A126)</f>
        <v>2027</v>
      </c>
      <c r="C126" s="59">
        <f>MONTH(A126)</f>
        <v>5</v>
      </c>
      <c r="D126" s="178"/>
      <c r="E126" s="177">
        <f t="shared" ca="1" si="16"/>
        <v>65.335833333333326</v>
      </c>
      <c r="F126" s="177">
        <f t="shared" ca="1" si="16"/>
        <v>59.300416666666649</v>
      </c>
      <c r="G126" s="177"/>
      <c r="H126" s="177"/>
      <c r="I126" s="188">
        <f>'Monthly Data'!BB126</f>
        <v>0</v>
      </c>
      <c r="J126" s="176">
        <f t="shared" si="17"/>
        <v>31</v>
      </c>
      <c r="K126" s="508">
        <f>Economic!M140</f>
        <v>927399.38548125012</v>
      </c>
      <c r="L126" s="508">
        <f t="shared" si="18"/>
        <v>0</v>
      </c>
      <c r="N126" s="188">
        <f>'GS&lt;50 Predicted Monthly'!$X$8</f>
        <v>-13592432.544671699</v>
      </c>
      <c r="O126" s="188">
        <f ca="1">E126*'GS&lt;50 Predicted Monthly'!$X$9</f>
        <v>902664.15889061301</v>
      </c>
      <c r="P126" s="188">
        <f ca="1">F126*'GS&lt;50 Predicted Monthly'!$X$10</f>
        <v>2552666.0996067757</v>
      </c>
      <c r="Q126" s="188">
        <f>I126*'GS&lt;50 Predicted Monthly'!$X$11</f>
        <v>0</v>
      </c>
      <c r="R126" s="188">
        <f>J126*'GS&lt;50 Predicted Monthly'!$X$12</f>
        <v>20753533.272940867</v>
      </c>
      <c r="S126" s="188">
        <f>K126*'GS&lt;50 Predicted Monthly'!$X$13</f>
        <v>24202356.971392833</v>
      </c>
      <c r="T126" s="188">
        <f>L126*'GS&lt;50 Predicted Monthly'!$X$14</f>
        <v>0</v>
      </c>
      <c r="U126" s="509">
        <f t="shared" ca="1" si="19"/>
        <v>34818787.958159387</v>
      </c>
    </row>
    <row r="127" spans="1:24" s="59" customFormat="1" x14ac:dyDescent="0.2">
      <c r="A127" s="506">
        <f t="shared" si="15"/>
        <v>46539</v>
      </c>
      <c r="B127" s="59">
        <f t="shared" si="20"/>
        <v>2027</v>
      </c>
      <c r="C127" s="59">
        <f t="shared" si="21"/>
        <v>6</v>
      </c>
      <c r="E127" s="177">
        <f t="shared" ref="E127:F129" ca="1" si="22">E115</f>
        <v>3.0447916666666672</v>
      </c>
      <c r="F127" s="177">
        <f t="shared" ca="1" si="22"/>
        <v>157.17000000000002</v>
      </c>
      <c r="G127" s="177"/>
      <c r="H127" s="177"/>
      <c r="I127" s="188">
        <f>'Monthly Data'!BB127</f>
        <v>0</v>
      </c>
      <c r="J127" s="176">
        <f t="shared" si="17"/>
        <v>30</v>
      </c>
      <c r="K127" s="508">
        <f>Economic!M141</f>
        <v>927399.38548125012</v>
      </c>
      <c r="L127" s="508">
        <f t="shared" si="18"/>
        <v>0</v>
      </c>
      <c r="N127" s="188">
        <f>'GS&lt;50 Predicted Monthly'!$X$8</f>
        <v>-13592432.544671699</v>
      </c>
      <c r="O127" s="188">
        <f ca="1">E127*'GS&lt;50 Predicted Monthly'!$X$9</f>
        <v>42066.109339522445</v>
      </c>
      <c r="P127" s="188">
        <f ca="1">F127*'GS&lt;50 Predicted Monthly'!$X$10</f>
        <v>6765593.7922054585</v>
      </c>
      <c r="Q127" s="188">
        <f>I127*'GS&lt;50 Predicted Monthly'!$X$11</f>
        <v>0</v>
      </c>
      <c r="R127" s="188">
        <f>J127*'GS&lt;50 Predicted Monthly'!$X$12</f>
        <v>20084064.457684711</v>
      </c>
      <c r="S127" s="188">
        <f>K127*'GS&lt;50 Predicted Monthly'!$X$13</f>
        <v>24202356.971392833</v>
      </c>
      <c r="T127" s="188">
        <f>L127*'GS&lt;50 Predicted Monthly'!$X$14</f>
        <v>0</v>
      </c>
      <c r="U127" s="509">
        <f t="shared" ca="1" si="19"/>
        <v>37501648.785950825</v>
      </c>
    </row>
    <row r="128" spans="1:24" s="59" customFormat="1" x14ac:dyDescent="0.2">
      <c r="A128" s="506">
        <f t="shared" si="15"/>
        <v>46569</v>
      </c>
      <c r="B128" s="59">
        <f t="shared" si="20"/>
        <v>2027</v>
      </c>
      <c r="C128" s="59">
        <f t="shared" si="21"/>
        <v>7</v>
      </c>
      <c r="E128" s="177">
        <f t="shared" ca="1" si="22"/>
        <v>0</v>
      </c>
      <c r="F128" s="177">
        <f t="shared" ca="1" si="22"/>
        <v>231.27145833333333</v>
      </c>
      <c r="G128" s="177"/>
      <c r="H128" s="177"/>
      <c r="I128" s="188">
        <f>'Monthly Data'!BB128</f>
        <v>0</v>
      </c>
      <c r="J128" s="176">
        <f t="shared" si="17"/>
        <v>31</v>
      </c>
      <c r="K128" s="508">
        <f>Economic!M142</f>
        <v>933682.65911250014</v>
      </c>
      <c r="L128" s="508">
        <f t="shared" si="18"/>
        <v>0</v>
      </c>
      <c r="N128" s="188">
        <f>'GS&lt;50 Predicted Monthly'!$X$8</f>
        <v>-13592432.544671699</v>
      </c>
      <c r="O128" s="188">
        <f ca="1">E128*'GS&lt;50 Predicted Monthly'!$X$9</f>
        <v>0</v>
      </c>
      <c r="P128" s="188">
        <f ca="1">F128*'GS&lt;50 Predicted Monthly'!$X$10</f>
        <v>9955390.6140758619</v>
      </c>
      <c r="Q128" s="188">
        <f>I128*'GS&lt;50 Predicted Monthly'!$X$11</f>
        <v>0</v>
      </c>
      <c r="R128" s="188">
        <f>J128*'GS&lt;50 Predicted Monthly'!$X$12</f>
        <v>20753533.272940867</v>
      </c>
      <c r="S128" s="188">
        <f>K128*'GS&lt;50 Predicted Monthly'!$X$13</f>
        <v>24366331.666387416</v>
      </c>
      <c r="T128" s="188">
        <f>L128*'GS&lt;50 Predicted Monthly'!$X$14</f>
        <v>0</v>
      </c>
      <c r="U128" s="509">
        <f t="shared" ca="1" si="19"/>
        <v>41482823.008732446</v>
      </c>
    </row>
    <row r="129" spans="1:21" s="59" customFormat="1" x14ac:dyDescent="0.2">
      <c r="A129" s="506">
        <f t="shared" si="15"/>
        <v>46600</v>
      </c>
      <c r="B129" s="59">
        <f t="shared" si="20"/>
        <v>2027</v>
      </c>
      <c r="C129" s="59">
        <f t="shared" si="21"/>
        <v>8</v>
      </c>
      <c r="E129" s="177">
        <f t="shared" ca="1" si="22"/>
        <v>0.27875000000000066</v>
      </c>
      <c r="F129" s="177">
        <f t="shared" ca="1" si="22"/>
        <v>196.13625000000002</v>
      </c>
      <c r="G129" s="177"/>
      <c r="H129" s="177"/>
      <c r="I129" s="188">
        <f>'Monthly Data'!BB129</f>
        <v>0</v>
      </c>
      <c r="J129" s="176">
        <f t="shared" si="17"/>
        <v>31</v>
      </c>
      <c r="K129" s="508">
        <f>Economic!M143</f>
        <v>933682.65911250014</v>
      </c>
      <c r="L129" s="508">
        <f t="shared" si="18"/>
        <v>0</v>
      </c>
      <c r="N129" s="188">
        <f>'GS&lt;50 Predicted Monthly'!$X$8</f>
        <v>-13592432.544671699</v>
      </c>
      <c r="O129" s="188">
        <f ca="1">E129*'GS&lt;50 Predicted Monthly'!$X$9</f>
        <v>3851.1429556128055</v>
      </c>
      <c r="P129" s="188">
        <f ca="1">F129*'GS&lt;50 Predicted Monthly'!$X$10</f>
        <v>8442948.3707225155</v>
      </c>
      <c r="Q129" s="188">
        <f>I129*'GS&lt;50 Predicted Monthly'!$X$11</f>
        <v>0</v>
      </c>
      <c r="R129" s="188">
        <f>J129*'GS&lt;50 Predicted Monthly'!$X$12</f>
        <v>20753533.272940867</v>
      </c>
      <c r="S129" s="188">
        <f>K129*'GS&lt;50 Predicted Monthly'!$X$13</f>
        <v>24366331.666387416</v>
      </c>
      <c r="T129" s="188">
        <f>L129*'GS&lt;50 Predicted Monthly'!$X$14</f>
        <v>0</v>
      </c>
      <c r="U129" s="509">
        <f t="shared" ca="1" si="19"/>
        <v>39974231.90833471</v>
      </c>
    </row>
    <row r="130" spans="1:21" s="59" customFormat="1" x14ac:dyDescent="0.2">
      <c r="A130" s="506">
        <f t="shared" si="15"/>
        <v>46631</v>
      </c>
      <c r="B130" s="59">
        <f t="shared" si="20"/>
        <v>2027</v>
      </c>
      <c r="C130" s="59">
        <f t="shared" si="21"/>
        <v>9</v>
      </c>
      <c r="E130" s="177">
        <f t="shared" ref="E130:F133" ca="1" si="23">E118</f>
        <v>11.319999999999997</v>
      </c>
      <c r="F130" s="177">
        <f t="shared" ca="1" si="23"/>
        <v>104.19854166666664</v>
      </c>
      <c r="G130" s="177"/>
      <c r="H130" s="177"/>
      <c r="I130" s="188">
        <f>'Monthly Data'!BB130</f>
        <v>0</v>
      </c>
      <c r="J130" s="176">
        <f t="shared" si="17"/>
        <v>30</v>
      </c>
      <c r="K130" s="508">
        <f>Economic!M144</f>
        <v>933682.65911250014</v>
      </c>
      <c r="L130" s="508">
        <f t="shared" si="18"/>
        <v>0</v>
      </c>
      <c r="N130" s="188">
        <f>'GS&lt;50 Predicted Monthly'!$X$8</f>
        <v>-13592432.544671699</v>
      </c>
      <c r="O130" s="188">
        <f ca="1">E130*'GS&lt;50 Predicted Monthly'!$X$9</f>
        <v>156394.39733645503</v>
      </c>
      <c r="P130" s="188">
        <f ca="1">F130*'GS&lt;50 Predicted Monthly'!$X$10</f>
        <v>4485366.2063807445</v>
      </c>
      <c r="Q130" s="188">
        <f>I130*'GS&lt;50 Predicted Monthly'!$X$11</f>
        <v>0</v>
      </c>
      <c r="R130" s="188">
        <f>J130*'GS&lt;50 Predicted Monthly'!$X$12</f>
        <v>20084064.457684711</v>
      </c>
      <c r="S130" s="188">
        <f>K130*'GS&lt;50 Predicted Monthly'!$X$13</f>
        <v>24366331.666387416</v>
      </c>
      <c r="T130" s="188">
        <f>L130*'GS&lt;50 Predicted Monthly'!$X$14</f>
        <v>0</v>
      </c>
      <c r="U130" s="509">
        <f t="shared" ca="1" si="19"/>
        <v>35499724.183117628</v>
      </c>
    </row>
    <row r="131" spans="1:21" s="59" customFormat="1" x14ac:dyDescent="0.2">
      <c r="A131" s="506">
        <f t="shared" si="15"/>
        <v>46661</v>
      </c>
      <c r="B131" s="59">
        <f t="shared" si="20"/>
        <v>2027</v>
      </c>
      <c r="C131" s="59">
        <f t="shared" si="21"/>
        <v>10</v>
      </c>
      <c r="E131" s="177">
        <f t="shared" ca="1" si="23"/>
        <v>126.12583333333332</v>
      </c>
      <c r="F131" s="177">
        <f t="shared" ca="1" si="23"/>
        <v>24.703125000000007</v>
      </c>
      <c r="G131" s="177"/>
      <c r="H131" s="177"/>
      <c r="I131" s="188">
        <f>'Monthly Data'!BB131</f>
        <v>0</v>
      </c>
      <c r="J131" s="176">
        <f t="shared" si="17"/>
        <v>31</v>
      </c>
      <c r="K131" s="508">
        <f>Economic!M145</f>
        <v>931836.7080687501</v>
      </c>
      <c r="L131" s="508">
        <f t="shared" si="18"/>
        <v>0</v>
      </c>
      <c r="N131" s="188">
        <f>'GS&lt;50 Predicted Monthly'!$X$8</f>
        <v>-13592432.544671699</v>
      </c>
      <c r="O131" s="188">
        <f ca="1">E131*'GS&lt;50 Predicted Monthly'!$X$9</f>
        <v>1742524.177802548</v>
      </c>
      <c r="P131" s="188">
        <f ca="1">F131*'GS&lt;50 Predicted Monthly'!$X$10</f>
        <v>1063379.201807441</v>
      </c>
      <c r="Q131" s="188">
        <f>I131*'GS&lt;50 Predicted Monthly'!$X$11</f>
        <v>0</v>
      </c>
      <c r="R131" s="188">
        <f>J131*'GS&lt;50 Predicted Monthly'!$X$12</f>
        <v>20753533.272940867</v>
      </c>
      <c r="S131" s="188">
        <f>K131*'GS&lt;50 Predicted Monthly'!$X$13</f>
        <v>24318157.851726789</v>
      </c>
      <c r="T131" s="188">
        <f>L131*'GS&lt;50 Predicted Monthly'!$X$14</f>
        <v>0</v>
      </c>
      <c r="U131" s="509">
        <f t="shared" ca="1" si="19"/>
        <v>34285161.959605947</v>
      </c>
    </row>
    <row r="132" spans="1:21" s="59" customFormat="1" x14ac:dyDescent="0.2">
      <c r="A132" s="506">
        <f t="shared" si="15"/>
        <v>46692</v>
      </c>
      <c r="B132" s="59">
        <f t="shared" si="20"/>
        <v>2027</v>
      </c>
      <c r="C132" s="59">
        <f t="shared" si="21"/>
        <v>11</v>
      </c>
      <c r="E132" s="177">
        <f t="shared" ca="1" si="23"/>
        <v>312.40687500000001</v>
      </c>
      <c r="F132" s="177">
        <f t="shared" ca="1" si="23"/>
        <v>1.6454166666666665</v>
      </c>
      <c r="G132" s="177"/>
      <c r="H132" s="177"/>
      <c r="I132" s="188">
        <f>'Monthly Data'!BB132</f>
        <v>0</v>
      </c>
      <c r="J132" s="176">
        <f t="shared" si="17"/>
        <v>30</v>
      </c>
      <c r="K132" s="508">
        <f>Economic!M146</f>
        <v>931836.7080687501</v>
      </c>
      <c r="L132" s="508">
        <f t="shared" si="18"/>
        <v>0</v>
      </c>
      <c r="N132" s="188">
        <f>'GS&lt;50 Predicted Monthly'!$X$8</f>
        <v>-13592432.544671699</v>
      </c>
      <c r="O132" s="188">
        <f ca="1">E132*'GS&lt;50 Predicted Monthly'!$X$9</f>
        <v>4316138.2455291748</v>
      </c>
      <c r="P132" s="188">
        <f ca="1">F132*'GS&lt;50 Predicted Monthly'!$X$10</f>
        <v>70829.170869704118</v>
      </c>
      <c r="Q132" s="188">
        <f>I132*'GS&lt;50 Predicted Monthly'!$X$11</f>
        <v>0</v>
      </c>
      <c r="R132" s="188">
        <f>J132*'GS&lt;50 Predicted Monthly'!$X$12</f>
        <v>20084064.457684711</v>
      </c>
      <c r="S132" s="188">
        <f>K132*'GS&lt;50 Predicted Monthly'!$X$13</f>
        <v>24318157.851726789</v>
      </c>
      <c r="T132" s="188">
        <f>L132*'GS&lt;50 Predicted Monthly'!$X$14</f>
        <v>0</v>
      </c>
      <c r="U132" s="509">
        <f t="shared" ca="1" si="19"/>
        <v>35196757.181138679</v>
      </c>
    </row>
    <row r="133" spans="1:21" s="59" customFormat="1" x14ac:dyDescent="0.2">
      <c r="A133" s="506">
        <f t="shared" si="15"/>
        <v>46722</v>
      </c>
      <c r="B133" s="59">
        <f t="shared" si="20"/>
        <v>2027</v>
      </c>
      <c r="C133" s="59">
        <f t="shared" si="21"/>
        <v>12</v>
      </c>
      <c r="E133" s="177">
        <f t="shared" ca="1" si="23"/>
        <v>473.52499999999998</v>
      </c>
      <c r="F133" s="177">
        <f t="shared" ca="1" si="23"/>
        <v>0</v>
      </c>
      <c r="G133" s="177"/>
      <c r="H133" s="177"/>
      <c r="I133" s="188">
        <f>'Monthly Data'!BB133</f>
        <v>0</v>
      </c>
      <c r="J133" s="176">
        <f t="shared" si="17"/>
        <v>31</v>
      </c>
      <c r="K133" s="508">
        <f>Economic!M147</f>
        <v>931836.7080687501</v>
      </c>
      <c r="L133" s="508">
        <f t="shared" si="18"/>
        <v>0</v>
      </c>
      <c r="N133" s="188">
        <f>'GS&lt;50 Predicted Monthly'!$X$8</f>
        <v>-13592432.544671699</v>
      </c>
      <c r="O133" s="188">
        <f ca="1">E133*'GS&lt;50 Predicted Monthly'!$X$9</f>
        <v>6542107.5087230466</v>
      </c>
      <c r="P133" s="188">
        <f ca="1">F133*'GS&lt;50 Predicted Monthly'!$X$10</f>
        <v>0</v>
      </c>
      <c r="Q133" s="188">
        <f>I133*'GS&lt;50 Predicted Monthly'!$X$11</f>
        <v>0</v>
      </c>
      <c r="R133" s="188">
        <f>J133*'GS&lt;50 Predicted Monthly'!$X$12</f>
        <v>20753533.272940867</v>
      </c>
      <c r="S133" s="188">
        <f>K133*'GS&lt;50 Predicted Monthly'!$X$13</f>
        <v>24318157.851726789</v>
      </c>
      <c r="T133" s="188">
        <f>L133*'GS&lt;50 Predicted Monthly'!$X$14</f>
        <v>0</v>
      </c>
      <c r="U133" s="509">
        <f t="shared" ca="1" si="19"/>
        <v>38021366.088719003</v>
      </c>
    </row>
    <row r="134" spans="1:21" x14ac:dyDescent="0.2">
      <c r="A134" s="8"/>
      <c r="E134" s="177"/>
      <c r="F134" s="177"/>
      <c r="G134" s="21"/>
      <c r="H134" s="21"/>
      <c r="J134" s="7"/>
      <c r="K134" s="19"/>
      <c r="L134" s="19"/>
      <c r="N134" s="11"/>
      <c r="O134" s="11"/>
      <c r="P134" s="11"/>
      <c r="Q134" s="11"/>
      <c r="R134" s="11"/>
      <c r="S134" s="11"/>
      <c r="T134" s="11"/>
      <c r="U134" s="13"/>
    </row>
    <row r="135" spans="1:21" x14ac:dyDescent="0.2">
      <c r="A135" s="8"/>
      <c r="E135" s="177"/>
      <c r="F135" s="177"/>
      <c r="G135" s="21"/>
      <c r="H135" s="21"/>
      <c r="J135" s="7"/>
      <c r="K135" s="19"/>
      <c r="L135" s="19"/>
      <c r="N135" s="11"/>
      <c r="O135" s="11"/>
      <c r="P135" s="11"/>
      <c r="Q135" s="11"/>
      <c r="R135" s="11"/>
      <c r="S135" s="11"/>
      <c r="T135" s="11"/>
      <c r="U135" s="13"/>
    </row>
    <row r="136" spans="1:21" x14ac:dyDescent="0.2">
      <c r="A136" s="8"/>
      <c r="E136" s="177"/>
      <c r="F136" s="177"/>
      <c r="G136" s="21"/>
      <c r="H136" s="21"/>
      <c r="J136" s="7"/>
      <c r="K136" s="19"/>
      <c r="L136" s="19"/>
      <c r="N136" s="11"/>
      <c r="O136" s="11"/>
      <c r="P136" s="11"/>
      <c r="Q136" s="11"/>
      <c r="R136" s="11"/>
      <c r="S136" s="11"/>
      <c r="T136" s="11"/>
      <c r="U136" s="13"/>
    </row>
    <row r="137" spans="1:21" x14ac:dyDescent="0.2">
      <c r="A137" s="8"/>
      <c r="E137" s="177"/>
      <c r="F137" s="177"/>
      <c r="G137" s="21"/>
      <c r="H137" s="21"/>
      <c r="J137" s="7"/>
      <c r="K137" s="19"/>
      <c r="L137" s="19"/>
      <c r="N137" s="11"/>
      <c r="O137" s="11"/>
      <c r="P137" s="11"/>
      <c r="Q137" s="11"/>
      <c r="R137" s="11"/>
      <c r="S137" s="11"/>
      <c r="T137" s="11"/>
      <c r="U137" s="13"/>
    </row>
    <row r="138" spans="1:21" x14ac:dyDescent="0.2">
      <c r="A138" s="8"/>
      <c r="E138" s="177"/>
      <c r="F138" s="177"/>
      <c r="G138" s="21"/>
      <c r="H138" s="21"/>
      <c r="J138" s="7"/>
      <c r="K138" s="19"/>
      <c r="L138" s="19"/>
      <c r="N138" s="11"/>
      <c r="O138" s="11"/>
      <c r="P138" s="11"/>
      <c r="Q138" s="11"/>
      <c r="R138" s="11"/>
      <c r="S138" s="11"/>
      <c r="T138" s="11"/>
      <c r="U138" s="13"/>
    </row>
    <row r="139" spans="1:21" x14ac:dyDescent="0.2">
      <c r="A139" s="8"/>
      <c r="E139" s="177"/>
      <c r="F139" s="177"/>
      <c r="G139" s="21"/>
      <c r="H139" s="21"/>
      <c r="J139" s="7"/>
      <c r="K139" s="19"/>
      <c r="L139" s="19"/>
      <c r="N139" s="11"/>
      <c r="O139" s="11"/>
      <c r="P139" s="11"/>
      <c r="Q139" s="11"/>
      <c r="R139" s="11"/>
      <c r="S139" s="11"/>
      <c r="T139" s="11"/>
      <c r="U139" s="13"/>
    </row>
    <row r="140" spans="1:21" x14ac:dyDescent="0.2">
      <c r="A140" s="8"/>
      <c r="E140" s="177"/>
      <c r="F140" s="177"/>
      <c r="G140" s="21"/>
      <c r="H140" s="21"/>
      <c r="J140" s="7"/>
      <c r="K140" s="19"/>
      <c r="L140" s="19"/>
      <c r="N140" s="11"/>
      <c r="O140" s="11"/>
      <c r="P140" s="11"/>
      <c r="Q140" s="11"/>
      <c r="R140" s="11"/>
      <c r="S140" s="11"/>
      <c r="T140" s="11"/>
      <c r="U140" s="13"/>
    </row>
    <row r="141" spans="1:21" x14ac:dyDescent="0.2">
      <c r="A141" s="8"/>
      <c r="E141" s="177"/>
      <c r="F141" s="177"/>
      <c r="G141" s="21"/>
      <c r="H141" s="21"/>
      <c r="J141" s="7"/>
      <c r="K141" s="19"/>
      <c r="L141" s="19"/>
      <c r="N141" s="11"/>
      <c r="O141" s="11"/>
      <c r="P141" s="11"/>
      <c r="Q141" s="11"/>
      <c r="R141" s="11"/>
      <c r="S141" s="11"/>
      <c r="T141" s="11"/>
      <c r="U141" s="13"/>
    </row>
    <row r="142" spans="1:21" x14ac:dyDescent="0.2">
      <c r="A142" s="8"/>
      <c r="E142" s="177"/>
      <c r="F142" s="177"/>
      <c r="G142" s="21"/>
      <c r="H142" s="21"/>
      <c r="J142" s="7"/>
      <c r="K142" s="19"/>
      <c r="L142" s="19"/>
      <c r="N142" s="11"/>
      <c r="O142" s="11"/>
      <c r="P142" s="11"/>
      <c r="Q142" s="11"/>
      <c r="R142" s="11"/>
      <c r="S142" s="11"/>
      <c r="T142" s="11"/>
      <c r="U142" s="13"/>
    </row>
    <row r="143" spans="1:21" x14ac:dyDescent="0.2">
      <c r="A143" s="8"/>
      <c r="E143" s="177"/>
      <c r="F143" s="177"/>
      <c r="G143" s="21"/>
      <c r="H143" s="21"/>
      <c r="J143" s="7"/>
      <c r="K143" s="19"/>
      <c r="L143" s="19"/>
      <c r="N143" s="11"/>
      <c r="O143" s="11"/>
      <c r="P143" s="11"/>
      <c r="Q143" s="11"/>
      <c r="R143" s="11"/>
      <c r="S143" s="11"/>
      <c r="T143" s="11"/>
      <c r="U143" s="13"/>
    </row>
    <row r="144" spans="1:21" x14ac:dyDescent="0.2">
      <c r="A144" s="8"/>
      <c r="E144" s="177"/>
      <c r="F144" s="177"/>
      <c r="G144" s="21"/>
      <c r="H144" s="21"/>
      <c r="J144" s="7"/>
      <c r="K144" s="19"/>
      <c r="L144" s="19"/>
      <c r="N144" s="11"/>
      <c r="O144" s="11"/>
      <c r="P144" s="11"/>
      <c r="Q144" s="11"/>
      <c r="R144" s="11"/>
      <c r="S144" s="11"/>
      <c r="T144" s="11"/>
      <c r="U144" s="13"/>
    </row>
    <row r="145" spans="1:24" x14ac:dyDescent="0.2">
      <c r="A145" s="8"/>
      <c r="E145" s="177"/>
      <c r="F145" s="177"/>
      <c r="G145" s="21"/>
      <c r="H145" s="21"/>
      <c r="J145" s="7"/>
      <c r="K145" s="19"/>
      <c r="L145" s="19"/>
      <c r="N145" s="11"/>
      <c r="O145" s="11"/>
      <c r="P145" s="11"/>
      <c r="Q145" s="11"/>
      <c r="R145" s="11"/>
      <c r="S145" s="11"/>
      <c r="T145" s="11"/>
      <c r="U145" s="13"/>
    </row>
    <row r="148" spans="1:24" x14ac:dyDescent="0.2">
      <c r="W148" s="7"/>
      <c r="X148" s="11"/>
    </row>
    <row r="149" spans="1:24" x14ac:dyDescent="0.2">
      <c r="W149" s="7"/>
      <c r="X149" s="11"/>
    </row>
    <row r="150" spans="1:24" x14ac:dyDescent="0.2">
      <c r="W150" s="7"/>
      <c r="X150" s="7"/>
    </row>
    <row r="195" spans="9:21" x14ac:dyDescent="0.2">
      <c r="J195" s="11"/>
      <c r="M195" s="11"/>
      <c r="O195" s="11"/>
      <c r="P195" s="11"/>
      <c r="Q195" s="11"/>
      <c r="R195" s="11"/>
      <c r="S195" s="11"/>
      <c r="T195" s="11"/>
      <c r="U195" s="11"/>
    </row>
    <row r="196" spans="9:21" x14ac:dyDescent="0.2">
      <c r="J196" s="11"/>
      <c r="M196" s="11"/>
      <c r="O196" s="11"/>
      <c r="P196" s="11"/>
      <c r="Q196" s="11"/>
      <c r="R196" s="11"/>
      <c r="S196" s="11"/>
      <c r="T196" s="11"/>
      <c r="U196" s="11"/>
    </row>
    <row r="197" spans="9:21" x14ac:dyDescent="0.2">
      <c r="J197" s="11"/>
      <c r="M197" s="11"/>
      <c r="O197" s="11"/>
      <c r="P197" s="11"/>
      <c r="Q197" s="11"/>
      <c r="R197" s="11"/>
      <c r="S197" s="11"/>
      <c r="T197" s="11"/>
      <c r="U197" s="11"/>
    </row>
    <row r="198" spans="9:21" x14ac:dyDescent="0.2">
      <c r="J198" s="11"/>
      <c r="M198" s="11"/>
      <c r="O198" s="11"/>
      <c r="P198" s="11"/>
      <c r="Q198" s="11"/>
      <c r="R198" s="11"/>
      <c r="S198" s="11"/>
      <c r="T198" s="11"/>
      <c r="U198" s="11"/>
    </row>
    <row r="199" spans="9:21" x14ac:dyDescent="0.2">
      <c r="J199" s="11"/>
      <c r="M199" s="11"/>
      <c r="O199" s="11"/>
      <c r="P199" s="11"/>
      <c r="Q199" s="11"/>
      <c r="R199" s="11"/>
      <c r="S199" s="11"/>
      <c r="T199" s="11"/>
      <c r="U199" s="11"/>
    </row>
    <row r="200" spans="9:21" x14ac:dyDescent="0.2">
      <c r="J200" s="11"/>
      <c r="M200" s="11"/>
      <c r="O200" s="11"/>
      <c r="P200" s="11"/>
      <c r="Q200" s="11"/>
      <c r="R200" s="11"/>
      <c r="S200" s="11"/>
      <c r="T200" s="11"/>
      <c r="U200" s="11"/>
    </row>
    <row r="201" spans="9:21" x14ac:dyDescent="0.2">
      <c r="J201" s="11"/>
      <c r="M201" s="11"/>
      <c r="O201" s="11"/>
      <c r="P201" s="11"/>
      <c r="Q201" s="11"/>
      <c r="R201" s="11"/>
      <c r="S201" s="11"/>
      <c r="T201" s="11"/>
      <c r="U201" s="11"/>
    </row>
    <row r="202" spans="9:21" x14ac:dyDescent="0.2">
      <c r="J202" s="11"/>
      <c r="M202" s="11"/>
      <c r="O202" s="11"/>
      <c r="P202" s="11"/>
      <c r="Q202" s="11"/>
      <c r="R202" s="11"/>
      <c r="S202" s="11"/>
      <c r="T202" s="11"/>
      <c r="U202" s="11"/>
    </row>
    <row r="203" spans="9:21" x14ac:dyDescent="0.2">
      <c r="I203"/>
    </row>
    <row r="204" spans="9:21" x14ac:dyDescent="0.2">
      <c r="I204"/>
      <c r="M204" s="19"/>
      <c r="N204" s="19"/>
      <c r="O204" s="19"/>
      <c r="P204" s="19"/>
      <c r="Q204" s="19"/>
      <c r="R204" s="19"/>
      <c r="S204" s="19"/>
      <c r="T204" s="19"/>
      <c r="U204" s="19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8C642-C12A-408A-86A4-A0105DE2A07D}">
  <sheetPr codeName="Sheet10">
    <tabColor theme="6" tint="0.59999389629810485"/>
  </sheetPr>
  <dimension ref="A1:AA192"/>
  <sheetViews>
    <sheetView topLeftCell="G103" workbookViewId="0">
      <selection activeCell="R117" sqref="R117"/>
    </sheetView>
  </sheetViews>
  <sheetFormatPr defaultColWidth="9.33203125" defaultRowHeight="12.75" x14ac:dyDescent="0.2"/>
  <cols>
    <col min="1" max="1" width="10.33203125" bestFit="1" customWidth="1"/>
    <col min="2" max="3" width="9.5" bestFit="1" customWidth="1"/>
    <col min="4" max="4" width="17.5" customWidth="1"/>
    <col min="5" max="6" width="9.5" bestFit="1" customWidth="1"/>
    <col min="9" max="11" width="9.5" bestFit="1" customWidth="1"/>
    <col min="12" max="12" width="9.5" customWidth="1"/>
    <col min="13" max="13" width="9.5" bestFit="1" customWidth="1"/>
    <col min="15" max="15" width="14.83203125" bestFit="1" customWidth="1"/>
    <col min="16" max="16" width="12.83203125" bestFit="1" customWidth="1"/>
    <col min="17" max="17" width="13.83203125" bestFit="1" customWidth="1"/>
    <col min="18" max="18" width="13.83203125" customWidth="1"/>
    <col min="19" max="19" width="13.83203125" bestFit="1" customWidth="1"/>
    <col min="20" max="22" width="12.5" customWidth="1"/>
    <col min="23" max="23" width="19.6640625" customWidth="1"/>
    <col min="25" max="25" width="13.83203125" bestFit="1" customWidth="1"/>
    <col min="26" max="26" width="12.5" bestFit="1" customWidth="1"/>
  </cols>
  <sheetData>
    <row r="1" spans="1:24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Data'!N1</f>
        <v>GS_gt_50_NoCDM</v>
      </c>
      <c r="E1" s="181" t="str">
        <f>'Monthly Data'!BJ1</f>
        <v>HDD14</v>
      </c>
      <c r="F1" s="181" t="str">
        <f>'Monthly Data'!BK1</f>
        <v>CDD14</v>
      </c>
      <c r="G1" s="181" t="str">
        <f>'Monthly Data'!BJ1</f>
        <v>HDD14</v>
      </c>
      <c r="H1" s="181" t="str">
        <f>'Monthly Data'!BK1</f>
        <v>CDD14</v>
      </c>
      <c r="I1" s="182" t="str">
        <f>'Monthly Data'!CV1</f>
        <v>COVID_AM</v>
      </c>
      <c r="J1" s="181" t="str">
        <f>'Monthly Data'!CS1</f>
        <v>Month Days</v>
      </c>
      <c r="K1" s="180" t="str">
        <f>'Monthly Data'!AO1</f>
        <v>OEA_GDP</v>
      </c>
      <c r="L1" s="180" t="str">
        <f>'Monthly Data'!CF1</f>
        <v>Fall</v>
      </c>
      <c r="M1" s="180" t="str">
        <f>'Monthly Data'!BY1</f>
        <v>Aug</v>
      </c>
      <c r="O1" s="171" t="s">
        <v>65</v>
      </c>
      <c r="P1" s="181" t="str">
        <f>E1</f>
        <v>HDD14</v>
      </c>
      <c r="Q1" s="181" t="str">
        <f>F1</f>
        <v>CDD14</v>
      </c>
      <c r="R1" s="181" t="str">
        <f>I1</f>
        <v>COVID_AM</v>
      </c>
      <c r="S1" s="181" t="str">
        <f>J1</f>
        <v>Month Days</v>
      </c>
      <c r="T1" s="181" t="str">
        <f>K1</f>
        <v>OEA_GDP</v>
      </c>
      <c r="U1" s="181" t="str">
        <f>L1</f>
        <v>Fall</v>
      </c>
      <c r="V1" s="181" t="str">
        <f>M1</f>
        <v>Aug</v>
      </c>
      <c r="W1" s="171" t="s">
        <v>101</v>
      </c>
      <c r="X1" s="171"/>
    </row>
    <row r="2" spans="1:24" x14ac:dyDescent="0.2">
      <c r="A2" s="8">
        <f>'Monthly Data'!A2</f>
        <v>42736</v>
      </c>
      <c r="B2">
        <f t="shared" ref="B2:B57" si="0">YEAR(A2)</f>
        <v>2017</v>
      </c>
      <c r="C2">
        <f t="shared" ref="C2:C57" si="1">MONTH(A2)</f>
        <v>1</v>
      </c>
      <c r="D2" s="18">
        <f>'Monthly Data'!N2</f>
        <v>115950733.09478092</v>
      </c>
      <c r="E2" s="290">
        <f ca="1">Weather!BQ34</f>
        <v>566.30416666666667</v>
      </c>
      <c r="F2" s="290">
        <f ca="1">Weather!BR34</f>
        <v>0</v>
      </c>
      <c r="G2" s="21">
        <f>'Monthly Data'!BJ2</f>
        <v>507.0916666666667</v>
      </c>
      <c r="H2" s="21">
        <f>'Monthly Data'!BK2</f>
        <v>0</v>
      </c>
      <c r="I2" s="11">
        <f>'Monthly Data'!CV2</f>
        <v>0</v>
      </c>
      <c r="J2" s="7">
        <f>'Monthly Data'!CS2</f>
        <v>31</v>
      </c>
      <c r="K2" s="19">
        <f>'Monthly Data'!AO2</f>
        <v>756670</v>
      </c>
      <c r="L2" s="19">
        <f>'Monthly Data'!CF2</f>
        <v>0</v>
      </c>
      <c r="M2" s="19">
        <f>'Monthly Data'!BY2</f>
        <v>0</v>
      </c>
      <c r="O2" s="11"/>
      <c r="P2" s="11">
        <f ca="1">(E2-G2)*'GS &gt; 50 Predicted Monthly'!$Z$11</f>
        <v>1263192.1031085686</v>
      </c>
      <c r="Q2" s="11">
        <f ca="1">(F2-H2)*'GS &gt; 50 Predicted Monthly'!$Z$12</f>
        <v>0</v>
      </c>
      <c r="R2" s="11"/>
      <c r="S2" s="11"/>
      <c r="T2" s="11"/>
      <c r="U2" s="11"/>
      <c r="V2" s="11"/>
      <c r="W2" s="11">
        <f ca="1">D2+P2+Q2</f>
        <v>117213925.19788949</v>
      </c>
    </row>
    <row r="3" spans="1:24" x14ac:dyDescent="0.2">
      <c r="A3" s="8">
        <f>'Monthly Data'!A3</f>
        <v>42767</v>
      </c>
      <c r="B3">
        <f t="shared" si="0"/>
        <v>2017</v>
      </c>
      <c r="C3">
        <f t="shared" si="1"/>
        <v>2</v>
      </c>
      <c r="D3" s="18">
        <f>'Monthly Data'!N3</f>
        <v>123340878.84075171</v>
      </c>
      <c r="E3" s="290">
        <f ca="1">Weather!BQ35</f>
        <v>483.54541666666665</v>
      </c>
      <c r="F3" s="290">
        <f ca="1">Weather!BR35</f>
        <v>0</v>
      </c>
      <c r="G3" s="21">
        <f>'Monthly Data'!BJ3</f>
        <v>393.97916666666669</v>
      </c>
      <c r="H3" s="21">
        <f>'Monthly Data'!BK3</f>
        <v>0</v>
      </c>
      <c r="I3" s="11">
        <f>'Monthly Data'!CV3</f>
        <v>0</v>
      </c>
      <c r="J3" s="7">
        <f>'Monthly Data'!CS3</f>
        <v>28</v>
      </c>
      <c r="K3" s="19">
        <f>'Monthly Data'!AO3</f>
        <v>756670</v>
      </c>
      <c r="L3" s="19">
        <f>'Monthly Data'!CF3</f>
        <v>0</v>
      </c>
      <c r="M3" s="19">
        <f>'Monthly Data'!BY3</f>
        <v>0</v>
      </c>
      <c r="O3" s="11"/>
      <c r="P3" s="11">
        <f ca="1">(E3-G3)*'GS &gt; 50 Predicted Monthly'!$Z$11</f>
        <v>1910734.7216389754</v>
      </c>
      <c r="Q3" s="11">
        <f ca="1">(F3-H3)*'GS &gt; 50 Predicted Monthly'!$Z$12</f>
        <v>0</v>
      </c>
      <c r="R3" s="11"/>
      <c r="S3" s="11"/>
      <c r="T3" s="11"/>
      <c r="U3" s="11"/>
      <c r="V3" s="11"/>
      <c r="W3" s="11">
        <f t="shared" ref="W3:W33" ca="1" si="2">D3+P3+Q3</f>
        <v>125251613.56239069</v>
      </c>
    </row>
    <row r="4" spans="1:24" x14ac:dyDescent="0.2">
      <c r="A4" s="8">
        <f>'Monthly Data'!A4</f>
        <v>42795</v>
      </c>
      <c r="B4">
        <f t="shared" si="0"/>
        <v>2017</v>
      </c>
      <c r="C4">
        <f t="shared" si="1"/>
        <v>3</v>
      </c>
      <c r="D4" s="18">
        <f>'Monthly Data'!N4</f>
        <v>126128064.58672249</v>
      </c>
      <c r="E4" s="290">
        <f ca="1">Weather!BQ36</f>
        <v>393.96333333333331</v>
      </c>
      <c r="F4" s="290">
        <f ca="1">Weather!BR36</f>
        <v>0</v>
      </c>
      <c r="G4" s="21">
        <f>'Monthly Data'!BJ4</f>
        <v>439.39166666666665</v>
      </c>
      <c r="H4" s="21">
        <f>'Monthly Data'!BK4</f>
        <v>0</v>
      </c>
      <c r="I4" s="11">
        <f>'Monthly Data'!CV4</f>
        <v>0</v>
      </c>
      <c r="J4" s="7">
        <f>'Monthly Data'!CS4</f>
        <v>31</v>
      </c>
      <c r="K4" s="19">
        <f>'Monthly Data'!AO4</f>
        <v>756670</v>
      </c>
      <c r="L4" s="19">
        <f>'Monthly Data'!CF4</f>
        <v>0</v>
      </c>
      <c r="M4" s="19">
        <f>'Monthly Data'!BY4</f>
        <v>0</v>
      </c>
      <c r="O4" s="11"/>
      <c r="P4" s="11">
        <f ca="1">(E4-G4)*'GS &gt; 50 Predicted Monthly'!$Z$11</f>
        <v>-969131.71921554499</v>
      </c>
      <c r="Q4" s="11">
        <f ca="1">(F4-H4)*'GS &gt; 50 Predicted Monthly'!$Z$12</f>
        <v>0</v>
      </c>
      <c r="R4" s="11"/>
      <c r="S4" s="11"/>
      <c r="T4" s="11"/>
      <c r="U4" s="11"/>
      <c r="V4" s="11"/>
      <c r="W4" s="11">
        <f t="shared" ca="1" si="2"/>
        <v>125158932.86750695</v>
      </c>
    </row>
    <row r="5" spans="1:24" x14ac:dyDescent="0.2">
      <c r="A5" s="8">
        <f>'Monthly Data'!A5</f>
        <v>42826</v>
      </c>
      <c r="B5">
        <f t="shared" si="0"/>
        <v>2017</v>
      </c>
      <c r="C5">
        <f t="shared" si="1"/>
        <v>4</v>
      </c>
      <c r="D5" s="18">
        <f>'Monthly Data'!N5</f>
        <v>112971341.33269329</v>
      </c>
      <c r="E5" s="290">
        <f ca="1">Weather!BQ37</f>
        <v>226.60145833333337</v>
      </c>
      <c r="F5" s="290">
        <f ca="1">Weather!BR37</f>
        <v>6.5650000000000031</v>
      </c>
      <c r="G5" s="21">
        <f>'Monthly Data'!BJ5</f>
        <v>150.22500000000002</v>
      </c>
      <c r="H5" s="21">
        <f>'Monthly Data'!BK5</f>
        <v>11.354166666666671</v>
      </c>
      <c r="I5" s="11">
        <f>'Monthly Data'!CV5</f>
        <v>0</v>
      </c>
      <c r="J5" s="7">
        <f>'Monthly Data'!CS5</f>
        <v>30</v>
      </c>
      <c r="K5" s="19">
        <f>'Monthly Data'!AO5</f>
        <v>764676</v>
      </c>
      <c r="L5" s="19">
        <f>'Monthly Data'!CF5</f>
        <v>0</v>
      </c>
      <c r="M5" s="19">
        <f>'Monthly Data'!BY5</f>
        <v>0</v>
      </c>
      <c r="O5" s="11"/>
      <c r="P5" s="11">
        <f ca="1">(E5-G5)*'GS &gt; 50 Predicted Monthly'!$Z$11</f>
        <v>1629354.2584769661</v>
      </c>
      <c r="Q5" s="11">
        <f ca="1">(F5-H5)*'GS &gt; 50 Predicted Monthly'!$Z$12</f>
        <v>-567330.70003787882</v>
      </c>
      <c r="R5" s="11"/>
      <c r="S5" s="11"/>
      <c r="T5" s="11"/>
      <c r="U5" s="11"/>
      <c r="V5" s="11"/>
      <c r="W5" s="11">
        <f t="shared" ca="1" si="2"/>
        <v>114033364.89113238</v>
      </c>
    </row>
    <row r="6" spans="1:24" x14ac:dyDescent="0.2">
      <c r="A6" s="8">
        <f>'Monthly Data'!A6</f>
        <v>42856</v>
      </c>
      <c r="B6">
        <f t="shared" si="0"/>
        <v>2017</v>
      </c>
      <c r="C6">
        <f t="shared" si="1"/>
        <v>5</v>
      </c>
      <c r="D6" s="18">
        <f>'Monthly Data'!N6</f>
        <v>120807160.07866408</v>
      </c>
      <c r="E6" s="290">
        <f ca="1">Weather!BQ38</f>
        <v>65.335833333333326</v>
      </c>
      <c r="F6" s="290">
        <f ca="1">Weather!BR38</f>
        <v>59.300416666666649</v>
      </c>
      <c r="G6" s="21">
        <f>'Monthly Data'!BJ6</f>
        <v>92.170833333333348</v>
      </c>
      <c r="H6" s="21">
        <f>'Monthly Data'!BK6</f>
        <v>37.183333333333337</v>
      </c>
      <c r="I6" s="11">
        <f>'Monthly Data'!CV6</f>
        <v>0</v>
      </c>
      <c r="J6" s="7">
        <f>'Monthly Data'!CS6</f>
        <v>31</v>
      </c>
      <c r="K6" s="19">
        <f>'Monthly Data'!AO6</f>
        <v>764676</v>
      </c>
      <c r="L6" s="19">
        <f>'Monthly Data'!CF6</f>
        <v>0</v>
      </c>
      <c r="M6" s="19">
        <f>'Monthly Data'!BY6</f>
        <v>0</v>
      </c>
      <c r="O6" s="11"/>
      <c r="P6" s="11">
        <f ca="1">(E6-G6)*'GS &gt; 50 Predicted Monthly'!$Z$11</f>
        <v>-572476.42114280735</v>
      </c>
      <c r="Q6" s="11">
        <f ca="1">(F6-H6)*'GS &gt; 50 Predicted Monthly'!$Z$12</f>
        <v>2620017.4777023322</v>
      </c>
      <c r="R6" s="11"/>
      <c r="S6" s="11"/>
      <c r="T6" s="11"/>
      <c r="U6" s="11"/>
      <c r="V6" s="11"/>
      <c r="W6" s="11">
        <f t="shared" ca="1" si="2"/>
        <v>122854701.13522361</v>
      </c>
    </row>
    <row r="7" spans="1:24" x14ac:dyDescent="0.2">
      <c r="A7" s="8">
        <f>'Monthly Data'!A7</f>
        <v>42887</v>
      </c>
      <c r="B7">
        <f t="shared" si="0"/>
        <v>2017</v>
      </c>
      <c r="C7">
        <f t="shared" si="1"/>
        <v>6</v>
      </c>
      <c r="D7" s="18">
        <f>'Monthly Data'!N7</f>
        <v>128030519.82463486</v>
      </c>
      <c r="E7" s="290">
        <f ca="1">Weather!BQ39</f>
        <v>3.0447916666666672</v>
      </c>
      <c r="F7" s="290">
        <f ca="1">Weather!BR39</f>
        <v>157.17000000000002</v>
      </c>
      <c r="G7" s="21">
        <f>'Monthly Data'!BJ7</f>
        <v>0.98333333333333428</v>
      </c>
      <c r="H7" s="21">
        <f>'Monthly Data'!BK7</f>
        <v>147.1333333333333</v>
      </c>
      <c r="I7" s="11">
        <f>'Monthly Data'!CV7</f>
        <v>0</v>
      </c>
      <c r="J7" s="7">
        <f>'Monthly Data'!CS7</f>
        <v>30</v>
      </c>
      <c r="K7" s="19">
        <f>'Monthly Data'!AO7</f>
        <v>764676</v>
      </c>
      <c r="L7" s="19">
        <f>'Monthly Data'!CF7</f>
        <v>0</v>
      </c>
      <c r="M7" s="19">
        <f>'Monthly Data'!BY7</f>
        <v>0</v>
      </c>
      <c r="O7" s="11"/>
      <c r="P7" s="11">
        <f ca="1">(E7-G7)*'GS &gt; 50 Predicted Monthly'!$Z$11</f>
        <v>43977.502850817284</v>
      </c>
      <c r="Q7" s="11">
        <f ca="1">(F7-H7)*'GS &gt; 50 Predicted Monthly'!$Z$12</f>
        <v>1188956.142553723</v>
      </c>
      <c r="R7" s="11"/>
      <c r="S7" s="11"/>
      <c r="T7" s="11"/>
      <c r="U7" s="11"/>
      <c r="V7" s="11"/>
      <c r="W7" s="11">
        <f t="shared" ca="1" si="2"/>
        <v>129263453.4700394</v>
      </c>
    </row>
    <row r="8" spans="1:24" x14ac:dyDescent="0.2">
      <c r="A8" s="8">
        <f>'Monthly Data'!A8</f>
        <v>42917</v>
      </c>
      <c r="B8">
        <f t="shared" si="0"/>
        <v>2017</v>
      </c>
      <c r="C8">
        <f t="shared" si="1"/>
        <v>7</v>
      </c>
      <c r="D8" s="18">
        <f>'Monthly Data'!N8</f>
        <v>133204977.57060567</v>
      </c>
      <c r="E8" s="290">
        <f ca="1">Weather!BQ40</f>
        <v>0</v>
      </c>
      <c r="F8" s="290">
        <f ca="1">Weather!BR40</f>
        <v>231.27145833333333</v>
      </c>
      <c r="G8" s="21">
        <f>'Monthly Data'!BJ8</f>
        <v>0</v>
      </c>
      <c r="H8" s="21">
        <f>'Monthly Data'!BK8</f>
        <v>206.83541666666665</v>
      </c>
      <c r="I8" s="11">
        <f>'Monthly Data'!CV8</f>
        <v>0</v>
      </c>
      <c r="J8" s="7">
        <f>'Monthly Data'!CS8</f>
        <v>31</v>
      </c>
      <c r="K8" s="19">
        <f>'Monthly Data'!AO8</f>
        <v>765009</v>
      </c>
      <c r="L8" s="19">
        <f>'Monthly Data'!CF8</f>
        <v>0</v>
      </c>
      <c r="M8" s="19">
        <f>'Monthly Data'!BY8</f>
        <v>0</v>
      </c>
      <c r="O8" s="11"/>
      <c r="P8" s="11">
        <f ca="1">(E8-G8)*'GS &gt; 50 Predicted Monthly'!$Z$11</f>
        <v>0</v>
      </c>
      <c r="Q8" s="11">
        <f ca="1">(F8-H8)*'GS &gt; 50 Predicted Monthly'!$Z$12</f>
        <v>2894724.1952124126</v>
      </c>
      <c r="R8" s="11"/>
      <c r="S8" s="11"/>
      <c r="T8" s="11"/>
      <c r="U8" s="11"/>
      <c r="V8" s="11"/>
      <c r="W8" s="11">
        <f t="shared" ca="1" si="2"/>
        <v>136099701.76581809</v>
      </c>
    </row>
    <row r="9" spans="1:24" x14ac:dyDescent="0.2">
      <c r="A9" s="8">
        <f>'Monthly Data'!A9</f>
        <v>42948</v>
      </c>
      <c r="B9">
        <f t="shared" si="0"/>
        <v>2017</v>
      </c>
      <c r="C9">
        <f t="shared" si="1"/>
        <v>8</v>
      </c>
      <c r="D9" s="18">
        <f>'Monthly Data'!N9</f>
        <v>131492737.31657645</v>
      </c>
      <c r="E9" s="290">
        <f ca="1">Weather!BQ41</f>
        <v>0.27875000000000066</v>
      </c>
      <c r="F9" s="290">
        <f ca="1">Weather!BR41</f>
        <v>196.13625000000002</v>
      </c>
      <c r="G9" s="21">
        <f>'Monthly Data'!BJ9</f>
        <v>0</v>
      </c>
      <c r="H9" s="21">
        <f>'Monthly Data'!BK9</f>
        <v>149.20833333333331</v>
      </c>
      <c r="I9" s="11">
        <f>'Monthly Data'!CV9</f>
        <v>0</v>
      </c>
      <c r="J9" s="7">
        <f>'Monthly Data'!CS9</f>
        <v>31</v>
      </c>
      <c r="K9" s="19">
        <f>'Monthly Data'!AO9</f>
        <v>765009</v>
      </c>
      <c r="L9" s="19">
        <f>'Monthly Data'!CF9</f>
        <v>0</v>
      </c>
      <c r="M9" s="19">
        <f>'Monthly Data'!BY9</f>
        <v>1</v>
      </c>
      <c r="O9" s="11"/>
      <c r="P9" s="11">
        <f ca="1">(E9-G9)*'GS &gt; 50 Predicted Monthly'!$Z$11</f>
        <v>5946.629491095875</v>
      </c>
      <c r="Q9" s="11">
        <f ca="1">(F9-H9)*'GS &gt; 50 Predicted Monthly'!$Z$12</f>
        <v>5559139.9646046814</v>
      </c>
      <c r="R9" s="11"/>
      <c r="S9" s="11"/>
      <c r="T9" s="11"/>
      <c r="U9" s="11"/>
      <c r="V9" s="11"/>
      <c r="W9" s="11">
        <f t="shared" ca="1" si="2"/>
        <v>137057823.91067222</v>
      </c>
    </row>
    <row r="10" spans="1:24" x14ac:dyDescent="0.2">
      <c r="A10" s="8">
        <f>'Monthly Data'!A10</f>
        <v>42979</v>
      </c>
      <c r="B10">
        <f t="shared" si="0"/>
        <v>2017</v>
      </c>
      <c r="C10">
        <f t="shared" si="1"/>
        <v>9</v>
      </c>
      <c r="D10" s="18">
        <f>'Monthly Data'!N10</f>
        <v>125862189.06254724</v>
      </c>
      <c r="E10" s="290">
        <f ca="1">Weather!BQ42</f>
        <v>11.319999999999997</v>
      </c>
      <c r="F10" s="290">
        <f ca="1">Weather!BR42</f>
        <v>104.19854166666664</v>
      </c>
      <c r="G10" s="21">
        <f>'Monthly Data'!BJ10</f>
        <v>20.80416666666666</v>
      </c>
      <c r="H10" s="21">
        <f>'Monthly Data'!BK10</f>
        <v>112.60833333333332</v>
      </c>
      <c r="I10" s="11">
        <f>'Monthly Data'!CV10</f>
        <v>0</v>
      </c>
      <c r="J10" s="7">
        <f>'Monthly Data'!CS10</f>
        <v>30</v>
      </c>
      <c r="K10" s="19">
        <f>'Monthly Data'!AO10</f>
        <v>765009</v>
      </c>
      <c r="L10" s="19">
        <f>'Monthly Data'!CF10</f>
        <v>1</v>
      </c>
      <c r="M10" s="19">
        <f>'Monthly Data'!BY10</f>
        <v>0</v>
      </c>
      <c r="O10" s="11"/>
      <c r="P10" s="11">
        <f ca="1">(E10-G10)*'GS &gt; 50 Predicted Monthly'!$Z$11</f>
        <v>-202327.62403037958</v>
      </c>
      <c r="Q10" s="11">
        <f ca="1">(F10-H10)*'GS &gt; 50 Predicted Monthly'!$Z$12</f>
        <v>-996234.48618536093</v>
      </c>
      <c r="R10" s="11"/>
      <c r="S10" s="11"/>
      <c r="T10" s="11"/>
      <c r="U10" s="11"/>
      <c r="V10" s="11"/>
      <c r="W10" s="11">
        <f t="shared" ca="1" si="2"/>
        <v>124663626.9523315</v>
      </c>
    </row>
    <row r="11" spans="1:24" x14ac:dyDescent="0.2">
      <c r="A11" s="8">
        <f>'Monthly Data'!A11</f>
        <v>43009</v>
      </c>
      <c r="B11">
        <f t="shared" si="0"/>
        <v>2017</v>
      </c>
      <c r="C11">
        <f t="shared" si="1"/>
        <v>10</v>
      </c>
      <c r="D11" s="18">
        <f>'Monthly Data'!N11</f>
        <v>120542924.80851802</v>
      </c>
      <c r="E11" s="290">
        <f ca="1">Weather!BQ43</f>
        <v>126.12583333333332</v>
      </c>
      <c r="F11" s="290">
        <f ca="1">Weather!BR43</f>
        <v>24.703125000000007</v>
      </c>
      <c r="G11" s="21">
        <f>'Monthly Data'!BJ11</f>
        <v>90.324999999999989</v>
      </c>
      <c r="H11" s="21">
        <f>'Monthly Data'!BK11</f>
        <v>36.987500000000026</v>
      </c>
      <c r="I11" s="11">
        <f>'Monthly Data'!CV11</f>
        <v>0</v>
      </c>
      <c r="J11" s="7">
        <f>'Monthly Data'!CS11</f>
        <v>31</v>
      </c>
      <c r="K11" s="19">
        <f>'Monthly Data'!AO11</f>
        <v>771506</v>
      </c>
      <c r="L11" s="19">
        <f>'Monthly Data'!CF11</f>
        <v>1</v>
      </c>
      <c r="M11" s="19">
        <f>'Monthly Data'!BY11</f>
        <v>0</v>
      </c>
      <c r="O11" s="11"/>
      <c r="P11" s="11">
        <f ca="1">(E11-G11)*'GS &gt; 50 Predicted Monthly'!$Z$11</f>
        <v>763746.33652307699</v>
      </c>
      <c r="Q11" s="11">
        <f ca="1">(F11-H11)*'GS &gt; 50 Predicted Monthly'!$Z$12</f>
        <v>-1455222.4955513121</v>
      </c>
      <c r="R11" s="11"/>
      <c r="S11" s="11"/>
      <c r="T11" s="11"/>
      <c r="U11" s="11"/>
      <c r="V11" s="11"/>
      <c r="W11" s="11">
        <f t="shared" ca="1" si="2"/>
        <v>119851448.64948978</v>
      </c>
    </row>
    <row r="12" spans="1:24" x14ac:dyDescent="0.2">
      <c r="A12" s="8">
        <f>'Monthly Data'!A12</f>
        <v>43040</v>
      </c>
      <c r="B12">
        <f t="shared" si="0"/>
        <v>2017</v>
      </c>
      <c r="C12">
        <f t="shared" si="1"/>
        <v>11</v>
      </c>
      <c r="D12" s="18">
        <f>'Monthly Data'!N12</f>
        <v>118519529.55448882</v>
      </c>
      <c r="E12" s="290">
        <f ca="1">Weather!BQ44</f>
        <v>312.40687500000001</v>
      </c>
      <c r="F12" s="290">
        <f ca="1">Weather!BR44</f>
        <v>1.6454166666666665</v>
      </c>
      <c r="G12" s="21">
        <f>'Monthly Data'!BJ12</f>
        <v>331.08124999999995</v>
      </c>
      <c r="H12" s="21">
        <f>'Monthly Data'!BK12</f>
        <v>0</v>
      </c>
      <c r="I12" s="11">
        <f>'Monthly Data'!CV12</f>
        <v>0</v>
      </c>
      <c r="J12" s="7">
        <f>'Monthly Data'!CS12</f>
        <v>30</v>
      </c>
      <c r="K12" s="19">
        <f>'Monthly Data'!AO12</f>
        <v>771506</v>
      </c>
      <c r="L12" s="19">
        <f>'Monthly Data'!CF12</f>
        <v>1</v>
      </c>
      <c r="M12" s="19">
        <f>'Monthly Data'!BY12</f>
        <v>0</v>
      </c>
      <c r="O12" s="11"/>
      <c r="P12" s="11">
        <f ca="1">(E12-G12)*'GS &gt; 50 Predicted Monthly'!$Z$11</f>
        <v>-398384.1761534813</v>
      </c>
      <c r="Q12" s="11">
        <f ca="1">(F12-H12)*'GS &gt; 50 Predicted Monthly'!$Z$12</f>
        <v>194918.12549587458</v>
      </c>
      <c r="R12" s="11"/>
      <c r="S12" s="11"/>
      <c r="T12" s="11"/>
      <c r="U12" s="11"/>
      <c r="V12" s="11"/>
      <c r="W12" s="11">
        <f t="shared" ca="1" si="2"/>
        <v>118316063.50383122</v>
      </c>
    </row>
    <row r="13" spans="1:24" x14ac:dyDescent="0.2">
      <c r="A13" s="8">
        <f>'Monthly Data'!A13</f>
        <v>43070</v>
      </c>
      <c r="B13">
        <f t="shared" si="0"/>
        <v>2017</v>
      </c>
      <c r="C13">
        <f t="shared" si="1"/>
        <v>12</v>
      </c>
      <c r="D13" s="18">
        <f>'Monthly Data'!N13</f>
        <v>121951004.30045961</v>
      </c>
      <c r="E13" s="290">
        <f ca="1">Weather!BQ45</f>
        <v>473.52499999999998</v>
      </c>
      <c r="F13" s="290">
        <f ca="1">Weather!BR45</f>
        <v>0</v>
      </c>
      <c r="G13" s="21">
        <f>'Monthly Data'!BJ13</f>
        <v>592.54583333333346</v>
      </c>
      <c r="H13" s="21">
        <f>'Monthly Data'!BK13</f>
        <v>0</v>
      </c>
      <c r="I13" s="11">
        <f>'Monthly Data'!CV13</f>
        <v>0</v>
      </c>
      <c r="J13" s="7">
        <f>'Monthly Data'!CS13</f>
        <v>31</v>
      </c>
      <c r="K13" s="19">
        <f>'Monthly Data'!AO13</f>
        <v>771506</v>
      </c>
      <c r="L13" s="19">
        <f>'Monthly Data'!CF13</f>
        <v>0</v>
      </c>
      <c r="M13" s="19">
        <f>'Monthly Data'!BY13</f>
        <v>0</v>
      </c>
      <c r="O13" s="11"/>
      <c r="P13" s="11">
        <f ca="1">(E13-G13)*'GS &gt; 50 Predicted Monthly'!$Z$11</f>
        <v>-2539095.2378647756</v>
      </c>
      <c r="Q13" s="11">
        <f ca="1">(F13-H13)*'GS &gt; 50 Predicted Monthly'!$Z$12</f>
        <v>0</v>
      </c>
      <c r="R13" s="11"/>
      <c r="S13" s="11"/>
      <c r="T13" s="11"/>
      <c r="U13" s="11"/>
      <c r="V13" s="11"/>
      <c r="W13" s="11">
        <f t="shared" ca="1" si="2"/>
        <v>119411909.06259483</v>
      </c>
    </row>
    <row r="14" spans="1:24" x14ac:dyDescent="0.2">
      <c r="A14" s="8">
        <f>'Monthly Data'!A14</f>
        <v>43101</v>
      </c>
      <c r="B14">
        <f t="shared" si="0"/>
        <v>2018</v>
      </c>
      <c r="C14">
        <f t="shared" si="1"/>
        <v>1</v>
      </c>
      <c r="D14" s="18">
        <f>'Monthly Data'!N14</f>
        <v>130123366.21189049</v>
      </c>
      <c r="E14" s="290">
        <f t="shared" ref="E14:F33" ca="1" si="3">E2</f>
        <v>566.30416666666667</v>
      </c>
      <c r="F14" s="290">
        <f t="shared" ca="1" si="3"/>
        <v>0</v>
      </c>
      <c r="G14" s="21">
        <f>'Monthly Data'!BJ14</f>
        <v>626.29583333333323</v>
      </c>
      <c r="H14" s="21">
        <f>'Monthly Data'!BK14</f>
        <v>0</v>
      </c>
      <c r="I14" s="11">
        <f>'Monthly Data'!CV14</f>
        <v>0</v>
      </c>
      <c r="J14" s="7">
        <f>'Monthly Data'!CS14</f>
        <v>31</v>
      </c>
      <c r="K14" s="19">
        <f>'Monthly Data'!AO14</f>
        <v>779694</v>
      </c>
      <c r="L14" s="19">
        <f>'Monthly Data'!CF14</f>
        <v>0</v>
      </c>
      <c r="M14" s="19">
        <f>'Monthly Data'!BY14</f>
        <v>0</v>
      </c>
      <c r="O14" s="11"/>
      <c r="P14" s="11">
        <f ca="1">(E14-G14)*'GS &gt; 50 Predicted Monthly'!$Z$11</f>
        <v>-1279814.2214170112</v>
      </c>
      <c r="Q14" s="11">
        <f ca="1">(F14-H14)*'GS &gt; 50 Predicted Monthly'!$Z$12</f>
        <v>0</v>
      </c>
      <c r="R14" s="11"/>
      <c r="S14" s="11"/>
      <c r="T14" s="11"/>
      <c r="U14" s="11"/>
      <c r="V14" s="11"/>
      <c r="W14" s="11">
        <f t="shared" ca="1" si="2"/>
        <v>128843551.99047348</v>
      </c>
    </row>
    <row r="15" spans="1:24" x14ac:dyDescent="0.2">
      <c r="A15" s="8">
        <f>'Monthly Data'!A15</f>
        <v>43132</v>
      </c>
      <c r="B15">
        <f t="shared" si="0"/>
        <v>2018</v>
      </c>
      <c r="C15">
        <f t="shared" si="1"/>
        <v>2</v>
      </c>
      <c r="D15" s="18">
        <f>'Monthly Data'!N15</f>
        <v>115694594.48045985</v>
      </c>
      <c r="E15" s="290">
        <f t="shared" ca="1" si="3"/>
        <v>483.54541666666665</v>
      </c>
      <c r="F15" s="290">
        <f t="shared" ca="1" si="3"/>
        <v>0</v>
      </c>
      <c r="G15" s="21">
        <f>'Monthly Data'!BJ15</f>
        <v>462.37083333333339</v>
      </c>
      <c r="H15" s="21">
        <f>'Monthly Data'!BK15</f>
        <v>0</v>
      </c>
      <c r="I15" s="11">
        <f>'Monthly Data'!CV15</f>
        <v>0</v>
      </c>
      <c r="J15" s="7">
        <f>'Monthly Data'!CS15</f>
        <v>28</v>
      </c>
      <c r="K15" s="19">
        <f>'Monthly Data'!AO15</f>
        <v>779694</v>
      </c>
      <c r="L15" s="19">
        <f>'Monthly Data'!CF15</f>
        <v>0</v>
      </c>
      <c r="M15" s="19">
        <f>'Monthly Data'!BY15</f>
        <v>0</v>
      </c>
      <c r="O15" s="11"/>
      <c r="P15" s="11">
        <f ca="1">(E15-G15)*'GS &gt; 50 Predicted Monthly'!$Z$11</f>
        <v>451721.62049028324</v>
      </c>
      <c r="Q15" s="11">
        <f ca="1">(F15-H15)*'GS &gt; 50 Predicted Monthly'!$Z$12</f>
        <v>0</v>
      </c>
      <c r="R15" s="11"/>
      <c r="S15" s="11"/>
      <c r="T15" s="11"/>
      <c r="U15" s="11"/>
      <c r="V15" s="11"/>
      <c r="W15" s="11">
        <f t="shared" ca="1" si="2"/>
        <v>116146316.10095014</v>
      </c>
    </row>
    <row r="16" spans="1:24" x14ac:dyDescent="0.2">
      <c r="A16" s="8">
        <f>'Monthly Data'!A16</f>
        <v>43160</v>
      </c>
      <c r="B16">
        <f t="shared" si="0"/>
        <v>2018</v>
      </c>
      <c r="C16">
        <f t="shared" si="1"/>
        <v>3</v>
      </c>
      <c r="D16" s="18">
        <f>'Monthly Data'!N16</f>
        <v>125478631.74902922</v>
      </c>
      <c r="E16" s="290">
        <f t="shared" ca="1" si="3"/>
        <v>393.96333333333331</v>
      </c>
      <c r="F16" s="290">
        <f t="shared" ca="1" si="3"/>
        <v>0</v>
      </c>
      <c r="G16" s="21">
        <f>'Monthly Data'!BJ16</f>
        <v>471.81666666666666</v>
      </c>
      <c r="H16" s="21">
        <f>'Monthly Data'!BK16</f>
        <v>0</v>
      </c>
      <c r="I16" s="11">
        <f>'Monthly Data'!CV16</f>
        <v>0</v>
      </c>
      <c r="J16" s="7">
        <f>'Monthly Data'!CS16</f>
        <v>31</v>
      </c>
      <c r="K16" s="19">
        <f>'Monthly Data'!AO16</f>
        <v>779694</v>
      </c>
      <c r="L16" s="19">
        <f>'Monthly Data'!CF16</f>
        <v>0</v>
      </c>
      <c r="M16" s="19">
        <f>'Monthly Data'!BY16</f>
        <v>0</v>
      </c>
      <c r="O16" s="11"/>
      <c r="P16" s="11">
        <f ca="1">(E16-G16)*'GS &gt; 50 Predicted Monthly'!$Z$11</f>
        <v>-1660860.7281797901</v>
      </c>
      <c r="Q16" s="11">
        <f ca="1">(F16-H16)*'GS &gt; 50 Predicted Monthly'!$Z$12</f>
        <v>0</v>
      </c>
      <c r="R16" s="11"/>
      <c r="S16" s="11"/>
      <c r="T16" s="11"/>
      <c r="U16" s="11"/>
      <c r="V16" s="11"/>
      <c r="W16" s="11">
        <f t="shared" ca="1" si="2"/>
        <v>123817771.02084944</v>
      </c>
    </row>
    <row r="17" spans="1:25" x14ac:dyDescent="0.2">
      <c r="A17" s="8">
        <f>'Monthly Data'!A17</f>
        <v>43191</v>
      </c>
      <c r="B17">
        <f t="shared" si="0"/>
        <v>2018</v>
      </c>
      <c r="C17">
        <f t="shared" si="1"/>
        <v>4</v>
      </c>
      <c r="D17" s="18">
        <f>'Monthly Data'!N17</f>
        <v>119717405.01759858</v>
      </c>
      <c r="E17" s="290">
        <f t="shared" ca="1" si="3"/>
        <v>226.60145833333337</v>
      </c>
      <c r="F17" s="290">
        <f t="shared" ca="1" si="3"/>
        <v>6.5650000000000031</v>
      </c>
      <c r="G17" s="21">
        <f>'Monthly Data'!BJ17</f>
        <v>340.9</v>
      </c>
      <c r="H17" s="21">
        <f>'Monthly Data'!BK17</f>
        <v>0</v>
      </c>
      <c r="I17" s="11">
        <f>'Monthly Data'!CV17</f>
        <v>0</v>
      </c>
      <c r="J17" s="7">
        <f>'Monthly Data'!CS17</f>
        <v>30</v>
      </c>
      <c r="K17" s="19">
        <f>'Monthly Data'!AO17</f>
        <v>785185</v>
      </c>
      <c r="L17" s="19">
        <f>'Monthly Data'!CF17</f>
        <v>0</v>
      </c>
      <c r="M17" s="19">
        <f>'Monthly Data'!BY17</f>
        <v>0</v>
      </c>
      <c r="O17" s="11"/>
      <c r="P17" s="11">
        <f ca="1">(E17-G17)*'GS &gt; 50 Predicted Monthly'!$Z$11</f>
        <v>-2438353.6454322822</v>
      </c>
      <c r="Q17" s="11">
        <f ca="1">(F17-H17)*'GS &gt; 50 Predicted Monthly'!$Z$12</f>
        <v>777698.14771157305</v>
      </c>
      <c r="R17" s="11"/>
      <c r="S17" s="11"/>
      <c r="T17" s="11"/>
      <c r="U17" s="11"/>
      <c r="V17" s="11"/>
      <c r="W17" s="11">
        <f t="shared" ca="1" si="2"/>
        <v>118056749.51987788</v>
      </c>
    </row>
    <row r="18" spans="1:25" x14ac:dyDescent="0.2">
      <c r="A18" s="8">
        <f>'Monthly Data'!A18</f>
        <v>43221</v>
      </c>
      <c r="B18">
        <f t="shared" si="0"/>
        <v>2018</v>
      </c>
      <c r="C18">
        <f t="shared" si="1"/>
        <v>5</v>
      </c>
      <c r="D18" s="18">
        <f>'Monthly Data'!N18</f>
        <v>127433786.28616795</v>
      </c>
      <c r="E18" s="290">
        <f t="shared" ca="1" si="3"/>
        <v>65.335833333333326</v>
      </c>
      <c r="F18" s="290">
        <f t="shared" ca="1" si="3"/>
        <v>59.300416666666649</v>
      </c>
      <c r="G18" s="21">
        <f>'Monthly Data'!BJ18</f>
        <v>15.375000000000002</v>
      </c>
      <c r="H18" s="21">
        <f>'Monthly Data'!BK18</f>
        <v>107.17916666666667</v>
      </c>
      <c r="I18" s="11">
        <f>'Monthly Data'!CV18</f>
        <v>0</v>
      </c>
      <c r="J18" s="7">
        <f>'Monthly Data'!CS18</f>
        <v>31</v>
      </c>
      <c r="K18" s="19">
        <f>'Monthly Data'!AO18</f>
        <v>785185</v>
      </c>
      <c r="L18" s="19">
        <f>'Monthly Data'!CF18</f>
        <v>0</v>
      </c>
      <c r="M18" s="19">
        <f>'Monthly Data'!BY18</f>
        <v>0</v>
      </c>
      <c r="O18" s="11"/>
      <c r="P18" s="11">
        <f ca="1">(E18-G18)*'GS &gt; 50 Predicted Monthly'!$Z$11</f>
        <v>1065824.4480707624</v>
      </c>
      <c r="Q18" s="11">
        <f ca="1">(F18-H18)*'GS &gt; 50 Predicted Monthly'!$Z$12</f>
        <v>-5671776.8758180467</v>
      </c>
      <c r="R18" s="11"/>
      <c r="S18" s="11"/>
      <c r="T18" s="11"/>
      <c r="U18" s="11"/>
      <c r="V18" s="11"/>
      <c r="W18" s="11">
        <f t="shared" ca="1" si="2"/>
        <v>122827833.85842067</v>
      </c>
    </row>
    <row r="19" spans="1:25" x14ac:dyDescent="0.2">
      <c r="A19" s="8">
        <f>'Monthly Data'!A19</f>
        <v>43252</v>
      </c>
      <c r="B19">
        <f t="shared" si="0"/>
        <v>2018</v>
      </c>
      <c r="C19">
        <f t="shared" si="1"/>
        <v>6</v>
      </c>
      <c r="D19" s="18">
        <f>'Monthly Data'!N19</f>
        <v>130160206.55473731</v>
      </c>
      <c r="E19" s="290">
        <f t="shared" ca="1" si="3"/>
        <v>3.0447916666666672</v>
      </c>
      <c r="F19" s="290">
        <f t="shared" ca="1" si="3"/>
        <v>157.17000000000002</v>
      </c>
      <c r="G19" s="21">
        <f>'Monthly Data'!BJ19</f>
        <v>4.6208333333333336</v>
      </c>
      <c r="H19" s="21">
        <f>'Monthly Data'!BK19</f>
        <v>155.0625</v>
      </c>
      <c r="I19" s="11">
        <f>'Monthly Data'!CV19</f>
        <v>0</v>
      </c>
      <c r="J19" s="7">
        <f>'Monthly Data'!CS19</f>
        <v>30</v>
      </c>
      <c r="K19" s="19">
        <f>'Monthly Data'!AO19</f>
        <v>785185</v>
      </c>
      <c r="L19" s="19">
        <f>'Monthly Data'!CF19</f>
        <v>0</v>
      </c>
      <c r="M19" s="19">
        <f>'Monthly Data'!BY19</f>
        <v>0</v>
      </c>
      <c r="O19" s="11"/>
      <c r="P19" s="11">
        <f ca="1">(E19-G19)*'GS &gt; 50 Predicted Monthly'!$Z$11</f>
        <v>-33622.012032989667</v>
      </c>
      <c r="Q19" s="11">
        <f ca="1">(F19-H19)*'GS &gt; 50 Predicted Monthly'!$Z$12</f>
        <v>249657.09768501931</v>
      </c>
      <c r="R19" s="11"/>
      <c r="S19" s="11"/>
      <c r="T19" s="11"/>
      <c r="U19" s="11"/>
      <c r="V19" s="11"/>
      <c r="W19" s="11">
        <f t="shared" ca="1" si="2"/>
        <v>130376241.64038935</v>
      </c>
      <c r="Y19" s="60"/>
    </row>
    <row r="20" spans="1:25" x14ac:dyDescent="0.2">
      <c r="A20" s="8">
        <f>'Monthly Data'!A20</f>
        <v>43282</v>
      </c>
      <c r="B20">
        <f t="shared" si="0"/>
        <v>2018</v>
      </c>
      <c r="C20">
        <f t="shared" si="1"/>
        <v>7</v>
      </c>
      <c r="D20" s="18">
        <f>'Monthly Data'!N20</f>
        <v>139575448.82330668</v>
      </c>
      <c r="E20" s="290">
        <f t="shared" ca="1" si="3"/>
        <v>0</v>
      </c>
      <c r="F20" s="290">
        <f t="shared" ca="1" si="3"/>
        <v>231.27145833333333</v>
      </c>
      <c r="G20" s="21">
        <f>'Monthly Data'!BJ20</f>
        <v>0</v>
      </c>
      <c r="H20" s="21">
        <f>'Monthly Data'!BK20</f>
        <v>224.81458333333336</v>
      </c>
      <c r="I20" s="11">
        <f>'Monthly Data'!CV20</f>
        <v>0</v>
      </c>
      <c r="J20" s="7">
        <f>'Monthly Data'!CS20</f>
        <v>31</v>
      </c>
      <c r="K20" s="19">
        <f>'Monthly Data'!AO20</f>
        <v>794512</v>
      </c>
      <c r="L20" s="19">
        <f>'Monthly Data'!CF20</f>
        <v>0</v>
      </c>
      <c r="M20" s="19">
        <f>'Monthly Data'!BY20</f>
        <v>0</v>
      </c>
      <c r="O20" s="11"/>
      <c r="P20" s="11">
        <f ca="1">(E20-G20)*'GS &gt; 50 Predicted Monthly'!$Z$11</f>
        <v>0</v>
      </c>
      <c r="Q20" s="11">
        <f ca="1">(F20-H20)*'GS &gt; 50 Predicted Monthly'!$Z$12</f>
        <v>764889.52437245019</v>
      </c>
      <c r="R20" s="11"/>
      <c r="S20" s="11"/>
      <c r="T20" s="11"/>
      <c r="U20" s="11"/>
      <c r="V20" s="11"/>
      <c r="W20" s="11">
        <f t="shared" ca="1" si="2"/>
        <v>140340338.34767914</v>
      </c>
    </row>
    <row r="21" spans="1:25" x14ac:dyDescent="0.2">
      <c r="A21" s="8">
        <f>'Monthly Data'!A21</f>
        <v>43313</v>
      </c>
      <c r="B21">
        <f t="shared" si="0"/>
        <v>2018</v>
      </c>
      <c r="C21">
        <f t="shared" si="1"/>
        <v>8</v>
      </c>
      <c r="D21" s="18">
        <f>'Monthly Data'!N21</f>
        <v>145516334.09187603</v>
      </c>
      <c r="E21" s="290">
        <f t="shared" ca="1" si="3"/>
        <v>0.27875000000000066</v>
      </c>
      <c r="F21" s="290">
        <f t="shared" ca="1" si="3"/>
        <v>196.13625000000002</v>
      </c>
      <c r="G21" s="21">
        <f>'Monthly Data'!BJ21</f>
        <v>0</v>
      </c>
      <c r="H21" s="21">
        <f>'Monthly Data'!BK21</f>
        <v>230.90833333333327</v>
      </c>
      <c r="I21" s="11">
        <f>'Monthly Data'!CV21</f>
        <v>0</v>
      </c>
      <c r="J21" s="7">
        <f>'Monthly Data'!CS21</f>
        <v>31</v>
      </c>
      <c r="K21" s="19">
        <f>'Monthly Data'!AO21</f>
        <v>794512</v>
      </c>
      <c r="L21" s="19">
        <f>'Monthly Data'!CF21</f>
        <v>0</v>
      </c>
      <c r="M21" s="19">
        <f>'Monthly Data'!BY21</f>
        <v>1</v>
      </c>
      <c r="O21" s="11"/>
      <c r="P21" s="11">
        <f ca="1">(E21-G21)*'GS &gt; 50 Predicted Monthly'!$Z$11</f>
        <v>5946.629491095875</v>
      </c>
      <c r="Q21" s="11">
        <f ca="1">(F21-H21)*'GS &gt; 50 Predicted Monthly'!$Z$12</f>
        <v>-4119144.6763755856</v>
      </c>
      <c r="R21" s="11"/>
      <c r="S21" s="11"/>
      <c r="T21" s="11"/>
      <c r="U21" s="11"/>
      <c r="V21" s="11"/>
      <c r="W21" s="11">
        <f t="shared" ca="1" si="2"/>
        <v>141403136.04499152</v>
      </c>
    </row>
    <row r="22" spans="1:25" x14ac:dyDescent="0.2">
      <c r="A22" s="8">
        <f>'Monthly Data'!A22</f>
        <v>43344</v>
      </c>
      <c r="B22">
        <f t="shared" si="0"/>
        <v>2018</v>
      </c>
      <c r="C22">
        <f t="shared" si="1"/>
        <v>9</v>
      </c>
      <c r="D22" s="18">
        <f>'Monthly Data'!N22</f>
        <v>130472808.3604454</v>
      </c>
      <c r="E22" s="290">
        <f t="shared" ca="1" si="3"/>
        <v>11.319999999999997</v>
      </c>
      <c r="F22" s="290">
        <f t="shared" ca="1" si="3"/>
        <v>104.19854166666664</v>
      </c>
      <c r="G22" s="21">
        <f>'Monthly Data'!BJ22</f>
        <v>20.0625</v>
      </c>
      <c r="H22" s="21">
        <f>'Monthly Data'!BK22</f>
        <v>130.34583333333333</v>
      </c>
      <c r="I22" s="11">
        <f>'Monthly Data'!CV22</f>
        <v>0</v>
      </c>
      <c r="J22" s="7">
        <f>'Monthly Data'!CS22</f>
        <v>30</v>
      </c>
      <c r="K22" s="19">
        <f>'Monthly Data'!AO22</f>
        <v>794512</v>
      </c>
      <c r="L22" s="19">
        <f>'Monthly Data'!CF22</f>
        <v>1</v>
      </c>
      <c r="M22" s="19">
        <f>'Monthly Data'!BY22</f>
        <v>0</v>
      </c>
      <c r="O22" s="11"/>
      <c r="P22" s="11">
        <f ca="1">(E22-G22)*'GS &gt; 50 Predicted Monthly'!$Z$11</f>
        <v>-186505.5007207375</v>
      </c>
      <c r="Q22" s="11">
        <f ca="1">(F22-H22)*'GS &gt; 50 Predicted Monthly'!$Z$12</f>
        <v>-3097441.0200823951</v>
      </c>
      <c r="R22" s="11"/>
      <c r="S22" s="11"/>
      <c r="T22" s="11"/>
      <c r="U22" s="11"/>
      <c r="V22" s="11"/>
      <c r="W22" s="11">
        <f t="shared" ca="1" si="2"/>
        <v>127188861.83964226</v>
      </c>
    </row>
    <row r="23" spans="1:25" x14ac:dyDescent="0.2">
      <c r="A23" s="8">
        <f>'Monthly Data'!A23</f>
        <v>43374</v>
      </c>
      <c r="B23">
        <f t="shared" si="0"/>
        <v>2018</v>
      </c>
      <c r="C23">
        <f t="shared" si="1"/>
        <v>10</v>
      </c>
      <c r="D23" s="18">
        <f>'Monthly Data'!N23</f>
        <v>124271950.62901476</v>
      </c>
      <c r="E23" s="290">
        <f t="shared" ca="1" si="3"/>
        <v>126.12583333333332</v>
      </c>
      <c r="F23" s="290">
        <f t="shared" ca="1" si="3"/>
        <v>24.703125000000007</v>
      </c>
      <c r="G23" s="21">
        <f>'Monthly Data'!BJ23</f>
        <v>181.64999999999998</v>
      </c>
      <c r="H23" s="21">
        <f>'Monthly Data'!BK23</f>
        <v>22.829166666666666</v>
      </c>
      <c r="I23" s="11">
        <f>'Monthly Data'!CV23</f>
        <v>0</v>
      </c>
      <c r="J23" s="7">
        <f>'Monthly Data'!CS23</f>
        <v>31</v>
      </c>
      <c r="K23" s="19">
        <f>'Monthly Data'!AO23</f>
        <v>799922</v>
      </c>
      <c r="L23" s="19">
        <f>'Monthly Data'!CF23</f>
        <v>1</v>
      </c>
      <c r="M23" s="19">
        <f>'Monthly Data'!BY23</f>
        <v>0</v>
      </c>
      <c r="O23" s="11"/>
      <c r="P23" s="11">
        <f ca="1">(E23-G23)*'GS &gt; 50 Predicted Monthly'!$Z$11</f>
        <v>-1184508.1505597192</v>
      </c>
      <c r="Q23" s="11">
        <f ca="1">(F23-H23)*'GS &gt; 50 Predicted Monthly'!$Z$12</f>
        <v>221991.45844965809</v>
      </c>
      <c r="R23" s="11"/>
      <c r="S23" s="11"/>
      <c r="T23" s="11"/>
      <c r="U23" s="11"/>
      <c r="V23" s="11"/>
      <c r="W23" s="11">
        <f t="shared" ca="1" si="2"/>
        <v>123309433.9369047</v>
      </c>
    </row>
    <row r="24" spans="1:25" x14ac:dyDescent="0.2">
      <c r="A24" s="8">
        <f>'Monthly Data'!A24</f>
        <v>43405</v>
      </c>
      <c r="B24">
        <f t="shared" si="0"/>
        <v>2018</v>
      </c>
      <c r="C24">
        <f t="shared" si="1"/>
        <v>11</v>
      </c>
      <c r="D24" s="18">
        <f>'Monthly Data'!N24</f>
        <v>122525206.89758413</v>
      </c>
      <c r="E24" s="290">
        <f t="shared" ca="1" si="3"/>
        <v>312.40687500000001</v>
      </c>
      <c r="F24" s="290">
        <f t="shared" ca="1" si="3"/>
        <v>1.6454166666666665</v>
      </c>
      <c r="G24" s="21">
        <f>'Monthly Data'!BJ24</f>
        <v>398.42499999999995</v>
      </c>
      <c r="H24" s="21">
        <f>'Monthly Data'!BK24</f>
        <v>0</v>
      </c>
      <c r="I24" s="11">
        <f>'Monthly Data'!CV24</f>
        <v>0</v>
      </c>
      <c r="J24" s="7">
        <f>'Monthly Data'!CS24</f>
        <v>30</v>
      </c>
      <c r="K24" s="19">
        <f>'Monthly Data'!AO24</f>
        <v>799922</v>
      </c>
      <c r="L24" s="19">
        <f>'Monthly Data'!CF24</f>
        <v>1</v>
      </c>
      <c r="M24" s="19">
        <f>'Monthly Data'!BY24</f>
        <v>0</v>
      </c>
      <c r="O24" s="11"/>
      <c r="P24" s="11">
        <f ca="1">(E24-G24)*'GS &gt; 50 Predicted Monthly'!$Z$11</f>
        <v>-1835041.8615023131</v>
      </c>
      <c r="Q24" s="11">
        <f ca="1">(F24-H24)*'GS &gt; 50 Predicted Monthly'!$Z$12</f>
        <v>194918.12549587458</v>
      </c>
      <c r="R24" s="11"/>
      <c r="S24" s="11"/>
      <c r="T24" s="11"/>
      <c r="U24" s="11"/>
      <c r="V24" s="11"/>
      <c r="W24" s="11">
        <f t="shared" ca="1" si="2"/>
        <v>120885083.16157769</v>
      </c>
    </row>
    <row r="25" spans="1:25" x14ac:dyDescent="0.2">
      <c r="A25" s="8">
        <f>'Monthly Data'!A25</f>
        <v>43435</v>
      </c>
      <c r="B25">
        <f t="shared" si="0"/>
        <v>2018</v>
      </c>
      <c r="C25">
        <f t="shared" si="1"/>
        <v>12</v>
      </c>
      <c r="D25" s="18">
        <f>'Monthly Data'!N25</f>
        <v>120780245.16615349</v>
      </c>
      <c r="E25" s="290">
        <f t="shared" ca="1" si="3"/>
        <v>473.52499999999998</v>
      </c>
      <c r="F25" s="290">
        <f t="shared" ca="1" si="3"/>
        <v>0</v>
      </c>
      <c r="G25" s="21">
        <f>'Monthly Data'!BJ25</f>
        <v>449.47083333333325</v>
      </c>
      <c r="H25" s="21">
        <f>'Monthly Data'!BK25</f>
        <v>0</v>
      </c>
      <c r="I25" s="11">
        <f>'Monthly Data'!CV25</f>
        <v>0</v>
      </c>
      <c r="J25" s="7">
        <f>'Monthly Data'!CS25</f>
        <v>31</v>
      </c>
      <c r="K25" s="19">
        <f>'Monthly Data'!AO25</f>
        <v>799922</v>
      </c>
      <c r="L25" s="19">
        <f>'Monthly Data'!CF25</f>
        <v>0</v>
      </c>
      <c r="M25" s="19">
        <f>'Monthly Data'!BY25</f>
        <v>0</v>
      </c>
      <c r="O25" s="11"/>
      <c r="P25" s="11">
        <f ca="1">(E25-G25)*'GS &gt; 50 Predicted Monthly'!$Z$11</f>
        <v>513152.34756497003</v>
      </c>
      <c r="Q25" s="11">
        <f ca="1">(F25-H25)*'GS &gt; 50 Predicted Monthly'!$Z$12</f>
        <v>0</v>
      </c>
      <c r="R25" s="11"/>
      <c r="S25" s="11"/>
      <c r="T25" s="11"/>
      <c r="U25" s="11"/>
      <c r="V25" s="11"/>
      <c r="W25" s="11">
        <f t="shared" ca="1" si="2"/>
        <v>121293397.51371846</v>
      </c>
    </row>
    <row r="26" spans="1:25" x14ac:dyDescent="0.2">
      <c r="A26" s="8">
        <f>'Monthly Data'!A26</f>
        <v>43466</v>
      </c>
      <c r="B26">
        <f t="shared" si="0"/>
        <v>2019</v>
      </c>
      <c r="C26">
        <f t="shared" si="1"/>
        <v>1</v>
      </c>
      <c r="D26" s="18">
        <f>'Monthly Data'!N26</f>
        <v>122557492.01553993</v>
      </c>
      <c r="E26" s="290">
        <f t="shared" ca="1" si="3"/>
        <v>566.30416666666667</v>
      </c>
      <c r="F26" s="290">
        <f t="shared" ca="1" si="3"/>
        <v>0</v>
      </c>
      <c r="G26" s="21">
        <f>'Monthly Data'!BJ26</f>
        <v>654.33749999999986</v>
      </c>
      <c r="H26" s="21">
        <f>'Monthly Data'!BK26</f>
        <v>0</v>
      </c>
      <c r="I26" s="11">
        <f>'Monthly Data'!CV26</f>
        <v>0</v>
      </c>
      <c r="J26" s="7">
        <f>'Monthly Data'!CS26</f>
        <v>31</v>
      </c>
      <c r="K26" s="19">
        <f>'Monthly Data'!AO26</f>
        <v>800743</v>
      </c>
      <c r="L26" s="19">
        <f>'Monthly Data'!CF26</f>
        <v>0</v>
      </c>
      <c r="M26" s="19">
        <f>'Monthly Data'!BY26</f>
        <v>0</v>
      </c>
      <c r="O26" s="11"/>
      <c r="P26" s="11">
        <f ca="1">(E26-G26)*'GS &gt; 50 Predicted Monthly'!$Z$11</f>
        <v>-1878032.703854606</v>
      </c>
      <c r="Q26" s="11">
        <f ca="1">(F26-H26)*'GS &gt; 50 Predicted Monthly'!$Z$12</f>
        <v>0</v>
      </c>
      <c r="R26" s="11"/>
      <c r="S26" s="11"/>
      <c r="T26" s="11"/>
      <c r="U26" s="11"/>
      <c r="V26" s="11"/>
      <c r="W26" s="11">
        <f t="shared" ca="1" si="2"/>
        <v>120679459.31168532</v>
      </c>
    </row>
    <row r="27" spans="1:25" x14ac:dyDescent="0.2">
      <c r="A27" s="8">
        <f>'Monthly Data'!A27</f>
        <v>43497</v>
      </c>
      <c r="B27">
        <f t="shared" si="0"/>
        <v>2019</v>
      </c>
      <c r="C27">
        <f t="shared" si="1"/>
        <v>2</v>
      </c>
      <c r="D27" s="18">
        <f>'Monthly Data'!N27</f>
        <v>112793572.2170434</v>
      </c>
      <c r="E27" s="290">
        <f t="shared" ca="1" si="3"/>
        <v>483.54541666666665</v>
      </c>
      <c r="F27" s="290">
        <f t="shared" ca="1" si="3"/>
        <v>0</v>
      </c>
      <c r="G27" s="21">
        <f>'Monthly Data'!BJ27</f>
        <v>517.91250000000002</v>
      </c>
      <c r="H27" s="21">
        <f>'Monthly Data'!BK27</f>
        <v>0</v>
      </c>
      <c r="I27" s="11">
        <f>'Monthly Data'!CV27</f>
        <v>0</v>
      </c>
      <c r="J27" s="7">
        <f>'Monthly Data'!CS27</f>
        <v>28</v>
      </c>
      <c r="K27" s="19">
        <f>'Monthly Data'!AO27</f>
        <v>800743</v>
      </c>
      <c r="L27" s="19">
        <f>'Monthly Data'!CF27</f>
        <v>0</v>
      </c>
      <c r="M27" s="19">
        <f>'Monthly Data'!BY27</f>
        <v>0</v>
      </c>
      <c r="O27" s="11"/>
      <c r="P27" s="11">
        <f ca="1">(E27-G27)*'GS &gt; 50 Predicted Monthly'!$Z$11</f>
        <v>-733159.86106887623</v>
      </c>
      <c r="Q27" s="11">
        <f ca="1">(F27-H27)*'GS &gt; 50 Predicted Monthly'!$Z$12</f>
        <v>0</v>
      </c>
      <c r="R27" s="11"/>
      <c r="S27" s="11"/>
      <c r="T27" s="11"/>
      <c r="U27" s="11"/>
      <c r="V27" s="11"/>
      <c r="W27" s="11">
        <f t="shared" ca="1" si="2"/>
        <v>112060412.35597453</v>
      </c>
    </row>
    <row r="28" spans="1:25" x14ac:dyDescent="0.2">
      <c r="A28" s="8">
        <f>'Monthly Data'!A28</f>
        <v>43525</v>
      </c>
      <c r="B28">
        <f t="shared" si="0"/>
        <v>2019</v>
      </c>
      <c r="C28">
        <f t="shared" si="1"/>
        <v>3</v>
      </c>
      <c r="D28" s="18">
        <f>'Monthly Data'!N28</f>
        <v>121279569.66264187</v>
      </c>
      <c r="E28" s="290">
        <f t="shared" ca="1" si="3"/>
        <v>393.96333333333331</v>
      </c>
      <c r="F28" s="290">
        <f t="shared" ca="1" si="3"/>
        <v>0</v>
      </c>
      <c r="G28" s="21">
        <f>'Monthly Data'!BJ28</f>
        <v>488.37083333333339</v>
      </c>
      <c r="H28" s="21">
        <f>'Monthly Data'!BK28</f>
        <v>0</v>
      </c>
      <c r="I28" s="11">
        <f>'Monthly Data'!CV28</f>
        <v>0</v>
      </c>
      <c r="J28" s="7">
        <f>'Monthly Data'!CS28</f>
        <v>31</v>
      </c>
      <c r="K28" s="19">
        <f>'Monthly Data'!AO28</f>
        <v>800743</v>
      </c>
      <c r="L28" s="19">
        <f>'Monthly Data'!CF28</f>
        <v>0</v>
      </c>
      <c r="M28" s="19">
        <f>'Monthly Data'!BY28</f>
        <v>0</v>
      </c>
      <c r="O28" s="11"/>
      <c r="P28" s="11">
        <f ca="1">(E28-G28)*'GS &gt; 50 Predicted Monthly'!$Z$11</f>
        <v>-2014014.0759843334</v>
      </c>
      <c r="Q28" s="11">
        <f ca="1">(F28-H28)*'GS &gt; 50 Predicted Monthly'!$Z$12</f>
        <v>0</v>
      </c>
      <c r="R28" s="11"/>
      <c r="S28" s="11"/>
      <c r="T28" s="11"/>
      <c r="U28" s="11"/>
      <c r="V28" s="11"/>
      <c r="W28" s="11">
        <f t="shared" ca="1" si="2"/>
        <v>119265555.58665754</v>
      </c>
    </row>
    <row r="29" spans="1:25" x14ac:dyDescent="0.2">
      <c r="A29" s="8">
        <f>'Monthly Data'!A29</f>
        <v>43556</v>
      </c>
      <c r="B29">
        <f t="shared" si="0"/>
        <v>2019</v>
      </c>
      <c r="C29">
        <f t="shared" si="1"/>
        <v>4</v>
      </c>
      <c r="D29" s="18">
        <f>'Monthly Data'!N29</f>
        <v>112755840.54437633</v>
      </c>
      <c r="E29" s="290">
        <f t="shared" ca="1" si="3"/>
        <v>226.60145833333337</v>
      </c>
      <c r="F29" s="290">
        <f t="shared" ca="1" si="3"/>
        <v>6.5650000000000031</v>
      </c>
      <c r="G29" s="21">
        <f>'Monthly Data'!BJ29</f>
        <v>235.04791666666668</v>
      </c>
      <c r="H29" s="21">
        <f>'Monthly Data'!BK29</f>
        <v>0</v>
      </c>
      <c r="I29" s="11">
        <f>'Monthly Data'!CV29</f>
        <v>0</v>
      </c>
      <c r="J29" s="7">
        <f>'Monthly Data'!CS29</f>
        <v>30</v>
      </c>
      <c r="K29" s="19">
        <f>'Monthly Data'!AO29</f>
        <v>806729</v>
      </c>
      <c r="L29" s="19">
        <f>'Monthly Data'!CF29</f>
        <v>0</v>
      </c>
      <c r="M29" s="19">
        <f>'Monthly Data'!BY29</f>
        <v>0</v>
      </c>
      <c r="O29" s="11"/>
      <c r="P29" s="11">
        <f ca="1">(E29-G29)*'GS &gt; 50 Predicted Monthly'!$Z$11</f>
        <v>-180189.9846468601</v>
      </c>
      <c r="Q29" s="11">
        <f ca="1">(F29-H29)*'GS &gt; 50 Predicted Monthly'!$Z$12</f>
        <v>777698.14771157305</v>
      </c>
      <c r="R29" s="11"/>
      <c r="S29" s="11"/>
      <c r="T29" s="11"/>
      <c r="U29" s="11"/>
      <c r="V29" s="11"/>
      <c r="W29" s="11">
        <f t="shared" ca="1" si="2"/>
        <v>113353348.70744105</v>
      </c>
    </row>
    <row r="30" spans="1:25" x14ac:dyDescent="0.2">
      <c r="A30" s="8">
        <f>'Monthly Data'!A30</f>
        <v>43586</v>
      </c>
      <c r="B30">
        <f t="shared" si="0"/>
        <v>2019</v>
      </c>
      <c r="C30">
        <f t="shared" si="1"/>
        <v>5</v>
      </c>
      <c r="D30" s="18">
        <f>'Monthly Data'!N30</f>
        <v>116762983.33169977</v>
      </c>
      <c r="E30" s="290">
        <f t="shared" ca="1" si="3"/>
        <v>65.335833333333326</v>
      </c>
      <c r="F30" s="290">
        <f t="shared" ca="1" si="3"/>
        <v>59.300416666666649</v>
      </c>
      <c r="G30" s="21">
        <f>'Monthly Data'!BJ30</f>
        <v>74.912499999999994</v>
      </c>
      <c r="H30" s="21">
        <f>'Monthly Data'!BK30</f>
        <v>20.48749999999999</v>
      </c>
      <c r="I30" s="11">
        <f>'Monthly Data'!CV30</f>
        <v>0</v>
      </c>
      <c r="J30" s="7">
        <f>'Monthly Data'!CS30</f>
        <v>31</v>
      </c>
      <c r="K30" s="19">
        <f>'Monthly Data'!AO30</f>
        <v>806729</v>
      </c>
      <c r="L30" s="19">
        <f>'Monthly Data'!CF30</f>
        <v>0</v>
      </c>
      <c r="M30" s="19">
        <f>'Monthly Data'!BY30</f>
        <v>0</v>
      </c>
      <c r="O30" s="11"/>
      <c r="P30" s="11">
        <f ca="1">(E30-G30)*'GS &gt; 50 Predicted Monthly'!$Z$11</f>
        <v>-204300.94502742492</v>
      </c>
      <c r="Q30" s="11">
        <f ca="1">(F30-H30)*'GS &gt; 50 Predicted Monthly'!$Z$12</f>
        <v>4597826.8696040045</v>
      </c>
      <c r="R30" s="11"/>
      <c r="S30" s="11"/>
      <c r="T30" s="11"/>
      <c r="U30" s="11"/>
      <c r="V30" s="11"/>
      <c r="W30" s="11">
        <f t="shared" ca="1" si="2"/>
        <v>121156509.25627635</v>
      </c>
    </row>
    <row r="31" spans="1:25" x14ac:dyDescent="0.2">
      <c r="A31" s="8">
        <f>'Monthly Data'!A31</f>
        <v>43617</v>
      </c>
      <c r="B31">
        <f t="shared" si="0"/>
        <v>2019</v>
      </c>
      <c r="C31">
        <f t="shared" si="1"/>
        <v>6</v>
      </c>
      <c r="D31" s="18">
        <f>'Monthly Data'!N31</f>
        <v>120912813.73683724</v>
      </c>
      <c r="E31" s="290">
        <f t="shared" ca="1" si="3"/>
        <v>3.0447916666666672</v>
      </c>
      <c r="F31" s="290">
        <f t="shared" ca="1" si="3"/>
        <v>157.17000000000002</v>
      </c>
      <c r="G31" s="21">
        <f>'Monthly Data'!BJ31</f>
        <v>4.4958333333333336</v>
      </c>
      <c r="H31" s="21">
        <f>'Monthly Data'!BK31</f>
        <v>127.21041666666667</v>
      </c>
      <c r="I31" s="11">
        <f>'Monthly Data'!CV31</f>
        <v>0</v>
      </c>
      <c r="J31" s="7">
        <f>'Monthly Data'!CS31</f>
        <v>30</v>
      </c>
      <c r="K31" s="19">
        <f>'Monthly Data'!AO31</f>
        <v>806729</v>
      </c>
      <c r="L31" s="19">
        <f>'Monthly Data'!CF31</f>
        <v>0</v>
      </c>
      <c r="M31" s="19">
        <f>'Monthly Data'!BY31</f>
        <v>0</v>
      </c>
      <c r="O31" s="11"/>
      <c r="P31" s="11">
        <f ca="1">(E31-G31)*'GS &gt; 50 Predicted Monthly'!$Z$11</f>
        <v>-30955.362036982555</v>
      </c>
      <c r="Q31" s="11">
        <f ca="1">(F31-H31)*'GS &gt; 50 Predicted Monthly'!$Z$12</f>
        <v>3549049.880357021</v>
      </c>
      <c r="R31" s="11"/>
      <c r="S31" s="11"/>
      <c r="T31" s="11"/>
      <c r="U31" s="11"/>
      <c r="V31" s="11"/>
      <c r="W31" s="11">
        <f t="shared" ca="1" si="2"/>
        <v>124430908.25515728</v>
      </c>
    </row>
    <row r="32" spans="1:25" x14ac:dyDescent="0.2">
      <c r="A32" s="8">
        <f>'Monthly Data'!A32</f>
        <v>43647</v>
      </c>
      <c r="B32">
        <f t="shared" si="0"/>
        <v>2019</v>
      </c>
      <c r="C32">
        <f t="shared" si="1"/>
        <v>7</v>
      </c>
      <c r="D32" s="18">
        <f>'Monthly Data'!N32</f>
        <v>140267312.68120268</v>
      </c>
      <c r="E32" s="290">
        <f t="shared" ca="1" si="3"/>
        <v>0</v>
      </c>
      <c r="F32" s="290">
        <f t="shared" ca="1" si="3"/>
        <v>231.27145833333333</v>
      </c>
      <c r="G32" s="21">
        <f>'Monthly Data'!BJ32</f>
        <v>0</v>
      </c>
      <c r="H32" s="21">
        <f>'Monthly Data'!BK32</f>
        <v>252.07500000000005</v>
      </c>
      <c r="I32" s="11">
        <f>'Monthly Data'!CV32</f>
        <v>0</v>
      </c>
      <c r="J32" s="7">
        <f>'Monthly Data'!CS32</f>
        <v>31</v>
      </c>
      <c r="K32" s="19">
        <f>'Monthly Data'!AO32</f>
        <v>810697</v>
      </c>
      <c r="L32" s="19">
        <f>'Monthly Data'!CF32</f>
        <v>0</v>
      </c>
      <c r="M32" s="19">
        <f>'Monthly Data'!BY32</f>
        <v>0</v>
      </c>
      <c r="O32" s="11"/>
      <c r="P32" s="11">
        <f ca="1">(E32-G32)*'GS &gt; 50 Predicted Monthly'!$Z$11</f>
        <v>0</v>
      </c>
      <c r="Q32" s="11">
        <f ca="1">(F32-H32)*'GS &gt; 50 Predicted Monthly'!$Z$12</f>
        <v>-2464413.6816461887</v>
      </c>
      <c r="R32" s="11"/>
      <c r="S32" s="11"/>
      <c r="T32" s="11"/>
      <c r="U32" s="11"/>
      <c r="V32" s="11"/>
      <c r="W32" s="11">
        <f t="shared" ca="1" si="2"/>
        <v>137802898.99955648</v>
      </c>
    </row>
    <row r="33" spans="1:23" x14ac:dyDescent="0.2">
      <c r="A33" s="8">
        <f>'Monthly Data'!A33</f>
        <v>43678</v>
      </c>
      <c r="B33">
        <f t="shared" si="0"/>
        <v>2019</v>
      </c>
      <c r="C33">
        <f t="shared" si="1"/>
        <v>8</v>
      </c>
      <c r="D33" s="18">
        <f>'Monthly Data'!N33</f>
        <v>134325215.26618317</v>
      </c>
      <c r="E33" s="290">
        <f t="shared" ca="1" si="3"/>
        <v>0.27875000000000066</v>
      </c>
      <c r="F33" s="290">
        <f t="shared" ca="1" si="3"/>
        <v>196.13625000000002</v>
      </c>
      <c r="G33" s="21">
        <f>'Monthly Data'!BJ33</f>
        <v>0</v>
      </c>
      <c r="H33" s="21">
        <f>'Monthly Data'!BK33</f>
        <v>182.71666666666661</v>
      </c>
      <c r="I33" s="11">
        <f>'Monthly Data'!CV33</f>
        <v>0</v>
      </c>
      <c r="J33" s="7">
        <f>'Monthly Data'!CS33</f>
        <v>31</v>
      </c>
      <c r="K33" s="19">
        <f>'Monthly Data'!AO33</f>
        <v>810697</v>
      </c>
      <c r="L33" s="19">
        <f>'Monthly Data'!CF33</f>
        <v>0</v>
      </c>
      <c r="M33" s="19">
        <f>'Monthly Data'!BY33</f>
        <v>1</v>
      </c>
      <c r="O33" s="11"/>
      <c r="P33" s="11">
        <f ca="1">(E33-G33)*'GS &gt; 50 Predicted Monthly'!$Z$11</f>
        <v>5946.629491095875</v>
      </c>
      <c r="Q33" s="11">
        <f ca="1">(F33-H33)*'GS &gt; 50 Predicted Monthly'!$Z$12</f>
        <v>1589700.7008978648</v>
      </c>
      <c r="R33" s="11"/>
      <c r="S33" s="11"/>
      <c r="T33" s="11"/>
      <c r="U33" s="11"/>
      <c r="V33" s="11"/>
      <c r="W33" s="11">
        <f t="shared" ca="1" si="2"/>
        <v>135920862.59657213</v>
      </c>
    </row>
    <row r="34" spans="1:23" x14ac:dyDescent="0.2">
      <c r="A34" s="8">
        <f>'Monthly Data'!A34</f>
        <v>43709</v>
      </c>
      <c r="B34">
        <f t="shared" si="0"/>
        <v>2019</v>
      </c>
      <c r="C34">
        <f t="shared" si="1"/>
        <v>9</v>
      </c>
      <c r="D34" s="18">
        <f>'Monthly Data'!N34</f>
        <v>124892350.68187562</v>
      </c>
      <c r="E34" s="290">
        <f t="shared" ref="E34:F53" ca="1" si="4">E22</f>
        <v>11.319999999999997</v>
      </c>
      <c r="F34" s="290">
        <f t="shared" ca="1" si="4"/>
        <v>104.19854166666664</v>
      </c>
      <c r="G34" s="21">
        <f>'Monthly Data'!BJ34</f>
        <v>1.8833333333333364</v>
      </c>
      <c r="H34" s="21">
        <f>'Monthly Data'!BK34</f>
        <v>103.38124999999999</v>
      </c>
      <c r="I34" s="11">
        <f>'Monthly Data'!CV34</f>
        <v>0</v>
      </c>
      <c r="J34" s="7">
        <f>'Monthly Data'!CS34</f>
        <v>30</v>
      </c>
      <c r="K34" s="19">
        <f>'Monthly Data'!AO34</f>
        <v>810697</v>
      </c>
      <c r="L34" s="19">
        <f>'Monthly Data'!CF34</f>
        <v>1</v>
      </c>
      <c r="M34" s="19">
        <f>'Monthly Data'!BY34</f>
        <v>0</v>
      </c>
      <c r="O34" s="11"/>
      <c r="P34" s="11">
        <f ca="1">(E34-G34)*'GS &gt; 50 Predicted Monthly'!$Z$11</f>
        <v>201314.2970318968</v>
      </c>
      <c r="Q34" s="11">
        <f ca="1">(F34-H34)*'GS &gt; 50 Predicted Monthly'!$Z$12</f>
        <v>96817.397609559222</v>
      </c>
      <c r="R34" s="11"/>
      <c r="S34" s="11"/>
      <c r="T34" s="11"/>
      <c r="U34" s="11"/>
      <c r="V34" s="11"/>
      <c r="W34" s="11">
        <f t="shared" ref="W34:W65" ca="1" si="5">D34+P34+Q34</f>
        <v>125190482.37651707</v>
      </c>
    </row>
    <row r="35" spans="1:23" x14ac:dyDescent="0.2">
      <c r="A35" s="8">
        <f>'Monthly Data'!A35</f>
        <v>43739</v>
      </c>
      <c r="B35">
        <f t="shared" si="0"/>
        <v>2019</v>
      </c>
      <c r="C35">
        <f t="shared" si="1"/>
        <v>10</v>
      </c>
      <c r="D35" s="18">
        <f>'Monthly Data'!N35</f>
        <v>120326999.51092409</v>
      </c>
      <c r="E35" s="290">
        <f t="shared" ca="1" si="4"/>
        <v>126.12583333333332</v>
      </c>
      <c r="F35" s="290">
        <f t="shared" ca="1" si="4"/>
        <v>24.703125000000007</v>
      </c>
      <c r="G35" s="21">
        <f>'Monthly Data'!BJ35</f>
        <v>126.96250000000001</v>
      </c>
      <c r="H35" s="21">
        <f>'Monthly Data'!BK35</f>
        <v>10.866666666666669</v>
      </c>
      <c r="I35" s="11">
        <f>'Monthly Data'!CV35</f>
        <v>0</v>
      </c>
      <c r="J35" s="7">
        <f>'Monthly Data'!CS35</f>
        <v>31</v>
      </c>
      <c r="K35" s="19">
        <f>'Monthly Data'!AO35</f>
        <v>812164</v>
      </c>
      <c r="L35" s="19">
        <f>'Monthly Data'!CF35</f>
        <v>1</v>
      </c>
      <c r="M35" s="19">
        <f>'Monthly Data'!BY35</f>
        <v>0</v>
      </c>
      <c r="O35" s="11"/>
      <c r="P35" s="11">
        <f ca="1">(E35-G35)*'GS &gt; 50 Predicted Monthly'!$Z$11</f>
        <v>-17848.777306608044</v>
      </c>
      <c r="Q35" s="11">
        <f ca="1">(F35-H35)*'GS &gt; 50 Predicted Monthly'!$Z$12</f>
        <v>1639084.2371244007</v>
      </c>
      <c r="R35" s="11"/>
      <c r="S35" s="11"/>
      <c r="T35" s="11"/>
      <c r="U35" s="11"/>
      <c r="V35" s="11"/>
      <c r="W35" s="11">
        <f t="shared" ca="1" si="5"/>
        <v>121948234.97074188</v>
      </c>
    </row>
    <row r="36" spans="1:23" x14ac:dyDescent="0.2">
      <c r="A36" s="8">
        <f>'Monthly Data'!A36</f>
        <v>43770</v>
      </c>
      <c r="B36">
        <f t="shared" si="0"/>
        <v>2019</v>
      </c>
      <c r="C36">
        <f t="shared" si="1"/>
        <v>11</v>
      </c>
      <c r="D36" s="18">
        <f>'Monthly Data'!N36</f>
        <v>119811245.49147254</v>
      </c>
      <c r="E36" s="290">
        <f t="shared" ca="1" si="4"/>
        <v>312.40687500000001</v>
      </c>
      <c r="F36" s="290">
        <f t="shared" ca="1" si="4"/>
        <v>1.6454166666666665</v>
      </c>
      <c r="G36" s="21">
        <f>'Monthly Data'!BJ36</f>
        <v>403.4666666666667</v>
      </c>
      <c r="H36" s="21">
        <f>'Monthly Data'!BK36</f>
        <v>0</v>
      </c>
      <c r="I36" s="11">
        <f>'Monthly Data'!CV36</f>
        <v>0</v>
      </c>
      <c r="J36" s="7">
        <f>'Monthly Data'!CS36</f>
        <v>30</v>
      </c>
      <c r="K36" s="19">
        <f>'Monthly Data'!AO36</f>
        <v>812164</v>
      </c>
      <c r="L36" s="19">
        <f>'Monthly Data'!CF36</f>
        <v>1</v>
      </c>
      <c r="M36" s="19">
        <f>'Monthly Data'!BY36</f>
        <v>0</v>
      </c>
      <c r="O36" s="11"/>
      <c r="P36" s="11">
        <f ca="1">(E36-G36)*'GS &gt; 50 Predicted Monthly'!$Z$11</f>
        <v>-1942596.7446746016</v>
      </c>
      <c r="Q36" s="11">
        <f ca="1">(F36-H36)*'GS &gt; 50 Predicted Monthly'!$Z$12</f>
        <v>194918.12549587458</v>
      </c>
      <c r="R36" s="11"/>
      <c r="S36" s="11"/>
      <c r="T36" s="11"/>
      <c r="U36" s="11"/>
      <c r="V36" s="11"/>
      <c r="W36" s="11">
        <f t="shared" ca="1" si="5"/>
        <v>118063566.87229382</v>
      </c>
    </row>
    <row r="37" spans="1:23" x14ac:dyDescent="0.2">
      <c r="A37" s="8">
        <f>'Monthly Data'!A37</f>
        <v>43800</v>
      </c>
      <c r="B37">
        <f t="shared" si="0"/>
        <v>2019</v>
      </c>
      <c r="C37">
        <f t="shared" si="1"/>
        <v>12</v>
      </c>
      <c r="D37" s="18">
        <f>'Monthly Data'!N37</f>
        <v>119234475.76994899</v>
      </c>
      <c r="E37" s="290">
        <f t="shared" ca="1" si="4"/>
        <v>473.52499999999998</v>
      </c>
      <c r="F37" s="290">
        <f t="shared" ca="1" si="4"/>
        <v>0</v>
      </c>
      <c r="G37" s="21">
        <f>'Monthly Data'!BJ37</f>
        <v>456.13125000000002</v>
      </c>
      <c r="H37" s="21">
        <f>'Monthly Data'!BK37</f>
        <v>0</v>
      </c>
      <c r="I37" s="11">
        <f>'Monthly Data'!CV37</f>
        <v>0</v>
      </c>
      <c r="J37" s="7">
        <f>'Monthly Data'!CS37</f>
        <v>31</v>
      </c>
      <c r="K37" s="19">
        <f>'Monthly Data'!AO37</f>
        <v>812164</v>
      </c>
      <c r="L37" s="19">
        <f>'Monthly Data'!CF37</f>
        <v>0</v>
      </c>
      <c r="M37" s="19">
        <f>'Monthly Data'!BY37</f>
        <v>0</v>
      </c>
      <c r="O37" s="11"/>
      <c r="P37" s="11">
        <f ca="1">(E37-G37)*'GS &gt; 50 Predicted Monthly'!$Z$11</f>
        <v>371064.3469443887</v>
      </c>
      <c r="Q37" s="11">
        <f ca="1">(F37-H37)*'GS &gt; 50 Predicted Monthly'!$Z$12</f>
        <v>0</v>
      </c>
      <c r="R37" s="11"/>
      <c r="S37" s="11"/>
      <c r="T37" s="11"/>
      <c r="U37" s="11"/>
      <c r="V37" s="11"/>
      <c r="W37" s="11">
        <f t="shared" ca="1" si="5"/>
        <v>119605540.11689338</v>
      </c>
    </row>
    <row r="38" spans="1:23" x14ac:dyDescent="0.2">
      <c r="A38" s="8">
        <f>'Monthly Data'!A38</f>
        <v>43831</v>
      </c>
      <c r="B38">
        <f t="shared" si="0"/>
        <v>2020</v>
      </c>
      <c r="C38">
        <f t="shared" si="1"/>
        <v>1</v>
      </c>
      <c r="D38" s="18">
        <f>'Monthly Data'!N38</f>
        <v>125430467.18861799</v>
      </c>
      <c r="E38" s="290">
        <f t="shared" ca="1" si="4"/>
        <v>566.30416666666667</v>
      </c>
      <c r="F38" s="290">
        <f t="shared" ca="1" si="4"/>
        <v>0</v>
      </c>
      <c r="G38" s="21">
        <f>'Monthly Data'!BJ38</f>
        <v>478.31249999999994</v>
      </c>
      <c r="H38" s="21">
        <f>'Monthly Data'!BK38</f>
        <v>0</v>
      </c>
      <c r="I38" s="11">
        <f>'Monthly Data'!CV38</f>
        <v>0</v>
      </c>
      <c r="J38" s="7">
        <f>'Monthly Data'!CS38</f>
        <v>31</v>
      </c>
      <c r="K38" s="19">
        <f>'Monthly Data'!AO38</f>
        <v>801246</v>
      </c>
      <c r="L38" s="19">
        <f>'Monthly Data'!CF38</f>
        <v>0</v>
      </c>
      <c r="M38" s="19">
        <f>'Monthly Data'!BY38</f>
        <v>0</v>
      </c>
      <c r="O38" s="11"/>
      <c r="P38" s="11">
        <f ca="1">(E38-G38)*'GS &gt; 50 Predicted Monthly'!$Z$11</f>
        <v>1877143.820522608</v>
      </c>
      <c r="Q38" s="11">
        <f ca="1">(F38-H38)*'GS &gt; 50 Predicted Monthly'!$Z$12</f>
        <v>0</v>
      </c>
      <c r="R38" s="11"/>
      <c r="S38" s="11"/>
      <c r="T38" s="11"/>
      <c r="U38" s="11"/>
      <c r="V38" s="11"/>
      <c r="W38" s="11">
        <f t="shared" ca="1" si="5"/>
        <v>127307611.0091406</v>
      </c>
    </row>
    <row r="39" spans="1:23" x14ac:dyDescent="0.2">
      <c r="A39" s="8">
        <f>'Monthly Data'!A39</f>
        <v>43862</v>
      </c>
      <c r="B39">
        <f t="shared" si="0"/>
        <v>2020</v>
      </c>
      <c r="C39">
        <f t="shared" si="1"/>
        <v>2</v>
      </c>
      <c r="D39" s="18">
        <f>'Monthly Data'!N39</f>
        <v>118571418.15449654</v>
      </c>
      <c r="E39" s="290">
        <f t="shared" ca="1" si="4"/>
        <v>483.54541666666665</v>
      </c>
      <c r="F39" s="290">
        <f t="shared" ca="1" si="4"/>
        <v>0</v>
      </c>
      <c r="G39" s="21">
        <f>'Monthly Data'!BJ39</f>
        <v>496.01666666666659</v>
      </c>
      <c r="H39" s="21">
        <f>'Monthly Data'!BK39</f>
        <v>0</v>
      </c>
      <c r="I39" s="11">
        <f>'Monthly Data'!CV39</f>
        <v>0</v>
      </c>
      <c r="J39" s="7">
        <f>'Monthly Data'!CS39</f>
        <v>29</v>
      </c>
      <c r="K39" s="19">
        <f>'Monthly Data'!AO39</f>
        <v>801246</v>
      </c>
      <c r="L39" s="19">
        <f>'Monthly Data'!CF39</f>
        <v>0</v>
      </c>
      <c r="M39" s="19">
        <f>'Monthly Data'!BY39</f>
        <v>0</v>
      </c>
      <c r="O39" s="11"/>
      <c r="P39" s="11">
        <f ca="1">(E39-G39)*'GS &gt; 50 Predicted Monthly'!$Z$11</f>
        <v>-266051.67010162835</v>
      </c>
      <c r="Q39" s="11">
        <f ca="1">(F39-H39)*'GS &gt; 50 Predicted Monthly'!$Z$12</f>
        <v>0</v>
      </c>
      <c r="R39" s="11"/>
      <c r="S39" s="11"/>
      <c r="T39" s="11"/>
      <c r="U39" s="11"/>
      <c r="V39" s="11"/>
      <c r="W39" s="11">
        <f t="shared" ca="1" si="5"/>
        <v>118305366.48439491</v>
      </c>
    </row>
    <row r="40" spans="1:23" x14ac:dyDescent="0.2">
      <c r="A40" s="8">
        <f>'Monthly Data'!A40</f>
        <v>43891</v>
      </c>
      <c r="B40">
        <f t="shared" si="0"/>
        <v>2020</v>
      </c>
      <c r="C40">
        <f t="shared" si="1"/>
        <v>3</v>
      </c>
      <c r="D40" s="18">
        <f>'Monthly Data'!N40</f>
        <v>117295704.87835306</v>
      </c>
      <c r="E40" s="290">
        <f t="shared" ca="1" si="4"/>
        <v>393.96333333333331</v>
      </c>
      <c r="F40" s="290">
        <f t="shared" ca="1" si="4"/>
        <v>0</v>
      </c>
      <c r="G40" s="21">
        <f>'Monthly Data'!BJ40</f>
        <v>346.7208333333333</v>
      </c>
      <c r="H40" s="21">
        <f>'Monthly Data'!BK40</f>
        <v>0</v>
      </c>
      <c r="I40" s="11">
        <f>'Monthly Data'!CV40</f>
        <v>0.5</v>
      </c>
      <c r="J40" s="7">
        <f>'Monthly Data'!CS40</f>
        <v>31</v>
      </c>
      <c r="K40" s="19">
        <f>'Monthly Data'!AO40</f>
        <v>801246</v>
      </c>
      <c r="L40" s="19">
        <f>'Monthly Data'!CF40</f>
        <v>0</v>
      </c>
      <c r="M40" s="19">
        <f>'Monthly Data'!BY40</f>
        <v>0</v>
      </c>
      <c r="O40" s="11"/>
      <c r="P40" s="11">
        <f ca="1">(E40-G40)*'GS &gt; 50 Predicted Monthly'!$Z$11</f>
        <v>1007833.6994909282</v>
      </c>
      <c r="Q40" s="11">
        <f ca="1">(F40-H40)*'GS &gt; 50 Predicted Monthly'!$Z$12</f>
        <v>0</v>
      </c>
      <c r="R40" s="11"/>
      <c r="S40" s="11"/>
      <c r="T40" s="11"/>
      <c r="U40" s="11"/>
      <c r="V40" s="11"/>
      <c r="W40" s="11">
        <f t="shared" ca="1" si="5"/>
        <v>118303538.57784399</v>
      </c>
    </row>
    <row r="41" spans="1:23" x14ac:dyDescent="0.2">
      <c r="A41" s="8">
        <f>'Monthly Data'!A41</f>
        <v>43922</v>
      </c>
      <c r="B41">
        <f t="shared" si="0"/>
        <v>2020</v>
      </c>
      <c r="C41">
        <f t="shared" si="1"/>
        <v>4</v>
      </c>
      <c r="D41" s="18">
        <f>'Monthly Data'!N41</f>
        <v>98603522.653697401</v>
      </c>
      <c r="E41" s="290">
        <f t="shared" ca="1" si="4"/>
        <v>226.60145833333337</v>
      </c>
      <c r="F41" s="290">
        <f t="shared" ca="1" si="4"/>
        <v>6.5650000000000031</v>
      </c>
      <c r="G41" s="21">
        <f>'Monthly Data'!BJ41</f>
        <v>265.07083333333338</v>
      </c>
      <c r="H41" s="21">
        <f>'Monthly Data'!BK41</f>
        <v>0</v>
      </c>
      <c r="I41" s="11">
        <f>'Monthly Data'!CV41</f>
        <v>1</v>
      </c>
      <c r="J41" s="7">
        <f>'Monthly Data'!CS41</f>
        <v>30</v>
      </c>
      <c r="K41" s="19">
        <f>'Monthly Data'!AO41</f>
        <v>705711</v>
      </c>
      <c r="L41" s="19">
        <f>'Monthly Data'!CF41</f>
        <v>0</v>
      </c>
      <c r="M41" s="19">
        <f>'Monthly Data'!BY41</f>
        <v>0</v>
      </c>
      <c r="O41" s="11"/>
      <c r="P41" s="11">
        <f ca="1">(E41-G41)*'GS &gt; 50 Predicted Monthly'!$Z$11</f>
        <v>-820674.86952116911</v>
      </c>
      <c r="Q41" s="11">
        <f ca="1">(F41-H41)*'GS &gt; 50 Predicted Monthly'!$Z$12</f>
        <v>777698.14771157305</v>
      </c>
      <c r="R41" s="11"/>
      <c r="S41" s="11"/>
      <c r="T41" s="11"/>
      <c r="U41" s="11"/>
      <c r="V41" s="11"/>
      <c r="W41" s="11">
        <f t="shared" ca="1" si="5"/>
        <v>98560545.931887805</v>
      </c>
    </row>
    <row r="42" spans="1:23" x14ac:dyDescent="0.2">
      <c r="A42" s="8">
        <f>'Monthly Data'!A42</f>
        <v>43952</v>
      </c>
      <c r="B42">
        <f t="shared" si="0"/>
        <v>2020</v>
      </c>
      <c r="C42">
        <f t="shared" si="1"/>
        <v>5</v>
      </c>
      <c r="D42" s="18">
        <f>'Monthly Data'!N42</f>
        <v>105305767.47523543</v>
      </c>
      <c r="E42" s="290">
        <f t="shared" ca="1" si="4"/>
        <v>65.335833333333326</v>
      </c>
      <c r="F42" s="290">
        <f t="shared" ca="1" si="4"/>
        <v>59.300416666666649</v>
      </c>
      <c r="G42" s="21">
        <f>'Monthly Data'!BJ42</f>
        <v>117.34583333333333</v>
      </c>
      <c r="H42" s="21">
        <f>'Monthly Data'!BK42</f>
        <v>55.616666666666646</v>
      </c>
      <c r="I42" s="11">
        <f>'Monthly Data'!CV42</f>
        <v>1</v>
      </c>
      <c r="J42" s="7">
        <f>'Monthly Data'!CS42</f>
        <v>31</v>
      </c>
      <c r="K42" s="19">
        <f>'Monthly Data'!AO42</f>
        <v>705711</v>
      </c>
      <c r="L42" s="19">
        <f>'Monthly Data'!CF42</f>
        <v>0</v>
      </c>
      <c r="M42" s="19">
        <f>'Monthly Data'!BY42</f>
        <v>0</v>
      </c>
      <c r="O42" s="11"/>
      <c r="P42" s="11">
        <f ca="1">(E42-G42)*'GS &gt; 50 Predicted Monthly'!$Z$11</f>
        <v>-1109539.7303386393</v>
      </c>
      <c r="Q42" s="11">
        <f ca="1">(F42-H42)*'GS &gt; 50 Predicted Monthly'!$Z$12</f>
        <v>436381.65295240039</v>
      </c>
      <c r="R42" s="11"/>
      <c r="S42" s="11"/>
      <c r="T42" s="11"/>
      <c r="U42" s="11"/>
      <c r="V42" s="11"/>
      <c r="W42" s="11">
        <f t="shared" ca="1" si="5"/>
        <v>104632609.3978492</v>
      </c>
    </row>
    <row r="43" spans="1:23" x14ac:dyDescent="0.2">
      <c r="A43" s="8">
        <f>'Monthly Data'!A43</f>
        <v>43983</v>
      </c>
      <c r="B43">
        <f t="shared" si="0"/>
        <v>2020</v>
      </c>
      <c r="C43">
        <f t="shared" si="1"/>
        <v>6</v>
      </c>
      <c r="D43" s="18">
        <f>'Monthly Data'!N43</f>
        <v>121746154.50347269</v>
      </c>
      <c r="E43" s="290">
        <f t="shared" ca="1" si="4"/>
        <v>3.0447916666666672</v>
      </c>
      <c r="F43" s="290">
        <f t="shared" ca="1" si="4"/>
        <v>157.17000000000002</v>
      </c>
      <c r="G43" s="21">
        <f>'Monthly Data'!BJ43</f>
        <v>3.7708333333333339</v>
      </c>
      <c r="H43" s="21">
        <f>'Monthly Data'!BK43</f>
        <v>167.22499999999997</v>
      </c>
      <c r="I43" s="11">
        <f>'Monthly Data'!CV43</f>
        <v>0.5</v>
      </c>
      <c r="J43" s="7">
        <f>'Monthly Data'!CS43</f>
        <v>30</v>
      </c>
      <c r="K43" s="19">
        <f>'Monthly Data'!AO43</f>
        <v>705711</v>
      </c>
      <c r="L43" s="19">
        <f>'Monthly Data'!CF43</f>
        <v>0</v>
      </c>
      <c r="M43" s="19">
        <f>'Monthly Data'!BY43</f>
        <v>0</v>
      </c>
      <c r="O43" s="11"/>
      <c r="P43" s="11">
        <f ca="1">(E43-G43)*'GS &gt; 50 Predicted Monthly'!$Z$11</f>
        <v>-15488.792060141312</v>
      </c>
      <c r="Q43" s="11">
        <f ca="1">(F43-H43)*'GS &gt; 50 Predicted Monthly'!$Z$12</f>
        <v>-1191127.9322528292</v>
      </c>
      <c r="R43" s="11"/>
      <c r="S43" s="11"/>
      <c r="T43" s="11"/>
      <c r="U43" s="11"/>
      <c r="V43" s="11"/>
      <c r="W43" s="11">
        <f t="shared" ca="1" si="5"/>
        <v>120539537.77915972</v>
      </c>
    </row>
    <row r="44" spans="1:23" x14ac:dyDescent="0.2">
      <c r="A44" s="8">
        <f>'Monthly Data'!A44</f>
        <v>44013</v>
      </c>
      <c r="B44">
        <f t="shared" si="0"/>
        <v>2020</v>
      </c>
      <c r="C44">
        <f t="shared" si="1"/>
        <v>7</v>
      </c>
      <c r="D44" s="18">
        <f>'Monthly Data'!N44</f>
        <v>139946746.85685223</v>
      </c>
      <c r="E44" s="290">
        <f t="shared" ca="1" si="4"/>
        <v>0</v>
      </c>
      <c r="F44" s="290">
        <f t="shared" ca="1" si="4"/>
        <v>231.27145833333333</v>
      </c>
      <c r="G44" s="21">
        <f>'Monthly Data'!BJ44</f>
        <v>0</v>
      </c>
      <c r="H44" s="21">
        <f>'Monthly Data'!BK44</f>
        <v>285.85000000000008</v>
      </c>
      <c r="I44" s="11">
        <f>'Monthly Data'!CV44</f>
        <v>0.5</v>
      </c>
      <c r="J44" s="7">
        <f>'Monthly Data'!CS44</f>
        <v>31</v>
      </c>
      <c r="K44" s="19">
        <f>'Monthly Data'!AO44</f>
        <v>778294</v>
      </c>
      <c r="L44" s="19">
        <f>'Monthly Data'!CF44</f>
        <v>0</v>
      </c>
      <c r="M44" s="19">
        <f>'Monthly Data'!BY44</f>
        <v>0</v>
      </c>
      <c r="O44" s="11"/>
      <c r="P44" s="11">
        <f ca="1">(E44-G44)*'GS &gt; 50 Predicted Monthly'!$Z$11</f>
        <v>0</v>
      </c>
      <c r="Q44" s="11">
        <f ca="1">(F44-H44)*'GS &gt; 50 Predicted Monthly'!$Z$12</f>
        <v>-6465442.6137038264</v>
      </c>
      <c r="R44" s="11"/>
      <c r="S44" s="11"/>
      <c r="T44" s="11"/>
      <c r="U44" s="11"/>
      <c r="V44" s="11"/>
      <c r="W44" s="11">
        <f t="shared" ca="1" si="5"/>
        <v>133481304.2431484</v>
      </c>
    </row>
    <row r="45" spans="1:23" x14ac:dyDescent="0.2">
      <c r="A45" s="8">
        <f>'Monthly Data'!A45</f>
        <v>44044</v>
      </c>
      <c r="B45">
        <f t="shared" si="0"/>
        <v>2020</v>
      </c>
      <c r="C45">
        <f t="shared" si="1"/>
        <v>8</v>
      </c>
      <c r="D45" s="18">
        <f>'Monthly Data'!N45</f>
        <v>133892282.17763576</v>
      </c>
      <c r="E45" s="290">
        <f t="shared" ca="1" si="4"/>
        <v>0.27875000000000066</v>
      </c>
      <c r="F45" s="290">
        <f t="shared" ca="1" si="4"/>
        <v>196.13625000000002</v>
      </c>
      <c r="G45" s="21">
        <f>'Monthly Data'!BJ45</f>
        <v>0</v>
      </c>
      <c r="H45" s="21">
        <f>'Monthly Data'!BK45</f>
        <v>199.54583333333341</v>
      </c>
      <c r="I45" s="11">
        <f>'Monthly Data'!CV45</f>
        <v>0.5</v>
      </c>
      <c r="J45" s="7">
        <f>'Monthly Data'!CS45</f>
        <v>31</v>
      </c>
      <c r="K45" s="19">
        <f>'Monthly Data'!AO45</f>
        <v>778294</v>
      </c>
      <c r="L45" s="19">
        <f>'Monthly Data'!CF45</f>
        <v>0</v>
      </c>
      <c r="M45" s="19">
        <f>'Monthly Data'!BY45</f>
        <v>1</v>
      </c>
      <c r="O45" s="11"/>
      <c r="P45" s="11">
        <f ca="1">(E45-G45)*'GS &gt; 50 Predicted Monthly'!$Z$11</f>
        <v>5946.629491095875</v>
      </c>
      <c r="Q45" s="11">
        <f ca="1">(F45-H45)*'GS &gt; 50 Predicted Monthly'!$Z$12</f>
        <v>-403903.52517922694</v>
      </c>
      <c r="R45" s="11"/>
      <c r="S45" s="11"/>
      <c r="T45" s="11"/>
      <c r="U45" s="11"/>
      <c r="V45" s="11"/>
      <c r="W45" s="11">
        <f t="shared" ca="1" si="5"/>
        <v>133494325.28194763</v>
      </c>
    </row>
    <row r="46" spans="1:23" x14ac:dyDescent="0.2">
      <c r="A46" s="8">
        <f>'Monthly Data'!A46</f>
        <v>44075</v>
      </c>
      <c r="B46">
        <f t="shared" si="0"/>
        <v>2020</v>
      </c>
      <c r="C46">
        <f t="shared" si="1"/>
        <v>9</v>
      </c>
      <c r="D46" s="18">
        <f>'Monthly Data'!N46</f>
        <v>120315113.40470029</v>
      </c>
      <c r="E46" s="290">
        <f t="shared" ca="1" si="4"/>
        <v>11.319999999999997</v>
      </c>
      <c r="F46" s="290">
        <f t="shared" ca="1" si="4"/>
        <v>104.19854166666664</v>
      </c>
      <c r="G46" s="21">
        <f>'Monthly Data'!BJ46</f>
        <v>25.787499999999994</v>
      </c>
      <c r="H46" s="21">
        <f>'Monthly Data'!BK46</f>
        <v>71.695833333333354</v>
      </c>
      <c r="I46" s="11">
        <f>'Monthly Data'!CV46</f>
        <v>0.5</v>
      </c>
      <c r="J46" s="7">
        <f>'Monthly Data'!CS46</f>
        <v>30</v>
      </c>
      <c r="K46" s="19">
        <f>'Monthly Data'!AO46</f>
        <v>778294</v>
      </c>
      <c r="L46" s="19">
        <f>'Monthly Data'!CF46</f>
        <v>1</v>
      </c>
      <c r="M46" s="19">
        <f>'Monthly Data'!BY46</f>
        <v>0</v>
      </c>
      <c r="O46" s="11"/>
      <c r="P46" s="11">
        <f ca="1">(E46-G46)*'GS &gt; 50 Predicted Monthly'!$Z$11</f>
        <v>-308638.07053786312</v>
      </c>
      <c r="Q46" s="11">
        <f ca="1">(F46-H46)*'GS &gt; 50 Predicted Monthly'!$Z$12</f>
        <v>3850311.6628244924</v>
      </c>
      <c r="R46" s="11"/>
      <c r="S46" s="11"/>
      <c r="T46" s="11"/>
      <c r="U46" s="11"/>
      <c r="V46" s="11"/>
      <c r="W46" s="11">
        <f t="shared" ca="1" si="5"/>
        <v>123856786.99698693</v>
      </c>
    </row>
    <row r="47" spans="1:23" x14ac:dyDescent="0.2">
      <c r="A47" s="8">
        <f>'Monthly Data'!A47</f>
        <v>44105</v>
      </c>
      <c r="B47">
        <f t="shared" si="0"/>
        <v>2020</v>
      </c>
      <c r="C47">
        <f t="shared" si="1"/>
        <v>10</v>
      </c>
      <c r="D47" s="18">
        <f>'Monthly Data'!N47</f>
        <v>116415167.56471382</v>
      </c>
      <c r="E47" s="290">
        <f t="shared" ca="1" si="4"/>
        <v>126.12583333333332</v>
      </c>
      <c r="F47" s="290">
        <f t="shared" ca="1" si="4"/>
        <v>24.703125000000007</v>
      </c>
      <c r="G47" s="21">
        <f>'Monthly Data'!BJ47</f>
        <v>165.45833333333334</v>
      </c>
      <c r="H47" s="21">
        <f>'Monthly Data'!BK47</f>
        <v>4.0104166666666714</v>
      </c>
      <c r="I47" s="11">
        <f>'Monthly Data'!CV47</f>
        <v>0.5</v>
      </c>
      <c r="J47" s="7">
        <f>'Monthly Data'!CS47</f>
        <v>31</v>
      </c>
      <c r="K47" s="19">
        <f>'Monthly Data'!AO47</f>
        <v>797313</v>
      </c>
      <c r="L47" s="19">
        <f>'Monthly Data'!CF47</f>
        <v>1</v>
      </c>
      <c r="M47" s="19">
        <f>'Monthly Data'!BY47</f>
        <v>0</v>
      </c>
      <c r="O47" s="11"/>
      <c r="P47" s="11">
        <f ca="1">(E47-G47)*'GS &gt; 50 Predicted Monthly'!$Z$11</f>
        <v>-839088.0877435985</v>
      </c>
      <c r="Q47" s="11">
        <f ca="1">(F47-H47)*'GS &gt; 50 Predicted Monthly'!$Z$12</f>
        <v>2451284.2257378763</v>
      </c>
      <c r="R47" s="11"/>
      <c r="S47" s="11"/>
      <c r="T47" s="11"/>
      <c r="U47" s="11"/>
      <c r="V47" s="11"/>
      <c r="W47" s="11">
        <f t="shared" ca="1" si="5"/>
        <v>118027363.7027081</v>
      </c>
    </row>
    <row r="48" spans="1:23" x14ac:dyDescent="0.2">
      <c r="A48" s="8">
        <f>'Monthly Data'!A48</f>
        <v>44136</v>
      </c>
      <c r="B48">
        <f t="shared" si="0"/>
        <v>2020</v>
      </c>
      <c r="C48">
        <f t="shared" si="1"/>
        <v>11</v>
      </c>
      <c r="D48" s="18">
        <f>'Monthly Data'!N48</f>
        <v>115562525.59741136</v>
      </c>
      <c r="E48" s="290">
        <f t="shared" ca="1" si="4"/>
        <v>312.40687500000001</v>
      </c>
      <c r="F48" s="290">
        <f t="shared" ca="1" si="4"/>
        <v>1.6454166666666665</v>
      </c>
      <c r="G48" s="21">
        <f>'Monthly Data'!BJ48</f>
        <v>238.94583333333335</v>
      </c>
      <c r="H48" s="21">
        <f>'Monthly Data'!BK48</f>
        <v>3.091666666666665</v>
      </c>
      <c r="I48" s="11">
        <f>'Monthly Data'!CV48</f>
        <v>0.5</v>
      </c>
      <c r="J48" s="7">
        <f>'Monthly Data'!CS48</f>
        <v>30</v>
      </c>
      <c r="K48" s="19">
        <f>'Monthly Data'!AO48</f>
        <v>797313</v>
      </c>
      <c r="L48" s="19">
        <f>'Monthly Data'!CF48</f>
        <v>1</v>
      </c>
      <c r="M48" s="19">
        <f>'Monthly Data'!BY48</f>
        <v>0</v>
      </c>
      <c r="O48" s="11"/>
      <c r="P48" s="11">
        <f ca="1">(E48-G48)*'GS &gt; 50 Predicted Monthly'!$Z$11</f>
        <v>1567159.0917367598</v>
      </c>
      <c r="Q48" s="11">
        <f ca="1">(F48-H48)*'GS &gt; 50 Predicted Monthly'!$Z$12</f>
        <v>-171324.59194636112</v>
      </c>
      <c r="R48" s="11"/>
      <c r="S48" s="11"/>
      <c r="T48" s="11"/>
      <c r="U48" s="11"/>
      <c r="V48" s="11"/>
      <c r="W48" s="11">
        <f t="shared" ca="1" si="5"/>
        <v>116958360.09720176</v>
      </c>
    </row>
    <row r="49" spans="1:23" x14ac:dyDescent="0.2">
      <c r="A49" s="8">
        <f>'Monthly Data'!A49</f>
        <v>44166</v>
      </c>
      <c r="B49">
        <f t="shared" si="0"/>
        <v>2020</v>
      </c>
      <c r="C49">
        <f t="shared" si="1"/>
        <v>12</v>
      </c>
      <c r="D49" s="18">
        <f>'Monthly Data'!N49</f>
        <v>117692607.99430689</v>
      </c>
      <c r="E49" s="290">
        <f t="shared" ca="1" si="4"/>
        <v>473.52499999999998</v>
      </c>
      <c r="F49" s="290">
        <f t="shared" ca="1" si="4"/>
        <v>0</v>
      </c>
      <c r="G49" s="21">
        <f>'Monthly Data'!BJ49</f>
        <v>455.59791666666672</v>
      </c>
      <c r="H49" s="21">
        <f>'Monthly Data'!BK49</f>
        <v>0</v>
      </c>
      <c r="I49" s="11">
        <f>'Monthly Data'!CV49</f>
        <v>0.5</v>
      </c>
      <c r="J49" s="7">
        <f>'Monthly Data'!CS49</f>
        <v>31</v>
      </c>
      <c r="K49" s="19">
        <f>'Monthly Data'!AO49</f>
        <v>797313</v>
      </c>
      <c r="L49" s="19">
        <f>'Monthly Data'!CF49</f>
        <v>0</v>
      </c>
      <c r="M49" s="19">
        <f>'Monthly Data'!BY49</f>
        <v>0</v>
      </c>
      <c r="O49" s="11"/>
      <c r="P49" s="11">
        <f ca="1">(E49-G49)*'GS &gt; 50 Predicted Monthly'!$Z$11</f>
        <v>382442.05359401839</v>
      </c>
      <c r="Q49" s="11">
        <f ca="1">(F49-H49)*'GS &gt; 50 Predicted Monthly'!$Z$12</f>
        <v>0</v>
      </c>
      <c r="R49" s="11"/>
      <c r="S49" s="11"/>
      <c r="T49" s="11"/>
      <c r="U49" s="11"/>
      <c r="V49" s="11"/>
      <c r="W49" s="11">
        <f t="shared" ca="1" si="5"/>
        <v>118075050.04790092</v>
      </c>
    </row>
    <row r="50" spans="1:23" x14ac:dyDescent="0.2">
      <c r="A50" s="8">
        <f>'Monthly Data'!A50</f>
        <v>44197</v>
      </c>
      <c r="B50">
        <f t="shared" si="0"/>
        <v>2021</v>
      </c>
      <c r="C50">
        <f t="shared" si="1"/>
        <v>1</v>
      </c>
      <c r="D50" s="18">
        <f>'Monthly Data'!N50</f>
        <v>118984048.05510825</v>
      </c>
      <c r="E50" s="290">
        <f t="shared" ca="1" si="4"/>
        <v>566.30416666666667</v>
      </c>
      <c r="F50" s="290">
        <f t="shared" ca="1" si="4"/>
        <v>0</v>
      </c>
      <c r="G50" s="21">
        <f>'Monthly Data'!BJ50</f>
        <v>523.92083333333335</v>
      </c>
      <c r="H50" s="21">
        <f>'Monthly Data'!BK50</f>
        <v>0</v>
      </c>
      <c r="I50" s="11">
        <f>'Monthly Data'!CV50</f>
        <v>0.5</v>
      </c>
      <c r="J50" s="7">
        <f>'Monthly Data'!CS50</f>
        <v>31</v>
      </c>
      <c r="K50" s="19">
        <f>'Monthly Data'!AO50</f>
        <v>809994</v>
      </c>
      <c r="L50" s="19">
        <f>'Monthly Data'!CF50</f>
        <v>0</v>
      </c>
      <c r="M50" s="19">
        <f>'Monthly Data'!BY50</f>
        <v>0</v>
      </c>
      <c r="O50" s="11"/>
      <c r="P50" s="11">
        <f ca="1">(E50-G50)*'GS &gt; 50 Predicted Monthly'!$Z$11</f>
        <v>904172.12531281135</v>
      </c>
      <c r="Q50" s="11">
        <f ca="1">(F50-H50)*'GS &gt; 50 Predicted Monthly'!$Z$12</f>
        <v>0</v>
      </c>
      <c r="R50" s="11"/>
      <c r="S50" s="11"/>
      <c r="T50" s="11"/>
      <c r="U50" s="11"/>
      <c r="V50" s="11"/>
      <c r="W50" s="11">
        <f t="shared" ca="1" si="5"/>
        <v>119888220.18042105</v>
      </c>
    </row>
    <row r="51" spans="1:23" x14ac:dyDescent="0.2">
      <c r="A51" s="8">
        <f>'Monthly Data'!A51</f>
        <v>44228</v>
      </c>
      <c r="B51">
        <f t="shared" si="0"/>
        <v>2021</v>
      </c>
      <c r="C51">
        <f t="shared" si="1"/>
        <v>2</v>
      </c>
      <c r="D51" s="18">
        <f>'Monthly Data'!N51</f>
        <v>113057274.56216528</v>
      </c>
      <c r="E51" s="290">
        <f t="shared" ca="1" si="4"/>
        <v>483.54541666666665</v>
      </c>
      <c r="F51" s="290">
        <f t="shared" ca="1" si="4"/>
        <v>0</v>
      </c>
      <c r="G51" s="21">
        <f>'Monthly Data'!BJ51</f>
        <v>570.50000000000011</v>
      </c>
      <c r="H51" s="21">
        <f>'Monthly Data'!BK51</f>
        <v>0</v>
      </c>
      <c r="I51" s="11">
        <f>'Monthly Data'!CV51</f>
        <v>0.5</v>
      </c>
      <c r="J51" s="7">
        <f>'Monthly Data'!CS51</f>
        <v>28</v>
      </c>
      <c r="K51" s="19">
        <f>'Monthly Data'!AO51</f>
        <v>809994</v>
      </c>
      <c r="L51" s="19">
        <f>'Monthly Data'!CF51</f>
        <v>0</v>
      </c>
      <c r="M51" s="19">
        <f>'Monthly Data'!BY51</f>
        <v>0</v>
      </c>
      <c r="O51" s="11"/>
      <c r="P51" s="11">
        <f ca="1">(E51-G51)*'GS &gt; 50 Predicted Monthly'!$Z$11</f>
        <v>-1855019.5143890702</v>
      </c>
      <c r="Q51" s="11">
        <f ca="1">(F51-H51)*'GS &gt; 50 Predicted Monthly'!$Z$12</f>
        <v>0</v>
      </c>
      <c r="R51" s="11"/>
      <c r="S51" s="11"/>
      <c r="T51" s="11"/>
      <c r="U51" s="11"/>
      <c r="V51" s="11"/>
      <c r="W51" s="11">
        <f t="shared" ca="1" si="5"/>
        <v>111202255.04777621</v>
      </c>
    </row>
    <row r="52" spans="1:23" x14ac:dyDescent="0.2">
      <c r="A52" s="8">
        <f>'Monthly Data'!A52</f>
        <v>44256</v>
      </c>
      <c r="B52">
        <f t="shared" si="0"/>
        <v>2021</v>
      </c>
      <c r="C52">
        <f t="shared" si="1"/>
        <v>3</v>
      </c>
      <c r="D52" s="18">
        <f>'Monthly Data'!N52</f>
        <v>120813677.33533032</v>
      </c>
      <c r="E52" s="290">
        <f t="shared" ca="1" si="4"/>
        <v>393.96333333333331</v>
      </c>
      <c r="F52" s="290">
        <f t="shared" ca="1" si="4"/>
        <v>0</v>
      </c>
      <c r="G52" s="21">
        <f>'Monthly Data'!BJ52</f>
        <v>328.07083333333333</v>
      </c>
      <c r="H52" s="21">
        <f>'Monthly Data'!BK52</f>
        <v>0</v>
      </c>
      <c r="I52" s="11">
        <f>'Monthly Data'!CV52</f>
        <v>0.5</v>
      </c>
      <c r="J52" s="7">
        <f>'Monthly Data'!CS52</f>
        <v>31</v>
      </c>
      <c r="K52" s="19">
        <f>'Monthly Data'!AO52</f>
        <v>809994</v>
      </c>
      <c r="L52" s="19">
        <f>'Monthly Data'!CF52</f>
        <v>0</v>
      </c>
      <c r="M52" s="19">
        <f>'Monthly Data'!BY52</f>
        <v>0</v>
      </c>
      <c r="O52" s="11"/>
      <c r="P52" s="11">
        <f ca="1">(E52-G52)*'GS &gt; 50 Predicted Monthly'!$Z$11</f>
        <v>1405697.8788951889</v>
      </c>
      <c r="Q52" s="11">
        <f ca="1">(F52-H52)*'GS &gt; 50 Predicted Monthly'!$Z$12</f>
        <v>0</v>
      </c>
      <c r="R52" s="11"/>
      <c r="S52" s="11"/>
      <c r="T52" s="11"/>
      <c r="U52" s="11"/>
      <c r="V52" s="11"/>
      <c r="W52" s="11">
        <f t="shared" ca="1" si="5"/>
        <v>122219375.21422552</v>
      </c>
    </row>
    <row r="53" spans="1:23" x14ac:dyDescent="0.2">
      <c r="A53" s="8">
        <f>'Monthly Data'!A53</f>
        <v>44287</v>
      </c>
      <c r="B53">
        <f t="shared" si="0"/>
        <v>2021</v>
      </c>
      <c r="C53">
        <f t="shared" si="1"/>
        <v>4</v>
      </c>
      <c r="D53" s="18">
        <f>'Monthly Data'!N53</f>
        <v>109638007.65802936</v>
      </c>
      <c r="E53" s="290">
        <f t="shared" ca="1" si="4"/>
        <v>226.60145833333337</v>
      </c>
      <c r="F53" s="290">
        <f t="shared" ca="1" si="4"/>
        <v>6.5650000000000031</v>
      </c>
      <c r="G53" s="21">
        <f>'Monthly Data'!BJ53</f>
        <v>195.19166666666669</v>
      </c>
      <c r="H53" s="21">
        <f>'Monthly Data'!BK53</f>
        <v>8.0499999999999954</v>
      </c>
      <c r="I53" s="11">
        <f>'Monthly Data'!CV53</f>
        <v>0.5</v>
      </c>
      <c r="J53" s="7">
        <f>'Monthly Data'!CS53</f>
        <v>30</v>
      </c>
      <c r="K53" s="19">
        <f>'Monthly Data'!AO53</f>
        <v>803585</v>
      </c>
      <c r="L53" s="19">
        <f>'Monthly Data'!CF53</f>
        <v>0</v>
      </c>
      <c r="M53" s="19">
        <f>'Monthly Data'!BY53</f>
        <v>0</v>
      </c>
      <c r="O53" s="11"/>
      <c r="P53" s="11">
        <f ca="1">(E53-G53)*'GS &gt; 50 Predicted Monthly'!$Z$11</f>
        <v>670071.36658000736</v>
      </c>
      <c r="Q53" s="11">
        <f ca="1">(F53-H53)*'GS &gt; 50 Predicted Monthly'!$Z$12</f>
        <v>-175914.96562858787</v>
      </c>
      <c r="R53" s="11"/>
      <c r="S53" s="11"/>
      <c r="T53" s="11"/>
      <c r="U53" s="11"/>
      <c r="V53" s="11"/>
      <c r="W53" s="11">
        <f t="shared" ca="1" si="5"/>
        <v>110132164.05898078</v>
      </c>
    </row>
    <row r="54" spans="1:23" x14ac:dyDescent="0.2">
      <c r="A54" s="8">
        <f>'Monthly Data'!A54</f>
        <v>44317</v>
      </c>
      <c r="B54">
        <f t="shared" si="0"/>
        <v>2021</v>
      </c>
      <c r="C54">
        <f t="shared" si="1"/>
        <v>5</v>
      </c>
      <c r="D54" s="18">
        <f>'Monthly Data'!N54</f>
        <v>115240588.84939741</v>
      </c>
      <c r="E54" s="290">
        <f t="shared" ref="E54:F73" ca="1" si="6">E42</f>
        <v>65.335833333333326</v>
      </c>
      <c r="F54" s="290">
        <f t="shared" ca="1" si="6"/>
        <v>59.300416666666649</v>
      </c>
      <c r="G54" s="21">
        <f>'Monthly Data'!BJ54</f>
        <v>93.4375</v>
      </c>
      <c r="H54" s="21">
        <f>'Monthly Data'!BK54</f>
        <v>66.793749999999989</v>
      </c>
      <c r="I54" s="11">
        <f>'Monthly Data'!CV54</f>
        <v>0.5</v>
      </c>
      <c r="J54" s="7">
        <f>'Monthly Data'!CS54</f>
        <v>31</v>
      </c>
      <c r="K54" s="19">
        <f>'Monthly Data'!AO54</f>
        <v>803585</v>
      </c>
      <c r="L54" s="19">
        <f>'Monthly Data'!CF54</f>
        <v>0</v>
      </c>
      <c r="M54" s="19">
        <f>'Monthly Data'!BY54</f>
        <v>0</v>
      </c>
      <c r="O54" s="11"/>
      <c r="P54" s="11">
        <f ca="1">(E54-G54)*'GS &gt; 50 Predicted Monthly'!$Z$11</f>
        <v>-599498.47443567915</v>
      </c>
      <c r="Q54" s="11">
        <f ca="1">(F54-H54)*'GS &gt; 50 Predicted Monthly'!$Z$12</f>
        <v>-887669.68065784045</v>
      </c>
      <c r="R54" s="11"/>
      <c r="S54" s="11"/>
      <c r="T54" s="11"/>
      <c r="U54" s="11"/>
      <c r="V54" s="11"/>
      <c r="W54" s="11">
        <f t="shared" ca="1" si="5"/>
        <v>113753420.6943039</v>
      </c>
    </row>
    <row r="55" spans="1:23" x14ac:dyDescent="0.2">
      <c r="A55" s="8">
        <f>'Monthly Data'!A55</f>
        <v>44348</v>
      </c>
      <c r="B55">
        <f t="shared" si="0"/>
        <v>2021</v>
      </c>
      <c r="C55">
        <f t="shared" si="1"/>
        <v>6</v>
      </c>
      <c r="D55" s="18">
        <f>'Monthly Data'!N55</f>
        <v>128558913.68041244</v>
      </c>
      <c r="E55" s="290">
        <f t="shared" ca="1" si="6"/>
        <v>3.0447916666666672</v>
      </c>
      <c r="F55" s="290">
        <f t="shared" ca="1" si="6"/>
        <v>157.17000000000002</v>
      </c>
      <c r="G55" s="21">
        <f>'Monthly Data'!BJ55</f>
        <v>1.1083333333333361</v>
      </c>
      <c r="H55" s="21">
        <f>'Monthly Data'!BK55</f>
        <v>198.83750000000006</v>
      </c>
      <c r="I55" s="11">
        <f>'Monthly Data'!CV55</f>
        <v>0.5</v>
      </c>
      <c r="J55" s="7">
        <f>'Monthly Data'!CS55</f>
        <v>30</v>
      </c>
      <c r="K55" s="19">
        <f>'Monthly Data'!AO55</f>
        <v>803585</v>
      </c>
      <c r="L55" s="19">
        <f>'Monthly Data'!CF55</f>
        <v>0</v>
      </c>
      <c r="M55" s="19">
        <f>'Monthly Data'!BY55</f>
        <v>0</v>
      </c>
      <c r="O55" s="11"/>
      <c r="P55" s="11">
        <f ca="1">(E55-G55)*'GS &gt; 50 Predicted Monthly'!$Z$11</f>
        <v>41310.852854810139</v>
      </c>
      <c r="Q55" s="11">
        <f ca="1">(F55-H55)*'GS &gt; 50 Predicted Monthly'!$Z$12</f>
        <v>-4935984.3975281017</v>
      </c>
      <c r="R55" s="11"/>
      <c r="S55" s="11"/>
      <c r="T55" s="11"/>
      <c r="U55" s="11"/>
      <c r="V55" s="11"/>
      <c r="W55" s="11">
        <f t="shared" ca="1" si="5"/>
        <v>123664240.13573915</v>
      </c>
    </row>
    <row r="56" spans="1:23" x14ac:dyDescent="0.2">
      <c r="A56" s="8">
        <f>'Monthly Data'!A56</f>
        <v>44378</v>
      </c>
      <c r="B56">
        <f t="shared" si="0"/>
        <v>2021</v>
      </c>
      <c r="C56">
        <f t="shared" si="1"/>
        <v>7</v>
      </c>
      <c r="D56" s="18">
        <f>'Monthly Data'!N56</f>
        <v>132710760.35860747</v>
      </c>
      <c r="E56" s="290">
        <f t="shared" ca="1" si="6"/>
        <v>0</v>
      </c>
      <c r="F56" s="290">
        <f t="shared" ca="1" si="6"/>
        <v>231.27145833333333</v>
      </c>
      <c r="G56" s="21">
        <f>'Monthly Data'!BJ56</f>
        <v>0</v>
      </c>
      <c r="H56" s="21">
        <f>'Monthly Data'!BK56</f>
        <v>193.42708333333331</v>
      </c>
      <c r="I56" s="11">
        <f>'Monthly Data'!CV56</f>
        <v>0.5</v>
      </c>
      <c r="J56" s="7">
        <f>'Monthly Data'!CS56</f>
        <v>31</v>
      </c>
      <c r="K56" s="19">
        <f>'Monthly Data'!AO56</f>
        <v>821006</v>
      </c>
      <c r="L56" s="19">
        <f>'Monthly Data'!CF56</f>
        <v>0</v>
      </c>
      <c r="M56" s="19">
        <f>'Monthly Data'!BY56</f>
        <v>0</v>
      </c>
      <c r="O56" s="11"/>
      <c r="P56" s="11">
        <f ca="1">(E56-G56)*'GS &gt; 50 Predicted Monthly'!$Z$11</f>
        <v>0</v>
      </c>
      <c r="Q56" s="11">
        <f ca="1">(F56-H56)*'GS &gt; 50 Predicted Monthly'!$Z$12</f>
        <v>4483092.2069767183</v>
      </c>
      <c r="R56" s="11"/>
      <c r="S56" s="11"/>
      <c r="T56" s="11"/>
      <c r="U56" s="11"/>
      <c r="V56" s="11"/>
      <c r="W56" s="11">
        <f t="shared" ca="1" si="5"/>
        <v>137193852.56558418</v>
      </c>
    </row>
    <row r="57" spans="1:23" x14ac:dyDescent="0.2">
      <c r="A57" s="8">
        <f>'Monthly Data'!A57</f>
        <v>44409</v>
      </c>
      <c r="B57">
        <f t="shared" si="0"/>
        <v>2021</v>
      </c>
      <c r="C57">
        <f t="shared" si="1"/>
        <v>8</v>
      </c>
      <c r="D57" s="18">
        <f>'Monthly Data'!N57</f>
        <v>140955270.9844335</v>
      </c>
      <c r="E57" s="290">
        <f t="shared" ca="1" si="6"/>
        <v>0.27875000000000066</v>
      </c>
      <c r="F57" s="290">
        <f t="shared" ca="1" si="6"/>
        <v>196.13625000000002</v>
      </c>
      <c r="G57" s="21">
        <f>'Monthly Data'!BJ57</f>
        <v>0</v>
      </c>
      <c r="H57" s="21">
        <f>'Monthly Data'!BK57</f>
        <v>234.19791666666669</v>
      </c>
      <c r="I57" s="11">
        <f>'Monthly Data'!CV57</f>
        <v>0.5</v>
      </c>
      <c r="J57" s="7">
        <f>'Monthly Data'!CS57</f>
        <v>31</v>
      </c>
      <c r="K57" s="19">
        <f>'Monthly Data'!AO57</f>
        <v>821006</v>
      </c>
      <c r="L57" s="19">
        <f>'Monthly Data'!CF57</f>
        <v>0</v>
      </c>
      <c r="M57" s="19">
        <f>'Monthly Data'!BY57</f>
        <v>1</v>
      </c>
      <c r="O57" s="11"/>
      <c r="P57" s="11">
        <f ca="1">(E57-G57)*'GS &gt; 50 Predicted Monthly'!$Z$11</f>
        <v>5946.629491095875</v>
      </c>
      <c r="Q57" s="11">
        <f ca="1">(F57-H57)*'GS &gt; 50 Predicted Monthly'!$Z$12</f>
        <v>-4508832.85079695</v>
      </c>
      <c r="R57" s="11"/>
      <c r="S57" s="11"/>
      <c r="T57" s="11"/>
      <c r="U57" s="11"/>
      <c r="V57" s="11"/>
      <c r="W57" s="11">
        <f t="shared" ca="1" si="5"/>
        <v>136452384.76312765</v>
      </c>
    </row>
    <row r="58" spans="1:23" x14ac:dyDescent="0.2">
      <c r="A58" s="8">
        <f>'Monthly Data'!A58</f>
        <v>44440</v>
      </c>
      <c r="B58">
        <f t="shared" ref="B58:B121" si="7">YEAR(A58)</f>
        <v>2021</v>
      </c>
      <c r="C58">
        <f t="shared" ref="C58:C121" si="8">MONTH(A58)</f>
        <v>9</v>
      </c>
      <c r="D58" s="18">
        <f>'Monthly Data'!N58</f>
        <v>122416145.77845256</v>
      </c>
      <c r="E58" s="290">
        <f t="shared" ca="1" si="6"/>
        <v>11.319999999999997</v>
      </c>
      <c r="F58" s="290">
        <f t="shared" ca="1" si="6"/>
        <v>104.19854166666664</v>
      </c>
      <c r="G58" s="21">
        <f>'Monthly Data'!BJ58</f>
        <v>6.8624999999999954</v>
      </c>
      <c r="H58" s="21">
        <f>'Monthly Data'!BK58</f>
        <v>86.675000000000011</v>
      </c>
      <c r="I58" s="11">
        <f>'Monthly Data'!CV58</f>
        <v>0.5</v>
      </c>
      <c r="J58" s="7">
        <f>'Monthly Data'!CS58</f>
        <v>30</v>
      </c>
      <c r="K58" s="19">
        <f>'Monthly Data'!AO58</f>
        <v>821006</v>
      </c>
      <c r="L58" s="19">
        <f>'Monthly Data'!CF58</f>
        <v>1</v>
      </c>
      <c r="M58" s="19">
        <f>'Monthly Data'!BY58</f>
        <v>0</v>
      </c>
      <c r="O58" s="11"/>
      <c r="P58" s="11">
        <f ca="1">(E58-G58)*'GS &gt; 50 Predicted Monthly'!$Z$11</f>
        <v>95092.738857613658</v>
      </c>
      <c r="Q58" s="11">
        <f ca="1">(F58-H58)*'GS &gt; 50 Predicted Monthly'!$Z$12</f>
        <v>2075860.760931181</v>
      </c>
      <c r="R58" s="11"/>
      <c r="S58" s="11"/>
      <c r="T58" s="11"/>
      <c r="U58" s="11"/>
      <c r="V58" s="11"/>
      <c r="W58" s="11">
        <f t="shared" ca="1" si="5"/>
        <v>124587099.27824135</v>
      </c>
    </row>
    <row r="59" spans="1:23" x14ac:dyDescent="0.2">
      <c r="A59" s="8">
        <f>'Monthly Data'!A59</f>
        <v>44470</v>
      </c>
      <c r="B59">
        <f t="shared" si="7"/>
        <v>2021</v>
      </c>
      <c r="C59">
        <f t="shared" si="8"/>
        <v>10</v>
      </c>
      <c r="D59" s="18">
        <f>'Monthly Data'!N59</f>
        <v>120765160.1140646</v>
      </c>
      <c r="E59" s="290">
        <f t="shared" ca="1" si="6"/>
        <v>126.12583333333332</v>
      </c>
      <c r="F59" s="290">
        <f t="shared" ca="1" si="6"/>
        <v>24.703125000000007</v>
      </c>
      <c r="G59" s="21">
        <f>'Monthly Data'!BJ59</f>
        <v>80.245833333333309</v>
      </c>
      <c r="H59" s="21">
        <f>'Monthly Data'!BK59</f>
        <v>50.395833333333336</v>
      </c>
      <c r="I59" s="11">
        <f>'Monthly Data'!CV59</f>
        <v>0.5</v>
      </c>
      <c r="J59" s="7">
        <f>'Monthly Data'!CS59</f>
        <v>31</v>
      </c>
      <c r="K59" s="19">
        <f>'Monthly Data'!AO59</f>
        <v>840399</v>
      </c>
      <c r="L59" s="19">
        <f>'Monthly Data'!CF59</f>
        <v>1</v>
      </c>
      <c r="M59" s="19">
        <f>'Monthly Data'!BY59</f>
        <v>0</v>
      </c>
      <c r="O59" s="11"/>
      <c r="P59" s="11">
        <f ca="1">(E59-G59)*'GS &gt; 50 Predicted Monthly'!$Z$11</f>
        <v>978767.21453445067</v>
      </c>
      <c r="Q59" s="11">
        <f ca="1">(F59-H59)*'GS &gt; 50 Predicted Monthly'!$Z$12</f>
        <v>-3043590.5073156157</v>
      </c>
      <c r="R59" s="11"/>
      <c r="S59" s="11"/>
      <c r="T59" s="11"/>
      <c r="U59" s="11"/>
      <c r="V59" s="11"/>
      <c r="W59" s="11">
        <f t="shared" ca="1" si="5"/>
        <v>118700336.82128343</v>
      </c>
    </row>
    <row r="60" spans="1:23" x14ac:dyDescent="0.2">
      <c r="A60" s="8">
        <f>'Monthly Data'!A60</f>
        <v>44501</v>
      </c>
      <c r="B60">
        <f t="shared" si="7"/>
        <v>2021</v>
      </c>
      <c r="C60">
        <f t="shared" si="8"/>
        <v>11</v>
      </c>
      <c r="D60" s="18">
        <f>'Monthly Data'!N60</f>
        <v>118650849.98473464</v>
      </c>
      <c r="E60" s="290">
        <f t="shared" ca="1" si="6"/>
        <v>312.40687500000001</v>
      </c>
      <c r="F60" s="290">
        <f t="shared" ca="1" si="6"/>
        <v>1.6454166666666665</v>
      </c>
      <c r="G60" s="21">
        <f>'Monthly Data'!BJ60</f>
        <v>328.07916666666665</v>
      </c>
      <c r="H60" s="21">
        <f>'Monthly Data'!BK60</f>
        <v>0</v>
      </c>
      <c r="I60" s="11">
        <f>'Monthly Data'!CV60</f>
        <v>0.5</v>
      </c>
      <c r="J60" s="7">
        <f>'Monthly Data'!CS60</f>
        <v>30</v>
      </c>
      <c r="K60" s="19">
        <f>'Monthly Data'!AO60</f>
        <v>840399</v>
      </c>
      <c r="L60" s="19">
        <f>'Monthly Data'!CF60</f>
        <v>1</v>
      </c>
      <c r="M60" s="19">
        <f>'Monthly Data'!BY60</f>
        <v>0</v>
      </c>
      <c r="O60" s="11"/>
      <c r="P60" s="11">
        <f ca="1">(E60-G60)*'GS &gt; 50 Predicted Monthly'!$Z$11</f>
        <v>-334340.13208271115</v>
      </c>
      <c r="Q60" s="11">
        <f ca="1">(F60-H60)*'GS &gt; 50 Predicted Monthly'!$Z$12</f>
        <v>194918.12549587458</v>
      </c>
      <c r="R60" s="11"/>
      <c r="S60" s="11"/>
      <c r="T60" s="11"/>
      <c r="U60" s="11"/>
      <c r="V60" s="11"/>
      <c r="W60" s="11">
        <f t="shared" ca="1" si="5"/>
        <v>118511427.9781478</v>
      </c>
    </row>
    <row r="61" spans="1:23" x14ac:dyDescent="0.2">
      <c r="A61" s="8">
        <f>'Monthly Data'!A61</f>
        <v>44531</v>
      </c>
      <c r="B61">
        <f t="shared" si="7"/>
        <v>2021</v>
      </c>
      <c r="C61">
        <f t="shared" si="8"/>
        <v>12</v>
      </c>
      <c r="D61" s="18">
        <f>'Monthly Data'!N61</f>
        <v>116117342.26088069</v>
      </c>
      <c r="E61" s="290">
        <f t="shared" ca="1" si="6"/>
        <v>473.52499999999998</v>
      </c>
      <c r="F61" s="290">
        <f t="shared" ca="1" si="6"/>
        <v>0</v>
      </c>
      <c r="G61" s="21">
        <f>'Monthly Data'!BJ61</f>
        <v>403.17083333333323</v>
      </c>
      <c r="H61" s="21">
        <f>'Monthly Data'!BK61</f>
        <v>0</v>
      </c>
      <c r="I61" s="11">
        <f>'Monthly Data'!CV61</f>
        <v>0.5</v>
      </c>
      <c r="J61" s="7">
        <f>'Monthly Data'!CS61</f>
        <v>31</v>
      </c>
      <c r="K61" s="19">
        <f>'Monthly Data'!AO61</f>
        <v>840399</v>
      </c>
      <c r="L61" s="19">
        <f>'Monthly Data'!CF61</f>
        <v>0</v>
      </c>
      <c r="M61" s="19">
        <f>'Monthly Data'!BY61</f>
        <v>0</v>
      </c>
      <c r="O61" s="11"/>
      <c r="P61" s="11">
        <f ca="1">(E61-G61)*'GS &gt; 50 Predicted Monthly'!$Z$11</f>
        <v>1500879.5060860047</v>
      </c>
      <c r="Q61" s="11">
        <f ca="1">(F61-H61)*'GS &gt; 50 Predicted Monthly'!$Z$12</f>
        <v>0</v>
      </c>
      <c r="R61" s="11"/>
      <c r="S61" s="11"/>
      <c r="T61" s="11"/>
      <c r="U61" s="11"/>
      <c r="V61" s="11"/>
      <c r="W61" s="11">
        <f t="shared" ca="1" si="5"/>
        <v>117618221.7669667</v>
      </c>
    </row>
    <row r="62" spans="1:23" x14ac:dyDescent="0.2">
      <c r="A62" s="8">
        <f>'Monthly Data'!A62</f>
        <v>44562</v>
      </c>
      <c r="B62">
        <f t="shared" si="7"/>
        <v>2022</v>
      </c>
      <c r="C62">
        <f t="shared" si="8"/>
        <v>1</v>
      </c>
      <c r="D62" s="18">
        <f>'Monthly Data'!N62</f>
        <v>125926420.38829951</v>
      </c>
      <c r="E62" s="290">
        <f t="shared" ca="1" si="6"/>
        <v>566.30416666666667</v>
      </c>
      <c r="F62" s="290">
        <f t="shared" ca="1" si="6"/>
        <v>0</v>
      </c>
      <c r="G62" s="21">
        <f>'Monthly Data'!BJ62</f>
        <v>680.12083333333328</v>
      </c>
      <c r="H62" s="21">
        <f>'Monthly Data'!BK62</f>
        <v>0</v>
      </c>
      <c r="I62" s="11">
        <f>'Monthly Data'!CV62</f>
        <v>0.25</v>
      </c>
      <c r="J62" s="7">
        <f>'Monthly Data'!CS62</f>
        <v>31</v>
      </c>
      <c r="K62" s="19">
        <f>'Monthly Data'!AO62</f>
        <v>847546</v>
      </c>
      <c r="L62" s="19">
        <f>'Monthly Data'!CF62</f>
        <v>0</v>
      </c>
      <c r="M62" s="19">
        <f>'Monthly Data'!BY62</f>
        <v>0</v>
      </c>
      <c r="O62" s="11"/>
      <c r="P62" s="11">
        <f ca="1">(E62-G62)*'GS &gt; 50 Predicted Monthly'!$Z$11</f>
        <v>-2428073.709697675</v>
      </c>
      <c r="Q62" s="11">
        <f ca="1">(F62-H62)*'GS &gt; 50 Predicted Monthly'!$Z$12</f>
        <v>0</v>
      </c>
      <c r="R62" s="11"/>
      <c r="S62" s="11"/>
      <c r="T62" s="11"/>
      <c r="U62" s="11"/>
      <c r="V62" s="11"/>
      <c r="W62" s="11">
        <f t="shared" ca="1" si="5"/>
        <v>123498346.67860183</v>
      </c>
    </row>
    <row r="63" spans="1:23" x14ac:dyDescent="0.2">
      <c r="A63" s="8">
        <f>'Monthly Data'!A63</f>
        <v>44593</v>
      </c>
      <c r="B63">
        <f t="shared" si="7"/>
        <v>2022</v>
      </c>
      <c r="C63">
        <f t="shared" si="8"/>
        <v>2</v>
      </c>
      <c r="D63" s="18">
        <f>'Monthly Data'!N63</f>
        <v>115603933.80678451</v>
      </c>
      <c r="E63" s="290">
        <f t="shared" ca="1" si="6"/>
        <v>483.54541666666665</v>
      </c>
      <c r="F63" s="290">
        <f t="shared" ca="1" si="6"/>
        <v>0</v>
      </c>
      <c r="G63" s="21">
        <f>'Monthly Data'!BJ63</f>
        <v>528.55208333333337</v>
      </c>
      <c r="H63" s="21">
        <f>'Monthly Data'!BK63</f>
        <v>0</v>
      </c>
      <c r="I63" s="11">
        <f>'Monthly Data'!CV63</f>
        <v>0.25</v>
      </c>
      <c r="J63" s="7">
        <f>'Monthly Data'!CS63</f>
        <v>28</v>
      </c>
      <c r="K63" s="19">
        <f>'Monthly Data'!AO63</f>
        <v>847546</v>
      </c>
      <c r="L63" s="19">
        <f>'Monthly Data'!CF63</f>
        <v>0</v>
      </c>
      <c r="M63" s="19">
        <f>'Monthly Data'!BY63</f>
        <v>0</v>
      </c>
      <c r="O63" s="11"/>
      <c r="P63" s="11">
        <f ca="1">(E63-G63)*'GS &gt; 50 Predicted Monthly'!$Z$11</f>
        <v>-960136.21989568195</v>
      </c>
      <c r="Q63" s="11">
        <f ca="1">(F63-H63)*'GS &gt; 50 Predicted Monthly'!$Z$12</f>
        <v>0</v>
      </c>
      <c r="R63" s="11"/>
      <c r="S63" s="11"/>
      <c r="T63" s="11"/>
      <c r="U63" s="11"/>
      <c r="V63" s="11"/>
      <c r="W63" s="11">
        <f t="shared" ca="1" si="5"/>
        <v>114643797.58688883</v>
      </c>
    </row>
    <row r="64" spans="1:23" x14ac:dyDescent="0.2">
      <c r="A64" s="8">
        <f>'Monthly Data'!A64</f>
        <v>44621</v>
      </c>
      <c r="B64">
        <f t="shared" si="7"/>
        <v>2022</v>
      </c>
      <c r="C64">
        <f t="shared" si="8"/>
        <v>3</v>
      </c>
      <c r="D64" s="18">
        <f>'Monthly Data'!N64</f>
        <v>125620675.73627552</v>
      </c>
      <c r="E64" s="290">
        <f t="shared" ca="1" si="6"/>
        <v>393.96333333333331</v>
      </c>
      <c r="F64" s="290">
        <f t="shared" ca="1" si="6"/>
        <v>0</v>
      </c>
      <c r="G64" s="21">
        <f>'Monthly Data'!BJ64</f>
        <v>412.21041666666667</v>
      </c>
      <c r="H64" s="21">
        <f>'Monthly Data'!BK64</f>
        <v>0</v>
      </c>
      <c r="I64" s="11">
        <f>'Monthly Data'!CV64</f>
        <v>0.25</v>
      </c>
      <c r="J64" s="7">
        <f>'Monthly Data'!CS64</f>
        <v>31</v>
      </c>
      <c r="K64" s="19">
        <f>'Monthly Data'!AO64</f>
        <v>847546</v>
      </c>
      <c r="L64" s="19">
        <f>'Monthly Data'!CF64</f>
        <v>0</v>
      </c>
      <c r="M64" s="19">
        <f>'Monthly Data'!BY64</f>
        <v>0</v>
      </c>
      <c r="O64" s="11"/>
      <c r="P64" s="11">
        <f ca="1">(E64-G64)*'GS &gt; 50 Predicted Monthly'!$Z$11</f>
        <v>-389268.67758379888</v>
      </c>
      <c r="Q64" s="11">
        <f ca="1">(F64-H64)*'GS &gt; 50 Predicted Monthly'!$Z$12</f>
        <v>0</v>
      </c>
      <c r="R64" s="11"/>
      <c r="S64" s="11"/>
      <c r="T64" s="11"/>
      <c r="U64" s="11"/>
      <c r="V64" s="11"/>
      <c r="W64" s="11">
        <f t="shared" ca="1" si="5"/>
        <v>125231407.05869173</v>
      </c>
    </row>
    <row r="65" spans="1:23" x14ac:dyDescent="0.2">
      <c r="A65" s="8">
        <f>'Monthly Data'!A65</f>
        <v>44652</v>
      </c>
      <c r="B65">
        <f t="shared" si="7"/>
        <v>2022</v>
      </c>
      <c r="C65">
        <f t="shared" si="8"/>
        <v>4</v>
      </c>
      <c r="D65" s="18">
        <f>'Monthly Data'!N65</f>
        <v>115405757.73839353</v>
      </c>
      <c r="E65" s="290">
        <f t="shared" ca="1" si="6"/>
        <v>226.60145833333337</v>
      </c>
      <c r="F65" s="290">
        <f t="shared" ca="1" si="6"/>
        <v>6.5650000000000031</v>
      </c>
      <c r="G65" s="21">
        <f>'Monthly Data'!BJ65</f>
        <v>250.45416666666662</v>
      </c>
      <c r="H65" s="21">
        <f>'Monthly Data'!BK65</f>
        <v>2.5416666666666696</v>
      </c>
      <c r="I65" s="11">
        <f>'Monthly Data'!CV65</f>
        <v>0.25</v>
      </c>
      <c r="J65" s="7">
        <f>'Monthly Data'!CS65</f>
        <v>30</v>
      </c>
      <c r="K65" s="19">
        <f>'Monthly Data'!AO65</f>
        <v>854755</v>
      </c>
      <c r="L65" s="19">
        <f>'Monthly Data'!CF65</f>
        <v>0</v>
      </c>
      <c r="M65" s="19">
        <f>'Monthly Data'!BY65</f>
        <v>0</v>
      </c>
      <c r="O65" s="11"/>
      <c r="P65" s="11">
        <f ca="1">(E65-G65)*'GS &gt; 50 Predicted Monthly'!$Z$11</f>
        <v>-508854.59665473551</v>
      </c>
      <c r="Q65" s="11">
        <f ca="1">(F65-H65)*'GS &gt; 50 Predicted Monthly'!$Z$12</f>
        <v>476609.12124288816</v>
      </c>
      <c r="R65" s="11"/>
      <c r="S65" s="11"/>
      <c r="T65" s="11"/>
      <c r="U65" s="11"/>
      <c r="V65" s="11"/>
      <c r="W65" s="11">
        <f t="shared" ca="1" si="5"/>
        <v>115373512.26298168</v>
      </c>
    </row>
    <row r="66" spans="1:23" x14ac:dyDescent="0.2">
      <c r="A66" s="8">
        <f>'Monthly Data'!A66</f>
        <v>44682</v>
      </c>
      <c r="B66">
        <f t="shared" si="7"/>
        <v>2022</v>
      </c>
      <c r="C66">
        <f t="shared" si="8"/>
        <v>5</v>
      </c>
      <c r="D66" s="18">
        <f>'Monthly Data'!N66</f>
        <v>122884802.51982453</v>
      </c>
      <c r="E66" s="290">
        <f t="shared" ca="1" si="6"/>
        <v>65.335833333333326</v>
      </c>
      <c r="F66" s="290">
        <f t="shared" ca="1" si="6"/>
        <v>59.300416666666649</v>
      </c>
      <c r="G66" s="21">
        <f>'Monthly Data'!BJ66</f>
        <v>44.104166666666664</v>
      </c>
      <c r="H66" s="21">
        <f>'Monthly Data'!BK66</f>
        <v>80.722916666666649</v>
      </c>
      <c r="I66" s="11">
        <f>'Monthly Data'!CV66</f>
        <v>0.25</v>
      </c>
      <c r="J66" s="7">
        <f>'Monthly Data'!CS66</f>
        <v>31</v>
      </c>
      <c r="K66" s="19">
        <f>'Monthly Data'!AO66</f>
        <v>854755</v>
      </c>
      <c r="L66" s="19">
        <f>'Monthly Data'!CF66</f>
        <v>0</v>
      </c>
      <c r="M66" s="19">
        <f>'Monthly Data'!BY66</f>
        <v>0</v>
      </c>
      <c r="O66" s="11"/>
      <c r="P66" s="11">
        <f ca="1">(E66-G66)*'GS &gt; 50 Predicted Monthly'!$Z$11</f>
        <v>452939.39065512794</v>
      </c>
      <c r="Q66" s="11">
        <f ca="1">(F66-H66)*'GS &gt; 50 Predicted Monthly'!$Z$12</f>
        <v>-2537736.263419827</v>
      </c>
      <c r="R66" s="11"/>
      <c r="S66" s="11"/>
      <c r="T66" s="11"/>
      <c r="U66" s="11"/>
      <c r="V66" s="11"/>
      <c r="W66" s="11">
        <f t="shared" ref="W66:W97" ca="1" si="9">D66+P66+Q66</f>
        <v>120800005.64705984</v>
      </c>
    </row>
    <row r="67" spans="1:23" x14ac:dyDescent="0.2">
      <c r="A67" s="8">
        <f>'Monthly Data'!A67</f>
        <v>44713</v>
      </c>
      <c r="B67">
        <f t="shared" si="7"/>
        <v>2022</v>
      </c>
      <c r="C67">
        <f t="shared" si="8"/>
        <v>6</v>
      </c>
      <c r="D67" s="18">
        <f>'Monthly Data'!N67</f>
        <v>130536069.83949654</v>
      </c>
      <c r="E67" s="290">
        <f t="shared" ca="1" si="6"/>
        <v>3.0447916666666672</v>
      </c>
      <c r="F67" s="290">
        <f t="shared" ca="1" si="6"/>
        <v>157.17000000000002</v>
      </c>
      <c r="G67" s="21">
        <f>'Monthly Data'!BJ67</f>
        <v>0.97291666666666998</v>
      </c>
      <c r="H67" s="21">
        <f>'Monthly Data'!BK67</f>
        <v>142.82500000000002</v>
      </c>
      <c r="I67" s="11">
        <f>'Monthly Data'!CV67</f>
        <v>0.25</v>
      </c>
      <c r="J67" s="7">
        <f>'Monthly Data'!CS67</f>
        <v>30</v>
      </c>
      <c r="K67" s="19">
        <f>'Monthly Data'!AO67</f>
        <v>854755</v>
      </c>
      <c r="L67" s="19">
        <f>'Monthly Data'!CF67</f>
        <v>0</v>
      </c>
      <c r="M67" s="19">
        <f>'Monthly Data'!BY67</f>
        <v>0</v>
      </c>
      <c r="O67" s="11"/>
      <c r="P67" s="11">
        <f ca="1">(E67-G67)*'GS &gt; 50 Predicted Monthly'!$Z$11</f>
        <v>44199.723683817829</v>
      </c>
      <c r="Q67" s="11">
        <f ca="1">(F67-H67)*'GS &gt; 50 Predicted Monthly'!$Z$12</f>
        <v>1699326.721846536</v>
      </c>
      <c r="R67" s="11"/>
      <c r="S67" s="11"/>
      <c r="T67" s="11"/>
      <c r="U67" s="11"/>
      <c r="V67" s="11"/>
      <c r="W67" s="11">
        <f t="shared" ca="1" si="9"/>
        <v>132279596.28502689</v>
      </c>
    </row>
    <row r="68" spans="1:23" x14ac:dyDescent="0.2">
      <c r="A68" s="8">
        <f>'Monthly Data'!A68</f>
        <v>44743</v>
      </c>
      <c r="B68">
        <f t="shared" si="7"/>
        <v>2022</v>
      </c>
      <c r="C68">
        <f t="shared" si="8"/>
        <v>7</v>
      </c>
      <c r="D68" s="18">
        <f>'Monthly Data'!N68</f>
        <v>139071059.40513155</v>
      </c>
      <c r="E68" s="290">
        <f t="shared" ca="1" si="6"/>
        <v>0</v>
      </c>
      <c r="F68" s="290">
        <f t="shared" ca="1" si="6"/>
        <v>231.27145833333333</v>
      </c>
      <c r="G68" s="21">
        <f>'Monthly Data'!BJ68</f>
        <v>0</v>
      </c>
      <c r="H68" s="21">
        <f>'Monthly Data'!BK68</f>
        <v>224.93333333333328</v>
      </c>
      <c r="I68" s="11">
        <f>'Monthly Data'!CV68</f>
        <v>0.25</v>
      </c>
      <c r="J68" s="7">
        <f>'Monthly Data'!CS68</f>
        <v>31</v>
      </c>
      <c r="K68" s="19">
        <f>'Monthly Data'!AO68</f>
        <v>856819</v>
      </c>
      <c r="L68" s="19">
        <f>'Monthly Data'!CF68</f>
        <v>0</v>
      </c>
      <c r="M68" s="19">
        <f>'Monthly Data'!BY68</f>
        <v>0</v>
      </c>
      <c r="O68" s="11"/>
      <c r="P68" s="11">
        <f ca="1">(E68-G68)*'GS &gt; 50 Predicted Monthly'!$Z$11</f>
        <v>0</v>
      </c>
      <c r="Q68" s="11">
        <f ca="1">(F68-H68)*'GS &gt; 50 Predicted Monthly'!$Z$12</f>
        <v>750822.25018498837</v>
      </c>
      <c r="R68" s="11"/>
      <c r="S68" s="11"/>
      <c r="T68" s="11"/>
      <c r="U68" s="11"/>
      <c r="V68" s="11"/>
      <c r="W68" s="11">
        <f t="shared" ca="1" si="9"/>
        <v>139821881.65531653</v>
      </c>
    </row>
    <row r="69" spans="1:23" x14ac:dyDescent="0.2">
      <c r="A69" s="8">
        <f>'Monthly Data'!A69</f>
        <v>44774</v>
      </c>
      <c r="B69">
        <f t="shared" si="7"/>
        <v>2022</v>
      </c>
      <c r="C69">
        <f t="shared" si="8"/>
        <v>8</v>
      </c>
      <c r="D69" s="18">
        <f>'Monthly Data'!N69</f>
        <v>143004251.01167753</v>
      </c>
      <c r="E69" s="290">
        <f t="shared" ca="1" si="6"/>
        <v>0.27875000000000066</v>
      </c>
      <c r="F69" s="290">
        <f t="shared" ca="1" si="6"/>
        <v>196.13625000000002</v>
      </c>
      <c r="G69" s="21">
        <f>'Monthly Data'!BJ69</f>
        <v>0</v>
      </c>
      <c r="H69" s="21">
        <f>'Monthly Data'!BK69</f>
        <v>208.27916666666667</v>
      </c>
      <c r="I69" s="11">
        <f>'Monthly Data'!CV69</f>
        <v>0.25</v>
      </c>
      <c r="J69" s="7">
        <f>'Monthly Data'!CS69</f>
        <v>31</v>
      </c>
      <c r="K69" s="19">
        <f>'Monthly Data'!AO69</f>
        <v>856819</v>
      </c>
      <c r="L69" s="19">
        <f>'Monthly Data'!CF69</f>
        <v>0</v>
      </c>
      <c r="M69" s="19">
        <f>'Monthly Data'!BY69</f>
        <v>1</v>
      </c>
      <c r="O69" s="11"/>
      <c r="P69" s="11">
        <f ca="1">(E69-G69)*'GS &gt; 50 Predicted Monthly'!$Z$11</f>
        <v>5946.629491095875</v>
      </c>
      <c r="Q69" s="11">
        <f ca="1">(F69-H69)*'GS &gt; 50 Predicted Monthly'!$Z$12</f>
        <v>-1438465.1636683377</v>
      </c>
      <c r="R69" s="11"/>
      <c r="S69" s="11"/>
      <c r="T69" s="11"/>
      <c r="U69" s="11"/>
      <c r="V69" s="11"/>
      <c r="W69" s="11">
        <f t="shared" ca="1" si="9"/>
        <v>141571732.47750029</v>
      </c>
    </row>
    <row r="70" spans="1:23" x14ac:dyDescent="0.2">
      <c r="A70" s="8">
        <f>'Monthly Data'!A70</f>
        <v>44805</v>
      </c>
      <c r="B70">
        <f t="shared" si="7"/>
        <v>2022</v>
      </c>
      <c r="C70">
        <f t="shared" si="8"/>
        <v>9</v>
      </c>
      <c r="D70" s="18">
        <f>'Monthly Data'!N70</f>
        <v>129335698.79016455</v>
      </c>
      <c r="E70" s="290">
        <f t="shared" ca="1" si="6"/>
        <v>11.319999999999997</v>
      </c>
      <c r="F70" s="290">
        <f t="shared" ca="1" si="6"/>
        <v>104.19854166666664</v>
      </c>
      <c r="G70" s="21">
        <f>'Monthly Data'!BJ70</f>
        <v>24.349999999999994</v>
      </c>
      <c r="H70" s="21">
        <f>'Monthly Data'!BK70</f>
        <v>101.75833333333333</v>
      </c>
      <c r="I70" s="11">
        <f>'Monthly Data'!CV70</f>
        <v>0.25</v>
      </c>
      <c r="J70" s="7">
        <f>'Monthly Data'!CS70</f>
        <v>30</v>
      </c>
      <c r="K70" s="19">
        <f>'Monthly Data'!AO70</f>
        <v>856819</v>
      </c>
      <c r="L70" s="19">
        <f>'Monthly Data'!CF70</f>
        <v>1</v>
      </c>
      <c r="M70" s="19">
        <f>'Monthly Data'!BY70</f>
        <v>0</v>
      </c>
      <c r="O70" s="11"/>
      <c r="P70" s="11">
        <f ca="1">(E70-G70)*'GS &gt; 50 Predicted Monthly'!$Z$11</f>
        <v>-277971.59558378137</v>
      </c>
      <c r="Q70" s="11">
        <f ca="1">(F70-H70)*'GS &gt; 50 Predicted Monthly'!$Z$12</f>
        <v>289070.14483833424</v>
      </c>
      <c r="R70" s="11"/>
      <c r="S70" s="11"/>
      <c r="T70" s="11"/>
      <c r="U70" s="11"/>
      <c r="V70" s="11"/>
      <c r="W70" s="11">
        <f t="shared" ca="1" si="9"/>
        <v>129346797.3394191</v>
      </c>
    </row>
    <row r="71" spans="1:23" x14ac:dyDescent="0.2">
      <c r="A71" s="8">
        <f>'Monthly Data'!A71</f>
        <v>44835</v>
      </c>
      <c r="B71">
        <f t="shared" si="7"/>
        <v>2022</v>
      </c>
      <c r="C71">
        <f t="shared" si="8"/>
        <v>10</v>
      </c>
      <c r="D71" s="18">
        <f>'Monthly Data'!N71</f>
        <v>118832227.09556258</v>
      </c>
      <c r="E71" s="290">
        <f t="shared" ca="1" si="6"/>
        <v>126.12583333333332</v>
      </c>
      <c r="F71" s="290">
        <f t="shared" ca="1" si="6"/>
        <v>24.703125000000007</v>
      </c>
      <c r="G71" s="21">
        <f>'Monthly Data'!BJ71</f>
        <v>138.87083333333328</v>
      </c>
      <c r="H71" s="21">
        <f>'Monthly Data'!BK71</f>
        <v>4.3500000000000014</v>
      </c>
      <c r="I71" s="11">
        <f>'Monthly Data'!CV71</f>
        <v>0.25</v>
      </c>
      <c r="J71" s="7">
        <f>'Monthly Data'!CS71</f>
        <v>31</v>
      </c>
      <c r="K71" s="19">
        <f>'Monthly Data'!AO71</f>
        <v>856887</v>
      </c>
      <c r="L71" s="19">
        <f>'Monthly Data'!CF71</f>
        <v>1</v>
      </c>
      <c r="M71" s="19">
        <f>'Monthly Data'!BY71</f>
        <v>0</v>
      </c>
      <c r="O71" s="11"/>
      <c r="P71" s="11">
        <f ca="1">(E71-G71)*'GS &gt; 50 Predicted Monthly'!$Z$11</f>
        <v>-271891.63359288435</v>
      </c>
      <c r="Q71" s="11">
        <f ca="1">(F71-H71)*'GS &gt; 50 Predicted Monthly'!$Z$12</f>
        <v>2411056.7574473885</v>
      </c>
      <c r="R71" s="11"/>
      <c r="S71" s="11"/>
      <c r="T71" s="11"/>
      <c r="U71" s="11"/>
      <c r="V71" s="11"/>
      <c r="W71" s="11">
        <f t="shared" ca="1" si="9"/>
        <v>120971392.21941708</v>
      </c>
    </row>
    <row r="72" spans="1:23" x14ac:dyDescent="0.2">
      <c r="A72" s="8">
        <f>'Monthly Data'!A72</f>
        <v>44866</v>
      </c>
      <c r="B72">
        <f t="shared" si="7"/>
        <v>2022</v>
      </c>
      <c r="C72">
        <f t="shared" si="8"/>
        <v>11</v>
      </c>
      <c r="D72" s="18">
        <f>'Monthly Data'!N72</f>
        <v>120344515.11801657</v>
      </c>
      <c r="E72" s="290">
        <f t="shared" ca="1" si="6"/>
        <v>312.40687500000001</v>
      </c>
      <c r="F72" s="290">
        <f t="shared" ca="1" si="6"/>
        <v>1.6454166666666665</v>
      </c>
      <c r="G72" s="21">
        <f>'Monthly Data'!BJ72</f>
        <v>285.52916666666664</v>
      </c>
      <c r="H72" s="21">
        <f>'Monthly Data'!BK72</f>
        <v>4.2666666666666639</v>
      </c>
      <c r="I72" s="11">
        <f>'Monthly Data'!CV72</f>
        <v>0.25</v>
      </c>
      <c r="J72" s="7">
        <f>'Monthly Data'!CS72</f>
        <v>30</v>
      </c>
      <c r="K72" s="19">
        <f>'Monthly Data'!AO72</f>
        <v>856887</v>
      </c>
      <c r="L72" s="19">
        <f>'Monthly Data'!CF72</f>
        <v>1</v>
      </c>
      <c r="M72" s="19">
        <f>'Monthly Data'!BY72</f>
        <v>0</v>
      </c>
      <c r="O72" s="11"/>
      <c r="P72" s="11">
        <f ca="1">(E72-G72)*'GS &gt; 50 Predicted Monthly'!$Z$11</f>
        <v>573387.52655811014</v>
      </c>
      <c r="Q72" s="11">
        <f ca="1">(F72-H72)*'GS &gt; 50 Predicted Monthly'!$Z$12</f>
        <v>-310516.56811712985</v>
      </c>
      <c r="R72" s="11"/>
      <c r="S72" s="11"/>
      <c r="T72" s="11"/>
      <c r="U72" s="11"/>
      <c r="V72" s="11"/>
      <c r="W72" s="11">
        <f t="shared" ca="1" si="9"/>
        <v>120607386.07645756</v>
      </c>
    </row>
    <row r="73" spans="1:23" x14ac:dyDescent="0.2">
      <c r="A73" s="8">
        <f>'Monthly Data'!A73</f>
        <v>44896</v>
      </c>
      <c r="B73">
        <f t="shared" si="7"/>
        <v>2022</v>
      </c>
      <c r="C73">
        <f t="shared" si="8"/>
        <v>12</v>
      </c>
      <c r="D73" s="18">
        <f>'Monthly Data'!N73</f>
        <v>122243171.67379358</v>
      </c>
      <c r="E73" s="290">
        <f t="shared" ca="1" si="6"/>
        <v>473.52499999999998</v>
      </c>
      <c r="F73" s="290">
        <f t="shared" ca="1" si="6"/>
        <v>0</v>
      </c>
      <c r="G73" s="21">
        <f>'Monthly Data'!BJ73</f>
        <v>469.42500000000007</v>
      </c>
      <c r="H73" s="21">
        <f>'Monthly Data'!BK73</f>
        <v>0</v>
      </c>
      <c r="I73" s="11">
        <f>'Monthly Data'!CV73</f>
        <v>0.25</v>
      </c>
      <c r="J73" s="7">
        <f>'Monthly Data'!CS73</f>
        <v>31</v>
      </c>
      <c r="K73" s="19">
        <f>'Monthly Data'!AO73</f>
        <v>856887</v>
      </c>
      <c r="L73" s="19">
        <f>'Monthly Data'!CF73</f>
        <v>0</v>
      </c>
      <c r="M73" s="19">
        <f>'Monthly Data'!BY73</f>
        <v>0</v>
      </c>
      <c r="O73" s="11"/>
      <c r="P73" s="11">
        <f ca="1">(E73-G73)*'GS &gt; 50 Predicted Monthly'!$Z$11</f>
        <v>87466.119869031347</v>
      </c>
      <c r="Q73" s="11">
        <f ca="1">(F73-H73)*'GS &gt; 50 Predicted Monthly'!$Z$12</f>
        <v>0</v>
      </c>
      <c r="R73" s="11"/>
      <c r="S73" s="11"/>
      <c r="T73" s="11"/>
      <c r="U73" s="11"/>
      <c r="V73" s="11"/>
      <c r="W73" s="11">
        <f t="shared" ca="1" si="9"/>
        <v>122330637.79366262</v>
      </c>
    </row>
    <row r="74" spans="1:23" x14ac:dyDescent="0.2">
      <c r="A74" s="8">
        <f>'Monthly Data'!A74</f>
        <v>44927</v>
      </c>
      <c r="B74">
        <f t="shared" si="7"/>
        <v>2023</v>
      </c>
      <c r="C74">
        <f t="shared" si="8"/>
        <v>1</v>
      </c>
      <c r="D74" s="18">
        <f>'Monthly Data'!N74</f>
        <v>125499058.84452012</v>
      </c>
      <c r="E74" s="290">
        <f t="shared" ref="E74:F93" ca="1" si="10">E62</f>
        <v>566.30416666666667</v>
      </c>
      <c r="F74" s="290">
        <f t="shared" ca="1" si="10"/>
        <v>0</v>
      </c>
      <c r="G74" s="21">
        <f>'Monthly Data'!BJ74</f>
        <v>465.55416666666667</v>
      </c>
      <c r="H74" s="21">
        <f>'Monthly Data'!BK74</f>
        <v>0</v>
      </c>
      <c r="I74" s="11">
        <f>'Monthly Data'!CV74</f>
        <v>0</v>
      </c>
      <c r="J74" s="7">
        <f>'Monthly Data'!CS74</f>
        <v>31</v>
      </c>
      <c r="K74" s="19">
        <f>'Monthly Data'!AO74</f>
        <v>867096</v>
      </c>
      <c r="L74" s="19">
        <f>'Monthly Data'!CF74</f>
        <v>0</v>
      </c>
      <c r="M74" s="19">
        <f>'Monthly Data'!BY74</f>
        <v>0</v>
      </c>
      <c r="O74" s="11"/>
      <c r="P74" s="11">
        <f ca="1">(E74-G74)*'GS &gt; 50 Predicted Monthly'!$Z$11</f>
        <v>2149319.8967817323</v>
      </c>
      <c r="Q74" s="11">
        <f ca="1">(F74-H74)*'GS &gt; 50 Predicted Monthly'!$Z$12</f>
        <v>0</v>
      </c>
      <c r="R74" s="11"/>
      <c r="S74" s="11"/>
      <c r="T74" s="11"/>
      <c r="U74" s="11"/>
      <c r="V74" s="11"/>
      <c r="W74" s="11">
        <f t="shared" ca="1" si="9"/>
        <v>127648378.74130185</v>
      </c>
    </row>
    <row r="75" spans="1:23" x14ac:dyDescent="0.2">
      <c r="A75" s="8">
        <f>'Monthly Data'!A75</f>
        <v>44958</v>
      </c>
      <c r="B75">
        <f t="shared" si="7"/>
        <v>2023</v>
      </c>
      <c r="C75">
        <f t="shared" si="8"/>
        <v>2</v>
      </c>
      <c r="D75" s="18">
        <f>'Monthly Data'!N75</f>
        <v>115607990.73071887</v>
      </c>
      <c r="E75" s="290">
        <f t="shared" ca="1" si="10"/>
        <v>483.54541666666665</v>
      </c>
      <c r="F75" s="290">
        <f t="shared" ca="1" si="10"/>
        <v>0</v>
      </c>
      <c r="G75" s="21">
        <f>'Monthly Data'!BJ75</f>
        <v>433.21666666666664</v>
      </c>
      <c r="H75" s="21">
        <f>'Monthly Data'!BK75</f>
        <v>0</v>
      </c>
      <c r="I75" s="11">
        <f>'Monthly Data'!CV75</f>
        <v>0</v>
      </c>
      <c r="J75" s="7">
        <f>'Monthly Data'!CS75</f>
        <v>28</v>
      </c>
      <c r="K75" s="19">
        <f>'Monthly Data'!AO75</f>
        <v>867096</v>
      </c>
      <c r="L75" s="19">
        <f>'Monthly Data'!CF75</f>
        <v>0</v>
      </c>
      <c r="M75" s="19">
        <f>'Monthly Data'!BY75</f>
        <v>0</v>
      </c>
      <c r="O75" s="11"/>
      <c r="P75" s="11">
        <f ca="1">(E75-G75)*'GS &gt; 50 Predicted Monthly'!$Z$11</f>
        <v>1073673.2878923439</v>
      </c>
      <c r="Q75" s="11">
        <f ca="1">(F75-H75)*'GS &gt; 50 Predicted Monthly'!$Z$12</f>
        <v>0</v>
      </c>
      <c r="R75" s="11"/>
      <c r="S75" s="11"/>
      <c r="T75" s="11"/>
      <c r="U75" s="11"/>
      <c r="V75" s="11"/>
      <c r="W75" s="11">
        <f t="shared" ca="1" si="9"/>
        <v>116681664.01861121</v>
      </c>
    </row>
    <row r="76" spans="1:23" x14ac:dyDescent="0.2">
      <c r="A76" s="8">
        <f>'Monthly Data'!A76</f>
        <v>44986</v>
      </c>
      <c r="B76">
        <f t="shared" si="7"/>
        <v>2023</v>
      </c>
      <c r="C76">
        <f t="shared" si="8"/>
        <v>3</v>
      </c>
      <c r="D76" s="18">
        <f>'Monthly Data'!N76</f>
        <v>125466538.14647563</v>
      </c>
      <c r="E76" s="290">
        <f t="shared" ca="1" si="10"/>
        <v>393.96333333333331</v>
      </c>
      <c r="F76" s="290">
        <f t="shared" ca="1" si="10"/>
        <v>0</v>
      </c>
      <c r="G76" s="21">
        <f>'Monthly Data'!BJ76</f>
        <v>428.04583333333323</v>
      </c>
      <c r="H76" s="21">
        <f>'Monthly Data'!BK76</f>
        <v>0</v>
      </c>
      <c r="I76" s="11">
        <f>'Monthly Data'!CV76</f>
        <v>0</v>
      </c>
      <c r="J76" s="7">
        <f>'Monthly Data'!CS76</f>
        <v>31</v>
      </c>
      <c r="K76" s="19">
        <f>'Monthly Data'!AO76</f>
        <v>867096</v>
      </c>
      <c r="L76" s="19">
        <f>'Monthly Data'!CF76</f>
        <v>0</v>
      </c>
      <c r="M76" s="19">
        <f>'Monthly Data'!BY76</f>
        <v>0</v>
      </c>
      <c r="O76" s="11"/>
      <c r="P76" s="11">
        <f ca="1">(E76-G76)*'GS &gt; 50 Predicted Monthly'!$Z$11</f>
        <v>-727088.78791129764</v>
      </c>
      <c r="Q76" s="11">
        <f ca="1">(F76-H76)*'GS &gt; 50 Predicted Monthly'!$Z$12</f>
        <v>0</v>
      </c>
      <c r="R76" s="11"/>
      <c r="S76" s="11"/>
      <c r="T76" s="11"/>
      <c r="U76" s="11"/>
      <c r="V76" s="11"/>
      <c r="W76" s="11">
        <f t="shared" ca="1" si="9"/>
        <v>124739449.35856433</v>
      </c>
    </row>
    <row r="77" spans="1:23" x14ac:dyDescent="0.2">
      <c r="A77" s="8">
        <f>'Monthly Data'!A77</f>
        <v>45017</v>
      </c>
      <c r="B77">
        <f t="shared" si="7"/>
        <v>2023</v>
      </c>
      <c r="C77">
        <f t="shared" si="8"/>
        <v>4</v>
      </c>
      <c r="D77" s="18">
        <f>'Monthly Data'!N77</f>
        <v>114391957.98950237</v>
      </c>
      <c r="E77" s="290">
        <f t="shared" ca="1" si="10"/>
        <v>226.60145833333337</v>
      </c>
      <c r="F77" s="290">
        <f t="shared" ca="1" si="10"/>
        <v>6.5650000000000031</v>
      </c>
      <c r="G77" s="21">
        <f>'Monthly Data'!BJ77</f>
        <v>192.73750000000004</v>
      </c>
      <c r="H77" s="21">
        <f>'Monthly Data'!BK77</f>
        <v>22.516666666666687</v>
      </c>
      <c r="I77" s="11">
        <f>'Monthly Data'!CV77</f>
        <v>0</v>
      </c>
      <c r="J77" s="7">
        <f>'Monthly Data'!CS77</f>
        <v>30</v>
      </c>
      <c r="K77" s="19">
        <f>'Monthly Data'!AO77</f>
        <v>873385</v>
      </c>
      <c r="L77" s="19">
        <f>'Monthly Data'!CF77</f>
        <v>0</v>
      </c>
      <c r="M77" s="19">
        <f>'Monthly Data'!BY77</f>
        <v>0</v>
      </c>
      <c r="O77" s="11"/>
      <c r="P77" s="11">
        <f ca="1">(E77-G77)*'GS &gt; 50 Predicted Monthly'!$Z$11</f>
        <v>722426.59483494668</v>
      </c>
      <c r="Q77" s="11">
        <f ca="1">(F77-H77)*'GS &gt; 50 Predicted Monthly'!$Z$12</f>
        <v>-1889654.4736601852</v>
      </c>
      <c r="R77" s="11"/>
      <c r="S77" s="11"/>
      <c r="T77" s="11"/>
      <c r="U77" s="11"/>
      <c r="V77" s="11"/>
      <c r="W77" s="11">
        <f t="shared" ca="1" si="9"/>
        <v>113224730.11067714</v>
      </c>
    </row>
    <row r="78" spans="1:23" x14ac:dyDescent="0.2">
      <c r="A78" s="8">
        <f>'Monthly Data'!A78</f>
        <v>45047</v>
      </c>
      <c r="B78">
        <f t="shared" si="7"/>
        <v>2023</v>
      </c>
      <c r="C78">
        <f t="shared" si="8"/>
        <v>5</v>
      </c>
      <c r="D78" s="18">
        <f>'Monthly Data'!N78</f>
        <v>123483481.6939701</v>
      </c>
      <c r="E78" s="290">
        <f t="shared" ca="1" si="10"/>
        <v>65.335833333333326</v>
      </c>
      <c r="F78" s="290">
        <f t="shared" ca="1" si="10"/>
        <v>59.300416666666649</v>
      </c>
      <c r="G78" s="21">
        <f>'Monthly Data'!BJ78</f>
        <v>62.808333333333323</v>
      </c>
      <c r="H78" s="21">
        <f>'Monthly Data'!BK78</f>
        <v>49.670833333333306</v>
      </c>
      <c r="I78" s="11">
        <f>'Monthly Data'!CV78</f>
        <v>0</v>
      </c>
      <c r="J78" s="7">
        <f>'Monthly Data'!CS78</f>
        <v>31</v>
      </c>
      <c r="K78" s="19">
        <f>'Monthly Data'!AO78</f>
        <v>873385</v>
      </c>
      <c r="L78" s="19">
        <f>'Monthly Data'!CF78</f>
        <v>0</v>
      </c>
      <c r="M78" s="19">
        <f>'Monthly Data'!BY78</f>
        <v>0</v>
      </c>
      <c r="O78" s="11"/>
      <c r="P78" s="11">
        <f ca="1">(E78-G78)*'GS &gt; 50 Predicted Monthly'!$Z$11</f>
        <v>53919.662919263887</v>
      </c>
      <c r="Q78" s="11">
        <f ca="1">(F78-H78)*'GS &gt; 50 Predicted Monthly'!$Z$12</f>
        <v>1140732.5394619303</v>
      </c>
      <c r="R78" s="11"/>
      <c r="S78" s="11"/>
      <c r="T78" s="11"/>
      <c r="U78" s="11"/>
      <c r="V78" s="11"/>
      <c r="W78" s="11">
        <f t="shared" ca="1" si="9"/>
        <v>124678133.89635129</v>
      </c>
    </row>
    <row r="79" spans="1:23" x14ac:dyDescent="0.2">
      <c r="A79" s="8">
        <f>'Monthly Data'!A79</f>
        <v>45078</v>
      </c>
      <c r="B79">
        <f t="shared" si="7"/>
        <v>2023</v>
      </c>
      <c r="C79">
        <f t="shared" si="8"/>
        <v>6</v>
      </c>
      <c r="D79" s="18">
        <f>'Monthly Data'!N79</f>
        <v>127247993.22335185</v>
      </c>
      <c r="E79" s="290">
        <f t="shared" ca="1" si="10"/>
        <v>3.0447916666666672</v>
      </c>
      <c r="F79" s="290">
        <f t="shared" ca="1" si="10"/>
        <v>157.17000000000002</v>
      </c>
      <c r="G79" s="21">
        <f>'Monthly Data'!BJ79</f>
        <v>1.8374999999999932</v>
      </c>
      <c r="H79" s="21">
        <f>'Monthly Data'!BK79</f>
        <v>130.14166666666665</v>
      </c>
      <c r="I79" s="11">
        <f>'Monthly Data'!CV79</f>
        <v>0</v>
      </c>
      <c r="J79" s="7">
        <f>'Monthly Data'!CS79</f>
        <v>30</v>
      </c>
      <c r="K79" s="19">
        <f>'Monthly Data'!AO79</f>
        <v>873385</v>
      </c>
      <c r="L79" s="19">
        <f>'Monthly Data'!CF79</f>
        <v>0</v>
      </c>
      <c r="M79" s="19">
        <f>'Monthly Data'!BY79</f>
        <v>0</v>
      </c>
      <c r="O79" s="11"/>
      <c r="P79" s="11">
        <f ca="1">(E79-G79)*'GS &gt; 50 Predicted Monthly'!$Z$11</f>
        <v>25755.394544768849</v>
      </c>
      <c r="Q79" s="11">
        <f ca="1">(F79-H79)*'GS &gt; 50 Predicted Monthly'!$Z$12</f>
        <v>3201810.3227820736</v>
      </c>
      <c r="R79" s="11"/>
      <c r="S79" s="11"/>
      <c r="T79" s="11"/>
      <c r="U79" s="11"/>
      <c r="V79" s="11"/>
      <c r="W79" s="11">
        <f t="shared" ca="1" si="9"/>
        <v>130475558.94067869</v>
      </c>
    </row>
    <row r="80" spans="1:23" x14ac:dyDescent="0.2">
      <c r="A80" s="8">
        <f>'Monthly Data'!A80</f>
        <v>45108</v>
      </c>
      <c r="B80">
        <f t="shared" si="7"/>
        <v>2023</v>
      </c>
      <c r="C80">
        <f t="shared" si="8"/>
        <v>7</v>
      </c>
      <c r="D80" s="18">
        <f>'Monthly Data'!N80</f>
        <v>137496928.92038861</v>
      </c>
      <c r="E80" s="290">
        <f t="shared" ca="1" si="10"/>
        <v>0</v>
      </c>
      <c r="F80" s="290">
        <f t="shared" ca="1" si="10"/>
        <v>231.27145833333333</v>
      </c>
      <c r="G80" s="21">
        <f>'Monthly Data'!BJ80</f>
        <v>0</v>
      </c>
      <c r="H80" s="21">
        <f>'Monthly Data'!BK80</f>
        <v>203.20000000000002</v>
      </c>
      <c r="I80" s="11">
        <f>'Monthly Data'!CV80</f>
        <v>0</v>
      </c>
      <c r="J80" s="7">
        <f>'Monthly Data'!CS80</f>
        <v>31</v>
      </c>
      <c r="K80" s="19">
        <f>'Monthly Data'!AO80</f>
        <v>876964</v>
      </c>
      <c r="L80" s="19">
        <f>'Monthly Data'!CF80</f>
        <v>0</v>
      </c>
      <c r="M80" s="19">
        <f>'Monthly Data'!BY80</f>
        <v>0</v>
      </c>
      <c r="O80" s="11"/>
      <c r="P80" s="11">
        <f ca="1">(E80-G80)*'GS &gt; 50 Predicted Monthly'!$Z$11</f>
        <v>0</v>
      </c>
      <c r="Q80" s="11">
        <f ca="1">(F80-H80)*'GS &gt; 50 Predicted Monthly'!$Z$12</f>
        <v>3325380.2207762231</v>
      </c>
      <c r="R80" s="11"/>
      <c r="S80" s="11"/>
      <c r="T80" s="11"/>
      <c r="U80" s="11"/>
      <c r="V80" s="11"/>
      <c r="W80" s="11">
        <f t="shared" ca="1" si="9"/>
        <v>140822309.14116484</v>
      </c>
    </row>
    <row r="81" spans="1:23" x14ac:dyDescent="0.2">
      <c r="A81" s="8">
        <f>'Monthly Data'!A81</f>
        <v>45139</v>
      </c>
      <c r="B81">
        <f t="shared" si="7"/>
        <v>2023</v>
      </c>
      <c r="C81">
        <f t="shared" si="8"/>
        <v>8</v>
      </c>
      <c r="D81" s="18">
        <f>'Monthly Data'!N81</f>
        <v>133974170.58140434</v>
      </c>
      <c r="E81" s="290">
        <f t="shared" ca="1" si="10"/>
        <v>0.27875000000000066</v>
      </c>
      <c r="F81" s="290">
        <f t="shared" ca="1" si="10"/>
        <v>196.13625000000002</v>
      </c>
      <c r="G81" s="21">
        <f>'Monthly Data'!BJ81</f>
        <v>4.1666666666646535E-3</v>
      </c>
      <c r="H81" s="21">
        <f>'Monthly Data'!BK81</f>
        <v>144.09583333333336</v>
      </c>
      <c r="I81" s="11">
        <f>'Monthly Data'!CV81</f>
        <v>0</v>
      </c>
      <c r="J81" s="7">
        <f>'Monthly Data'!CS81</f>
        <v>31</v>
      </c>
      <c r="K81" s="19">
        <f>'Monthly Data'!AO81</f>
        <v>876964</v>
      </c>
      <c r="L81" s="19">
        <f>'Monthly Data'!CF81</f>
        <v>0</v>
      </c>
      <c r="M81" s="19">
        <f>'Monthly Data'!BY81</f>
        <v>1</v>
      </c>
      <c r="O81" s="11"/>
      <c r="P81" s="11">
        <f ca="1">(E81-G81)*'GS &gt; 50 Predicted Monthly'!$Z$11</f>
        <v>5857.7411578956808</v>
      </c>
      <c r="Q81" s="11">
        <f ca="1">(F81-H81)*'GS &gt; 50 Predicted Monthly'!$Z$12</f>
        <v>6164773.1375179151</v>
      </c>
      <c r="R81" s="11"/>
      <c r="S81" s="11"/>
      <c r="T81" s="11"/>
      <c r="U81" s="11"/>
      <c r="V81" s="11"/>
      <c r="W81" s="11">
        <f t="shared" ca="1" si="9"/>
        <v>140144801.46008015</v>
      </c>
    </row>
    <row r="82" spans="1:23" x14ac:dyDescent="0.2">
      <c r="A82" s="8">
        <f>'Monthly Data'!A82</f>
        <v>45170</v>
      </c>
      <c r="B82">
        <f t="shared" si="7"/>
        <v>2023</v>
      </c>
      <c r="C82">
        <f t="shared" si="8"/>
        <v>9</v>
      </c>
      <c r="D82" s="18">
        <f>'Monthly Data'!N82</f>
        <v>125628407.1768401</v>
      </c>
      <c r="E82" s="290">
        <f t="shared" ca="1" si="10"/>
        <v>11.319999999999997</v>
      </c>
      <c r="F82" s="290">
        <f t="shared" ca="1" si="10"/>
        <v>104.19854166666664</v>
      </c>
      <c r="G82" s="21">
        <f>'Monthly Data'!BJ82</f>
        <v>3.8624999999999901</v>
      </c>
      <c r="H82" s="21">
        <f>'Monthly Data'!BK82</f>
        <v>90.90416666666664</v>
      </c>
      <c r="I82" s="11">
        <f>'Monthly Data'!CV82</f>
        <v>0</v>
      </c>
      <c r="J82" s="7">
        <f>'Monthly Data'!CS82</f>
        <v>30</v>
      </c>
      <c r="K82" s="19">
        <f>'Monthly Data'!AO82</f>
        <v>876964</v>
      </c>
      <c r="L82" s="19">
        <f>'Monthly Data'!CF82</f>
        <v>1</v>
      </c>
      <c r="M82" s="19">
        <f>'Monthly Data'!BY82</f>
        <v>0</v>
      </c>
      <c r="O82" s="11"/>
      <c r="P82" s="11">
        <f ca="1">(E82-G82)*'GS &gt; 50 Predicted Monthly'!$Z$11</f>
        <v>159092.33876178446</v>
      </c>
      <c r="Q82" s="11">
        <f ca="1">(F82-H82)*'GS &gt; 50 Predicted Monthly'!$Z$12</f>
        <v>1574868.3644300138</v>
      </c>
      <c r="R82" s="11"/>
      <c r="S82" s="11"/>
      <c r="T82" s="11"/>
      <c r="U82" s="11"/>
      <c r="V82" s="11"/>
      <c r="W82" s="11">
        <f t="shared" ca="1" si="9"/>
        <v>127362367.8800319</v>
      </c>
    </row>
    <row r="83" spans="1:23" x14ac:dyDescent="0.2">
      <c r="A83" s="8">
        <f>'Monthly Data'!A83</f>
        <v>45200</v>
      </c>
      <c r="B83">
        <f t="shared" si="7"/>
        <v>2023</v>
      </c>
      <c r="C83">
        <f t="shared" si="8"/>
        <v>10</v>
      </c>
      <c r="D83" s="18">
        <f>'Monthly Data'!N83</f>
        <v>122505184.85314384</v>
      </c>
      <c r="E83" s="290">
        <f t="shared" ca="1" si="10"/>
        <v>126.12583333333332</v>
      </c>
      <c r="F83" s="290">
        <f t="shared" ca="1" si="10"/>
        <v>24.703125000000007</v>
      </c>
      <c r="G83" s="21">
        <f>'Monthly Data'!BJ83</f>
        <v>126.92083333333335</v>
      </c>
      <c r="H83" s="21">
        <f>'Monthly Data'!BK83</f>
        <v>37.479166666666657</v>
      </c>
      <c r="I83" s="11">
        <f>'Monthly Data'!CV83</f>
        <v>0</v>
      </c>
      <c r="J83" s="7">
        <f>'Monthly Data'!CS83</f>
        <v>31</v>
      </c>
      <c r="K83" s="19">
        <f>'Monthly Data'!AO83</f>
        <v>880255</v>
      </c>
      <c r="L83" s="19">
        <f>'Monthly Data'!CF83</f>
        <v>1</v>
      </c>
      <c r="M83" s="19">
        <f>'Monthly Data'!BY83</f>
        <v>0</v>
      </c>
      <c r="O83" s="11"/>
      <c r="P83" s="11">
        <f ca="1">(E83-G83)*'GS &gt; 50 Predicted Monthly'!$Z$11</f>
        <v>-16959.893974605879</v>
      </c>
      <c r="Q83" s="11">
        <f ca="1">(F83-H83)*'GS &gt; 50 Predicted Monthly'!$Z$12</f>
        <v>-1513465.9465731191</v>
      </c>
      <c r="R83" s="11"/>
      <c r="S83" s="11"/>
      <c r="T83" s="11"/>
      <c r="U83" s="11"/>
      <c r="V83" s="11"/>
      <c r="W83" s="11">
        <f t="shared" ca="1" si="9"/>
        <v>120974759.01259612</v>
      </c>
    </row>
    <row r="84" spans="1:23" x14ac:dyDescent="0.2">
      <c r="A84" s="8">
        <f>'Monthly Data'!A84</f>
        <v>45231</v>
      </c>
      <c r="B84">
        <f t="shared" si="7"/>
        <v>2023</v>
      </c>
      <c r="C84">
        <f t="shared" si="8"/>
        <v>11</v>
      </c>
      <c r="D84" s="18">
        <f>'Monthly Data'!N84</f>
        <v>120984971.18912058</v>
      </c>
      <c r="E84" s="290">
        <f t="shared" ca="1" si="10"/>
        <v>312.40687500000001</v>
      </c>
      <c r="F84" s="290">
        <f t="shared" ca="1" si="10"/>
        <v>1.6454166666666665</v>
      </c>
      <c r="G84" s="21">
        <f>'Monthly Data'!BJ84</f>
        <v>323.11666666666673</v>
      </c>
      <c r="H84" s="21">
        <f>'Monthly Data'!BK84</f>
        <v>0</v>
      </c>
      <c r="I84" s="11">
        <f>'Monthly Data'!CV84</f>
        <v>0</v>
      </c>
      <c r="J84" s="7">
        <f>'Monthly Data'!CS84</f>
        <v>30</v>
      </c>
      <c r="K84" s="19">
        <f>'Monthly Data'!AO84</f>
        <v>880255</v>
      </c>
      <c r="L84" s="19">
        <f>'Monthly Data'!CF84</f>
        <v>1</v>
      </c>
      <c r="M84" s="19">
        <f>'Monthly Data'!BY84</f>
        <v>0</v>
      </c>
      <c r="O84" s="11"/>
      <c r="P84" s="11">
        <f ca="1">(E84-G84)*'GS &gt; 50 Predicted Monthly'!$Z$11</f>
        <v>-228474.12724123045</v>
      </c>
      <c r="Q84" s="11">
        <f ca="1">(F84-H84)*'GS &gt; 50 Predicted Monthly'!$Z$12</f>
        <v>194918.12549587458</v>
      </c>
      <c r="R84" s="11"/>
      <c r="S84" s="11"/>
      <c r="T84" s="11"/>
      <c r="U84" s="11"/>
      <c r="V84" s="11"/>
      <c r="W84" s="11">
        <f t="shared" ca="1" si="9"/>
        <v>120951415.18737523</v>
      </c>
    </row>
    <row r="85" spans="1:23" x14ac:dyDescent="0.2">
      <c r="A85" s="8">
        <f>'Monthly Data'!A85</f>
        <v>45261</v>
      </c>
      <c r="B85">
        <f t="shared" si="7"/>
        <v>2023</v>
      </c>
      <c r="C85">
        <f t="shared" si="8"/>
        <v>12</v>
      </c>
      <c r="D85" s="18">
        <f>'Monthly Data'!N85</f>
        <v>118768098.25409932</v>
      </c>
      <c r="E85" s="290">
        <f t="shared" ca="1" si="10"/>
        <v>473.52499999999998</v>
      </c>
      <c r="F85" s="290">
        <f t="shared" ca="1" si="10"/>
        <v>0</v>
      </c>
      <c r="G85" s="21">
        <f>'Monthly Data'!BJ85</f>
        <v>356.10416666666674</v>
      </c>
      <c r="H85" s="21">
        <f>'Monthly Data'!BK85</f>
        <v>0</v>
      </c>
      <c r="I85" s="11">
        <f>'Monthly Data'!CV85</f>
        <v>0</v>
      </c>
      <c r="J85" s="7">
        <f>'Monthly Data'!CS85</f>
        <v>31</v>
      </c>
      <c r="K85" s="19">
        <f>'Monthly Data'!AO85</f>
        <v>880255</v>
      </c>
      <c r="L85" s="19">
        <f>'Monthly Data'!CF85</f>
        <v>0</v>
      </c>
      <c r="M85" s="19">
        <f>'Monthly Data'!BY85</f>
        <v>0</v>
      </c>
      <c r="O85" s="11"/>
      <c r="P85" s="11">
        <f ca="1">(E85-G85)*'GS &gt; 50 Predicted Monthly'!$Z$11</f>
        <v>2504962.117915879</v>
      </c>
      <c r="Q85" s="11">
        <f ca="1">(F85-H85)*'GS &gt; 50 Predicted Monthly'!$Z$12</f>
        <v>0</v>
      </c>
      <c r="R85" s="11"/>
      <c r="S85" s="11"/>
      <c r="T85" s="11"/>
      <c r="U85" s="11"/>
      <c r="V85" s="11"/>
      <c r="W85" s="11">
        <f t="shared" ca="1" si="9"/>
        <v>121273060.37201521</v>
      </c>
    </row>
    <row r="86" spans="1:23" x14ac:dyDescent="0.2">
      <c r="A86" s="8">
        <f>'Monthly Data'!A86</f>
        <v>45292</v>
      </c>
      <c r="B86">
        <f t="shared" si="7"/>
        <v>2024</v>
      </c>
      <c r="C86">
        <f t="shared" si="8"/>
        <v>1</v>
      </c>
      <c r="D86" s="18">
        <f>'Monthly Data'!N86</f>
        <v>130159108.66703321</v>
      </c>
      <c r="E86" s="290">
        <f t="shared" ca="1" si="10"/>
        <v>566.30416666666667</v>
      </c>
      <c r="F86" s="290">
        <f t="shared" ca="1" si="10"/>
        <v>0</v>
      </c>
      <c r="G86" s="21">
        <f>'Monthly Data'!BJ86</f>
        <v>530.65208333333339</v>
      </c>
      <c r="H86" s="21">
        <f>'Monthly Data'!BK86</f>
        <v>0</v>
      </c>
      <c r="I86" s="11">
        <f>'Monthly Data'!CV86</f>
        <v>0</v>
      </c>
      <c r="J86" s="7">
        <f>'Monthly Data'!CS86</f>
        <v>31</v>
      </c>
      <c r="K86" s="19">
        <f>'Monthly Data'!AO86</f>
        <v>885802</v>
      </c>
      <c r="L86" s="19">
        <f>'Monthly Data'!CF86</f>
        <v>0</v>
      </c>
      <c r="M86" s="19">
        <f>'Monthly Data'!BY86</f>
        <v>0</v>
      </c>
      <c r="O86" s="11"/>
      <c r="P86" s="11">
        <f ca="1">(E86-G86)*'GS &gt; 50 Predicted Monthly'!$Z$11</f>
        <v>760573.02302782738</v>
      </c>
      <c r="Q86" s="11">
        <f ca="1">(F86-H86)*'GS &gt; 50 Predicted Monthly'!$Z$12</f>
        <v>0</v>
      </c>
      <c r="R86" s="11"/>
      <c r="S86" s="11"/>
      <c r="T86" s="11"/>
      <c r="U86" s="11"/>
      <c r="V86" s="11"/>
      <c r="W86" s="11">
        <f t="shared" ca="1" si="9"/>
        <v>130919681.69006103</v>
      </c>
    </row>
    <row r="87" spans="1:23" x14ac:dyDescent="0.2">
      <c r="A87" s="8">
        <f>'Monthly Data'!A87</f>
        <v>45323</v>
      </c>
      <c r="B87">
        <f t="shared" si="7"/>
        <v>2024</v>
      </c>
      <c r="C87">
        <f t="shared" si="8"/>
        <v>2</v>
      </c>
      <c r="D87" s="18">
        <f>'Monthly Data'!N87</f>
        <v>119840482.88393389</v>
      </c>
      <c r="E87" s="290">
        <f t="shared" ca="1" si="10"/>
        <v>483.54541666666665</v>
      </c>
      <c r="F87" s="290">
        <f t="shared" ca="1" si="10"/>
        <v>0</v>
      </c>
      <c r="G87" s="21">
        <f>'Monthly Data'!BJ87</f>
        <v>407.16041666666661</v>
      </c>
      <c r="H87" s="21">
        <f>'Monthly Data'!BK87</f>
        <v>0</v>
      </c>
      <c r="I87" s="11">
        <f>'Monthly Data'!CV87</f>
        <v>0</v>
      </c>
      <c r="J87" s="7">
        <f>'Monthly Data'!CS87</f>
        <v>29</v>
      </c>
      <c r="K87" s="19">
        <f>'Monthly Data'!AO87</f>
        <v>885802</v>
      </c>
      <c r="L87" s="19">
        <f>'Monthly Data'!CF87</f>
        <v>0</v>
      </c>
      <c r="M87" s="19">
        <f>'Monthly Data'!BY87</f>
        <v>0</v>
      </c>
      <c r="O87" s="11"/>
      <c r="P87" s="11">
        <f ca="1">(E87-G87)*'GS &gt; 50 Predicted Monthly'!$Z$11</f>
        <v>1629536.4795600271</v>
      </c>
      <c r="Q87" s="11">
        <f ca="1">(F87-H87)*'GS &gt; 50 Predicted Monthly'!$Z$12</f>
        <v>0</v>
      </c>
      <c r="R87" s="11"/>
      <c r="S87" s="11"/>
      <c r="T87" s="11"/>
      <c r="U87" s="11"/>
      <c r="V87" s="11"/>
      <c r="W87" s="11">
        <f t="shared" ca="1" si="9"/>
        <v>121470019.36349392</v>
      </c>
    </row>
    <row r="88" spans="1:23" x14ac:dyDescent="0.2">
      <c r="A88" s="8">
        <f>'Monthly Data'!A88</f>
        <v>45352</v>
      </c>
      <c r="B88">
        <f t="shared" si="7"/>
        <v>2024</v>
      </c>
      <c r="C88">
        <f t="shared" si="8"/>
        <v>3</v>
      </c>
      <c r="D88" s="18">
        <f>'Monthly Data'!N88</f>
        <v>123262071.17316654</v>
      </c>
      <c r="E88" s="290">
        <f t="shared" ca="1" si="10"/>
        <v>393.96333333333331</v>
      </c>
      <c r="F88" s="290">
        <f t="shared" ca="1" si="10"/>
        <v>0</v>
      </c>
      <c r="G88" s="21">
        <f>'Monthly Data'!BJ88</f>
        <v>332.44375000000008</v>
      </c>
      <c r="H88" s="21">
        <f>'Monthly Data'!BK88</f>
        <v>0</v>
      </c>
      <c r="I88" s="11">
        <f>'Monthly Data'!CV88</f>
        <v>0</v>
      </c>
      <c r="J88" s="7">
        <f>'Monthly Data'!CS88</f>
        <v>31</v>
      </c>
      <c r="K88" s="19">
        <f>'Monthly Data'!AO88</f>
        <v>885802</v>
      </c>
      <c r="L88" s="19">
        <f>'Monthly Data'!CF88</f>
        <v>0</v>
      </c>
      <c r="M88" s="19">
        <f>'Monthly Data'!BY88</f>
        <v>0</v>
      </c>
      <c r="O88" s="11"/>
      <c r="P88" s="11">
        <f ca="1">(E88-G88)*'GS &gt; 50 Predicted Monthly'!$Z$11</f>
        <v>1312409.5732015383</v>
      </c>
      <c r="Q88" s="11">
        <f ca="1">(F88-H88)*'GS &gt; 50 Predicted Monthly'!$Z$12</f>
        <v>0</v>
      </c>
      <c r="R88" s="11"/>
      <c r="S88" s="11"/>
      <c r="T88" s="11"/>
      <c r="U88" s="11"/>
      <c r="V88" s="11"/>
      <c r="W88" s="11">
        <f t="shared" ca="1" si="9"/>
        <v>124574480.74636808</v>
      </c>
    </row>
    <row r="89" spans="1:23" x14ac:dyDescent="0.2">
      <c r="A89" s="8">
        <f>'Monthly Data'!A89</f>
        <v>45383</v>
      </c>
      <c r="B89">
        <f t="shared" si="7"/>
        <v>2024</v>
      </c>
      <c r="C89">
        <f t="shared" si="8"/>
        <v>4</v>
      </c>
      <c r="D89" s="18">
        <f>'Monthly Data'!N89</f>
        <v>119205230.8035062</v>
      </c>
      <c r="E89" s="290">
        <f t="shared" ca="1" si="10"/>
        <v>226.60145833333337</v>
      </c>
      <c r="F89" s="290">
        <f t="shared" ca="1" si="10"/>
        <v>6.5650000000000031</v>
      </c>
      <c r="G89" s="21">
        <f>'Monthly Data'!BJ89</f>
        <v>158.17500000000004</v>
      </c>
      <c r="H89" s="21">
        <f>'Monthly Data'!BK89</f>
        <v>8.4166666666666679</v>
      </c>
      <c r="I89" s="11">
        <f>'Monthly Data'!CV89</f>
        <v>0</v>
      </c>
      <c r="J89" s="7">
        <f>'Monthly Data'!CS89</f>
        <v>30</v>
      </c>
      <c r="K89" s="19">
        <f>'Monthly Data'!AO89</f>
        <v>888733</v>
      </c>
      <c r="L89" s="19">
        <f>'Monthly Data'!CF89</f>
        <v>0</v>
      </c>
      <c r="M89" s="19">
        <f>'Monthly Data'!BY89</f>
        <v>0</v>
      </c>
      <c r="O89" s="11"/>
      <c r="P89" s="11">
        <f ca="1">(E89-G89)*'GS &gt; 50 Predicted Monthly'!$Z$11</f>
        <v>1459755.3187309133</v>
      </c>
      <c r="Q89" s="11">
        <f ca="1">(F89-H89)*'GS &gt; 50 Predicted Monthly'!$Z$12</f>
        <v>-219350.75961095616</v>
      </c>
      <c r="R89" s="11"/>
      <c r="S89" s="11"/>
      <c r="T89" s="11"/>
      <c r="U89" s="11"/>
      <c r="V89" s="11"/>
      <c r="W89" s="11">
        <f t="shared" ca="1" si="9"/>
        <v>120445635.36262617</v>
      </c>
    </row>
    <row r="90" spans="1:23" x14ac:dyDescent="0.2">
      <c r="A90" s="8">
        <f>'Monthly Data'!A90</f>
        <v>45413</v>
      </c>
      <c r="B90">
        <f t="shared" si="7"/>
        <v>2024</v>
      </c>
      <c r="C90">
        <f t="shared" si="8"/>
        <v>5</v>
      </c>
      <c r="D90" s="18">
        <f>'Monthly Data'!N90</f>
        <v>127838014.13567087</v>
      </c>
      <c r="E90" s="290">
        <f t="shared" ca="1" si="10"/>
        <v>65.335833333333326</v>
      </c>
      <c r="F90" s="290">
        <f t="shared" ca="1" si="10"/>
        <v>59.300416666666649</v>
      </c>
      <c r="G90" s="21">
        <f>'Monthly Data'!BJ90</f>
        <v>14.683333333333328</v>
      </c>
      <c r="H90" s="21">
        <f>'Monthly Data'!BK90</f>
        <v>73.216666666666654</v>
      </c>
      <c r="I90" s="11">
        <f>'Monthly Data'!CV90</f>
        <v>0</v>
      </c>
      <c r="J90" s="7">
        <f>'Monthly Data'!CS90</f>
        <v>31</v>
      </c>
      <c r="K90" s="19">
        <f>'Monthly Data'!AO90</f>
        <v>888733</v>
      </c>
      <c r="L90" s="19">
        <f>'Monthly Data'!CF90</f>
        <v>0</v>
      </c>
      <c r="M90" s="19">
        <f>'Monthly Data'!BY90</f>
        <v>0</v>
      </c>
      <c r="O90" s="11"/>
      <c r="P90" s="11">
        <f ca="1">(E90-G90)*'GS &gt; 50 Predicted Monthly'!$Z$11</f>
        <v>1080579.9113820021</v>
      </c>
      <c r="Q90" s="11">
        <f ca="1">(F90-H90)*'GS &gt; 50 Predicted Monthly'!$Z$12</f>
        <v>-1648536.4582012454</v>
      </c>
      <c r="R90" s="11"/>
      <c r="S90" s="11"/>
      <c r="T90" s="11"/>
      <c r="U90" s="11"/>
      <c r="V90" s="11"/>
      <c r="W90" s="11">
        <f t="shared" ca="1" si="9"/>
        <v>127270057.58885163</v>
      </c>
    </row>
    <row r="91" spans="1:23" x14ac:dyDescent="0.2">
      <c r="A91" s="8">
        <f>'Monthly Data'!A91</f>
        <v>45444</v>
      </c>
      <c r="B91">
        <f t="shared" si="7"/>
        <v>2024</v>
      </c>
      <c r="C91">
        <f t="shared" si="8"/>
        <v>6</v>
      </c>
      <c r="D91" s="18">
        <f>'Monthly Data'!N91</f>
        <v>133833612.63178854</v>
      </c>
      <c r="E91" s="290">
        <f t="shared" ca="1" si="10"/>
        <v>3.0447916666666672</v>
      </c>
      <c r="F91" s="290">
        <f t="shared" ca="1" si="10"/>
        <v>157.17000000000002</v>
      </c>
      <c r="G91" s="21">
        <f>'Monthly Data'!BJ91</f>
        <v>1.9666666666666686</v>
      </c>
      <c r="H91" s="21">
        <f>'Monthly Data'!BK91</f>
        <v>169.16458333333333</v>
      </c>
      <c r="I91" s="11">
        <f>'Monthly Data'!CV91</f>
        <v>0</v>
      </c>
      <c r="J91" s="7">
        <f>'Monthly Data'!CS91</f>
        <v>30</v>
      </c>
      <c r="K91" s="19">
        <f>'Monthly Data'!AO91</f>
        <v>888733</v>
      </c>
      <c r="L91" s="19">
        <f>'Monthly Data'!CF91</f>
        <v>0</v>
      </c>
      <c r="M91" s="19">
        <f>'Monthly Data'!BY91</f>
        <v>0</v>
      </c>
      <c r="O91" s="11"/>
      <c r="P91" s="11">
        <f ca="1">(E91-G91)*'GS &gt; 50 Predicted Monthly'!$Z$11</f>
        <v>22999.856215561314</v>
      </c>
      <c r="Q91" s="11">
        <f ca="1">(F91-H91)*'GS &gt; 50 Predicted Monthly'!$Z$12</f>
        <v>-1420893.4106481974</v>
      </c>
      <c r="R91" s="11"/>
      <c r="S91" s="11"/>
      <c r="T91" s="11"/>
      <c r="U91" s="11"/>
      <c r="V91" s="11"/>
      <c r="W91" s="11">
        <f t="shared" ca="1" si="9"/>
        <v>132435719.07735591</v>
      </c>
    </row>
    <row r="92" spans="1:23" x14ac:dyDescent="0.2">
      <c r="A92" s="8">
        <f>'Monthly Data'!A92</f>
        <v>45474</v>
      </c>
      <c r="B92">
        <f t="shared" si="7"/>
        <v>2024</v>
      </c>
      <c r="C92">
        <f t="shared" si="8"/>
        <v>7</v>
      </c>
      <c r="D92" s="18">
        <f>'Monthly Data'!N92</f>
        <v>144180020.06310722</v>
      </c>
      <c r="E92" s="290">
        <f t="shared" ca="1" si="10"/>
        <v>0</v>
      </c>
      <c r="F92" s="290">
        <f t="shared" ca="1" si="10"/>
        <v>231.27145833333333</v>
      </c>
      <c r="G92" s="21">
        <f>'Monthly Data'!BJ92</f>
        <v>0</v>
      </c>
      <c r="H92" s="21">
        <f>'Monthly Data'!BK92</f>
        <v>221.45416666666657</v>
      </c>
      <c r="I92" s="11">
        <f>'Monthly Data'!CV92</f>
        <v>0</v>
      </c>
      <c r="J92" s="7">
        <f>'Monthly Data'!CS92</f>
        <v>31</v>
      </c>
      <c r="K92" s="19">
        <f>'Monthly Data'!AO92</f>
        <v>890079</v>
      </c>
      <c r="L92" s="19">
        <f>'Monthly Data'!CF92</f>
        <v>0</v>
      </c>
      <c r="M92" s="19">
        <f>'Monthly Data'!BY92</f>
        <v>0</v>
      </c>
      <c r="O92" s="11"/>
      <c r="P92" s="11">
        <f ca="1">(E92-G92)*'GS &gt; 50 Predicted Monthly'!$Z$11</f>
        <v>0</v>
      </c>
      <c r="Q92" s="11">
        <f ca="1">(F92-H92)*'GS &gt; 50 Predicted Monthly'!$Z$12</f>
        <v>1162968.7044495046</v>
      </c>
      <c r="R92" s="11"/>
      <c r="S92" s="11"/>
      <c r="T92" s="11"/>
      <c r="U92" s="11"/>
      <c r="V92" s="11"/>
      <c r="W92" s="11">
        <f t="shared" ca="1" si="9"/>
        <v>145342988.76755673</v>
      </c>
    </row>
    <row r="93" spans="1:23" x14ac:dyDescent="0.2">
      <c r="A93" s="8">
        <f>'Monthly Data'!A93</f>
        <v>45505</v>
      </c>
      <c r="B93">
        <f t="shared" si="7"/>
        <v>2024</v>
      </c>
      <c r="C93">
        <f t="shared" si="8"/>
        <v>8</v>
      </c>
      <c r="D93" s="18">
        <f>'Monthly Data'!N93</f>
        <v>140684717.14086288</v>
      </c>
      <c r="E93" s="290">
        <f t="shared" ca="1" si="10"/>
        <v>0.27875000000000066</v>
      </c>
      <c r="F93" s="290">
        <f t="shared" ca="1" si="10"/>
        <v>196.13625000000002</v>
      </c>
      <c r="G93" s="21">
        <f>'Monthly Data'!BJ93</f>
        <v>0.30000000000000426</v>
      </c>
      <c r="H93" s="21">
        <f>'Monthly Data'!BK93</f>
        <v>183.15208333333334</v>
      </c>
      <c r="I93" s="11">
        <f>'Monthly Data'!CV93</f>
        <v>0</v>
      </c>
      <c r="J93" s="7">
        <f>'Monthly Data'!CS93</f>
        <v>31</v>
      </c>
      <c r="K93" s="19">
        <f>'Monthly Data'!AO93</f>
        <v>890079</v>
      </c>
      <c r="L93" s="19">
        <f>'Monthly Data'!CF93</f>
        <v>0</v>
      </c>
      <c r="M93" s="19">
        <f>'Monthly Data'!BY93</f>
        <v>1</v>
      </c>
      <c r="O93" s="11"/>
      <c r="P93" s="11">
        <f ca="1">(E93-G93)*'GS &gt; 50 Predicted Monthly'!$Z$11</f>
        <v>-453.33049932128591</v>
      </c>
      <c r="Q93" s="11">
        <f ca="1">(F93-H93)*'GS &gt; 50 Predicted Monthly'!$Z$12</f>
        <v>1538120.6955437963</v>
      </c>
      <c r="R93" s="11"/>
      <c r="S93" s="11"/>
      <c r="T93" s="11"/>
      <c r="U93" s="11"/>
      <c r="V93" s="11"/>
      <c r="W93" s="11">
        <f t="shared" ca="1" si="9"/>
        <v>142222384.50590736</v>
      </c>
    </row>
    <row r="94" spans="1:23" x14ac:dyDescent="0.2">
      <c r="A94" s="8">
        <f>'Monthly Data'!A94</f>
        <v>45536</v>
      </c>
      <c r="B94">
        <f t="shared" si="7"/>
        <v>2024</v>
      </c>
      <c r="C94">
        <f t="shared" si="8"/>
        <v>9</v>
      </c>
      <c r="D94" s="18">
        <f>'Monthly Data'!N94</f>
        <v>131948874.08685753</v>
      </c>
      <c r="E94" s="290">
        <f t="shared" ref="E94:F113" ca="1" si="11">E82</f>
        <v>11.319999999999997</v>
      </c>
      <c r="F94" s="290">
        <f t="shared" ca="1" si="11"/>
        <v>104.19854166666664</v>
      </c>
      <c r="G94" s="21">
        <f>'Monthly Data'!BJ94</f>
        <v>4.2874999999999979</v>
      </c>
      <c r="H94" s="21">
        <f>'Monthly Data'!BK94</f>
        <v>120.08541666666667</v>
      </c>
      <c r="I94" s="11">
        <f>'Monthly Data'!CV94</f>
        <v>0</v>
      </c>
      <c r="J94" s="7">
        <f>'Monthly Data'!CS94</f>
        <v>30</v>
      </c>
      <c r="K94" s="19">
        <f>'Monthly Data'!AO94</f>
        <v>890079</v>
      </c>
      <c r="L94" s="19">
        <f>'Monthly Data'!CF94</f>
        <v>1</v>
      </c>
      <c r="M94" s="19">
        <f>'Monthly Data'!BY94</f>
        <v>0</v>
      </c>
      <c r="O94" s="11"/>
      <c r="P94" s="11">
        <f ca="1">(E94-G94)*'GS &gt; 50 Predicted Monthly'!$Z$11</f>
        <v>150025.72877536013</v>
      </c>
      <c r="Q94" s="11">
        <f ca="1">(F94-H94)*'GS &gt; 50 Predicted Monthly'!$Z$12</f>
        <v>-1881979.1714280755</v>
      </c>
      <c r="R94" s="11"/>
      <c r="S94" s="11"/>
      <c r="T94" s="11"/>
      <c r="U94" s="11"/>
      <c r="V94" s="11"/>
      <c r="W94" s="11">
        <f t="shared" ca="1" si="9"/>
        <v>130216920.64420483</v>
      </c>
    </row>
    <row r="95" spans="1:23" x14ac:dyDescent="0.2">
      <c r="A95" s="8">
        <f>'Monthly Data'!A95</f>
        <v>45566</v>
      </c>
      <c r="B95">
        <f t="shared" si="7"/>
        <v>2024</v>
      </c>
      <c r="C95">
        <f t="shared" si="8"/>
        <v>10</v>
      </c>
      <c r="D95" s="18">
        <f>'Monthly Data'!N95</f>
        <v>126263744.87094221</v>
      </c>
      <c r="E95" s="290">
        <f t="shared" ca="1" si="11"/>
        <v>126.12583333333332</v>
      </c>
      <c r="F95" s="290">
        <f t="shared" ca="1" si="11"/>
        <v>24.703125000000007</v>
      </c>
      <c r="G95" s="21">
        <f>'Monthly Data'!BJ95</f>
        <v>109.52916666666667</v>
      </c>
      <c r="H95" s="21">
        <f>'Monthly Data'!BK95</f>
        <v>19.300000000000008</v>
      </c>
      <c r="I95" s="11">
        <f>'Monthly Data'!CV95</f>
        <v>0</v>
      </c>
      <c r="J95" s="7">
        <f>'Monthly Data'!CS95</f>
        <v>31</v>
      </c>
      <c r="K95" s="19">
        <f>'Monthly Data'!AO95</f>
        <v>893201</v>
      </c>
      <c r="L95" s="19">
        <f>'Monthly Data'!CF95</f>
        <v>1</v>
      </c>
      <c r="M95" s="19">
        <f>'Monthly Data'!BY95</f>
        <v>0</v>
      </c>
      <c r="O95" s="11"/>
      <c r="P95" s="11">
        <f ca="1">(E95-G95)*'GS &gt; 50 Predicted Monthly'!$Z$11</f>
        <v>354060.00880318397</v>
      </c>
      <c r="Q95" s="11">
        <f ca="1">(F95-H95)*'GS &gt; 50 Predicted Monthly'!$Z$12</f>
        <v>640060.97552994522</v>
      </c>
      <c r="R95" s="11"/>
      <c r="S95" s="11"/>
      <c r="T95" s="11"/>
      <c r="U95" s="11"/>
      <c r="V95" s="11"/>
      <c r="W95" s="11">
        <f t="shared" ca="1" si="9"/>
        <v>127257865.85527533</v>
      </c>
    </row>
    <row r="96" spans="1:23" x14ac:dyDescent="0.2">
      <c r="A96" s="8">
        <f>'Monthly Data'!A96</f>
        <v>45597</v>
      </c>
      <c r="B96">
        <f t="shared" si="7"/>
        <v>2024</v>
      </c>
      <c r="C96">
        <f t="shared" si="8"/>
        <v>11</v>
      </c>
      <c r="D96" s="18">
        <f>'Monthly Data'!N96</f>
        <v>122175106.07708685</v>
      </c>
      <c r="E96" s="290">
        <f t="shared" ca="1" si="11"/>
        <v>312.40687500000001</v>
      </c>
      <c r="F96" s="290">
        <f t="shared" ca="1" si="11"/>
        <v>1.6454166666666665</v>
      </c>
      <c r="G96" s="21">
        <f>'Monthly Data'!BJ96</f>
        <v>248.15208333333331</v>
      </c>
      <c r="H96" s="21">
        <f>'Monthly Data'!BK96</f>
        <v>7.3583333333333343</v>
      </c>
      <c r="I96" s="11">
        <f>'Monthly Data'!CV96</f>
        <v>0</v>
      </c>
      <c r="J96" s="7">
        <f>'Monthly Data'!CS96</f>
        <v>30</v>
      </c>
      <c r="K96" s="19">
        <f>'Monthly Data'!AO96</f>
        <v>893201</v>
      </c>
      <c r="L96" s="19">
        <f>'Monthly Data'!CF96</f>
        <v>1</v>
      </c>
      <c r="M96" s="19">
        <f>'Monthly Data'!BY96</f>
        <v>0</v>
      </c>
      <c r="O96" s="11"/>
      <c r="P96" s="11">
        <f ca="1">(E96-G96)*'GS &gt; 50 Predicted Monthly'!$Z$11</f>
        <v>1370760.3195308368</v>
      </c>
      <c r="Q96" s="11">
        <f ca="1">(F96-H96)*'GS &gt; 50 Predicted Monthly'!$Z$12</f>
        <v>-676759.28555936622</v>
      </c>
      <c r="R96" s="11"/>
      <c r="S96" s="11"/>
      <c r="T96" s="11"/>
      <c r="U96" s="11"/>
      <c r="V96" s="11"/>
      <c r="W96" s="11">
        <f t="shared" ca="1" si="9"/>
        <v>122869107.11105831</v>
      </c>
    </row>
    <row r="97" spans="1:27" x14ac:dyDescent="0.2">
      <c r="A97" s="8">
        <f>'Monthly Data'!A97</f>
        <v>45627</v>
      </c>
      <c r="B97">
        <f t="shared" si="7"/>
        <v>2024</v>
      </c>
      <c r="C97">
        <f t="shared" si="8"/>
        <v>12</v>
      </c>
      <c r="D97" s="18">
        <f>'Monthly Data'!N97</f>
        <v>125238381.01410152</v>
      </c>
      <c r="E97" s="290">
        <f t="shared" ca="1" si="11"/>
        <v>473.52499999999998</v>
      </c>
      <c r="F97" s="290">
        <f t="shared" ca="1" si="11"/>
        <v>0</v>
      </c>
      <c r="G97" s="21">
        <f>'Monthly Data'!BJ97</f>
        <v>477.23749999999995</v>
      </c>
      <c r="H97" s="21">
        <f>'Monthly Data'!BK97</f>
        <v>0</v>
      </c>
      <c r="I97" s="11">
        <f>'Monthly Data'!CV97</f>
        <v>0</v>
      </c>
      <c r="J97" s="7">
        <f>'Monthly Data'!CS97</f>
        <v>31</v>
      </c>
      <c r="K97" s="19">
        <f>'Monthly Data'!AO97</f>
        <v>893201</v>
      </c>
      <c r="L97" s="19">
        <f>'Monthly Data'!CF97</f>
        <v>0</v>
      </c>
      <c r="M97" s="19">
        <f>'Monthly Data'!BY97</f>
        <v>0</v>
      </c>
      <c r="O97" s="11"/>
      <c r="P97" s="11">
        <f ca="1">(E97-G97)*'GS &gt; 50 Predicted Monthly'!$Z$11</f>
        <v>-79199.504881410758</v>
      </c>
      <c r="Q97" s="11">
        <f ca="1">(F97-H97)*'GS &gt; 50 Predicted Monthly'!$Z$12</f>
        <v>0</v>
      </c>
      <c r="R97" s="11"/>
      <c r="S97" s="11"/>
      <c r="T97" s="11"/>
      <c r="U97" s="11"/>
      <c r="V97" s="11"/>
      <c r="W97" s="11">
        <f t="shared" ca="1" si="9"/>
        <v>125159181.50922011</v>
      </c>
    </row>
    <row r="98" spans="1:27" x14ac:dyDescent="0.2">
      <c r="A98" s="8">
        <f>'Monthly Data'!A98</f>
        <v>45658</v>
      </c>
      <c r="B98">
        <f t="shared" ref="B98:B109" si="12">YEAR(A98)</f>
        <v>2025</v>
      </c>
      <c r="C98">
        <f t="shared" ref="C98:C109" si="13">MONTH(A98)</f>
        <v>1</v>
      </c>
      <c r="D98" s="18">
        <f>'Monthly Data'!N98</f>
        <v>137053466.26581526</v>
      </c>
      <c r="E98" s="290">
        <f t="shared" ca="1" si="11"/>
        <v>566.30416666666667</v>
      </c>
      <c r="F98" s="290">
        <f t="shared" ca="1" si="11"/>
        <v>0</v>
      </c>
      <c r="G98" s="21">
        <f>'Monthly Data'!BJ98</f>
        <v>631.72708333333333</v>
      </c>
      <c r="H98" s="21">
        <f>'Monthly Data'!BK98</f>
        <v>0</v>
      </c>
      <c r="I98" s="11">
        <f>'Monthly Data'!CV98</f>
        <v>0</v>
      </c>
      <c r="J98" s="7">
        <f>'Monthly Data'!CS98</f>
        <v>31</v>
      </c>
      <c r="K98" s="19">
        <f>'Monthly Data'!AO98</f>
        <v>898185</v>
      </c>
      <c r="L98" s="19">
        <f>'Monthly Data'!CF98</f>
        <v>0</v>
      </c>
      <c r="M98" s="19">
        <f>'Monthly Data'!BY98</f>
        <v>0</v>
      </c>
      <c r="O98" s="11"/>
      <c r="P98" s="11">
        <f ca="1">(E98-G98)*'GS &gt; 50 Predicted Monthly'!$Z$11</f>
        <v>-1395680.1637435223</v>
      </c>
      <c r="Q98" s="11">
        <f ca="1">(F98-H98)*'GS &gt; 50 Predicted Monthly'!$Z$12</f>
        <v>0</v>
      </c>
      <c r="R98" s="11"/>
      <c r="S98" s="11"/>
      <c r="T98" s="11"/>
      <c r="U98" s="11"/>
      <c r="V98" s="11"/>
      <c r="W98" s="11">
        <f t="shared" ref="W98:W109" ca="1" si="14">D98+P98+Q98</f>
        <v>135657786.10207173</v>
      </c>
    </row>
    <row r="99" spans="1:27" x14ac:dyDescent="0.2">
      <c r="A99" s="8">
        <f>'Monthly Data'!A99</f>
        <v>45689</v>
      </c>
      <c r="B99">
        <f t="shared" si="12"/>
        <v>2025</v>
      </c>
      <c r="C99">
        <f t="shared" si="13"/>
        <v>2</v>
      </c>
      <c r="D99" s="18">
        <f>'Monthly Data'!N99</f>
        <v>122760916.13489303</v>
      </c>
      <c r="E99" s="290">
        <f t="shared" ca="1" si="11"/>
        <v>483.54541666666665</v>
      </c>
      <c r="F99" s="290">
        <f t="shared" ca="1" si="11"/>
        <v>0</v>
      </c>
      <c r="G99" s="21">
        <f>'Monthly Data'!BJ99</f>
        <v>547.18750000000011</v>
      </c>
      <c r="H99" s="21">
        <f>'Monthly Data'!BK99</f>
        <v>0</v>
      </c>
      <c r="I99" s="11">
        <f>'Monthly Data'!CV99</f>
        <v>0</v>
      </c>
      <c r="J99" s="7">
        <f>'Monthly Data'!CS99</f>
        <v>28</v>
      </c>
      <c r="K99" s="19">
        <f>'Monthly Data'!AO99</f>
        <v>898185</v>
      </c>
      <c r="L99" s="19">
        <f>'Monthly Data'!CF99</f>
        <v>0</v>
      </c>
      <c r="M99" s="19">
        <f>'Monthly Data'!BY99</f>
        <v>0</v>
      </c>
      <c r="O99" s="11"/>
      <c r="P99" s="11">
        <f ca="1">(E99-G99)*'GS &gt; 50 Predicted Monthly'!$Z$11</f>
        <v>-1357689.2901337438</v>
      </c>
      <c r="Q99" s="11">
        <f ca="1">(F99-H99)*'GS &gt; 50 Predicted Monthly'!$Z$12</f>
        <v>0</v>
      </c>
      <c r="R99" s="11"/>
      <c r="S99" s="11"/>
      <c r="T99" s="11"/>
      <c r="U99" s="11"/>
      <c r="V99" s="11"/>
      <c r="W99" s="11">
        <f t="shared" ca="1" si="14"/>
        <v>121403226.84475929</v>
      </c>
    </row>
    <row r="100" spans="1:27" x14ac:dyDescent="0.2">
      <c r="A100" s="8">
        <f>'Monthly Data'!A100</f>
        <v>45717</v>
      </c>
      <c r="B100">
        <f t="shared" si="12"/>
        <v>2025</v>
      </c>
      <c r="C100">
        <f t="shared" si="13"/>
        <v>3</v>
      </c>
      <c r="D100" s="18">
        <f>'Monthly Data'!N100</f>
        <v>128253078.95458482</v>
      </c>
      <c r="E100" s="290">
        <f t="shared" ca="1" si="11"/>
        <v>393.96333333333331</v>
      </c>
      <c r="F100" s="290">
        <f t="shared" ca="1" si="11"/>
        <v>0</v>
      </c>
      <c r="G100" s="21">
        <f>'Monthly Data'!BJ100</f>
        <v>350.71041666666673</v>
      </c>
      <c r="H100" s="21">
        <f>'Monthly Data'!BK100</f>
        <v>0</v>
      </c>
      <c r="I100" s="11">
        <f>'Monthly Data'!CV100</f>
        <v>0</v>
      </c>
      <c r="J100" s="7">
        <f>'Monthly Data'!CS100</f>
        <v>31</v>
      </c>
      <c r="K100" s="19">
        <f>'Monthly Data'!AO100</f>
        <v>898185</v>
      </c>
      <c r="L100" s="19">
        <f>'Monthly Data'!CF100</f>
        <v>0</v>
      </c>
      <c r="M100" s="19">
        <f>'Monthly Data'!BY100</f>
        <v>0</v>
      </c>
      <c r="O100" s="11"/>
      <c r="P100" s="11">
        <f ca="1">(E100-G100)*'GS &gt; 50 Predicted Monthly'!$Z$11</f>
        <v>922723.12045169913</v>
      </c>
      <c r="Q100" s="11">
        <f ca="1">(F100-H100)*'GS &gt; 50 Predicted Monthly'!$Z$12</f>
        <v>0</v>
      </c>
      <c r="R100" s="11"/>
      <c r="S100" s="11"/>
      <c r="T100" s="11"/>
      <c r="U100" s="11"/>
      <c r="V100" s="11"/>
      <c r="W100" s="11">
        <f t="shared" ca="1" si="14"/>
        <v>129175802.07503653</v>
      </c>
      <c r="Z100" s="11"/>
      <c r="AA100" s="22"/>
    </row>
    <row r="101" spans="1:27" x14ac:dyDescent="0.2">
      <c r="A101" s="8">
        <f>'Monthly Data'!A101</f>
        <v>45748</v>
      </c>
      <c r="B101">
        <f t="shared" si="12"/>
        <v>2025</v>
      </c>
      <c r="C101">
        <f t="shared" si="13"/>
        <v>4</v>
      </c>
      <c r="D101" s="18">
        <f>'Monthly Data'!N101</f>
        <v>122182535.02156162</v>
      </c>
      <c r="E101" s="290">
        <f t="shared" ca="1" si="11"/>
        <v>226.60145833333337</v>
      </c>
      <c r="F101" s="290">
        <f t="shared" ca="1" si="11"/>
        <v>6.5650000000000031</v>
      </c>
      <c r="G101" s="21">
        <f>'Monthly Data'!BJ101</f>
        <v>209.11249999999995</v>
      </c>
      <c r="H101" s="21">
        <f>'Monthly Data'!BK101</f>
        <v>9.0583333333333371</v>
      </c>
      <c r="I101" s="11">
        <f>'Monthly Data'!CV101</f>
        <v>0</v>
      </c>
      <c r="J101" s="7">
        <f>'Monthly Data'!CS101</f>
        <v>30</v>
      </c>
      <c r="K101" s="19">
        <f>'Monthly Data'!AO101</f>
        <v>895773</v>
      </c>
      <c r="L101" s="19">
        <f>'Monthly Data'!CF101</f>
        <v>0</v>
      </c>
      <c r="M101" s="19">
        <f>'Monthly Data'!BY101</f>
        <v>0</v>
      </c>
      <c r="O101" s="11"/>
      <c r="P101" s="11">
        <f ca="1">(E101-G101)*'GS &gt; 50 Predicted Monthly'!$Z$11</f>
        <v>373095.44535801682</v>
      </c>
      <c r="Q101" s="11">
        <f ca="1">(F101-H101)*'GS &gt; 50 Predicted Monthly'!$Z$12</f>
        <v>-295363.39908009977</v>
      </c>
      <c r="R101" s="11"/>
      <c r="S101" s="11"/>
      <c r="T101" s="11"/>
      <c r="U101" s="11"/>
      <c r="V101" s="11"/>
      <c r="W101" s="11">
        <f t="shared" ca="1" si="14"/>
        <v>122260267.06783955</v>
      </c>
      <c r="Z101" s="11"/>
      <c r="AA101" s="22"/>
    </row>
    <row r="102" spans="1:27" x14ac:dyDescent="0.2">
      <c r="A102" s="8">
        <f>'Monthly Data'!A102</f>
        <v>45778</v>
      </c>
      <c r="B102">
        <f t="shared" si="12"/>
        <v>2025</v>
      </c>
      <c r="C102">
        <f t="shared" si="13"/>
        <v>5</v>
      </c>
      <c r="D102" s="18">
        <f>'Monthly Data'!N102</f>
        <v>125315316.3047014</v>
      </c>
      <c r="E102" s="290">
        <f t="shared" ca="1" si="11"/>
        <v>65.335833333333326</v>
      </c>
      <c r="F102" s="290">
        <f t="shared" ca="1" si="11"/>
        <v>59.300416666666649</v>
      </c>
      <c r="G102" s="21">
        <f>'Monthly Data'!BJ102</f>
        <v>73.445833333333326</v>
      </c>
      <c r="H102" s="21">
        <f>'Monthly Data'!BK102</f>
        <v>30.504166666666652</v>
      </c>
      <c r="I102" s="11">
        <f>'Monthly Data'!CV102</f>
        <v>0</v>
      </c>
      <c r="J102" s="7">
        <f>'Monthly Data'!CS102</f>
        <v>31</v>
      </c>
      <c r="K102" s="19">
        <f>'Monthly Data'!AO102</f>
        <v>895773</v>
      </c>
      <c r="L102" s="19">
        <f>'Monthly Data'!CF102</f>
        <v>0</v>
      </c>
      <c r="M102" s="19">
        <f>'Monthly Data'!BY102</f>
        <v>0</v>
      </c>
      <c r="O102" s="11"/>
      <c r="P102" s="11">
        <f ca="1">(E102-G102)*'GS &gt; 50 Predicted Monthly'!$Z$11</f>
        <v>-173012.25174094143</v>
      </c>
      <c r="Q102" s="11">
        <f ca="1">(F102-H102)*'GS &gt; 50 Predicted Monthly'!$Z$12</f>
        <v>3411239.9521765988</v>
      </c>
      <c r="R102" s="11"/>
      <c r="S102" s="11"/>
      <c r="T102" s="11"/>
      <c r="U102" s="11"/>
      <c r="V102" s="11"/>
      <c r="W102" s="11">
        <f t="shared" ca="1" si="14"/>
        <v>128553544.00513706</v>
      </c>
      <c r="Z102" s="11"/>
      <c r="AA102" s="22"/>
    </row>
    <row r="103" spans="1:27" x14ac:dyDescent="0.2">
      <c r="A103" s="8">
        <f>'Monthly Data'!A103</f>
        <v>45809</v>
      </c>
      <c r="B103">
        <f t="shared" si="12"/>
        <v>2025</v>
      </c>
      <c r="C103">
        <f t="shared" si="13"/>
        <v>6</v>
      </c>
      <c r="D103" s="18">
        <f>'Monthly Data'!N103</f>
        <v>138313000.13588518</v>
      </c>
      <c r="E103" s="290">
        <f t="shared" ca="1" si="11"/>
        <v>3.0447916666666672</v>
      </c>
      <c r="F103" s="290">
        <f t="shared" ca="1" si="11"/>
        <v>157.17000000000002</v>
      </c>
      <c r="G103" s="21">
        <f>'Monthly Data'!BJ103</f>
        <v>4.3041666666666671</v>
      </c>
      <c r="H103" s="21">
        <f>'Monthly Data'!BK103</f>
        <v>188.56249999999997</v>
      </c>
      <c r="I103" s="11">
        <f>'Monthly Data'!CV103</f>
        <v>0</v>
      </c>
      <c r="J103" s="7">
        <f>'Monthly Data'!CS103</f>
        <v>30</v>
      </c>
      <c r="K103" s="19">
        <f>'Monthly Data'!AO103</f>
        <v>895773</v>
      </c>
      <c r="L103" s="19">
        <f>'Monthly Data'!CF103</f>
        <v>0</v>
      </c>
      <c r="M103" s="19">
        <f>'Monthly Data'!BY103</f>
        <v>0</v>
      </c>
      <c r="O103" s="11"/>
      <c r="P103" s="11">
        <f ca="1">(E103-G103)*'GS &gt; 50 Predicted Monthly'!$Z$11</f>
        <v>-26866.498709771655</v>
      </c>
      <c r="Q103" s="11">
        <f ca="1">(F103-H103)*'GS &gt; 50 Predicted Monthly'!$Z$12</f>
        <v>-3718794.9888858353</v>
      </c>
      <c r="R103" s="11"/>
      <c r="S103" s="11"/>
      <c r="T103" s="11"/>
      <c r="U103" s="11"/>
      <c r="V103" s="11"/>
      <c r="W103" s="11">
        <f t="shared" ca="1" si="14"/>
        <v>134567338.64828956</v>
      </c>
      <c r="Z103" s="11"/>
      <c r="AA103" s="22"/>
    </row>
    <row r="104" spans="1:27" x14ac:dyDescent="0.2">
      <c r="A104" s="8">
        <f>'Monthly Data'!A104</f>
        <v>45839</v>
      </c>
      <c r="B104">
        <f t="shared" si="12"/>
        <v>2025</v>
      </c>
      <c r="C104">
        <f t="shared" si="13"/>
        <v>7</v>
      </c>
      <c r="D104" s="18">
        <f>'Monthly Data'!N104</f>
        <v>151365878.72756097</v>
      </c>
      <c r="E104" s="290">
        <f t="shared" ca="1" si="11"/>
        <v>0</v>
      </c>
      <c r="F104" s="290">
        <f t="shared" ca="1" si="11"/>
        <v>231.27145833333333</v>
      </c>
      <c r="G104" s="21">
        <f>'Monthly Data'!BJ104</f>
        <v>0</v>
      </c>
      <c r="H104" s="21">
        <f>'Monthly Data'!BK104</f>
        <v>255.57916666666662</v>
      </c>
      <c r="I104" s="11">
        <f>'Monthly Data'!CV104</f>
        <v>0</v>
      </c>
      <c r="J104" s="7">
        <f>'Monthly Data'!CS104</f>
        <v>31</v>
      </c>
      <c r="K104" s="19">
        <f>'Monthly Data'!AO104</f>
        <v>901842</v>
      </c>
      <c r="L104" s="19">
        <f>'Monthly Data'!CF104</f>
        <v>0</v>
      </c>
      <c r="M104" s="19">
        <f>'Monthly Data'!BY104</f>
        <v>0</v>
      </c>
      <c r="O104" s="11"/>
      <c r="P104" s="11">
        <f ca="1">(E104-G104)*'GS &gt; 50 Predicted Monthly'!$Z$11</f>
        <v>0</v>
      </c>
      <c r="Q104" s="11">
        <f ca="1">(F104-H104)*'GS &gt; 50 Predicted Monthly'!$Z$12</f>
        <v>-2879521.6673185774</v>
      </c>
      <c r="R104" s="11"/>
      <c r="S104" s="11"/>
      <c r="T104" s="11"/>
      <c r="U104" s="11"/>
      <c r="V104" s="11"/>
      <c r="W104" s="11">
        <f t="shared" ca="1" si="14"/>
        <v>148486357.06024238</v>
      </c>
      <c r="Z104" s="11"/>
      <c r="AA104" s="22"/>
    </row>
    <row r="105" spans="1:27" x14ac:dyDescent="0.2">
      <c r="A105" s="8">
        <f>'Monthly Data'!A105</f>
        <v>45870</v>
      </c>
      <c r="B105">
        <f t="shared" si="12"/>
        <v>2025</v>
      </c>
      <c r="C105">
        <f t="shared" si="13"/>
        <v>8</v>
      </c>
      <c r="D105" s="18">
        <f>'Monthly Data'!N105</f>
        <v>141417506.86826575</v>
      </c>
      <c r="E105" s="290">
        <f t="shared" ca="1" si="11"/>
        <v>0.27875000000000066</v>
      </c>
      <c r="F105" s="290">
        <f t="shared" ca="1" si="11"/>
        <v>196.13625000000002</v>
      </c>
      <c r="G105" s="21">
        <f>'Monthly Data'!BJ105</f>
        <v>2.4833333333333378</v>
      </c>
      <c r="H105" s="21">
        <f>'Monthly Data'!BK105</f>
        <v>178.91250000000005</v>
      </c>
      <c r="I105" s="11">
        <f>'Monthly Data'!CV105</f>
        <v>0</v>
      </c>
      <c r="J105" s="7">
        <f>'Monthly Data'!CS105</f>
        <v>31</v>
      </c>
      <c r="K105" s="19">
        <f>'Monthly Data'!AO105</f>
        <v>901842</v>
      </c>
      <c r="L105" s="19">
        <f>'Monthly Data'!CF105</f>
        <v>0</v>
      </c>
      <c r="M105" s="19">
        <f>'Monthly Data'!BY105</f>
        <v>1</v>
      </c>
      <c r="O105" s="11"/>
      <c r="P105" s="11">
        <f ca="1">(E105-G105)*'GS &gt; 50 Predicted Monthly'!$Z$11</f>
        <v>-47030.817096245526</v>
      </c>
      <c r="Q105" s="11">
        <f ca="1">(F105-H105)*'GS &gt; 50 Predicted Monthly'!$Z$12</f>
        <v>2040347.0634649161</v>
      </c>
      <c r="R105" s="11"/>
      <c r="S105" s="11"/>
      <c r="T105" s="11"/>
      <c r="U105" s="11"/>
      <c r="V105" s="11"/>
      <c r="W105" s="11">
        <f t="shared" ca="1" si="14"/>
        <v>143410823.11463442</v>
      </c>
      <c r="Z105" s="11"/>
      <c r="AA105" s="22"/>
    </row>
    <row r="106" spans="1:27" x14ac:dyDescent="0.2">
      <c r="A106" s="8">
        <f>'Monthly Data'!A106</f>
        <v>45901</v>
      </c>
      <c r="B106">
        <f t="shared" si="12"/>
        <v>2025</v>
      </c>
      <c r="C106">
        <f t="shared" si="13"/>
        <v>9</v>
      </c>
      <c r="D106" s="18">
        <f>'Monthly Data'!N106</f>
        <v>131475262.87223354</v>
      </c>
      <c r="E106" s="290">
        <f t="shared" ca="1" si="11"/>
        <v>11.319999999999997</v>
      </c>
      <c r="F106" s="290">
        <f t="shared" ca="1" si="11"/>
        <v>104.19854166666664</v>
      </c>
      <c r="G106" s="21">
        <f>'Monthly Data'!BJ106</f>
        <v>3.1125000000000025</v>
      </c>
      <c r="H106" s="21">
        <f>'Monthly Data'!BK106</f>
        <v>102.07916666666665</v>
      </c>
      <c r="I106" s="11">
        <f>'Monthly Data'!CV106</f>
        <v>0</v>
      </c>
      <c r="J106" s="7">
        <f>'Monthly Data'!CS106</f>
        <v>30</v>
      </c>
      <c r="K106" s="19">
        <f>'Monthly Data'!AO106</f>
        <v>901842</v>
      </c>
      <c r="L106" s="19">
        <f>'Monthly Data'!CF106</f>
        <v>1</v>
      </c>
      <c r="M106" s="19">
        <f>'Monthly Data'!BY106</f>
        <v>0</v>
      </c>
      <c r="O106" s="11"/>
      <c r="P106" s="11">
        <f ca="1">(E106-G106)*'GS &gt; 50 Predicted Monthly'!$Z$11</f>
        <v>175092.23873782688</v>
      </c>
      <c r="Q106" s="11">
        <f ca="1">(F106-H106)*'GS &gt; 50 Predicted Monthly'!$Z$12</f>
        <v>251063.82510376346</v>
      </c>
      <c r="R106" s="11"/>
      <c r="S106" s="11"/>
      <c r="T106" s="11"/>
      <c r="U106" s="11"/>
      <c r="V106" s="11"/>
      <c r="W106" s="11">
        <f t="shared" ca="1" si="14"/>
        <v>131901418.93607512</v>
      </c>
      <c r="Z106" s="11"/>
      <c r="AA106" s="22"/>
    </row>
    <row r="107" spans="1:27" x14ac:dyDescent="0.2">
      <c r="A107" s="8">
        <f>'Monthly Data'!A107</f>
        <v>45931</v>
      </c>
      <c r="B107">
        <f t="shared" si="12"/>
        <v>2025</v>
      </c>
      <c r="C107">
        <f t="shared" si="13"/>
        <v>10</v>
      </c>
      <c r="D107" s="18">
        <f>'Monthly Data'!N107</f>
        <v>127953842.89877133</v>
      </c>
      <c r="E107" s="290">
        <f t="shared" ca="1" si="11"/>
        <v>126.12583333333332</v>
      </c>
      <c r="F107" s="290">
        <f t="shared" ca="1" si="11"/>
        <v>24.703125000000007</v>
      </c>
      <c r="G107" s="21">
        <f>'Monthly Data'!BJ107</f>
        <v>119.57916666666667</v>
      </c>
      <c r="H107" s="21">
        <f>'Monthly Data'!BK107</f>
        <v>29.312500000000004</v>
      </c>
      <c r="I107" s="11">
        <f>'Monthly Data'!CV107</f>
        <v>0</v>
      </c>
      <c r="J107" s="7">
        <f>'Monthly Data'!CS107</f>
        <v>31</v>
      </c>
      <c r="K107" s="19">
        <f>'Monthly Data'!AO107</f>
        <v>900059</v>
      </c>
      <c r="L107" s="19">
        <f>'Monthly Data'!CF107</f>
        <v>1</v>
      </c>
      <c r="M107" s="19">
        <f>'Monthly Data'!BY107</f>
        <v>0</v>
      </c>
      <c r="O107" s="11"/>
      <c r="P107" s="11">
        <f ca="1">(E107-G107)*'GS &gt; 50 Predicted Monthly'!$Z$11</f>
        <v>139661.3491242122</v>
      </c>
      <c r="Q107" s="11">
        <f ca="1">(F107-H107)*'GS &gt; 50 Predicted Monthly'!$Z$12</f>
        <v>-546032.35332947865</v>
      </c>
      <c r="R107" s="11"/>
      <c r="S107" s="11"/>
      <c r="T107" s="11"/>
      <c r="U107" s="11"/>
      <c r="V107" s="11"/>
      <c r="W107" s="11">
        <f t="shared" ca="1" si="14"/>
        <v>127547471.89456606</v>
      </c>
      <c r="Z107" s="11"/>
      <c r="AA107" s="22"/>
    </row>
    <row r="108" spans="1:27" x14ac:dyDescent="0.2">
      <c r="A108" s="8">
        <f>'Monthly Data'!A108</f>
        <v>45962</v>
      </c>
      <c r="B108">
        <f t="shared" si="12"/>
        <v>2025</v>
      </c>
      <c r="C108">
        <f t="shared" si="13"/>
        <v>11</v>
      </c>
      <c r="D108" s="18">
        <f>'Monthly Data'!N108</f>
        <v>123873467.5177781</v>
      </c>
      <c r="E108" s="290">
        <f t="shared" ca="1" si="11"/>
        <v>312.40687500000001</v>
      </c>
      <c r="F108" s="290">
        <f t="shared" ca="1" si="11"/>
        <v>1.6454166666666665</v>
      </c>
      <c r="G108" s="21">
        <f>'Monthly Data'!BJ108</f>
        <v>326.6229166666667</v>
      </c>
      <c r="H108" s="21">
        <f>'Monthly Data'!BK108</f>
        <v>0</v>
      </c>
      <c r="I108" s="11">
        <f>'Monthly Data'!CV108</f>
        <v>0</v>
      </c>
      <c r="J108" s="7">
        <f>'Monthly Data'!CS108</f>
        <v>30</v>
      </c>
      <c r="K108" s="19">
        <f>'Monthly Data'!AO108</f>
        <v>900059</v>
      </c>
      <c r="L108" s="19">
        <f>'Monthly Data'!CF108</f>
        <v>1</v>
      </c>
      <c r="M108" s="19">
        <f>'Monthly Data'!BY108</f>
        <v>0</v>
      </c>
      <c r="O108" s="11"/>
      <c r="P108" s="11">
        <f ca="1">(E108-G108)*'GS &gt; 50 Predicted Monthly'!$Z$11</f>
        <v>-303273.65962922922</v>
      </c>
      <c r="Q108" s="11">
        <f ca="1">(F108-H108)*'GS &gt; 50 Predicted Monthly'!$Z$12</f>
        <v>194918.12549587458</v>
      </c>
      <c r="R108" s="11"/>
      <c r="S108" s="11"/>
      <c r="T108" s="11"/>
      <c r="U108" s="11"/>
      <c r="V108" s="11"/>
      <c r="W108" s="11">
        <f t="shared" ca="1" si="14"/>
        <v>123765111.98364475</v>
      </c>
      <c r="Z108" s="11"/>
      <c r="AA108" s="22"/>
    </row>
    <row r="109" spans="1:27" x14ac:dyDescent="0.2">
      <c r="A109" s="8">
        <f>'Monthly Data'!A109</f>
        <v>45992</v>
      </c>
      <c r="B109">
        <f t="shared" si="12"/>
        <v>2025</v>
      </c>
      <c r="C109">
        <f t="shared" si="13"/>
        <v>12</v>
      </c>
      <c r="D109" s="18">
        <f>'Monthly Data'!N109</f>
        <v>129128541.23771989</v>
      </c>
      <c r="E109" s="290">
        <f t="shared" ca="1" si="11"/>
        <v>473.52499999999998</v>
      </c>
      <c r="F109" s="290">
        <f t="shared" ca="1" si="11"/>
        <v>0</v>
      </c>
      <c r="G109" s="21">
        <f>'Monthly Data'!BJ109</f>
        <v>565.42916666666667</v>
      </c>
      <c r="H109" s="21">
        <f>'Monthly Data'!BK109</f>
        <v>0</v>
      </c>
      <c r="I109" s="11">
        <f>'Monthly Data'!CV109</f>
        <v>0</v>
      </c>
      <c r="J109" s="7">
        <f>'Monthly Data'!CS109</f>
        <v>31</v>
      </c>
      <c r="K109" s="19">
        <f>'Monthly Data'!AO109</f>
        <v>900059</v>
      </c>
      <c r="L109" s="19">
        <f>'Monthly Data'!CF109</f>
        <v>0</v>
      </c>
      <c r="M109" s="19">
        <f>'Monthly Data'!BY109</f>
        <v>0</v>
      </c>
      <c r="O109" s="11"/>
      <c r="P109" s="11">
        <f ca="1">(E109-G109)*'GS &gt; 50 Predicted Monthly'!$Z$11</f>
        <v>-1960609.9653976299</v>
      </c>
      <c r="Q109" s="11">
        <f ca="1">(F109-H109)*'GS &gt; 50 Predicted Monthly'!$Z$12</f>
        <v>0</v>
      </c>
      <c r="R109" s="11"/>
      <c r="S109" s="11"/>
      <c r="T109" s="11"/>
      <c r="U109" s="11"/>
      <c r="V109" s="11"/>
      <c r="W109" s="11">
        <f t="shared" ca="1" si="14"/>
        <v>127167931.27232227</v>
      </c>
      <c r="Y109" s="18"/>
      <c r="Z109" s="11"/>
      <c r="AA109" s="22"/>
    </row>
    <row r="110" spans="1:27" s="59" customFormat="1" x14ac:dyDescent="0.2">
      <c r="A110" s="506">
        <f t="shared" ref="A110:A133" si="15">EOMONTH(A109,0)+1</f>
        <v>46023</v>
      </c>
      <c r="B110" s="59">
        <f t="shared" si="7"/>
        <v>2026</v>
      </c>
      <c r="C110" s="59">
        <f t="shared" si="8"/>
        <v>1</v>
      </c>
      <c r="D110" s="178"/>
      <c r="E110" s="511">
        <f t="shared" ca="1" si="11"/>
        <v>566.30416666666667</v>
      </c>
      <c r="F110" s="511">
        <f t="shared" ca="1" si="11"/>
        <v>0</v>
      </c>
      <c r="G110" s="177"/>
      <c r="H110" s="177"/>
      <c r="I110" s="188">
        <f>'Monthly Data'!CV110</f>
        <v>0</v>
      </c>
      <c r="J110" s="176">
        <f t="shared" ref="J110:J133" si="16">J62</f>
        <v>31</v>
      </c>
      <c r="K110" s="508">
        <f>Economic!M124</f>
        <v>913903.23750000005</v>
      </c>
      <c r="L110" s="508">
        <f>L98</f>
        <v>0</v>
      </c>
      <c r="M110" s="508">
        <f t="shared" ref="M110:M133" si="17">M98</f>
        <v>0</v>
      </c>
      <c r="O110" s="188">
        <f>'GS &gt; 50 Predicted Monthly'!$Z$10</f>
        <v>-1907163.1226077401</v>
      </c>
      <c r="P110" s="188">
        <f ca="1">E110*'GS &gt; 50 Predicted Monthly'!$Z$11</f>
        <v>12081080.030243821</v>
      </c>
      <c r="Q110" s="188">
        <f ca="1">F110*'GS &gt; 50 Predicted Monthly'!$Z$12</f>
        <v>0</v>
      </c>
      <c r="R110" s="188">
        <f>I110*'GS &gt; 50 Predicted Monthly'!$Z$13</f>
        <v>0</v>
      </c>
      <c r="S110" s="188">
        <f>J110*'GS &gt; 50 Predicted Monthly'!$Z$14</f>
        <v>79525500.842962876</v>
      </c>
      <c r="T110" s="188">
        <f>K110*'GS &gt; 50 Predicted Monthly'!$Z$15</f>
        <v>40327127.09748169</v>
      </c>
      <c r="U110" s="188">
        <f>L110*'GS &gt; 50 Predicted Monthly'!$Z$16</f>
        <v>0</v>
      </c>
      <c r="V110" s="188">
        <f>M110*'GS &gt; 50 Predicted Monthly'!$Z$17</f>
        <v>0</v>
      </c>
      <c r="W110" s="188">
        <f ca="1">SUM(O110:V110)</f>
        <v>130026544.84808064</v>
      </c>
      <c r="Y110" s="178"/>
      <c r="Z110" s="188"/>
      <c r="AA110" s="510"/>
    </row>
    <row r="111" spans="1:27" s="59" customFormat="1" x14ac:dyDescent="0.2">
      <c r="A111" s="506">
        <f t="shared" si="15"/>
        <v>46054</v>
      </c>
      <c r="B111" s="59">
        <f t="shared" si="7"/>
        <v>2026</v>
      </c>
      <c r="C111" s="59">
        <f t="shared" si="8"/>
        <v>2</v>
      </c>
      <c r="D111" s="178"/>
      <c r="E111" s="511">
        <f t="shared" ca="1" si="11"/>
        <v>483.54541666666665</v>
      </c>
      <c r="F111" s="511">
        <f t="shared" ca="1" si="11"/>
        <v>0</v>
      </c>
      <c r="G111" s="177"/>
      <c r="H111" s="177"/>
      <c r="I111" s="188">
        <f>'Monthly Data'!CV111</f>
        <v>0</v>
      </c>
      <c r="J111" s="176">
        <f t="shared" si="16"/>
        <v>28</v>
      </c>
      <c r="K111" s="508">
        <f>Economic!M125</f>
        <v>913903.23750000005</v>
      </c>
      <c r="L111" s="508">
        <f t="shared" ref="L111:L133" si="18">L99</f>
        <v>0</v>
      </c>
      <c r="M111" s="508">
        <f t="shared" si="17"/>
        <v>0</v>
      </c>
      <c r="O111" s="188">
        <f>'GS &gt; 50 Predicted Monthly'!$Z$10</f>
        <v>-1907163.1226077401</v>
      </c>
      <c r="P111" s="188">
        <f ca="1">E111*'GS &gt; 50 Predicted Monthly'!$Z$11</f>
        <v>10315571.067387393</v>
      </c>
      <c r="Q111" s="188">
        <f ca="1">F111*'GS &gt; 50 Predicted Monthly'!$Z$12</f>
        <v>0</v>
      </c>
      <c r="R111" s="188">
        <f>I111*'GS &gt; 50 Predicted Monthly'!$Z$13</f>
        <v>0</v>
      </c>
      <c r="S111" s="188">
        <f>J111*'GS &gt; 50 Predicted Monthly'!$Z$14</f>
        <v>71829484.632353559</v>
      </c>
      <c r="T111" s="188">
        <f>K111*'GS &gt; 50 Predicted Monthly'!$Z$15</f>
        <v>40327127.09748169</v>
      </c>
      <c r="U111" s="188">
        <f>L111*'GS &gt; 50 Predicted Monthly'!$Z$16</f>
        <v>0</v>
      </c>
      <c r="V111" s="188">
        <f>M111*'GS &gt; 50 Predicted Monthly'!$Z$17</f>
        <v>0</v>
      </c>
      <c r="W111" s="188">
        <f t="shared" ref="W111:W133" ca="1" si="19">SUM(O111:V111)</f>
        <v>120565019.67461491</v>
      </c>
      <c r="Y111" s="178"/>
      <c r="Z111" s="188"/>
      <c r="AA111" s="510"/>
    </row>
    <row r="112" spans="1:27" s="59" customFormat="1" x14ac:dyDescent="0.2">
      <c r="A112" s="506">
        <f t="shared" si="15"/>
        <v>46082</v>
      </c>
      <c r="B112" s="59">
        <f t="shared" si="7"/>
        <v>2026</v>
      </c>
      <c r="C112" s="59">
        <f t="shared" si="8"/>
        <v>3</v>
      </c>
      <c r="D112" s="178"/>
      <c r="E112" s="511">
        <f t="shared" ca="1" si="11"/>
        <v>393.96333333333331</v>
      </c>
      <c r="F112" s="511">
        <f t="shared" ca="1" si="11"/>
        <v>0</v>
      </c>
      <c r="G112" s="177"/>
      <c r="H112" s="177"/>
      <c r="I112" s="188">
        <f>'Monthly Data'!CV112</f>
        <v>0</v>
      </c>
      <c r="J112" s="176">
        <f t="shared" si="16"/>
        <v>31</v>
      </c>
      <c r="K112" s="508">
        <f>Economic!M126</f>
        <v>913903.23750000005</v>
      </c>
      <c r="L112" s="508">
        <f t="shared" si="18"/>
        <v>0</v>
      </c>
      <c r="M112" s="508">
        <f t="shared" si="17"/>
        <v>0</v>
      </c>
      <c r="O112" s="188">
        <f>'GS &gt; 50 Predicted Monthly'!$Z$10</f>
        <v>-1907163.1226077401</v>
      </c>
      <c r="P112" s="188">
        <f ca="1">E112*'GS &gt; 50 Predicted Monthly'!$Z$11</f>
        <v>8404498.5700822547</v>
      </c>
      <c r="Q112" s="188">
        <f ca="1">F112*'GS &gt; 50 Predicted Monthly'!$Z$12</f>
        <v>0</v>
      </c>
      <c r="R112" s="188">
        <f>I112*'GS &gt; 50 Predicted Monthly'!$Z$13</f>
        <v>0</v>
      </c>
      <c r="S112" s="188">
        <f>J112*'GS &gt; 50 Predicted Monthly'!$Z$14</f>
        <v>79525500.842962876</v>
      </c>
      <c r="T112" s="188">
        <f>K112*'GS &gt; 50 Predicted Monthly'!$Z$15</f>
        <v>40327127.09748169</v>
      </c>
      <c r="U112" s="188">
        <f>L112*'GS &gt; 50 Predicted Monthly'!$Z$16</f>
        <v>0</v>
      </c>
      <c r="V112" s="188">
        <f>M112*'GS &gt; 50 Predicted Monthly'!$Z$17</f>
        <v>0</v>
      </c>
      <c r="W112" s="188">
        <f t="shared" ca="1" si="19"/>
        <v>126349963.38791907</v>
      </c>
      <c r="Y112" s="178"/>
    </row>
    <row r="113" spans="1:26" s="59" customFormat="1" x14ac:dyDescent="0.2">
      <c r="A113" s="506">
        <f t="shared" si="15"/>
        <v>46113</v>
      </c>
      <c r="B113" s="59">
        <f t="shared" si="7"/>
        <v>2026</v>
      </c>
      <c r="C113" s="59">
        <f t="shared" si="8"/>
        <v>4</v>
      </c>
      <c r="D113" s="178"/>
      <c r="E113" s="511">
        <f t="shared" ca="1" si="11"/>
        <v>226.60145833333337</v>
      </c>
      <c r="F113" s="511">
        <f t="shared" ca="1" si="11"/>
        <v>6.5650000000000031</v>
      </c>
      <c r="G113" s="177"/>
      <c r="H113" s="177"/>
      <c r="I113" s="188">
        <f>'Monthly Data'!CV113</f>
        <v>0</v>
      </c>
      <c r="J113" s="176">
        <f t="shared" si="16"/>
        <v>30</v>
      </c>
      <c r="K113" s="508">
        <f>Economic!M127</f>
        <v>911449.02750000008</v>
      </c>
      <c r="L113" s="508">
        <f t="shared" si="18"/>
        <v>0</v>
      </c>
      <c r="M113" s="508">
        <f t="shared" si="17"/>
        <v>0</v>
      </c>
      <c r="O113" s="188">
        <f>'GS &gt; 50 Predicted Monthly'!$Z$10</f>
        <v>-1907163.1226077401</v>
      </c>
      <c r="P113" s="188">
        <f ca="1">E113*'GS &gt; 50 Predicted Monthly'!$Z$11</f>
        <v>4834134.2236783141</v>
      </c>
      <c r="Q113" s="188">
        <f ca="1">F113*'GS &gt; 50 Predicted Monthly'!$Z$12</f>
        <v>777698.14771157305</v>
      </c>
      <c r="R113" s="188">
        <f>I113*'GS &gt; 50 Predicted Monthly'!$Z$13</f>
        <v>0</v>
      </c>
      <c r="S113" s="188">
        <f>J113*'GS &gt; 50 Predicted Monthly'!$Z$14</f>
        <v>76960162.106093109</v>
      </c>
      <c r="T113" s="188">
        <f>K113*'GS &gt; 50 Predicted Monthly'!$Z$15</f>
        <v>40218832.001750715</v>
      </c>
      <c r="U113" s="188">
        <f>L113*'GS &gt; 50 Predicted Monthly'!$Z$16</f>
        <v>0</v>
      </c>
      <c r="V113" s="188">
        <f>M113*'GS &gt; 50 Predicted Monthly'!$Z$17</f>
        <v>0</v>
      </c>
      <c r="W113" s="188">
        <f t="shared" ca="1" si="19"/>
        <v>120883663.35662597</v>
      </c>
      <c r="Y113" s="178"/>
      <c r="Z113" s="188"/>
    </row>
    <row r="114" spans="1:26" s="59" customFormat="1" x14ac:dyDescent="0.2">
      <c r="A114" s="506">
        <f t="shared" si="15"/>
        <v>46143</v>
      </c>
      <c r="B114" s="59">
        <f t="shared" si="7"/>
        <v>2026</v>
      </c>
      <c r="C114" s="59">
        <f t="shared" si="8"/>
        <v>5</v>
      </c>
      <c r="D114" s="178"/>
      <c r="E114" s="511">
        <f t="shared" ref="E114:F133" ca="1" si="20">E102</f>
        <v>65.335833333333326</v>
      </c>
      <c r="F114" s="511">
        <f t="shared" ca="1" si="20"/>
        <v>59.300416666666649</v>
      </c>
      <c r="G114" s="177"/>
      <c r="H114" s="177"/>
      <c r="I114" s="188">
        <f>'Monthly Data'!CV114</f>
        <v>0</v>
      </c>
      <c r="J114" s="176">
        <f t="shared" si="16"/>
        <v>31</v>
      </c>
      <c r="K114" s="508">
        <f>Economic!M128</f>
        <v>911449.02750000008</v>
      </c>
      <c r="L114" s="508">
        <f t="shared" si="18"/>
        <v>0</v>
      </c>
      <c r="M114" s="508">
        <f t="shared" si="17"/>
        <v>0</v>
      </c>
      <c r="O114" s="188">
        <f>'GS &gt; 50 Predicted Monthly'!$Z$10</f>
        <v>-1907163.1226077401</v>
      </c>
      <c r="P114" s="188">
        <f ca="1">E114*'GS &gt; 50 Predicted Monthly'!$Z$11</f>
        <v>1393822.3975796374</v>
      </c>
      <c r="Q114" s="188">
        <f ca="1">F114*'GS &gt; 50 Predicted Monthly'!$Z$12</f>
        <v>7024801.8583687926</v>
      </c>
      <c r="R114" s="188">
        <f>I114*'GS &gt; 50 Predicted Monthly'!$Z$13</f>
        <v>0</v>
      </c>
      <c r="S114" s="188">
        <f>J114*'GS &gt; 50 Predicted Monthly'!$Z$14</f>
        <v>79525500.842962876</v>
      </c>
      <c r="T114" s="188">
        <f>K114*'GS &gt; 50 Predicted Monthly'!$Z$15</f>
        <v>40218832.001750715</v>
      </c>
      <c r="U114" s="188">
        <f>L114*'GS &gt; 50 Predicted Monthly'!$Z$16</f>
        <v>0</v>
      </c>
      <c r="V114" s="188">
        <f>M114*'GS &gt; 50 Predicted Monthly'!$Z$17</f>
        <v>0</v>
      </c>
      <c r="W114" s="188">
        <f t="shared" ca="1" si="19"/>
        <v>126255793.97805429</v>
      </c>
      <c r="Y114" s="178"/>
      <c r="Z114" s="188"/>
    </row>
    <row r="115" spans="1:26" s="59" customFormat="1" x14ac:dyDescent="0.2">
      <c r="A115" s="506">
        <f t="shared" si="15"/>
        <v>46174</v>
      </c>
      <c r="B115" s="59">
        <f t="shared" si="7"/>
        <v>2026</v>
      </c>
      <c r="C115" s="59">
        <f t="shared" si="8"/>
        <v>6</v>
      </c>
      <c r="D115" s="178"/>
      <c r="E115" s="511">
        <f t="shared" ca="1" si="20"/>
        <v>3.0447916666666672</v>
      </c>
      <c r="F115" s="511">
        <f t="shared" ca="1" si="20"/>
        <v>157.17000000000002</v>
      </c>
      <c r="G115" s="177"/>
      <c r="H115" s="177"/>
      <c r="I115" s="188">
        <f>'Monthly Data'!CV115</f>
        <v>0</v>
      </c>
      <c r="J115" s="176">
        <f t="shared" si="16"/>
        <v>30</v>
      </c>
      <c r="K115" s="508">
        <f>Economic!M129</f>
        <v>911449.02750000008</v>
      </c>
      <c r="L115" s="508">
        <f t="shared" si="18"/>
        <v>0</v>
      </c>
      <c r="M115" s="508">
        <f t="shared" si="17"/>
        <v>0</v>
      </c>
      <c r="O115" s="188">
        <f>'GS &gt; 50 Predicted Monthly'!$Z$10</f>
        <v>-1907163.1226077401</v>
      </c>
      <c r="P115" s="188">
        <f ca="1">E115*'GS &gt; 50 Predicted Monthly'!$Z$11</f>
        <v>64955.149486073256</v>
      </c>
      <c r="Q115" s="188">
        <f ca="1">F115*'GS &gt; 50 Predicted Monthly'!$Z$12</f>
        <v>18618555.655114681</v>
      </c>
      <c r="R115" s="188">
        <f>I115*'GS &gt; 50 Predicted Monthly'!$Z$13</f>
        <v>0</v>
      </c>
      <c r="S115" s="188">
        <f>J115*'GS &gt; 50 Predicted Monthly'!$Z$14</f>
        <v>76960162.106093109</v>
      </c>
      <c r="T115" s="188">
        <f>K115*'GS &gt; 50 Predicted Monthly'!$Z$15</f>
        <v>40218832.001750715</v>
      </c>
      <c r="U115" s="188">
        <f>L115*'GS &gt; 50 Predicted Monthly'!$Z$16</f>
        <v>0</v>
      </c>
      <c r="V115" s="188">
        <f>M115*'GS &gt; 50 Predicted Monthly'!$Z$17</f>
        <v>0</v>
      </c>
      <c r="W115" s="188">
        <f t="shared" ca="1" si="19"/>
        <v>133955341.78983682</v>
      </c>
      <c r="Y115" s="178"/>
      <c r="Z115" s="188"/>
    </row>
    <row r="116" spans="1:26" s="59" customFormat="1" x14ac:dyDescent="0.2">
      <c r="A116" s="506">
        <f t="shared" si="15"/>
        <v>46204</v>
      </c>
      <c r="B116" s="59">
        <f t="shared" si="7"/>
        <v>2026</v>
      </c>
      <c r="C116" s="59">
        <f t="shared" si="8"/>
        <v>7</v>
      </c>
      <c r="D116" s="178"/>
      <c r="E116" s="511">
        <f t="shared" ca="1" si="20"/>
        <v>0</v>
      </c>
      <c r="F116" s="511">
        <f t="shared" ca="1" si="20"/>
        <v>231.27145833333333</v>
      </c>
      <c r="G116" s="177"/>
      <c r="H116" s="177"/>
      <c r="I116" s="188">
        <f>'Monthly Data'!CV116</f>
        <v>0</v>
      </c>
      <c r="J116" s="176">
        <f t="shared" si="16"/>
        <v>31</v>
      </c>
      <c r="K116" s="508">
        <f>Economic!M130</f>
        <v>917624.2350000001</v>
      </c>
      <c r="L116" s="508">
        <f t="shared" si="18"/>
        <v>0</v>
      </c>
      <c r="M116" s="508">
        <f t="shared" si="17"/>
        <v>0</v>
      </c>
      <c r="O116" s="188">
        <f>'GS &gt; 50 Predicted Monthly'!$Z$10</f>
        <v>-1907163.1226077401</v>
      </c>
      <c r="P116" s="188">
        <f ca="1">E116*'GS &gt; 50 Predicted Monthly'!$Z$11</f>
        <v>0</v>
      </c>
      <c r="Q116" s="188">
        <f ca="1">F116*'GS &gt; 50 Predicted Monthly'!$Z$12</f>
        <v>27396707.50409558</v>
      </c>
      <c r="R116" s="188">
        <f>I116*'GS &gt; 50 Predicted Monthly'!$Z$13</f>
        <v>0</v>
      </c>
      <c r="S116" s="188">
        <f>J116*'GS &gt; 50 Predicted Monthly'!$Z$14</f>
        <v>79525500.842962876</v>
      </c>
      <c r="T116" s="188">
        <f>K116*'GS &gt; 50 Predicted Monthly'!$Z$15</f>
        <v>40491320.781183258</v>
      </c>
      <c r="U116" s="188">
        <f>L116*'GS &gt; 50 Predicted Monthly'!$Z$16</f>
        <v>0</v>
      </c>
      <c r="V116" s="188">
        <f>M116*'GS &gt; 50 Predicted Monthly'!$Z$17</f>
        <v>0</v>
      </c>
      <c r="W116" s="188">
        <f t="shared" ca="1" si="19"/>
        <v>145506366.00563395</v>
      </c>
      <c r="Y116" s="178"/>
      <c r="Z116" s="188"/>
    </row>
    <row r="117" spans="1:26" s="59" customFormat="1" x14ac:dyDescent="0.2">
      <c r="A117" s="506">
        <f t="shared" si="15"/>
        <v>46235</v>
      </c>
      <c r="B117" s="59">
        <f t="shared" si="7"/>
        <v>2026</v>
      </c>
      <c r="C117" s="59">
        <f t="shared" si="8"/>
        <v>8</v>
      </c>
      <c r="D117" s="178"/>
      <c r="E117" s="511">
        <f t="shared" ca="1" si="20"/>
        <v>0.27875000000000066</v>
      </c>
      <c r="F117" s="511">
        <f t="shared" ca="1" si="20"/>
        <v>196.13625000000002</v>
      </c>
      <c r="G117" s="177"/>
      <c r="H117" s="177"/>
      <c r="I117" s="188">
        <f>'Monthly Data'!CV117</f>
        <v>0</v>
      </c>
      <c r="J117" s="176">
        <f t="shared" si="16"/>
        <v>31</v>
      </c>
      <c r="K117" s="508">
        <f>Economic!M131</f>
        <v>917624.2350000001</v>
      </c>
      <c r="L117" s="508">
        <f t="shared" si="18"/>
        <v>0</v>
      </c>
      <c r="M117" s="508">
        <f t="shared" si="17"/>
        <v>1</v>
      </c>
      <c r="O117" s="188">
        <f>'GS &gt; 50 Predicted Monthly'!$Z$10</f>
        <v>-1907163.1226077401</v>
      </c>
      <c r="P117" s="188">
        <f ca="1">E117*'GS &gt; 50 Predicted Monthly'!$Z$11</f>
        <v>5946.629491095875</v>
      </c>
      <c r="Q117" s="188">
        <f ca="1">F117*'GS &gt; 50 Predicted Monthly'!$Z$12</f>
        <v>23234546.584020402</v>
      </c>
      <c r="R117" s="188">
        <f>I117*'GS &gt; 50 Predicted Monthly'!$Z$13</f>
        <v>0</v>
      </c>
      <c r="S117" s="188">
        <f>J117*'GS &gt; 50 Predicted Monthly'!$Z$14</f>
        <v>79525500.842962876</v>
      </c>
      <c r="T117" s="188">
        <f>K117*'GS &gt; 50 Predicted Monthly'!$Z$15</f>
        <v>40491320.781183258</v>
      </c>
      <c r="U117" s="188">
        <f>L117*'GS &gt; 50 Predicted Monthly'!$Z$16</f>
        <v>0</v>
      </c>
      <c r="V117" s="188">
        <f>M117*'GS &gt; 50 Predicted Monthly'!$Z$17</f>
        <v>2800660.9376037801</v>
      </c>
      <c r="W117" s="188">
        <f t="shared" ca="1" si="19"/>
        <v>144150812.65265366</v>
      </c>
      <c r="Z117" s="188"/>
    </row>
    <row r="118" spans="1:26" s="59" customFormat="1" x14ac:dyDescent="0.2">
      <c r="A118" s="506">
        <f t="shared" si="15"/>
        <v>46266</v>
      </c>
      <c r="B118" s="59">
        <f t="shared" si="7"/>
        <v>2026</v>
      </c>
      <c r="C118" s="59">
        <f t="shared" si="8"/>
        <v>9</v>
      </c>
      <c r="D118" s="178"/>
      <c r="E118" s="511">
        <f t="shared" ca="1" si="20"/>
        <v>11.319999999999997</v>
      </c>
      <c r="F118" s="511">
        <f t="shared" ca="1" si="20"/>
        <v>104.19854166666664</v>
      </c>
      <c r="G118" s="177"/>
      <c r="H118" s="177"/>
      <c r="I118" s="188">
        <f>'Monthly Data'!CV118</f>
        <v>0</v>
      </c>
      <c r="J118" s="176">
        <f t="shared" si="16"/>
        <v>30</v>
      </c>
      <c r="K118" s="508">
        <f>Economic!M132</f>
        <v>917624.2350000001</v>
      </c>
      <c r="L118" s="508">
        <f t="shared" si="18"/>
        <v>1</v>
      </c>
      <c r="M118" s="508">
        <f t="shared" si="17"/>
        <v>0</v>
      </c>
      <c r="O118" s="188">
        <f>'GS &gt; 50 Predicted Monthly'!$Z$10</f>
        <v>-1907163.1226077401</v>
      </c>
      <c r="P118" s="188">
        <f ca="1">E118*'GS &gt; 50 Predicted Monthly'!$Z$11</f>
        <v>241491.82363840402</v>
      </c>
      <c r="Q118" s="188">
        <f ca="1">F118*'GS &gt; 50 Predicted Monthly'!$Z$12</f>
        <v>12343490.152081305</v>
      </c>
      <c r="R118" s="188">
        <f>I118*'GS &gt; 50 Predicted Monthly'!$Z$13</f>
        <v>0</v>
      </c>
      <c r="S118" s="188">
        <f>J118*'GS &gt; 50 Predicted Monthly'!$Z$14</f>
        <v>76960162.106093109</v>
      </c>
      <c r="T118" s="188">
        <f>K118*'GS &gt; 50 Predicted Monthly'!$Z$15</f>
        <v>40491320.781183258</v>
      </c>
      <c r="U118" s="188">
        <f>L118*'GS &gt; 50 Predicted Monthly'!$Z$16</f>
        <v>3497669.1063549998</v>
      </c>
      <c r="V118" s="188">
        <f>M118*'GS &gt; 50 Predicted Monthly'!$Z$17</f>
        <v>0</v>
      </c>
      <c r="W118" s="188">
        <f t="shared" ca="1" si="19"/>
        <v>131626970.84674333</v>
      </c>
      <c r="Z118" s="188"/>
    </row>
    <row r="119" spans="1:26" s="59" customFormat="1" x14ac:dyDescent="0.2">
      <c r="A119" s="506">
        <f t="shared" si="15"/>
        <v>46296</v>
      </c>
      <c r="B119" s="59">
        <f t="shared" si="7"/>
        <v>2026</v>
      </c>
      <c r="C119" s="59">
        <f t="shared" si="8"/>
        <v>10</v>
      </c>
      <c r="D119" s="178"/>
      <c r="E119" s="511">
        <f t="shared" ca="1" si="20"/>
        <v>126.12583333333332</v>
      </c>
      <c r="F119" s="511">
        <f t="shared" ca="1" si="20"/>
        <v>24.703125000000007</v>
      </c>
      <c r="G119" s="177"/>
      <c r="H119" s="177"/>
      <c r="I119" s="188">
        <f>'Monthly Data'!CV119</f>
        <v>0</v>
      </c>
      <c r="J119" s="176">
        <f t="shared" si="16"/>
        <v>31</v>
      </c>
      <c r="K119" s="508">
        <f>Economic!M133</f>
        <v>915810.03250000009</v>
      </c>
      <c r="L119" s="508">
        <f t="shared" si="18"/>
        <v>1</v>
      </c>
      <c r="M119" s="508">
        <f t="shared" si="17"/>
        <v>0</v>
      </c>
      <c r="O119" s="188">
        <f>'GS &gt; 50 Predicted Monthly'!$Z$10</f>
        <v>-1907163.1226077401</v>
      </c>
      <c r="P119" s="188">
        <f ca="1">E119*'GS &gt; 50 Predicted Monthly'!$Z$11</f>
        <v>2690667.6236378159</v>
      </c>
      <c r="Q119" s="188">
        <f ca="1">F119*'GS &gt; 50 Predicted Monthly'!$Z$12</f>
        <v>2926363.2224200224</v>
      </c>
      <c r="R119" s="188">
        <f>I119*'GS &gt; 50 Predicted Monthly'!$Z$13</f>
        <v>0</v>
      </c>
      <c r="S119" s="188">
        <f>J119*'GS &gt; 50 Predicted Monthly'!$Z$14</f>
        <v>79525500.842962876</v>
      </c>
      <c r="T119" s="188">
        <f>K119*'GS &gt; 50 Predicted Monthly'!$Z$15</f>
        <v>40411266.819455095</v>
      </c>
      <c r="U119" s="188">
        <f>L119*'GS &gt; 50 Predicted Monthly'!$Z$16</f>
        <v>3497669.1063549998</v>
      </c>
      <c r="V119" s="188">
        <f>M119*'GS &gt; 50 Predicted Monthly'!$Z$17</f>
        <v>0</v>
      </c>
      <c r="W119" s="188">
        <f t="shared" ca="1" si="19"/>
        <v>127144304.49222307</v>
      </c>
      <c r="Z119" s="188"/>
    </row>
    <row r="120" spans="1:26" s="59" customFormat="1" x14ac:dyDescent="0.2">
      <c r="A120" s="506">
        <f t="shared" si="15"/>
        <v>46327</v>
      </c>
      <c r="B120" s="59">
        <f t="shared" si="7"/>
        <v>2026</v>
      </c>
      <c r="C120" s="59">
        <f t="shared" si="8"/>
        <v>11</v>
      </c>
      <c r="D120" s="178"/>
      <c r="E120" s="511">
        <f t="shared" ca="1" si="20"/>
        <v>312.40687500000001</v>
      </c>
      <c r="F120" s="511">
        <f t="shared" ca="1" si="20"/>
        <v>1.6454166666666665</v>
      </c>
      <c r="G120" s="177"/>
      <c r="H120" s="177"/>
      <c r="I120" s="188">
        <f>'Monthly Data'!CV120</f>
        <v>0</v>
      </c>
      <c r="J120" s="176">
        <f t="shared" si="16"/>
        <v>30</v>
      </c>
      <c r="K120" s="508">
        <f>Economic!M134</f>
        <v>915810.03250000009</v>
      </c>
      <c r="L120" s="508">
        <f t="shared" si="18"/>
        <v>1</v>
      </c>
      <c r="M120" s="508">
        <f t="shared" si="17"/>
        <v>0</v>
      </c>
      <c r="O120" s="188">
        <f>'GS &gt; 50 Predicted Monthly'!$Z$10</f>
        <v>-1907163.1226077401</v>
      </c>
      <c r="P120" s="188">
        <f ca="1">E120*'GS &gt; 50 Predicted Monthly'!$Z$11</f>
        <v>6664638.335770756</v>
      </c>
      <c r="Q120" s="188">
        <f ca="1">F120*'GS &gt; 50 Predicted Monthly'!$Z$12</f>
        <v>194918.12549587458</v>
      </c>
      <c r="R120" s="188">
        <f>I120*'GS &gt; 50 Predicted Monthly'!$Z$13</f>
        <v>0</v>
      </c>
      <c r="S120" s="188">
        <f>J120*'GS &gt; 50 Predicted Monthly'!$Z$14</f>
        <v>76960162.106093109</v>
      </c>
      <c r="T120" s="188">
        <f>K120*'GS &gt; 50 Predicted Monthly'!$Z$15</f>
        <v>40411266.819455095</v>
      </c>
      <c r="U120" s="188">
        <f>L120*'GS &gt; 50 Predicted Monthly'!$Z$16</f>
        <v>3497669.1063549998</v>
      </c>
      <c r="V120" s="188">
        <f>M120*'GS &gt; 50 Predicted Monthly'!$Z$17</f>
        <v>0</v>
      </c>
      <c r="W120" s="188">
        <f t="shared" ca="1" si="19"/>
        <v>125821491.37056209</v>
      </c>
      <c r="Z120" s="188"/>
    </row>
    <row r="121" spans="1:26" s="59" customFormat="1" x14ac:dyDescent="0.2">
      <c r="A121" s="506">
        <f t="shared" si="15"/>
        <v>46357</v>
      </c>
      <c r="B121" s="59">
        <f t="shared" si="7"/>
        <v>2026</v>
      </c>
      <c r="C121" s="59">
        <f t="shared" si="8"/>
        <v>12</v>
      </c>
      <c r="D121" s="178"/>
      <c r="E121" s="511">
        <f t="shared" ca="1" si="20"/>
        <v>473.52499999999998</v>
      </c>
      <c r="F121" s="511">
        <f t="shared" ca="1" si="20"/>
        <v>0</v>
      </c>
      <c r="G121" s="177"/>
      <c r="H121" s="177"/>
      <c r="I121" s="188">
        <f>'Monthly Data'!CV121</f>
        <v>0</v>
      </c>
      <c r="J121" s="176">
        <f t="shared" si="16"/>
        <v>31</v>
      </c>
      <c r="K121" s="508">
        <f>Economic!M135</f>
        <v>915810.03250000009</v>
      </c>
      <c r="L121" s="508">
        <f t="shared" si="18"/>
        <v>0</v>
      </c>
      <c r="M121" s="508">
        <f t="shared" si="17"/>
        <v>0</v>
      </c>
      <c r="O121" s="188">
        <f>'GS &gt; 50 Predicted Monthly'!$Z$10</f>
        <v>-1907163.1226077401</v>
      </c>
      <c r="P121" s="188">
        <f ca="1">E121*'GS &gt; 50 Predicted Monthly'!$Z$11</f>
        <v>10101803.514874142</v>
      </c>
      <c r="Q121" s="188">
        <f ca="1">F121*'GS &gt; 50 Predicted Monthly'!$Z$12</f>
        <v>0</v>
      </c>
      <c r="R121" s="188">
        <f>I121*'GS &gt; 50 Predicted Monthly'!$Z$13</f>
        <v>0</v>
      </c>
      <c r="S121" s="188">
        <f>J121*'GS &gt; 50 Predicted Monthly'!$Z$14</f>
        <v>79525500.842962876</v>
      </c>
      <c r="T121" s="188">
        <f>K121*'GS &gt; 50 Predicted Monthly'!$Z$15</f>
        <v>40411266.819455095</v>
      </c>
      <c r="U121" s="188">
        <f>L121*'GS &gt; 50 Predicted Monthly'!$Z$16</f>
        <v>0</v>
      </c>
      <c r="V121" s="188">
        <f>M121*'GS &gt; 50 Predicted Monthly'!$Z$17</f>
        <v>0</v>
      </c>
      <c r="W121" s="188">
        <f t="shared" ca="1" si="19"/>
        <v>128131408.05468437</v>
      </c>
      <c r="Z121" s="188"/>
    </row>
    <row r="122" spans="1:26" s="59" customFormat="1" x14ac:dyDescent="0.2">
      <c r="A122" s="506">
        <f t="shared" si="15"/>
        <v>46388</v>
      </c>
      <c r="B122" s="59">
        <f>YEAR(A122)</f>
        <v>2027</v>
      </c>
      <c r="C122" s="59">
        <f>MONTH(A122)</f>
        <v>1</v>
      </c>
      <c r="D122" s="178"/>
      <c r="E122" s="511">
        <f t="shared" ca="1" si="20"/>
        <v>566.30416666666667</v>
      </c>
      <c r="F122" s="511">
        <f t="shared" ca="1" si="20"/>
        <v>0</v>
      </c>
      <c r="G122" s="177"/>
      <c r="H122" s="177"/>
      <c r="I122" s="188">
        <f>'Monthly Data'!CV122</f>
        <v>0</v>
      </c>
      <c r="J122" s="176">
        <f t="shared" si="16"/>
        <v>31</v>
      </c>
      <c r="K122" s="508">
        <f>Economic!M136</f>
        <v>929896.54415625008</v>
      </c>
      <c r="L122" s="508">
        <f t="shared" si="18"/>
        <v>0</v>
      </c>
      <c r="M122" s="508">
        <f t="shared" si="17"/>
        <v>0</v>
      </c>
      <c r="O122" s="188">
        <f>'GS &gt; 50 Predicted Monthly'!$Z$10</f>
        <v>-1907163.1226077401</v>
      </c>
      <c r="P122" s="188">
        <f ca="1">E122*'GS &gt; 50 Predicted Monthly'!$Z$11</f>
        <v>12081080.030243821</v>
      </c>
      <c r="Q122" s="188">
        <f ca="1">F122*'GS &gt; 50 Predicted Monthly'!$Z$12</f>
        <v>0</v>
      </c>
      <c r="R122" s="188">
        <f>I122*'GS &gt; 50 Predicted Monthly'!$Z$13</f>
        <v>0</v>
      </c>
      <c r="S122" s="188">
        <f>J122*'GS &gt; 50 Predicted Monthly'!$Z$14</f>
        <v>79525500.842962876</v>
      </c>
      <c r="T122" s="188">
        <f>K122*'GS &gt; 50 Predicted Monthly'!$Z$15</f>
        <v>41032851.821687624</v>
      </c>
      <c r="U122" s="188">
        <f>L122*'GS &gt; 50 Predicted Monthly'!$Z$16</f>
        <v>0</v>
      </c>
      <c r="V122" s="188">
        <f>M122*'GS &gt; 50 Predicted Monthly'!$Z$17</f>
        <v>0</v>
      </c>
      <c r="W122" s="188">
        <f t="shared" ca="1" si="19"/>
        <v>130732269.57228658</v>
      </c>
      <c r="Z122" s="188"/>
    </row>
    <row r="123" spans="1:26" s="59" customFormat="1" x14ac:dyDescent="0.2">
      <c r="A123" s="506">
        <f t="shared" si="15"/>
        <v>46419</v>
      </c>
      <c r="B123" s="59">
        <f>YEAR(A123)</f>
        <v>2027</v>
      </c>
      <c r="C123" s="59">
        <f>MONTH(A123)</f>
        <v>2</v>
      </c>
      <c r="D123" s="178"/>
      <c r="E123" s="511">
        <f t="shared" ca="1" si="20"/>
        <v>483.54541666666665</v>
      </c>
      <c r="F123" s="511">
        <f t="shared" ca="1" si="20"/>
        <v>0</v>
      </c>
      <c r="G123" s="177"/>
      <c r="H123" s="177"/>
      <c r="I123" s="188">
        <f>'Monthly Data'!CV123</f>
        <v>0</v>
      </c>
      <c r="J123" s="176">
        <f t="shared" si="16"/>
        <v>28</v>
      </c>
      <c r="K123" s="508">
        <f>Economic!M137</f>
        <v>929896.54415625008</v>
      </c>
      <c r="L123" s="508">
        <f t="shared" si="18"/>
        <v>0</v>
      </c>
      <c r="M123" s="508">
        <f t="shared" si="17"/>
        <v>0</v>
      </c>
      <c r="O123" s="188">
        <f>'GS &gt; 50 Predicted Monthly'!$Z$10</f>
        <v>-1907163.1226077401</v>
      </c>
      <c r="P123" s="188">
        <f ca="1">E123*'GS &gt; 50 Predicted Monthly'!$Z$11</f>
        <v>10315571.067387393</v>
      </c>
      <c r="Q123" s="188">
        <f ca="1">F123*'GS &gt; 50 Predicted Monthly'!$Z$12</f>
        <v>0</v>
      </c>
      <c r="R123" s="188">
        <f>I123*'GS &gt; 50 Predicted Monthly'!$Z$13</f>
        <v>0</v>
      </c>
      <c r="S123" s="188">
        <f>J123*'GS &gt; 50 Predicted Monthly'!$Z$14</f>
        <v>71829484.632353559</v>
      </c>
      <c r="T123" s="188">
        <f>K123*'GS &gt; 50 Predicted Monthly'!$Z$15</f>
        <v>41032851.821687624</v>
      </c>
      <c r="U123" s="188">
        <f>L123*'GS &gt; 50 Predicted Monthly'!$Z$16</f>
        <v>0</v>
      </c>
      <c r="V123" s="188">
        <f>M123*'GS &gt; 50 Predicted Monthly'!$Z$17</f>
        <v>0</v>
      </c>
      <c r="W123" s="188">
        <f t="shared" ca="1" si="19"/>
        <v>121270744.39882083</v>
      </c>
      <c r="Z123" s="188"/>
    </row>
    <row r="124" spans="1:26" s="59" customFormat="1" x14ac:dyDescent="0.2">
      <c r="A124" s="506">
        <f t="shared" si="15"/>
        <v>46447</v>
      </c>
      <c r="B124" s="59">
        <f>YEAR(A124)</f>
        <v>2027</v>
      </c>
      <c r="C124" s="59">
        <f>MONTH(A124)</f>
        <v>3</v>
      </c>
      <c r="D124" s="178"/>
      <c r="E124" s="511">
        <f t="shared" ca="1" si="20"/>
        <v>393.96333333333331</v>
      </c>
      <c r="F124" s="511">
        <f t="shared" ca="1" si="20"/>
        <v>0</v>
      </c>
      <c r="G124" s="177"/>
      <c r="H124" s="177"/>
      <c r="I124" s="188">
        <f>'Monthly Data'!CV124</f>
        <v>0</v>
      </c>
      <c r="J124" s="176">
        <f t="shared" si="16"/>
        <v>31</v>
      </c>
      <c r="K124" s="508">
        <f>Economic!M138</f>
        <v>929896.54415625008</v>
      </c>
      <c r="L124" s="508">
        <f t="shared" si="18"/>
        <v>0</v>
      </c>
      <c r="M124" s="508">
        <f t="shared" si="17"/>
        <v>0</v>
      </c>
      <c r="O124" s="188">
        <f>'GS &gt; 50 Predicted Monthly'!$Z$10</f>
        <v>-1907163.1226077401</v>
      </c>
      <c r="P124" s="188">
        <f ca="1">E124*'GS &gt; 50 Predicted Monthly'!$Z$11</f>
        <v>8404498.5700822547</v>
      </c>
      <c r="Q124" s="188">
        <f ca="1">F124*'GS &gt; 50 Predicted Monthly'!$Z$12</f>
        <v>0</v>
      </c>
      <c r="R124" s="188">
        <f>I124*'GS &gt; 50 Predicted Monthly'!$Z$13</f>
        <v>0</v>
      </c>
      <c r="S124" s="188">
        <f>J124*'GS &gt; 50 Predicted Monthly'!$Z$14</f>
        <v>79525500.842962876</v>
      </c>
      <c r="T124" s="188">
        <f>K124*'GS &gt; 50 Predicted Monthly'!$Z$15</f>
        <v>41032851.821687624</v>
      </c>
      <c r="U124" s="188">
        <f>L124*'GS &gt; 50 Predicted Monthly'!$Z$16</f>
        <v>0</v>
      </c>
      <c r="V124" s="188">
        <f>M124*'GS &gt; 50 Predicted Monthly'!$Z$17</f>
        <v>0</v>
      </c>
      <c r="W124" s="188">
        <f t="shared" ca="1" si="19"/>
        <v>127055688.11212501</v>
      </c>
      <c r="Z124" s="188"/>
    </row>
    <row r="125" spans="1:26" s="59" customFormat="1" x14ac:dyDescent="0.2">
      <c r="A125" s="506">
        <f t="shared" si="15"/>
        <v>46478</v>
      </c>
      <c r="B125" s="59">
        <f>YEAR(A125)</f>
        <v>2027</v>
      </c>
      <c r="C125" s="59">
        <f>MONTH(A125)</f>
        <v>4</v>
      </c>
      <c r="D125" s="178"/>
      <c r="E125" s="511">
        <f t="shared" ca="1" si="20"/>
        <v>226.60145833333337</v>
      </c>
      <c r="F125" s="511">
        <f t="shared" ca="1" si="20"/>
        <v>6.5650000000000031</v>
      </c>
      <c r="G125" s="177"/>
      <c r="H125" s="177"/>
      <c r="I125" s="188">
        <f>'Monthly Data'!CV125</f>
        <v>0</v>
      </c>
      <c r="J125" s="176">
        <f t="shared" si="16"/>
        <v>30</v>
      </c>
      <c r="K125" s="508">
        <f>Economic!M139</f>
        <v>927399.38548125012</v>
      </c>
      <c r="L125" s="508">
        <f t="shared" si="18"/>
        <v>0</v>
      </c>
      <c r="M125" s="508">
        <f t="shared" si="17"/>
        <v>0</v>
      </c>
      <c r="O125" s="188">
        <f>'GS &gt; 50 Predicted Monthly'!$Z$10</f>
        <v>-1907163.1226077401</v>
      </c>
      <c r="P125" s="188">
        <f ca="1">E125*'GS &gt; 50 Predicted Monthly'!$Z$11</f>
        <v>4834134.2236783141</v>
      </c>
      <c r="Q125" s="188">
        <f ca="1">F125*'GS &gt; 50 Predicted Monthly'!$Z$12</f>
        <v>777698.14771157305</v>
      </c>
      <c r="R125" s="188">
        <f>I125*'GS &gt; 50 Predicted Monthly'!$Z$13</f>
        <v>0</v>
      </c>
      <c r="S125" s="188">
        <f>J125*'GS &gt; 50 Predicted Monthly'!$Z$14</f>
        <v>76960162.106093109</v>
      </c>
      <c r="T125" s="188">
        <f>K125*'GS &gt; 50 Predicted Monthly'!$Z$15</f>
        <v>40922661.561781354</v>
      </c>
      <c r="U125" s="188">
        <f>L125*'GS &gt; 50 Predicted Monthly'!$Z$16</f>
        <v>0</v>
      </c>
      <c r="V125" s="188">
        <f>M125*'GS &gt; 50 Predicted Monthly'!$Z$17</f>
        <v>0</v>
      </c>
      <c r="W125" s="188">
        <f t="shared" ca="1" si="19"/>
        <v>121587492.91665661</v>
      </c>
    </row>
    <row r="126" spans="1:26" s="59" customFormat="1" x14ac:dyDescent="0.2">
      <c r="A126" s="506">
        <f t="shared" si="15"/>
        <v>46508</v>
      </c>
      <c r="B126" s="59">
        <f>YEAR(A126)</f>
        <v>2027</v>
      </c>
      <c r="C126" s="59">
        <f>MONTH(A126)</f>
        <v>5</v>
      </c>
      <c r="D126" s="178"/>
      <c r="E126" s="511">
        <f t="shared" ca="1" si="20"/>
        <v>65.335833333333326</v>
      </c>
      <c r="F126" s="511">
        <f t="shared" ca="1" si="20"/>
        <v>59.300416666666649</v>
      </c>
      <c r="G126" s="177"/>
      <c r="H126" s="177"/>
      <c r="I126" s="188">
        <f>'Monthly Data'!CV126</f>
        <v>0</v>
      </c>
      <c r="J126" s="176">
        <f t="shared" si="16"/>
        <v>31</v>
      </c>
      <c r="K126" s="508">
        <f>Economic!M140</f>
        <v>927399.38548125012</v>
      </c>
      <c r="L126" s="508">
        <f t="shared" si="18"/>
        <v>0</v>
      </c>
      <c r="M126" s="508">
        <f t="shared" si="17"/>
        <v>0</v>
      </c>
      <c r="O126" s="188">
        <f>'GS &gt; 50 Predicted Monthly'!$Z$10</f>
        <v>-1907163.1226077401</v>
      </c>
      <c r="P126" s="188">
        <f ca="1">E126*'GS &gt; 50 Predicted Monthly'!$Z$11</f>
        <v>1393822.3975796374</v>
      </c>
      <c r="Q126" s="188">
        <f ca="1">F126*'GS &gt; 50 Predicted Monthly'!$Z$12</f>
        <v>7024801.8583687926</v>
      </c>
      <c r="R126" s="188">
        <f>I126*'GS &gt; 50 Predicted Monthly'!$Z$13</f>
        <v>0</v>
      </c>
      <c r="S126" s="188">
        <f>J126*'GS &gt; 50 Predicted Monthly'!$Z$14</f>
        <v>79525500.842962876</v>
      </c>
      <c r="T126" s="188">
        <f>K126*'GS &gt; 50 Predicted Monthly'!$Z$15</f>
        <v>40922661.561781354</v>
      </c>
      <c r="U126" s="188">
        <f>L126*'GS &gt; 50 Predicted Monthly'!$Z$16</f>
        <v>0</v>
      </c>
      <c r="V126" s="188">
        <f>M126*'GS &gt; 50 Predicted Monthly'!$Z$17</f>
        <v>0</v>
      </c>
      <c r="W126" s="188">
        <f t="shared" ca="1" si="19"/>
        <v>126959623.53808492</v>
      </c>
    </row>
    <row r="127" spans="1:26" s="59" customFormat="1" x14ac:dyDescent="0.2">
      <c r="A127" s="506">
        <f t="shared" si="15"/>
        <v>46539</v>
      </c>
      <c r="B127" s="59">
        <f t="shared" ref="B127:B133" si="21">YEAR(A127)</f>
        <v>2027</v>
      </c>
      <c r="C127" s="59">
        <f t="shared" ref="C127:C133" si="22">MONTH(A127)</f>
        <v>6</v>
      </c>
      <c r="E127" s="511">
        <f t="shared" ca="1" si="20"/>
        <v>3.0447916666666672</v>
      </c>
      <c r="F127" s="511">
        <f t="shared" ca="1" si="20"/>
        <v>157.17000000000002</v>
      </c>
      <c r="G127" s="177"/>
      <c r="H127" s="177"/>
      <c r="I127" s="188">
        <f>'Monthly Data'!CV127</f>
        <v>0</v>
      </c>
      <c r="J127" s="176">
        <f t="shared" si="16"/>
        <v>30</v>
      </c>
      <c r="K127" s="508">
        <f>Economic!M141</f>
        <v>927399.38548125012</v>
      </c>
      <c r="L127" s="508">
        <f t="shared" si="18"/>
        <v>0</v>
      </c>
      <c r="M127" s="508">
        <f t="shared" si="17"/>
        <v>0</v>
      </c>
      <c r="O127" s="188">
        <f>'GS &gt; 50 Predicted Monthly'!$Z$10</f>
        <v>-1907163.1226077401</v>
      </c>
      <c r="P127" s="188">
        <f ca="1">E127*'GS &gt; 50 Predicted Monthly'!$Z$11</f>
        <v>64955.149486073256</v>
      </c>
      <c r="Q127" s="188">
        <f ca="1">F127*'GS &gt; 50 Predicted Monthly'!$Z$12</f>
        <v>18618555.655114681</v>
      </c>
      <c r="R127" s="188">
        <f>I127*'GS &gt; 50 Predicted Monthly'!$Z$13</f>
        <v>0</v>
      </c>
      <c r="S127" s="188">
        <f>J127*'GS &gt; 50 Predicted Monthly'!$Z$14</f>
        <v>76960162.106093109</v>
      </c>
      <c r="T127" s="188">
        <f>K127*'GS &gt; 50 Predicted Monthly'!$Z$15</f>
        <v>40922661.561781354</v>
      </c>
      <c r="U127" s="188">
        <f>L127*'GS &gt; 50 Predicted Monthly'!$Z$16</f>
        <v>0</v>
      </c>
      <c r="V127" s="188">
        <f>M127*'GS &gt; 50 Predicted Monthly'!$Z$17</f>
        <v>0</v>
      </c>
      <c r="W127" s="188">
        <f t="shared" ca="1" si="19"/>
        <v>134659171.34986746</v>
      </c>
    </row>
    <row r="128" spans="1:26" s="59" customFormat="1" x14ac:dyDescent="0.2">
      <c r="A128" s="506">
        <f t="shared" si="15"/>
        <v>46569</v>
      </c>
      <c r="B128" s="59">
        <f t="shared" si="21"/>
        <v>2027</v>
      </c>
      <c r="C128" s="59">
        <f t="shared" si="22"/>
        <v>7</v>
      </c>
      <c r="E128" s="511">
        <f t="shared" ca="1" si="20"/>
        <v>0</v>
      </c>
      <c r="F128" s="511">
        <f t="shared" ca="1" si="20"/>
        <v>231.27145833333333</v>
      </c>
      <c r="G128" s="177"/>
      <c r="H128" s="177"/>
      <c r="I128" s="188">
        <f>'Monthly Data'!CV128</f>
        <v>0</v>
      </c>
      <c r="J128" s="176">
        <f t="shared" si="16"/>
        <v>31</v>
      </c>
      <c r="K128" s="508">
        <f>Economic!M142</f>
        <v>933682.65911250014</v>
      </c>
      <c r="L128" s="508">
        <f t="shared" si="18"/>
        <v>0</v>
      </c>
      <c r="M128" s="508">
        <f t="shared" si="17"/>
        <v>0</v>
      </c>
      <c r="O128" s="188">
        <f>'GS &gt; 50 Predicted Monthly'!$Z$10</f>
        <v>-1907163.1226077401</v>
      </c>
      <c r="P128" s="188">
        <f ca="1">E128*'GS &gt; 50 Predicted Monthly'!$Z$11</f>
        <v>0</v>
      </c>
      <c r="Q128" s="188">
        <f ca="1">F128*'GS &gt; 50 Predicted Monthly'!$Z$12</f>
        <v>27396707.50409558</v>
      </c>
      <c r="R128" s="188">
        <f>I128*'GS &gt; 50 Predicted Monthly'!$Z$13</f>
        <v>0</v>
      </c>
      <c r="S128" s="188">
        <f>J128*'GS &gt; 50 Predicted Monthly'!$Z$14</f>
        <v>79525500.842962876</v>
      </c>
      <c r="T128" s="188">
        <f>K128*'GS &gt; 50 Predicted Monthly'!$Z$15</f>
        <v>41199918.894853964</v>
      </c>
      <c r="U128" s="188">
        <f>L128*'GS &gt; 50 Predicted Monthly'!$Z$16</f>
        <v>0</v>
      </c>
      <c r="V128" s="188">
        <f>M128*'GS &gt; 50 Predicted Monthly'!$Z$17</f>
        <v>0</v>
      </c>
      <c r="W128" s="188">
        <f t="shared" ca="1" si="19"/>
        <v>146214964.11930466</v>
      </c>
    </row>
    <row r="129" spans="1:23" s="59" customFormat="1" x14ac:dyDescent="0.2">
      <c r="A129" s="506">
        <f t="shared" si="15"/>
        <v>46600</v>
      </c>
      <c r="B129" s="59">
        <f t="shared" si="21"/>
        <v>2027</v>
      </c>
      <c r="C129" s="59">
        <f t="shared" si="22"/>
        <v>8</v>
      </c>
      <c r="E129" s="511">
        <f t="shared" ca="1" si="20"/>
        <v>0.27875000000000066</v>
      </c>
      <c r="F129" s="511">
        <f t="shared" ca="1" si="20"/>
        <v>196.13625000000002</v>
      </c>
      <c r="G129" s="177"/>
      <c r="H129" s="177"/>
      <c r="I129" s="188">
        <f>'Monthly Data'!CV129</f>
        <v>0</v>
      </c>
      <c r="J129" s="176">
        <f t="shared" si="16"/>
        <v>31</v>
      </c>
      <c r="K129" s="508">
        <f>Economic!M143</f>
        <v>933682.65911250014</v>
      </c>
      <c r="L129" s="508">
        <f t="shared" si="18"/>
        <v>0</v>
      </c>
      <c r="M129" s="508">
        <f t="shared" si="17"/>
        <v>1</v>
      </c>
      <c r="O129" s="188">
        <f>'GS &gt; 50 Predicted Monthly'!$Z$10</f>
        <v>-1907163.1226077401</v>
      </c>
      <c r="P129" s="188">
        <f ca="1">E129*'GS &gt; 50 Predicted Monthly'!$Z$11</f>
        <v>5946.629491095875</v>
      </c>
      <c r="Q129" s="188">
        <f ca="1">F129*'GS &gt; 50 Predicted Monthly'!$Z$12</f>
        <v>23234546.584020402</v>
      </c>
      <c r="R129" s="188">
        <f>I129*'GS &gt; 50 Predicted Monthly'!$Z$13</f>
        <v>0</v>
      </c>
      <c r="S129" s="188">
        <f>J129*'GS &gt; 50 Predicted Monthly'!$Z$14</f>
        <v>79525500.842962876</v>
      </c>
      <c r="T129" s="188">
        <f>K129*'GS &gt; 50 Predicted Monthly'!$Z$15</f>
        <v>41199918.894853964</v>
      </c>
      <c r="U129" s="188">
        <f>L129*'GS &gt; 50 Predicted Monthly'!$Z$16</f>
        <v>0</v>
      </c>
      <c r="V129" s="188">
        <f>M129*'GS &gt; 50 Predicted Monthly'!$Z$17</f>
        <v>2800660.9376037801</v>
      </c>
      <c r="W129" s="188">
        <f t="shared" ca="1" si="19"/>
        <v>144859410.76632437</v>
      </c>
    </row>
    <row r="130" spans="1:23" s="59" customFormat="1" x14ac:dyDescent="0.2">
      <c r="A130" s="506">
        <f t="shared" si="15"/>
        <v>46631</v>
      </c>
      <c r="B130" s="59">
        <f t="shared" si="21"/>
        <v>2027</v>
      </c>
      <c r="C130" s="59">
        <f t="shared" si="22"/>
        <v>9</v>
      </c>
      <c r="E130" s="511">
        <f t="shared" ca="1" si="20"/>
        <v>11.319999999999997</v>
      </c>
      <c r="F130" s="511">
        <f t="shared" ca="1" si="20"/>
        <v>104.19854166666664</v>
      </c>
      <c r="G130" s="177"/>
      <c r="H130" s="177"/>
      <c r="I130" s="188">
        <f>'Monthly Data'!CV130</f>
        <v>0</v>
      </c>
      <c r="J130" s="176">
        <f t="shared" si="16"/>
        <v>30</v>
      </c>
      <c r="K130" s="508">
        <f>Economic!M144</f>
        <v>933682.65911250014</v>
      </c>
      <c r="L130" s="508">
        <f t="shared" si="18"/>
        <v>1</v>
      </c>
      <c r="M130" s="508">
        <f t="shared" si="17"/>
        <v>0</v>
      </c>
      <c r="O130" s="188">
        <f>'GS &gt; 50 Predicted Monthly'!$Z$10</f>
        <v>-1907163.1226077401</v>
      </c>
      <c r="P130" s="188">
        <f ca="1">E130*'GS &gt; 50 Predicted Monthly'!$Z$11</f>
        <v>241491.82363840402</v>
      </c>
      <c r="Q130" s="188">
        <f ca="1">F130*'GS &gt; 50 Predicted Monthly'!$Z$12</f>
        <v>12343490.152081305</v>
      </c>
      <c r="R130" s="188">
        <f>I130*'GS &gt; 50 Predicted Monthly'!$Z$13</f>
        <v>0</v>
      </c>
      <c r="S130" s="188">
        <f>J130*'GS &gt; 50 Predicted Monthly'!$Z$14</f>
        <v>76960162.106093109</v>
      </c>
      <c r="T130" s="188">
        <f>K130*'GS &gt; 50 Predicted Monthly'!$Z$15</f>
        <v>41199918.894853964</v>
      </c>
      <c r="U130" s="188">
        <f>L130*'GS &gt; 50 Predicted Monthly'!$Z$16</f>
        <v>3497669.1063549998</v>
      </c>
      <c r="V130" s="188">
        <f>M130*'GS &gt; 50 Predicted Monthly'!$Z$17</f>
        <v>0</v>
      </c>
      <c r="W130" s="188">
        <f t="shared" ca="1" si="19"/>
        <v>132335568.96041404</v>
      </c>
    </row>
    <row r="131" spans="1:23" s="59" customFormat="1" x14ac:dyDescent="0.2">
      <c r="A131" s="506">
        <f t="shared" si="15"/>
        <v>46661</v>
      </c>
      <c r="B131" s="59">
        <f t="shared" si="21"/>
        <v>2027</v>
      </c>
      <c r="C131" s="59">
        <f t="shared" si="22"/>
        <v>10</v>
      </c>
      <c r="E131" s="511">
        <f t="shared" ca="1" si="20"/>
        <v>126.12583333333332</v>
      </c>
      <c r="F131" s="511">
        <f t="shared" ca="1" si="20"/>
        <v>24.703125000000007</v>
      </c>
      <c r="G131" s="177"/>
      <c r="H131" s="177"/>
      <c r="I131" s="188">
        <f>'Monthly Data'!CV131</f>
        <v>0</v>
      </c>
      <c r="J131" s="176">
        <f t="shared" si="16"/>
        <v>31</v>
      </c>
      <c r="K131" s="508">
        <f>Economic!M145</f>
        <v>931836.7080687501</v>
      </c>
      <c r="L131" s="508">
        <f t="shared" si="18"/>
        <v>1</v>
      </c>
      <c r="M131" s="508">
        <f t="shared" si="17"/>
        <v>0</v>
      </c>
      <c r="O131" s="188">
        <f>'GS &gt; 50 Predicted Monthly'!$Z$10</f>
        <v>-1907163.1226077401</v>
      </c>
      <c r="P131" s="188">
        <f ca="1">E131*'GS &gt; 50 Predicted Monthly'!$Z$11</f>
        <v>2690667.6236378159</v>
      </c>
      <c r="Q131" s="188">
        <f ca="1">F131*'GS &gt; 50 Predicted Monthly'!$Z$12</f>
        <v>2926363.2224200224</v>
      </c>
      <c r="R131" s="188">
        <f>I131*'GS &gt; 50 Predicted Monthly'!$Z$13</f>
        <v>0</v>
      </c>
      <c r="S131" s="188">
        <f>J131*'GS &gt; 50 Predicted Monthly'!$Z$14</f>
        <v>79525500.842962876</v>
      </c>
      <c r="T131" s="188">
        <f>K131*'GS &gt; 50 Predicted Monthly'!$Z$15</f>
        <v>41118463.988795556</v>
      </c>
      <c r="U131" s="188">
        <f>L131*'GS &gt; 50 Predicted Monthly'!$Z$16</f>
        <v>3497669.1063549998</v>
      </c>
      <c r="V131" s="188">
        <f>M131*'GS &gt; 50 Predicted Monthly'!$Z$17</f>
        <v>0</v>
      </c>
      <c r="W131" s="188">
        <f t="shared" ca="1" si="19"/>
        <v>127851501.66156353</v>
      </c>
    </row>
    <row r="132" spans="1:23" s="59" customFormat="1" x14ac:dyDescent="0.2">
      <c r="A132" s="506">
        <f t="shared" si="15"/>
        <v>46692</v>
      </c>
      <c r="B132" s="59">
        <f t="shared" si="21"/>
        <v>2027</v>
      </c>
      <c r="C132" s="59">
        <f t="shared" si="22"/>
        <v>11</v>
      </c>
      <c r="E132" s="511">
        <f t="shared" ca="1" si="20"/>
        <v>312.40687500000001</v>
      </c>
      <c r="F132" s="511">
        <f t="shared" ca="1" si="20"/>
        <v>1.6454166666666665</v>
      </c>
      <c r="G132" s="177"/>
      <c r="H132" s="177"/>
      <c r="I132" s="188">
        <f>'Monthly Data'!CV132</f>
        <v>0</v>
      </c>
      <c r="J132" s="176">
        <f t="shared" si="16"/>
        <v>30</v>
      </c>
      <c r="K132" s="508">
        <f>Economic!M146</f>
        <v>931836.7080687501</v>
      </c>
      <c r="L132" s="508">
        <f t="shared" si="18"/>
        <v>1</v>
      </c>
      <c r="M132" s="508">
        <f t="shared" si="17"/>
        <v>0</v>
      </c>
      <c r="O132" s="188">
        <f>'GS &gt; 50 Predicted Monthly'!$Z$10</f>
        <v>-1907163.1226077401</v>
      </c>
      <c r="P132" s="188">
        <f ca="1">E132*'GS &gt; 50 Predicted Monthly'!$Z$11</f>
        <v>6664638.335770756</v>
      </c>
      <c r="Q132" s="188">
        <f ca="1">F132*'GS &gt; 50 Predicted Monthly'!$Z$12</f>
        <v>194918.12549587458</v>
      </c>
      <c r="R132" s="188">
        <f>I132*'GS &gt; 50 Predicted Monthly'!$Z$13</f>
        <v>0</v>
      </c>
      <c r="S132" s="188">
        <f>J132*'GS &gt; 50 Predicted Monthly'!$Z$14</f>
        <v>76960162.106093109</v>
      </c>
      <c r="T132" s="188">
        <f>K132*'GS &gt; 50 Predicted Monthly'!$Z$15</f>
        <v>41118463.988795556</v>
      </c>
      <c r="U132" s="188">
        <f>L132*'GS &gt; 50 Predicted Monthly'!$Z$16</f>
        <v>3497669.1063549998</v>
      </c>
      <c r="V132" s="188">
        <f>M132*'GS &gt; 50 Predicted Monthly'!$Z$17</f>
        <v>0</v>
      </c>
      <c r="W132" s="188">
        <f t="shared" ca="1" si="19"/>
        <v>126528688.53990255</v>
      </c>
    </row>
    <row r="133" spans="1:23" s="59" customFormat="1" x14ac:dyDescent="0.2">
      <c r="A133" s="506">
        <f t="shared" si="15"/>
        <v>46722</v>
      </c>
      <c r="B133" s="59">
        <f t="shared" si="21"/>
        <v>2027</v>
      </c>
      <c r="C133" s="59">
        <f t="shared" si="22"/>
        <v>12</v>
      </c>
      <c r="E133" s="511">
        <f t="shared" ca="1" si="20"/>
        <v>473.52499999999998</v>
      </c>
      <c r="F133" s="511">
        <f t="shared" ca="1" si="20"/>
        <v>0</v>
      </c>
      <c r="G133" s="177"/>
      <c r="H133" s="177"/>
      <c r="I133" s="188">
        <f>'Monthly Data'!CV133</f>
        <v>0</v>
      </c>
      <c r="J133" s="176">
        <f t="shared" si="16"/>
        <v>31</v>
      </c>
      <c r="K133" s="508">
        <f>Economic!M147</f>
        <v>931836.7080687501</v>
      </c>
      <c r="L133" s="508">
        <f t="shared" si="18"/>
        <v>0</v>
      </c>
      <c r="M133" s="508">
        <f t="shared" si="17"/>
        <v>0</v>
      </c>
      <c r="O133" s="188">
        <f>'GS &gt; 50 Predicted Monthly'!$Z$10</f>
        <v>-1907163.1226077401</v>
      </c>
      <c r="P133" s="188">
        <f ca="1">E133*'GS &gt; 50 Predicted Monthly'!$Z$11</f>
        <v>10101803.514874142</v>
      </c>
      <c r="Q133" s="188">
        <f ca="1">F133*'GS &gt; 50 Predicted Monthly'!$Z$12</f>
        <v>0</v>
      </c>
      <c r="R133" s="188">
        <f>I133*'GS &gt; 50 Predicted Monthly'!$Z$13</f>
        <v>0</v>
      </c>
      <c r="S133" s="188">
        <f>J133*'GS &gt; 50 Predicted Monthly'!$Z$14</f>
        <v>79525500.842962876</v>
      </c>
      <c r="T133" s="188">
        <f>K133*'GS &gt; 50 Predicted Monthly'!$Z$15</f>
        <v>41118463.988795556</v>
      </c>
      <c r="U133" s="188">
        <f>L133*'GS &gt; 50 Predicted Monthly'!$Z$16</f>
        <v>0</v>
      </c>
      <c r="V133" s="188">
        <f>M133*'GS &gt; 50 Predicted Monthly'!$Z$17</f>
        <v>0</v>
      </c>
      <c r="W133" s="188">
        <f t="shared" ca="1" si="19"/>
        <v>128838605.22402483</v>
      </c>
    </row>
    <row r="183" spans="9:27" x14ac:dyDescent="0.2">
      <c r="I183" s="11"/>
      <c r="J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</row>
    <row r="184" spans="9:27" x14ac:dyDescent="0.2">
      <c r="I184" s="11"/>
      <c r="J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</row>
    <row r="185" spans="9:27" x14ac:dyDescent="0.2">
      <c r="I185" s="11"/>
      <c r="J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</row>
    <row r="186" spans="9:27" x14ac:dyDescent="0.2">
      <c r="I186" s="11"/>
      <c r="J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</row>
    <row r="187" spans="9:27" x14ac:dyDescent="0.2">
      <c r="I187" s="11"/>
      <c r="J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</row>
    <row r="188" spans="9:27" x14ac:dyDescent="0.2">
      <c r="I188" s="11"/>
      <c r="J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</row>
    <row r="189" spans="9:27" x14ac:dyDescent="0.2">
      <c r="I189" s="11"/>
      <c r="J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</row>
    <row r="190" spans="9:27" x14ac:dyDescent="0.2">
      <c r="I190" s="11"/>
      <c r="J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</row>
    <row r="192" spans="9:27" x14ac:dyDescent="0.2"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F4E46-C435-4FB8-A0C2-54594A2CB39A}">
  <sheetPr>
    <tabColor theme="6" tint="0.59999389629810485"/>
  </sheetPr>
  <dimension ref="A1:R192"/>
  <sheetViews>
    <sheetView topLeftCell="A102" workbookViewId="0">
      <selection activeCell="O123" sqref="O123"/>
    </sheetView>
  </sheetViews>
  <sheetFormatPr defaultColWidth="9.33203125" defaultRowHeight="12.75" x14ac:dyDescent="0.2"/>
  <cols>
    <col min="1" max="1" width="10.33203125" bestFit="1" customWidth="1"/>
    <col min="2" max="3" width="9.5" bestFit="1" customWidth="1"/>
    <col min="4" max="4" width="17.5" customWidth="1"/>
    <col min="5" max="5" width="9.5" bestFit="1" customWidth="1"/>
    <col min="7" max="8" width="9.5" bestFit="1" customWidth="1"/>
    <col min="10" max="10" width="14.83203125" bestFit="1" customWidth="1"/>
    <col min="11" max="11" width="13.83203125" bestFit="1" customWidth="1"/>
    <col min="12" max="13" width="13.83203125" customWidth="1"/>
    <col min="14" max="14" width="19.6640625" customWidth="1"/>
    <col min="16" max="16" width="13.83203125" bestFit="1" customWidth="1"/>
    <col min="17" max="17" width="12.5" bestFit="1" customWidth="1"/>
  </cols>
  <sheetData>
    <row r="1" spans="1:15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Data'!S1</f>
        <v>GS_gt_50_CoGen_NoCDM</v>
      </c>
      <c r="E1" s="181" t="str">
        <f>'Monthly Data'!BK1</f>
        <v>CDD14</v>
      </c>
      <c r="F1" s="181" t="str">
        <f>'Monthly Data'!BK1</f>
        <v>CDD14</v>
      </c>
      <c r="G1" s="181" t="str">
        <f>'Monthly Data'!CT1</f>
        <v>Peak Days</v>
      </c>
      <c r="H1" s="181" t="str">
        <f>'Monthly Data'!CL1</f>
        <v>Summer2</v>
      </c>
      <c r="J1" s="171" t="s">
        <v>65</v>
      </c>
      <c r="K1" s="181" t="str">
        <f>F1</f>
        <v>CDD14</v>
      </c>
      <c r="L1" s="181" t="str">
        <f>G1</f>
        <v>Peak Days</v>
      </c>
      <c r="M1" s="181" t="str">
        <f>H1</f>
        <v>Summer2</v>
      </c>
      <c r="N1" s="171" t="s">
        <v>101</v>
      </c>
      <c r="O1" s="171"/>
    </row>
    <row r="2" spans="1:15" x14ac:dyDescent="0.2">
      <c r="A2" s="8">
        <f>'Monthly Data'!A2</f>
        <v>42736</v>
      </c>
      <c r="B2">
        <f t="shared" ref="B2:B65" si="0">YEAR(A2)</f>
        <v>2017</v>
      </c>
      <c r="C2">
        <f t="shared" ref="C2:C65" si="1">MONTH(A2)</f>
        <v>1</v>
      </c>
      <c r="D2" s="18">
        <f>'Monthly Data'!S2</f>
        <v>1975229.7103848916</v>
      </c>
      <c r="E2" s="290">
        <f ca="1">Weather!BR34</f>
        <v>0</v>
      </c>
      <c r="F2" s="21">
        <f>'Monthly Data'!BK2</f>
        <v>0</v>
      </c>
      <c r="G2" s="11">
        <f>'Monthly Data'!CT2</f>
        <v>22</v>
      </c>
      <c r="H2" s="11">
        <f>'Monthly Data'!CL2</f>
        <v>0</v>
      </c>
      <c r="J2" s="11"/>
      <c r="K2" s="11">
        <f ca="1">(E2-F2)*'GS Co Gen Predicted Monthly'!$R$11</f>
        <v>0</v>
      </c>
      <c r="L2" s="11"/>
      <c r="M2" s="11"/>
      <c r="N2" s="11">
        <f t="shared" ref="N2:N33" ca="1" si="2">D2+K2</f>
        <v>1975229.7103848916</v>
      </c>
    </row>
    <row r="3" spans="1:15" x14ac:dyDescent="0.2">
      <c r="A3" s="8">
        <f>'Monthly Data'!A3</f>
        <v>42767</v>
      </c>
      <c r="B3">
        <f t="shared" si="0"/>
        <v>2017</v>
      </c>
      <c r="C3">
        <f t="shared" si="1"/>
        <v>2</v>
      </c>
      <c r="D3" s="18">
        <f>'Monthly Data'!S3</f>
        <v>2202382.3384362105</v>
      </c>
      <c r="E3" s="290">
        <f ca="1">Weather!BR35</f>
        <v>0</v>
      </c>
      <c r="F3" s="21">
        <f>'Monthly Data'!BK3</f>
        <v>0</v>
      </c>
      <c r="G3" s="11">
        <f>'Monthly Data'!CT3</f>
        <v>19</v>
      </c>
      <c r="H3" s="11">
        <f>'Monthly Data'!CL3</f>
        <v>0</v>
      </c>
      <c r="J3" s="11"/>
      <c r="K3" s="11">
        <f ca="1">(E3-F3)*'GS Co Gen Predicted Monthly'!$R$11</f>
        <v>0</v>
      </c>
      <c r="L3" s="11"/>
      <c r="M3" s="11"/>
      <c r="N3" s="11">
        <f t="shared" ca="1" si="2"/>
        <v>2202382.3384362105</v>
      </c>
    </row>
    <row r="4" spans="1:15" x14ac:dyDescent="0.2">
      <c r="A4" s="8">
        <f>'Monthly Data'!A4</f>
        <v>42795</v>
      </c>
      <c r="B4">
        <f t="shared" si="0"/>
        <v>2017</v>
      </c>
      <c r="C4">
        <f t="shared" si="1"/>
        <v>3</v>
      </c>
      <c r="D4" s="18">
        <f>'Monthly Data'!S4</f>
        <v>3298889.9664875292</v>
      </c>
      <c r="E4" s="290">
        <f ca="1">Weather!BR36</f>
        <v>0</v>
      </c>
      <c r="F4" s="21">
        <f>'Monthly Data'!BK4</f>
        <v>0</v>
      </c>
      <c r="G4" s="11">
        <f>'Monthly Data'!CT4</f>
        <v>23</v>
      </c>
      <c r="H4" s="11">
        <f>'Monthly Data'!CL4</f>
        <v>0</v>
      </c>
      <c r="J4" s="11"/>
      <c r="K4" s="11">
        <f ca="1">(E4-F4)*'GS Co Gen Predicted Monthly'!$R$11</f>
        <v>0</v>
      </c>
      <c r="L4" s="11"/>
      <c r="M4" s="11"/>
      <c r="N4" s="11">
        <f t="shared" ca="1" si="2"/>
        <v>3298889.9664875292</v>
      </c>
    </row>
    <row r="5" spans="1:15" x14ac:dyDescent="0.2">
      <c r="A5" s="8">
        <f>'Monthly Data'!A5</f>
        <v>42826</v>
      </c>
      <c r="B5">
        <f t="shared" si="0"/>
        <v>2017</v>
      </c>
      <c r="C5">
        <f t="shared" si="1"/>
        <v>4</v>
      </c>
      <c r="D5" s="18">
        <f>'Monthly Data'!S5</f>
        <v>3834797.5945388479</v>
      </c>
      <c r="E5" s="290">
        <f ca="1">Weather!BR37</f>
        <v>6.5650000000000031</v>
      </c>
      <c r="F5" s="21">
        <f>'Monthly Data'!BK5</f>
        <v>11.354166666666671</v>
      </c>
      <c r="G5" s="11">
        <f>'Monthly Data'!CT5</f>
        <v>19</v>
      </c>
      <c r="H5" s="11">
        <f>'Monthly Data'!CL5</f>
        <v>0</v>
      </c>
      <c r="J5" s="11"/>
      <c r="K5" s="11">
        <f ca="1">(E5-F5)*'GS Co Gen Predicted Monthly'!$R$11</f>
        <v>-81436.160194093798</v>
      </c>
      <c r="L5" s="11"/>
      <c r="M5" s="11"/>
      <c r="N5" s="11">
        <f t="shared" ca="1" si="2"/>
        <v>3753361.4343447541</v>
      </c>
    </row>
    <row r="6" spans="1:15" x14ac:dyDescent="0.2">
      <c r="A6" s="8">
        <f>'Monthly Data'!A6</f>
        <v>42856</v>
      </c>
      <c r="B6">
        <f t="shared" si="0"/>
        <v>2017</v>
      </c>
      <c r="C6">
        <f t="shared" si="1"/>
        <v>5</v>
      </c>
      <c r="D6" s="18">
        <f>'Monthly Data'!S6</f>
        <v>4110768.2225901671</v>
      </c>
      <c r="E6" s="290">
        <f ca="1">Weather!BR38</f>
        <v>59.300416666666649</v>
      </c>
      <c r="F6" s="21">
        <f>'Monthly Data'!BK6</f>
        <v>37.183333333333337</v>
      </c>
      <c r="G6" s="11">
        <f>'Monthly Data'!CT6</f>
        <v>22</v>
      </c>
      <c r="H6" s="11">
        <f>'Monthly Data'!CL6</f>
        <v>0</v>
      </c>
      <c r="J6" s="11"/>
      <c r="K6" s="11">
        <f ca="1">(E6-F6)*'GS Co Gen Predicted Monthly'!$R$11</f>
        <v>376084.28913021466</v>
      </c>
      <c r="L6" s="11"/>
      <c r="M6" s="11"/>
      <c r="N6" s="11">
        <f t="shared" ca="1" si="2"/>
        <v>4486852.5117203817</v>
      </c>
    </row>
    <row r="7" spans="1:15" x14ac:dyDescent="0.2">
      <c r="A7" s="8">
        <f>'Monthly Data'!A7</f>
        <v>42887</v>
      </c>
      <c r="B7">
        <f t="shared" si="0"/>
        <v>2017</v>
      </c>
      <c r="C7">
        <f t="shared" si="1"/>
        <v>6</v>
      </c>
      <c r="D7" s="18">
        <f>'Monthly Data'!S7</f>
        <v>5743560.8506414862</v>
      </c>
      <c r="E7" s="290">
        <f ca="1">Weather!BR39</f>
        <v>157.17000000000002</v>
      </c>
      <c r="F7" s="21">
        <f>'Monthly Data'!BK7</f>
        <v>147.1333333333333</v>
      </c>
      <c r="G7" s="11">
        <f>'Monthly Data'!CT7</f>
        <v>22</v>
      </c>
      <c r="H7" s="11">
        <f>'Monthly Data'!CL7</f>
        <v>0</v>
      </c>
      <c r="J7" s="11"/>
      <c r="K7" s="11">
        <f ca="1">(E7-F7)*'GS Co Gen Predicted Monthly'!$R$11</f>
        <v>170665.93237822698</v>
      </c>
      <c r="L7" s="11"/>
      <c r="M7" s="11"/>
      <c r="N7" s="11">
        <f t="shared" ca="1" si="2"/>
        <v>5914226.7830197131</v>
      </c>
    </row>
    <row r="8" spans="1:15" x14ac:dyDescent="0.2">
      <c r="A8" s="8">
        <f>'Monthly Data'!A8</f>
        <v>42917</v>
      </c>
      <c r="B8">
        <f t="shared" si="0"/>
        <v>2017</v>
      </c>
      <c r="C8">
        <f t="shared" si="1"/>
        <v>7</v>
      </c>
      <c r="D8" s="18">
        <f>'Monthly Data'!S8</f>
        <v>5624575.4786928045</v>
      </c>
      <c r="E8" s="290">
        <f ca="1">Weather!BR40</f>
        <v>231.27145833333333</v>
      </c>
      <c r="F8" s="21">
        <f>'Monthly Data'!BK8</f>
        <v>206.83541666666665</v>
      </c>
      <c r="G8" s="11">
        <f>'Monthly Data'!CT8</f>
        <v>20</v>
      </c>
      <c r="H8" s="11">
        <f>'Monthly Data'!CL8</f>
        <v>1</v>
      </c>
      <c r="J8" s="11"/>
      <c r="K8" s="11">
        <f ca="1">(E8-F8)*'GS Co Gen Predicted Monthly'!$R$11</f>
        <v>415516.4232489058</v>
      </c>
      <c r="L8" s="11"/>
      <c r="M8" s="11"/>
      <c r="N8" s="11">
        <f t="shared" ca="1" si="2"/>
        <v>6040091.9019417102</v>
      </c>
    </row>
    <row r="9" spans="1:15" x14ac:dyDescent="0.2">
      <c r="A9" s="8">
        <f>'Monthly Data'!A9</f>
        <v>42948</v>
      </c>
      <c r="B9">
        <f t="shared" si="0"/>
        <v>2017</v>
      </c>
      <c r="C9">
        <f t="shared" si="1"/>
        <v>8</v>
      </c>
      <c r="D9" s="18">
        <f>'Monthly Data'!S9</f>
        <v>4805886.1067441236</v>
      </c>
      <c r="E9" s="290">
        <f ca="1">Weather!BR41</f>
        <v>196.13625000000002</v>
      </c>
      <c r="F9" s="21">
        <f>'Monthly Data'!BK9</f>
        <v>149.20833333333331</v>
      </c>
      <c r="G9" s="11">
        <f>'Monthly Data'!CT9</f>
        <v>22</v>
      </c>
      <c r="H9" s="11">
        <f>'Monthly Data'!CL9</f>
        <v>1</v>
      </c>
      <c r="J9" s="11"/>
      <c r="K9" s="11">
        <f ca="1">(E9-F9)*'GS Co Gen Predicted Monthly'!$R$11</f>
        <v>797973.76145642996</v>
      </c>
      <c r="L9" s="11"/>
      <c r="M9" s="11"/>
      <c r="N9" s="11">
        <f t="shared" ca="1" si="2"/>
        <v>5603859.8682005536</v>
      </c>
    </row>
    <row r="10" spans="1:15" x14ac:dyDescent="0.2">
      <c r="A10" s="8">
        <f>'Monthly Data'!A10</f>
        <v>42979</v>
      </c>
      <c r="B10">
        <f t="shared" si="0"/>
        <v>2017</v>
      </c>
      <c r="C10">
        <f t="shared" si="1"/>
        <v>9</v>
      </c>
      <c r="D10" s="18">
        <f>'Monthly Data'!S10</f>
        <v>3970931.7347954423</v>
      </c>
      <c r="E10" s="290">
        <f ca="1">Weather!BR42</f>
        <v>104.19854166666664</v>
      </c>
      <c r="F10" s="21">
        <f>'Monthly Data'!BK10</f>
        <v>112.60833333333332</v>
      </c>
      <c r="G10" s="11">
        <f>'Monthly Data'!CT10</f>
        <v>20</v>
      </c>
      <c r="H10" s="11">
        <f>'Monthly Data'!CL10</f>
        <v>0</v>
      </c>
      <c r="J10" s="11"/>
      <c r="K10" s="11">
        <f ca="1">(E10-F10)*'GS Co Gen Predicted Monthly'!$R$11</f>
        <v>-143002.15236449396</v>
      </c>
      <c r="L10" s="11"/>
      <c r="M10" s="11"/>
      <c r="N10" s="11">
        <f t="shared" ca="1" si="2"/>
        <v>3827929.5824309485</v>
      </c>
    </row>
    <row r="11" spans="1:15" x14ac:dyDescent="0.2">
      <c r="A11" s="8">
        <f>'Monthly Data'!A11</f>
        <v>43009</v>
      </c>
      <c r="B11">
        <f t="shared" si="0"/>
        <v>2017</v>
      </c>
      <c r="C11">
        <f t="shared" si="1"/>
        <v>10</v>
      </c>
      <c r="D11" s="18">
        <f>'Monthly Data'!S11</f>
        <v>5177643.362846761</v>
      </c>
      <c r="E11" s="290">
        <f ca="1">Weather!BR43</f>
        <v>24.703125000000007</v>
      </c>
      <c r="F11" s="21">
        <f>'Monthly Data'!BK11</f>
        <v>36.987500000000026</v>
      </c>
      <c r="G11" s="11">
        <f>'Monthly Data'!CT11</f>
        <v>21</v>
      </c>
      <c r="H11" s="11">
        <f>'Monthly Data'!CL11</f>
        <v>0</v>
      </c>
      <c r="J11" s="11"/>
      <c r="K11" s="11">
        <f ca="1">(E11-F11)*'GS Co Gen Predicted Monthly'!$R$11</f>
        <v>-208886.5140875564</v>
      </c>
      <c r="L11" s="11"/>
      <c r="M11" s="11"/>
      <c r="N11" s="11">
        <f t="shared" ca="1" si="2"/>
        <v>4968756.8487592041</v>
      </c>
    </row>
    <row r="12" spans="1:15" x14ac:dyDescent="0.2">
      <c r="A12" s="8">
        <f>'Monthly Data'!A12</f>
        <v>43040</v>
      </c>
      <c r="B12">
        <f t="shared" si="0"/>
        <v>2017</v>
      </c>
      <c r="C12">
        <f t="shared" si="1"/>
        <v>11</v>
      </c>
      <c r="D12" s="18">
        <f>'Monthly Data'!S12</f>
        <v>3296588.9908980802</v>
      </c>
      <c r="E12" s="290">
        <f ca="1">Weather!BR44</f>
        <v>1.6454166666666665</v>
      </c>
      <c r="F12" s="21">
        <f>'Monthly Data'!BK12</f>
        <v>0</v>
      </c>
      <c r="G12" s="11">
        <f>'Monthly Data'!CT12</f>
        <v>22</v>
      </c>
      <c r="H12" s="11">
        <f>'Monthly Data'!CL12</f>
        <v>0</v>
      </c>
      <c r="J12" s="11"/>
      <c r="K12" s="11">
        <f ca="1">(E12-F12)*'GS Co Gen Predicted Monthly'!$R$11</f>
        <v>27979.067044238407</v>
      </c>
      <c r="L12" s="11"/>
      <c r="M12" s="11"/>
      <c r="N12" s="11">
        <f t="shared" ca="1" si="2"/>
        <v>3324568.0579423187</v>
      </c>
    </row>
    <row r="13" spans="1:15" x14ac:dyDescent="0.2">
      <c r="A13" s="8">
        <f>'Monthly Data'!A13</f>
        <v>43070</v>
      </c>
      <c r="B13">
        <f t="shared" si="0"/>
        <v>2017</v>
      </c>
      <c r="C13">
        <f t="shared" si="1"/>
        <v>12</v>
      </c>
      <c r="D13" s="18">
        <f>'Monthly Data'!S13</f>
        <v>3331855.6189493993</v>
      </c>
      <c r="E13" s="290">
        <f ca="1">Weather!BR45</f>
        <v>0</v>
      </c>
      <c r="F13" s="21">
        <f>'Monthly Data'!BK13</f>
        <v>0</v>
      </c>
      <c r="G13" s="11">
        <f>'Monthly Data'!CT13</f>
        <v>19</v>
      </c>
      <c r="H13" s="11">
        <f>'Monthly Data'!CL13</f>
        <v>0</v>
      </c>
      <c r="J13" s="11"/>
      <c r="K13" s="11">
        <f ca="1">(E13-F13)*'GS Co Gen Predicted Monthly'!$R$11</f>
        <v>0</v>
      </c>
      <c r="L13" s="11"/>
      <c r="M13" s="11"/>
      <c r="N13" s="11">
        <f t="shared" ca="1" si="2"/>
        <v>3331855.6189493993</v>
      </c>
    </row>
    <row r="14" spans="1:15" x14ac:dyDescent="0.2">
      <c r="A14" s="8">
        <f>'Monthly Data'!A14</f>
        <v>43101</v>
      </c>
      <c r="B14">
        <f t="shared" si="0"/>
        <v>2018</v>
      </c>
      <c r="C14">
        <f t="shared" si="1"/>
        <v>1</v>
      </c>
      <c r="D14" s="18">
        <f>'Monthly Data'!S14</f>
        <v>3880776.3635845515</v>
      </c>
      <c r="E14" s="290">
        <f ca="1">E2</f>
        <v>0</v>
      </c>
      <c r="F14" s="21">
        <f>'Monthly Data'!BK14</f>
        <v>0</v>
      </c>
      <c r="G14" s="11">
        <f>'Monthly Data'!CT14</f>
        <v>22</v>
      </c>
      <c r="H14" s="11">
        <f>'Monthly Data'!CL14</f>
        <v>0</v>
      </c>
      <c r="J14" s="11"/>
      <c r="K14" s="11">
        <f ca="1">(E14-F14)*'GS Co Gen Predicted Monthly'!$R$11</f>
        <v>0</v>
      </c>
      <c r="L14" s="11"/>
      <c r="M14" s="11"/>
      <c r="N14" s="11">
        <f t="shared" ca="1" si="2"/>
        <v>3880776.3635845515</v>
      </c>
    </row>
    <row r="15" spans="1:15" x14ac:dyDescent="0.2">
      <c r="A15" s="8">
        <f>'Monthly Data'!A15</f>
        <v>43132</v>
      </c>
      <c r="B15">
        <f t="shared" si="0"/>
        <v>2018</v>
      </c>
      <c r="C15">
        <f t="shared" si="1"/>
        <v>2</v>
      </c>
      <c r="D15" s="18">
        <f>'Monthly Data'!S15</f>
        <v>2504493.9234402059</v>
      </c>
      <c r="E15" s="290">
        <f t="shared" ref="E15:E30" ca="1" si="3">E3</f>
        <v>0</v>
      </c>
      <c r="F15" s="21">
        <f>'Monthly Data'!BK15</f>
        <v>0</v>
      </c>
      <c r="G15" s="11">
        <f>'Monthly Data'!CT15</f>
        <v>19</v>
      </c>
      <c r="H15" s="11">
        <f>'Monthly Data'!CL15</f>
        <v>0</v>
      </c>
      <c r="J15" s="11"/>
      <c r="K15" s="11">
        <f ca="1">(E15-F15)*'GS Co Gen Predicted Monthly'!$R$11</f>
        <v>0</v>
      </c>
      <c r="L15" s="11"/>
      <c r="M15" s="11"/>
      <c r="N15" s="11">
        <f t="shared" ca="1" si="2"/>
        <v>2504493.9234402059</v>
      </c>
    </row>
    <row r="16" spans="1:15" x14ac:dyDescent="0.2">
      <c r="A16" s="8">
        <f>'Monthly Data'!A16</f>
        <v>43160</v>
      </c>
      <c r="B16">
        <f t="shared" si="0"/>
        <v>2018</v>
      </c>
      <c r="C16">
        <f t="shared" si="1"/>
        <v>3</v>
      </c>
      <c r="D16" s="18">
        <f>'Monthly Data'!S16</f>
        <v>2696023.4832958602</v>
      </c>
      <c r="E16" s="290">
        <f t="shared" ca="1" si="3"/>
        <v>0</v>
      </c>
      <c r="F16" s="21">
        <f>'Monthly Data'!BK16</f>
        <v>0</v>
      </c>
      <c r="G16" s="11">
        <f>'Monthly Data'!CT16</f>
        <v>21</v>
      </c>
      <c r="H16" s="11">
        <f>'Monthly Data'!CL16</f>
        <v>0</v>
      </c>
      <c r="J16" s="11"/>
      <c r="K16" s="11">
        <f ca="1">(E16-F16)*'GS Co Gen Predicted Monthly'!$R$11</f>
        <v>0</v>
      </c>
      <c r="L16" s="11"/>
      <c r="M16" s="11"/>
      <c r="N16" s="11">
        <f t="shared" ca="1" si="2"/>
        <v>2696023.4832958602</v>
      </c>
    </row>
    <row r="17" spans="1:16" x14ac:dyDescent="0.2">
      <c r="A17" s="8">
        <f>'Monthly Data'!A17</f>
        <v>43191</v>
      </c>
      <c r="B17">
        <f t="shared" si="0"/>
        <v>2018</v>
      </c>
      <c r="C17">
        <f t="shared" si="1"/>
        <v>4</v>
      </c>
      <c r="D17" s="18">
        <f>'Monthly Data'!S17</f>
        <v>2447627.0431515141</v>
      </c>
      <c r="E17" s="290">
        <f t="shared" ca="1" si="3"/>
        <v>6.5650000000000031</v>
      </c>
      <c r="F17" s="21">
        <f>'Monthly Data'!BK17</f>
        <v>0</v>
      </c>
      <c r="G17" s="11">
        <f>'Monthly Data'!CT17</f>
        <v>21</v>
      </c>
      <c r="H17" s="11">
        <f>'Monthly Data'!CL17</f>
        <v>0</v>
      </c>
      <c r="J17" s="11"/>
      <c r="K17" s="11">
        <f ca="1">(E17-F17)*'GS Co Gen Predicted Monthly'!$R$11</f>
        <v>111632.86410458865</v>
      </c>
      <c r="L17" s="11"/>
      <c r="M17" s="11"/>
      <c r="N17" s="11">
        <f t="shared" ca="1" si="2"/>
        <v>2559259.9072561027</v>
      </c>
    </row>
    <row r="18" spans="1:16" x14ac:dyDescent="0.2">
      <c r="A18" s="8">
        <f>'Monthly Data'!A18</f>
        <v>43221</v>
      </c>
      <c r="B18">
        <f t="shared" si="0"/>
        <v>2018</v>
      </c>
      <c r="C18">
        <f t="shared" si="1"/>
        <v>5</v>
      </c>
      <c r="D18" s="18">
        <f>'Monthly Data'!S18</f>
        <v>4551338.6030071685</v>
      </c>
      <c r="E18" s="290">
        <f t="shared" ca="1" si="3"/>
        <v>59.300416666666649</v>
      </c>
      <c r="F18" s="21">
        <f>'Monthly Data'!BK18</f>
        <v>107.17916666666667</v>
      </c>
      <c r="G18" s="11">
        <f>'Monthly Data'!CT18</f>
        <v>22</v>
      </c>
      <c r="H18" s="11">
        <f>'Monthly Data'!CL18</f>
        <v>0</v>
      </c>
      <c r="J18" s="11"/>
      <c r="K18" s="11">
        <f ca="1">(E18-F18)*'GS Co Gen Predicted Monthly'!$R$11</f>
        <v>-814141.96378485521</v>
      </c>
      <c r="L18" s="11"/>
      <c r="M18" s="11"/>
      <c r="N18" s="11">
        <f t="shared" ca="1" si="2"/>
        <v>3737196.6392223132</v>
      </c>
    </row>
    <row r="19" spans="1:16" x14ac:dyDescent="0.2">
      <c r="A19" s="8">
        <f>'Monthly Data'!A19</f>
        <v>43252</v>
      </c>
      <c r="B19">
        <f t="shared" si="0"/>
        <v>2018</v>
      </c>
      <c r="C19">
        <f t="shared" si="1"/>
        <v>6</v>
      </c>
      <c r="D19" s="18">
        <f>'Monthly Data'!S19</f>
        <v>6710847.1628628224</v>
      </c>
      <c r="E19" s="290">
        <f t="shared" ca="1" si="3"/>
        <v>157.17000000000002</v>
      </c>
      <c r="F19" s="21">
        <f>'Monthly Data'!BK19</f>
        <v>155.0625</v>
      </c>
      <c r="G19" s="11">
        <f>'Monthly Data'!CT19</f>
        <v>21</v>
      </c>
      <c r="H19" s="11">
        <f>'Monthly Data'!CL19</f>
        <v>0</v>
      </c>
      <c r="J19" s="11"/>
      <c r="K19" s="11">
        <f ca="1">(E19-F19)*'GS Co Gen Predicted Monthly'!$R$11</f>
        <v>35836.444950559366</v>
      </c>
      <c r="L19" s="11"/>
      <c r="M19" s="11"/>
      <c r="N19" s="11">
        <f t="shared" ca="1" si="2"/>
        <v>6746683.6078133816</v>
      </c>
      <c r="P19" s="60"/>
    </row>
    <row r="20" spans="1:16" x14ac:dyDescent="0.2">
      <c r="A20" s="8">
        <f>'Monthly Data'!A20</f>
        <v>43282</v>
      </c>
      <c r="B20">
        <f t="shared" si="0"/>
        <v>2018</v>
      </c>
      <c r="C20">
        <f t="shared" si="1"/>
        <v>7</v>
      </c>
      <c r="D20" s="18">
        <f>'Monthly Data'!S20</f>
        <v>7368543.7227184772</v>
      </c>
      <c r="E20" s="290">
        <f t="shared" ca="1" si="3"/>
        <v>231.27145833333333</v>
      </c>
      <c r="F20" s="21">
        <f>'Monthly Data'!BK20</f>
        <v>224.81458333333336</v>
      </c>
      <c r="G20" s="11">
        <f>'Monthly Data'!CT20</f>
        <v>21</v>
      </c>
      <c r="H20" s="11">
        <f>'Monthly Data'!CL20</f>
        <v>1</v>
      </c>
      <c r="J20" s="11"/>
      <c r="K20" s="11">
        <f ca="1">(E20-F20)*'GS Co Gen Predicted Monthly'!$R$11</f>
        <v>109794.28018511987</v>
      </c>
      <c r="L20" s="11"/>
      <c r="M20" s="11"/>
      <c r="N20" s="11">
        <f t="shared" ca="1" si="2"/>
        <v>7478338.0029035974</v>
      </c>
    </row>
    <row r="21" spans="1:16" x14ac:dyDescent="0.2">
      <c r="A21" s="8">
        <f>'Monthly Data'!A21</f>
        <v>43313</v>
      </c>
      <c r="B21">
        <f t="shared" si="0"/>
        <v>2018</v>
      </c>
      <c r="C21">
        <f t="shared" si="1"/>
        <v>8</v>
      </c>
      <c r="D21" s="18">
        <f>'Monthly Data'!S21</f>
        <v>6976940.2825741312</v>
      </c>
      <c r="E21" s="290">
        <f t="shared" ca="1" si="3"/>
        <v>196.13625000000002</v>
      </c>
      <c r="F21" s="21">
        <f>'Monthly Data'!BK21</f>
        <v>230.90833333333327</v>
      </c>
      <c r="G21" s="11">
        <f>'Monthly Data'!CT21</f>
        <v>22</v>
      </c>
      <c r="H21" s="11">
        <f>'Monthly Data'!CL21</f>
        <v>1</v>
      </c>
      <c r="J21" s="11"/>
      <c r="K21" s="11">
        <f ca="1">(E21-F21)*'GS Co Gen Predicted Monthly'!$R$11</f>
        <v>-591273.00127698726</v>
      </c>
      <c r="L21" s="11"/>
      <c r="M21" s="11"/>
      <c r="N21" s="11">
        <f t="shared" ca="1" si="2"/>
        <v>6385667.2812971435</v>
      </c>
    </row>
    <row r="22" spans="1:16" x14ac:dyDescent="0.2">
      <c r="A22" s="8">
        <f>'Monthly Data'!A22</f>
        <v>43344</v>
      </c>
      <c r="B22">
        <f t="shared" si="0"/>
        <v>2018</v>
      </c>
      <c r="C22">
        <f t="shared" si="1"/>
        <v>9</v>
      </c>
      <c r="D22" s="18">
        <f>'Monthly Data'!S22</f>
        <v>5331752.8424297851</v>
      </c>
      <c r="E22" s="290">
        <f t="shared" ca="1" si="3"/>
        <v>104.19854166666664</v>
      </c>
      <c r="F22" s="21">
        <f>'Monthly Data'!BK22</f>
        <v>130.34583333333333</v>
      </c>
      <c r="G22" s="11">
        <f>'Monthly Data'!CT22</f>
        <v>19</v>
      </c>
      <c r="H22" s="11">
        <f>'Monthly Data'!CL22</f>
        <v>0</v>
      </c>
      <c r="J22" s="11"/>
      <c r="K22" s="11">
        <f ca="1">(E22-F22)*'GS Co Gen Predicted Monthly'!$R$11</f>
        <v>-444614.93637898623</v>
      </c>
      <c r="L22" s="11"/>
      <c r="M22" s="11"/>
      <c r="N22" s="11">
        <f t="shared" ca="1" si="2"/>
        <v>4887137.9060507985</v>
      </c>
    </row>
    <row r="23" spans="1:16" x14ac:dyDescent="0.2">
      <c r="A23" s="8">
        <f>'Monthly Data'!A23</f>
        <v>43374</v>
      </c>
      <c r="B23">
        <f t="shared" si="0"/>
        <v>2018</v>
      </c>
      <c r="C23">
        <f t="shared" si="1"/>
        <v>10</v>
      </c>
      <c r="D23" s="18">
        <f>'Monthly Data'!S23</f>
        <v>2940054.4022854394</v>
      </c>
      <c r="E23" s="290">
        <f t="shared" ca="1" si="3"/>
        <v>24.703125000000007</v>
      </c>
      <c r="F23" s="21">
        <f>'Monthly Data'!BK23</f>
        <v>22.829166666666666</v>
      </c>
      <c r="G23" s="11">
        <f>'Monthly Data'!CT23</f>
        <v>22</v>
      </c>
      <c r="H23" s="11">
        <f>'Monthly Data'!CL23</f>
        <v>0</v>
      </c>
      <c r="J23" s="11"/>
      <c r="K23" s="11">
        <f ca="1">(E23-F23)*'GS Co Gen Predicted Monthly'!$R$11</f>
        <v>31865.245386544135</v>
      </c>
      <c r="L23" s="11"/>
      <c r="M23" s="11"/>
      <c r="N23" s="11">
        <f t="shared" ca="1" si="2"/>
        <v>2971919.6476719836</v>
      </c>
    </row>
    <row r="24" spans="1:16" x14ac:dyDescent="0.2">
      <c r="A24" s="8">
        <f>'Monthly Data'!A24</f>
        <v>43405</v>
      </c>
      <c r="B24">
        <f t="shared" si="0"/>
        <v>2018</v>
      </c>
      <c r="C24">
        <f t="shared" si="1"/>
        <v>11</v>
      </c>
      <c r="D24" s="18">
        <f>'Monthly Data'!S24</f>
        <v>1832037.9621410936</v>
      </c>
      <c r="E24" s="290">
        <f t="shared" ca="1" si="3"/>
        <v>1.6454166666666665</v>
      </c>
      <c r="F24" s="21">
        <f>'Monthly Data'!BK24</f>
        <v>0</v>
      </c>
      <c r="G24" s="11">
        <f>'Monthly Data'!CT24</f>
        <v>22</v>
      </c>
      <c r="H24" s="11">
        <f>'Monthly Data'!CL24</f>
        <v>0</v>
      </c>
      <c r="J24" s="11"/>
      <c r="K24" s="11">
        <f ca="1">(E24-F24)*'GS Co Gen Predicted Monthly'!$R$11</f>
        <v>27979.067044238407</v>
      </c>
      <c r="L24" s="11"/>
      <c r="M24" s="11"/>
      <c r="N24" s="11">
        <f t="shared" ca="1" si="2"/>
        <v>1860017.0291853319</v>
      </c>
    </row>
    <row r="25" spans="1:16" x14ac:dyDescent="0.2">
      <c r="A25" s="8">
        <f>'Monthly Data'!A25</f>
        <v>43435</v>
      </c>
      <c r="B25">
        <f t="shared" si="0"/>
        <v>2018</v>
      </c>
      <c r="C25">
        <f t="shared" si="1"/>
        <v>12</v>
      </c>
      <c r="D25" s="18">
        <f>'Monthly Data'!S25</f>
        <v>1067103.5219967477</v>
      </c>
      <c r="E25" s="290">
        <f t="shared" ca="1" si="3"/>
        <v>0</v>
      </c>
      <c r="F25" s="21">
        <f>'Monthly Data'!BK25</f>
        <v>0</v>
      </c>
      <c r="G25" s="11">
        <f>'Monthly Data'!CT25</f>
        <v>19</v>
      </c>
      <c r="H25" s="11">
        <f>'Monthly Data'!CL25</f>
        <v>0</v>
      </c>
      <c r="J25" s="11"/>
      <c r="K25" s="11">
        <f ca="1">(E25-F25)*'GS Co Gen Predicted Monthly'!$R$11</f>
        <v>0</v>
      </c>
      <c r="L25" s="11"/>
      <c r="M25" s="11"/>
      <c r="N25" s="11">
        <f t="shared" ca="1" si="2"/>
        <v>1067103.5219967477</v>
      </c>
    </row>
    <row r="26" spans="1:16" x14ac:dyDescent="0.2">
      <c r="A26" s="8">
        <f>'Monthly Data'!A26</f>
        <v>43466</v>
      </c>
      <c r="B26">
        <f t="shared" si="0"/>
        <v>2019</v>
      </c>
      <c r="C26">
        <f t="shared" si="1"/>
        <v>1</v>
      </c>
      <c r="D26" s="18">
        <f>'Monthly Data'!S26</f>
        <v>974399.68585805758</v>
      </c>
      <c r="E26" s="290">
        <f t="shared" ca="1" si="3"/>
        <v>0</v>
      </c>
      <c r="F26" s="21">
        <f>'Monthly Data'!BK26</f>
        <v>0</v>
      </c>
      <c r="G26" s="11">
        <f>'Monthly Data'!CT26</f>
        <v>22</v>
      </c>
      <c r="H26" s="11">
        <f>'Monthly Data'!CL26</f>
        <v>0</v>
      </c>
      <c r="J26" s="11"/>
      <c r="K26" s="11">
        <f ca="1">(E26-F26)*'GS Co Gen Predicted Monthly'!$R$11</f>
        <v>0</v>
      </c>
      <c r="L26" s="11"/>
      <c r="M26" s="11"/>
      <c r="N26" s="11">
        <f t="shared" ca="1" si="2"/>
        <v>974399.68585805758</v>
      </c>
    </row>
    <row r="27" spans="1:16" x14ac:dyDescent="0.2">
      <c r="A27" s="8">
        <f>'Monthly Data'!A27</f>
        <v>43497</v>
      </c>
      <c r="B27">
        <f t="shared" si="0"/>
        <v>2019</v>
      </c>
      <c r="C27">
        <f t="shared" si="1"/>
        <v>2</v>
      </c>
      <c r="D27" s="18">
        <f>'Monthly Data'!S27</f>
        <v>1021148.6465925851</v>
      </c>
      <c r="E27" s="290">
        <f t="shared" ca="1" si="3"/>
        <v>0</v>
      </c>
      <c r="F27" s="21">
        <f>'Monthly Data'!BK27</f>
        <v>0</v>
      </c>
      <c r="G27" s="11">
        <f>'Monthly Data'!CT27</f>
        <v>19</v>
      </c>
      <c r="H27" s="11">
        <f>'Monthly Data'!CL27</f>
        <v>0</v>
      </c>
      <c r="J27" s="11"/>
      <c r="K27" s="11">
        <f ca="1">(E27-F27)*'GS Co Gen Predicted Monthly'!$R$11</f>
        <v>0</v>
      </c>
      <c r="L27" s="11"/>
      <c r="M27" s="11"/>
      <c r="N27" s="11">
        <f t="shared" ca="1" si="2"/>
        <v>1021148.6465925851</v>
      </c>
    </row>
    <row r="28" spans="1:16" x14ac:dyDescent="0.2">
      <c r="A28" s="8">
        <f>'Monthly Data'!A28</f>
        <v>43525</v>
      </c>
      <c r="B28">
        <f t="shared" si="0"/>
        <v>2019</v>
      </c>
      <c r="C28">
        <f t="shared" si="1"/>
        <v>3</v>
      </c>
      <c r="D28" s="18">
        <f>'Monthly Data'!S28</f>
        <v>1585107.5608721885</v>
      </c>
      <c r="E28" s="290">
        <f t="shared" ca="1" si="3"/>
        <v>0</v>
      </c>
      <c r="F28" s="21">
        <f>'Monthly Data'!BK28</f>
        <v>0</v>
      </c>
      <c r="G28" s="11">
        <f>'Monthly Data'!CT28</f>
        <v>22</v>
      </c>
      <c r="H28" s="11">
        <f>'Monthly Data'!CL28</f>
        <v>0</v>
      </c>
      <c r="J28" s="11"/>
      <c r="K28" s="11">
        <f ca="1">(E28-F28)*'GS Co Gen Predicted Monthly'!$R$11</f>
        <v>0</v>
      </c>
      <c r="L28" s="11"/>
      <c r="M28" s="11"/>
      <c r="N28" s="11">
        <f t="shared" ca="1" si="2"/>
        <v>1585107.5608721885</v>
      </c>
    </row>
    <row r="29" spans="1:16" x14ac:dyDescent="0.2">
      <c r="A29" s="8">
        <f>'Monthly Data'!A29</f>
        <v>43556</v>
      </c>
      <c r="B29">
        <f t="shared" si="0"/>
        <v>2019</v>
      </c>
      <c r="C29">
        <f t="shared" si="1"/>
        <v>4</v>
      </c>
      <c r="D29" s="18">
        <f>'Monthly Data'!S29</f>
        <v>1359530.64393672</v>
      </c>
      <c r="E29" s="290">
        <f t="shared" ca="1" si="3"/>
        <v>6.5650000000000031</v>
      </c>
      <c r="F29" s="21">
        <f>'Monthly Data'!BK29</f>
        <v>0</v>
      </c>
      <c r="G29" s="11">
        <f>'Monthly Data'!CT29</f>
        <v>21</v>
      </c>
      <c r="H29" s="11">
        <f>'Monthly Data'!CL29</f>
        <v>0</v>
      </c>
      <c r="J29" s="11"/>
      <c r="K29" s="11">
        <f ca="1">(E29-F29)*'GS Co Gen Predicted Monthly'!$R$11</f>
        <v>111632.86410458865</v>
      </c>
      <c r="L29" s="11"/>
      <c r="M29" s="11"/>
      <c r="N29" s="11">
        <f t="shared" ca="1" si="2"/>
        <v>1471163.5080413087</v>
      </c>
    </row>
    <row r="30" spans="1:16" x14ac:dyDescent="0.2">
      <c r="A30" s="8">
        <f>'Monthly Data'!A30</f>
        <v>43586</v>
      </c>
      <c r="B30">
        <f t="shared" si="0"/>
        <v>2019</v>
      </c>
      <c r="C30">
        <f t="shared" si="1"/>
        <v>5</v>
      </c>
      <c r="D30" s="18">
        <f>'Monthly Data'!S30</f>
        <v>3085749.3748756615</v>
      </c>
      <c r="E30" s="290">
        <f t="shared" ca="1" si="3"/>
        <v>59.300416666666649</v>
      </c>
      <c r="F30" s="21">
        <f>'Monthly Data'!BK30</f>
        <v>20.48749999999999</v>
      </c>
      <c r="G30" s="11">
        <f>'Monthly Data'!CT30</f>
        <v>20</v>
      </c>
      <c r="H30" s="11">
        <f>'Monthly Data'!CL30</f>
        <v>0</v>
      </c>
      <c r="J30" s="11"/>
      <c r="K30" s="11">
        <f ca="1">(E30-F30)*'GS Co Gen Predicted Monthly'!$R$11</f>
        <v>659984.31862189202</v>
      </c>
      <c r="L30" s="11"/>
      <c r="M30" s="11"/>
      <c r="N30" s="11">
        <f t="shared" ca="1" si="2"/>
        <v>3745733.6934975535</v>
      </c>
    </row>
    <row r="31" spans="1:16" x14ac:dyDescent="0.2">
      <c r="A31" s="8">
        <f>'Monthly Data'!A31</f>
        <v>43617</v>
      </c>
      <c r="B31">
        <f t="shared" si="0"/>
        <v>2019</v>
      </c>
      <c r="C31">
        <f t="shared" si="1"/>
        <v>6</v>
      </c>
      <c r="D31" s="18">
        <f>'Monthly Data'!S31</f>
        <v>5783735.5531390533</v>
      </c>
      <c r="E31" s="290">
        <f t="shared" ref="E31:E46" ca="1" si="4">E19</f>
        <v>157.17000000000002</v>
      </c>
      <c r="F31" s="21">
        <f>'Monthly Data'!BK31</f>
        <v>127.21041666666667</v>
      </c>
      <c r="G31" s="11">
        <f>'Monthly Data'!CT31</f>
        <v>22</v>
      </c>
      <c r="H31" s="11">
        <f>'Monthly Data'!CL31</f>
        <v>0</v>
      </c>
      <c r="J31" s="11"/>
      <c r="K31" s="11">
        <f ca="1">(E31-F31)*'GS Co Gen Predicted Monthly'!$R$11</f>
        <v>509440.07538158394</v>
      </c>
      <c r="L31" s="11"/>
      <c r="M31" s="11"/>
      <c r="N31" s="11">
        <f t="shared" ca="1" si="2"/>
        <v>6293175.6285206368</v>
      </c>
    </row>
    <row r="32" spans="1:16" x14ac:dyDescent="0.2">
      <c r="A32" s="8">
        <f>'Monthly Data'!A32</f>
        <v>43647</v>
      </c>
      <c r="B32">
        <f t="shared" si="0"/>
        <v>2019</v>
      </c>
      <c r="C32">
        <f t="shared" si="1"/>
        <v>7</v>
      </c>
      <c r="D32" s="18">
        <f>'Monthly Data'!S32</f>
        <v>6779873.4461094243</v>
      </c>
      <c r="E32" s="290">
        <f t="shared" ca="1" si="4"/>
        <v>231.27145833333333</v>
      </c>
      <c r="F32" s="21">
        <f>'Monthly Data'!BK32</f>
        <v>252.07500000000005</v>
      </c>
      <c r="G32" s="11">
        <f>'Monthly Data'!CT32</f>
        <v>22</v>
      </c>
      <c r="H32" s="11">
        <f>'Monthly Data'!CL32</f>
        <v>1</v>
      </c>
      <c r="J32" s="11"/>
      <c r="K32" s="11">
        <f ca="1">(E32-F32)*'GS Co Gen Predicted Monthly'!$R$11</f>
        <v>-353748.50567694625</v>
      </c>
      <c r="L32" s="11"/>
      <c r="M32" s="11"/>
      <c r="N32" s="11">
        <f t="shared" ca="1" si="2"/>
        <v>6426124.9404324777</v>
      </c>
    </row>
    <row r="33" spans="1:14" x14ac:dyDescent="0.2">
      <c r="A33" s="8">
        <f>'Monthly Data'!A33</f>
        <v>43678</v>
      </c>
      <c r="B33">
        <f t="shared" si="0"/>
        <v>2019</v>
      </c>
      <c r="C33">
        <f t="shared" si="1"/>
        <v>8</v>
      </c>
      <c r="D33" s="18">
        <f>'Monthly Data'!S33</f>
        <v>4268866.6845833659</v>
      </c>
      <c r="E33" s="290">
        <f t="shared" ca="1" si="4"/>
        <v>196.13625000000002</v>
      </c>
      <c r="F33" s="21">
        <f>'Monthly Data'!BK33</f>
        <v>182.71666666666661</v>
      </c>
      <c r="G33" s="11">
        <f>'Monthly Data'!CT33</f>
        <v>20</v>
      </c>
      <c r="H33" s="11">
        <f>'Monthly Data'!CL33</f>
        <v>1</v>
      </c>
      <c r="J33" s="11"/>
      <c r="K33" s="11">
        <f ca="1">(E33-F33)*'GS Co Gen Predicted Monthly'!$R$11</f>
        <v>228189.87396652097</v>
      </c>
      <c r="L33" s="11"/>
      <c r="M33" s="11"/>
      <c r="N33" s="11">
        <f t="shared" ca="1" si="2"/>
        <v>4497056.5585498866</v>
      </c>
    </row>
    <row r="34" spans="1:14" x14ac:dyDescent="0.2">
      <c r="A34" s="8">
        <f>'Monthly Data'!A34</f>
        <v>43709</v>
      </c>
      <c r="B34">
        <f t="shared" si="0"/>
        <v>2019</v>
      </c>
      <c r="C34">
        <f t="shared" si="1"/>
        <v>9</v>
      </c>
      <c r="D34" s="18">
        <f>'Monthly Data'!S34</f>
        <v>5664547.3962547369</v>
      </c>
      <c r="E34" s="290">
        <f t="shared" ca="1" si="4"/>
        <v>104.19854166666664</v>
      </c>
      <c r="F34" s="21">
        <f>'Monthly Data'!BK34</f>
        <v>103.38124999999999</v>
      </c>
      <c r="G34" s="11">
        <f>'Monthly Data'!CT34</f>
        <v>21</v>
      </c>
      <c r="H34" s="11">
        <f>'Monthly Data'!CL34</f>
        <v>0</v>
      </c>
      <c r="J34" s="11"/>
      <c r="K34" s="11">
        <f ca="1">(E34-F34)*'GS Co Gen Predicted Monthly'!$R$11</f>
        <v>13897.427198600251</v>
      </c>
      <c r="L34" s="11"/>
      <c r="M34" s="11"/>
      <c r="N34" s="11">
        <f t="shared" ref="N34:N65" ca="1" si="5">D34+K34</f>
        <v>5678444.823453337</v>
      </c>
    </row>
    <row r="35" spans="1:14" x14ac:dyDescent="0.2">
      <c r="A35" s="8">
        <f>'Monthly Data'!A35</f>
        <v>43739</v>
      </c>
      <c r="B35">
        <f t="shared" si="0"/>
        <v>2019</v>
      </c>
      <c r="C35">
        <f t="shared" si="1"/>
        <v>10</v>
      </c>
      <c r="D35" s="18">
        <f>'Monthly Data'!S35</f>
        <v>3090561.7950364789</v>
      </c>
      <c r="E35" s="290">
        <f t="shared" ca="1" si="4"/>
        <v>24.703125000000007</v>
      </c>
      <c r="F35" s="21">
        <f>'Monthly Data'!BK35</f>
        <v>10.866666666666669</v>
      </c>
      <c r="G35" s="11">
        <f>'Monthly Data'!CT35</f>
        <v>21</v>
      </c>
      <c r="H35" s="11">
        <f>'Monthly Data'!CL35</f>
        <v>0</v>
      </c>
      <c r="J35" s="11"/>
      <c r="K35" s="11">
        <f ca="1">(E35-F35)*'GS Co Gen Predicted Monthly'!$R$11</f>
        <v>235278.51832655034</v>
      </c>
      <c r="L35" s="11"/>
      <c r="M35" s="11"/>
      <c r="N35" s="11">
        <f t="shared" ca="1" si="5"/>
        <v>3325840.3133630292</v>
      </c>
    </row>
    <row r="36" spans="1:14" x14ac:dyDescent="0.2">
      <c r="A36" s="8">
        <f>'Monthly Data'!A36</f>
        <v>43770</v>
      </c>
      <c r="B36">
        <f t="shared" si="0"/>
        <v>2019</v>
      </c>
      <c r="C36">
        <f t="shared" si="1"/>
        <v>11</v>
      </c>
      <c r="D36" s="18">
        <f>'Monthly Data'!S36</f>
        <v>1482477.7429550102</v>
      </c>
      <c r="E36" s="290">
        <f t="shared" ca="1" si="4"/>
        <v>1.6454166666666665</v>
      </c>
      <c r="F36" s="21">
        <f>'Monthly Data'!BK36</f>
        <v>0</v>
      </c>
      <c r="G36" s="11">
        <f>'Monthly Data'!CT36</f>
        <v>21</v>
      </c>
      <c r="H36" s="11">
        <f>'Monthly Data'!CL36</f>
        <v>0</v>
      </c>
      <c r="J36" s="11"/>
      <c r="K36" s="11">
        <f ca="1">(E36-F36)*'GS Co Gen Predicted Monthly'!$R$11</f>
        <v>27979.067044238407</v>
      </c>
      <c r="L36" s="11"/>
      <c r="M36" s="11"/>
      <c r="N36" s="11">
        <f t="shared" ca="1" si="5"/>
        <v>1510456.8099992485</v>
      </c>
    </row>
    <row r="37" spans="1:14" x14ac:dyDescent="0.2">
      <c r="A37" s="8">
        <f>'Monthly Data'!A37</f>
        <v>43800</v>
      </c>
      <c r="B37">
        <f t="shared" si="0"/>
        <v>2019</v>
      </c>
      <c r="C37">
        <f t="shared" si="1"/>
        <v>12</v>
      </c>
      <c r="D37" s="18">
        <f>'Monthly Data'!S37</f>
        <v>1009435.6612457265</v>
      </c>
      <c r="E37" s="290">
        <f t="shared" ca="1" si="4"/>
        <v>0</v>
      </c>
      <c r="F37" s="21">
        <f>'Monthly Data'!BK37</f>
        <v>0</v>
      </c>
      <c r="G37" s="11">
        <f>'Monthly Data'!CT37</f>
        <v>21</v>
      </c>
      <c r="H37" s="11">
        <f>'Monthly Data'!CL37</f>
        <v>0</v>
      </c>
      <c r="J37" s="11"/>
      <c r="K37" s="11">
        <f ca="1">(E37-F37)*'GS Co Gen Predicted Monthly'!$R$11</f>
        <v>0</v>
      </c>
      <c r="L37" s="11"/>
      <c r="M37" s="11"/>
      <c r="N37" s="11">
        <f t="shared" ca="1" si="5"/>
        <v>1009435.6612457265</v>
      </c>
    </row>
    <row r="38" spans="1:14" x14ac:dyDescent="0.2">
      <c r="A38" s="8">
        <f>'Monthly Data'!A38</f>
        <v>43831</v>
      </c>
      <c r="B38">
        <f t="shared" si="0"/>
        <v>2020</v>
      </c>
      <c r="C38">
        <f t="shared" si="1"/>
        <v>1</v>
      </c>
      <c r="D38" s="18">
        <f>'Monthly Data'!S38</f>
        <v>998532.39409482549</v>
      </c>
      <c r="E38" s="290">
        <f t="shared" ca="1" si="4"/>
        <v>0</v>
      </c>
      <c r="F38" s="21">
        <f>'Monthly Data'!BK38</f>
        <v>0</v>
      </c>
      <c r="G38" s="11">
        <f>'Monthly Data'!CT38</f>
        <v>22</v>
      </c>
      <c r="H38" s="11">
        <f>'Monthly Data'!CL38</f>
        <v>0</v>
      </c>
      <c r="J38" s="11"/>
      <c r="K38" s="11">
        <f ca="1">(E38-F38)*'GS Co Gen Predicted Monthly'!$R$11</f>
        <v>0</v>
      </c>
      <c r="L38" s="11"/>
      <c r="M38" s="11"/>
      <c r="N38" s="11">
        <f t="shared" ca="1" si="5"/>
        <v>998532.39409482549</v>
      </c>
    </row>
    <row r="39" spans="1:14" x14ac:dyDescent="0.2">
      <c r="A39" s="8">
        <f>'Monthly Data'!A39</f>
        <v>43862</v>
      </c>
      <c r="B39">
        <f t="shared" si="0"/>
        <v>2020</v>
      </c>
      <c r="C39">
        <f t="shared" si="1"/>
        <v>2</v>
      </c>
      <c r="D39" s="18">
        <f>'Monthly Data'!S39</f>
        <v>1252939.9736270586</v>
      </c>
      <c r="E39" s="290">
        <f t="shared" ca="1" si="4"/>
        <v>0</v>
      </c>
      <c r="F39" s="21">
        <f>'Monthly Data'!BK39</f>
        <v>0</v>
      </c>
      <c r="G39" s="11">
        <f>'Monthly Data'!CT39</f>
        <v>19</v>
      </c>
      <c r="H39" s="11">
        <f>'Monthly Data'!CL39</f>
        <v>0</v>
      </c>
      <c r="J39" s="11"/>
      <c r="K39" s="11">
        <f ca="1">(E39-F39)*'GS Co Gen Predicted Monthly'!$R$11</f>
        <v>0</v>
      </c>
      <c r="L39" s="11"/>
      <c r="M39" s="11"/>
      <c r="N39" s="11">
        <f t="shared" ca="1" si="5"/>
        <v>1252939.9736270586</v>
      </c>
    </row>
    <row r="40" spans="1:14" x14ac:dyDescent="0.2">
      <c r="A40" s="8">
        <f>'Monthly Data'!A40</f>
        <v>43891</v>
      </c>
      <c r="B40">
        <f t="shared" si="0"/>
        <v>2020</v>
      </c>
      <c r="C40">
        <f t="shared" si="1"/>
        <v>3</v>
      </c>
      <c r="D40" s="18">
        <f>'Monthly Data'!S40</f>
        <v>1164437.6812405386</v>
      </c>
      <c r="E40" s="290">
        <f t="shared" ca="1" si="4"/>
        <v>0</v>
      </c>
      <c r="F40" s="21">
        <f>'Monthly Data'!BK40</f>
        <v>0</v>
      </c>
      <c r="G40" s="11">
        <f>'Monthly Data'!CT40</f>
        <v>22</v>
      </c>
      <c r="H40" s="11">
        <f>'Monthly Data'!CL40</f>
        <v>0</v>
      </c>
      <c r="J40" s="11"/>
      <c r="K40" s="11">
        <f ca="1">(E40-F40)*'GS Co Gen Predicted Monthly'!$R$11</f>
        <v>0</v>
      </c>
      <c r="L40" s="11"/>
      <c r="M40" s="11"/>
      <c r="N40" s="11">
        <f t="shared" ca="1" si="5"/>
        <v>1164437.6812405386</v>
      </c>
    </row>
    <row r="41" spans="1:14" x14ac:dyDescent="0.2">
      <c r="A41" s="8">
        <f>'Monthly Data'!A41</f>
        <v>43922</v>
      </c>
      <c r="B41">
        <f t="shared" si="0"/>
        <v>2020</v>
      </c>
      <c r="C41">
        <f t="shared" si="1"/>
        <v>4</v>
      </c>
      <c r="D41" s="18">
        <f>'Monthly Data'!S41</f>
        <v>1121055.5596983887</v>
      </c>
      <c r="E41" s="290">
        <f t="shared" ca="1" si="4"/>
        <v>6.5650000000000031</v>
      </c>
      <c r="F41" s="21">
        <f>'Monthly Data'!BK41</f>
        <v>0</v>
      </c>
      <c r="G41" s="11">
        <f>'Monthly Data'!CT41</f>
        <v>21</v>
      </c>
      <c r="H41" s="11">
        <f>'Monthly Data'!CL41</f>
        <v>0</v>
      </c>
      <c r="J41" s="11"/>
      <c r="K41" s="11">
        <f ca="1">(E41-F41)*'GS Co Gen Predicted Monthly'!$R$11</f>
        <v>111632.86410458865</v>
      </c>
      <c r="L41" s="11"/>
      <c r="M41" s="11"/>
      <c r="N41" s="11">
        <f t="shared" ca="1" si="5"/>
        <v>1232688.4238029774</v>
      </c>
    </row>
    <row r="42" spans="1:14" x14ac:dyDescent="0.2">
      <c r="A42" s="8">
        <f>'Monthly Data'!A42</f>
        <v>43952</v>
      </c>
      <c r="B42">
        <f t="shared" si="0"/>
        <v>2020</v>
      </c>
      <c r="C42">
        <f t="shared" si="1"/>
        <v>5</v>
      </c>
      <c r="D42" s="18">
        <f>'Monthly Data'!S42</f>
        <v>2424185.9781487486</v>
      </c>
      <c r="E42" s="290">
        <f t="shared" ca="1" si="4"/>
        <v>59.300416666666649</v>
      </c>
      <c r="F42" s="21">
        <f>'Monthly Data'!BK42</f>
        <v>55.616666666666646</v>
      </c>
      <c r="G42" s="11">
        <f>'Monthly Data'!CT42</f>
        <v>20</v>
      </c>
      <c r="H42" s="11">
        <f>'Monthly Data'!CL42</f>
        <v>0</v>
      </c>
      <c r="J42" s="11"/>
      <c r="K42" s="11">
        <f ca="1">(E42-F42)*'GS Co Gen Predicted Monthly'!$R$11</f>
        <v>62639.385094482655</v>
      </c>
      <c r="L42" s="11"/>
      <c r="M42" s="11"/>
      <c r="N42" s="11">
        <f t="shared" ca="1" si="5"/>
        <v>2486825.3632432311</v>
      </c>
    </row>
    <row r="43" spans="1:14" x14ac:dyDescent="0.2">
      <c r="A43" s="8">
        <f>'Monthly Data'!A43</f>
        <v>43983</v>
      </c>
      <c r="B43">
        <f t="shared" si="0"/>
        <v>2020</v>
      </c>
      <c r="C43">
        <f t="shared" si="1"/>
        <v>6</v>
      </c>
      <c r="D43" s="18">
        <f>'Monthly Data'!S43</f>
        <v>4259731.9798160084</v>
      </c>
      <c r="E43" s="290">
        <f t="shared" ca="1" si="4"/>
        <v>157.17000000000002</v>
      </c>
      <c r="F43" s="21">
        <f>'Monthly Data'!BK43</f>
        <v>167.22499999999997</v>
      </c>
      <c r="G43" s="11">
        <f>'Monthly Data'!CT43</f>
        <v>22</v>
      </c>
      <c r="H43" s="11">
        <f>'Monthly Data'!CL43</f>
        <v>0</v>
      </c>
      <c r="J43" s="11"/>
      <c r="K43" s="11">
        <f ca="1">(E43-F43)*'GS Co Gen Predicted Monthly'!$R$11</f>
        <v>-170977.67685782677</v>
      </c>
      <c r="L43" s="11"/>
      <c r="M43" s="11"/>
      <c r="N43" s="11">
        <f t="shared" ca="1" si="5"/>
        <v>4088754.3029581816</v>
      </c>
    </row>
    <row r="44" spans="1:14" x14ac:dyDescent="0.2">
      <c r="A44" s="8">
        <f>'Monthly Data'!A44</f>
        <v>44013</v>
      </c>
      <c r="B44">
        <f t="shared" si="0"/>
        <v>2020</v>
      </c>
      <c r="C44">
        <f t="shared" si="1"/>
        <v>7</v>
      </c>
      <c r="D44" s="18">
        <f>'Monthly Data'!S44</f>
        <v>7280535.8722648388</v>
      </c>
      <c r="E44" s="290">
        <f t="shared" ca="1" si="4"/>
        <v>231.27145833333333</v>
      </c>
      <c r="F44" s="21">
        <f>'Monthly Data'!BK44</f>
        <v>285.85000000000008</v>
      </c>
      <c r="G44" s="11">
        <f>'Monthly Data'!CT44</f>
        <v>22</v>
      </c>
      <c r="H44" s="11">
        <f>'Monthly Data'!CL44</f>
        <v>1</v>
      </c>
      <c r="J44" s="11"/>
      <c r="K44" s="11">
        <f ca="1">(E44-F44)*'GS Co Gen Predicted Monthly'!$R$11</f>
        <v>-928066.85832469701</v>
      </c>
      <c r="L44" s="11"/>
      <c r="M44" s="11"/>
      <c r="N44" s="11">
        <f t="shared" ca="1" si="5"/>
        <v>6352469.0139401415</v>
      </c>
    </row>
    <row r="45" spans="1:14" x14ac:dyDescent="0.2">
      <c r="A45" s="8">
        <f>'Monthly Data'!A45</f>
        <v>44044</v>
      </c>
      <c r="B45">
        <f t="shared" si="0"/>
        <v>2020</v>
      </c>
      <c r="C45">
        <f t="shared" si="1"/>
        <v>8</v>
      </c>
      <c r="D45" s="18">
        <f>'Monthly Data'!S45</f>
        <v>6309964.7820981592</v>
      </c>
      <c r="E45" s="290">
        <f t="shared" ca="1" si="4"/>
        <v>196.13625000000002</v>
      </c>
      <c r="F45" s="21">
        <f>'Monthly Data'!BK45</f>
        <v>199.54583333333341</v>
      </c>
      <c r="G45" s="11">
        <f>'Monthly Data'!CT45</f>
        <v>20</v>
      </c>
      <c r="H45" s="11">
        <f>'Monthly Data'!CL45</f>
        <v>1</v>
      </c>
      <c r="J45" s="11"/>
      <c r="K45" s="11">
        <f ca="1">(E45-F45)*'GS Co Gen Predicted Monthly'!$R$11</f>
        <v>-57977.388104078636</v>
      </c>
      <c r="L45" s="11"/>
      <c r="M45" s="11"/>
      <c r="N45" s="11">
        <f t="shared" ca="1" si="5"/>
        <v>6251987.3939940808</v>
      </c>
    </row>
    <row r="46" spans="1:14" x14ac:dyDescent="0.2">
      <c r="A46" s="8">
        <f>'Monthly Data'!A46</f>
        <v>44075</v>
      </c>
      <c r="B46">
        <f t="shared" si="0"/>
        <v>2020</v>
      </c>
      <c r="C46">
        <f t="shared" si="1"/>
        <v>9</v>
      </c>
      <c r="D46" s="18">
        <f>'Monthly Data'!S46</f>
        <v>4783504.4640561193</v>
      </c>
      <c r="E46" s="290">
        <f t="shared" ca="1" si="4"/>
        <v>104.19854166666664</v>
      </c>
      <c r="F46" s="21">
        <f>'Monthly Data'!BK46</f>
        <v>71.695833333333354</v>
      </c>
      <c r="G46" s="11">
        <f>'Monthly Data'!CT46</f>
        <v>21</v>
      </c>
      <c r="H46" s="11">
        <f>'Monthly Data'!CL46</f>
        <v>0</v>
      </c>
      <c r="J46" s="11"/>
      <c r="K46" s="11">
        <f ca="1">(E46-F46)*'GS Co Gen Predicted Monthly'!$R$11</f>
        <v>552683.99427358329</v>
      </c>
      <c r="L46" s="11"/>
      <c r="M46" s="11"/>
      <c r="N46" s="11">
        <f t="shared" ca="1" si="5"/>
        <v>5336188.4583297027</v>
      </c>
    </row>
    <row r="47" spans="1:14" x14ac:dyDescent="0.2">
      <c r="A47" s="8">
        <f>'Monthly Data'!A47</f>
        <v>44105</v>
      </c>
      <c r="B47">
        <f t="shared" si="0"/>
        <v>2020</v>
      </c>
      <c r="C47">
        <f t="shared" si="1"/>
        <v>10</v>
      </c>
      <c r="D47" s="18">
        <f>'Monthly Data'!S47</f>
        <v>3658910.8829854284</v>
      </c>
      <c r="E47" s="290">
        <f t="shared" ref="E47:E62" ca="1" si="6">E35</f>
        <v>24.703125000000007</v>
      </c>
      <c r="F47" s="21">
        <f>'Monthly Data'!BK47</f>
        <v>4.0104166666666714</v>
      </c>
      <c r="G47" s="11">
        <f>'Monthly Data'!CT47</f>
        <v>21</v>
      </c>
      <c r="H47" s="11">
        <f>'Monthly Data'!CL47</f>
        <v>0</v>
      </c>
      <c r="J47" s="11"/>
      <c r="K47" s="11">
        <f ca="1">(E47-F47)*'GS Co Gen Predicted Monthly'!$R$11</f>
        <v>351863.86859571794</v>
      </c>
      <c r="L47" s="11"/>
      <c r="M47" s="11"/>
      <c r="N47" s="11">
        <f t="shared" ca="1" si="5"/>
        <v>4010774.7515811464</v>
      </c>
    </row>
    <row r="48" spans="1:14" x14ac:dyDescent="0.2">
      <c r="A48" s="8">
        <f>'Monthly Data'!A48</f>
        <v>44136</v>
      </c>
      <c r="B48">
        <f t="shared" si="0"/>
        <v>2020</v>
      </c>
      <c r="C48">
        <f t="shared" si="1"/>
        <v>11</v>
      </c>
      <c r="D48" s="18">
        <f>'Monthly Data'!S48</f>
        <v>2825236.0058438084</v>
      </c>
      <c r="E48" s="290">
        <f t="shared" ca="1" si="6"/>
        <v>1.6454166666666665</v>
      </c>
      <c r="F48" s="21">
        <f>'Monthly Data'!BK48</f>
        <v>3.091666666666665</v>
      </c>
      <c r="G48" s="11">
        <f>'Monthly Data'!CT48</f>
        <v>21</v>
      </c>
      <c r="H48" s="11">
        <f>'Monthly Data'!CL48</f>
        <v>0</v>
      </c>
      <c r="J48" s="11"/>
      <c r="K48" s="11">
        <f ca="1">(E48-F48)*'GS Co Gen Predicted Monthly'!$R$11</f>
        <v>-24592.388379476175</v>
      </c>
      <c r="L48" s="11"/>
      <c r="M48" s="11"/>
      <c r="N48" s="11">
        <f t="shared" ca="1" si="5"/>
        <v>2800643.6174643324</v>
      </c>
    </row>
    <row r="49" spans="1:14" x14ac:dyDescent="0.2">
      <c r="A49" s="8">
        <f>'Monthly Data'!A49</f>
        <v>44166</v>
      </c>
      <c r="B49">
        <f t="shared" si="0"/>
        <v>2020</v>
      </c>
      <c r="C49">
        <f t="shared" si="1"/>
        <v>12</v>
      </c>
      <c r="D49" s="18">
        <f>'Monthly Data'!S49</f>
        <v>1601972.2623421687</v>
      </c>
      <c r="E49" s="290">
        <f t="shared" ca="1" si="6"/>
        <v>0</v>
      </c>
      <c r="F49" s="21">
        <f>'Monthly Data'!BK49</f>
        <v>0</v>
      </c>
      <c r="G49" s="11">
        <f>'Monthly Data'!CT49</f>
        <v>21</v>
      </c>
      <c r="H49" s="11">
        <f>'Monthly Data'!CL49</f>
        <v>0</v>
      </c>
      <c r="J49" s="11"/>
      <c r="K49" s="11">
        <f ca="1">(E49-F49)*'GS Co Gen Predicted Monthly'!$R$11</f>
        <v>0</v>
      </c>
      <c r="L49" s="11"/>
      <c r="M49" s="11"/>
      <c r="N49" s="11">
        <f t="shared" ca="1" si="5"/>
        <v>1601972.2623421687</v>
      </c>
    </row>
    <row r="50" spans="1:14" x14ac:dyDescent="0.2">
      <c r="A50" s="8">
        <f>'Monthly Data'!A50</f>
        <v>44197</v>
      </c>
      <c r="B50">
        <f t="shared" si="0"/>
        <v>2021</v>
      </c>
      <c r="C50">
        <f t="shared" si="1"/>
        <v>1</v>
      </c>
      <c r="D50" s="18">
        <f>'Monthly Data'!S50</f>
        <v>1171515.8824397286</v>
      </c>
      <c r="E50" s="290">
        <f t="shared" ca="1" si="6"/>
        <v>0</v>
      </c>
      <c r="F50" s="21">
        <f>'Monthly Data'!BK50</f>
        <v>0</v>
      </c>
      <c r="G50" s="11">
        <f>'Monthly Data'!CT50</f>
        <v>20</v>
      </c>
      <c r="H50" s="11">
        <f>'Monthly Data'!CL50</f>
        <v>0</v>
      </c>
      <c r="J50" s="11"/>
      <c r="K50" s="11">
        <f ca="1">(E50-F50)*'GS Co Gen Predicted Monthly'!$R$11</f>
        <v>0</v>
      </c>
      <c r="L50" s="11"/>
      <c r="M50" s="11"/>
      <c r="N50" s="11">
        <f t="shared" ca="1" si="5"/>
        <v>1171515.8824397286</v>
      </c>
    </row>
    <row r="51" spans="1:14" x14ac:dyDescent="0.2">
      <c r="A51" s="8">
        <f>'Monthly Data'!A51</f>
        <v>44228</v>
      </c>
      <c r="B51">
        <f t="shared" si="0"/>
        <v>2021</v>
      </c>
      <c r="C51">
        <f t="shared" si="1"/>
        <v>2</v>
      </c>
      <c r="D51" s="18">
        <f>'Monthly Data'!S51</f>
        <v>1176631.0139222587</v>
      </c>
      <c r="E51" s="290">
        <f t="shared" ca="1" si="6"/>
        <v>0</v>
      </c>
      <c r="F51" s="21">
        <f>'Monthly Data'!BK51</f>
        <v>0</v>
      </c>
      <c r="G51" s="11">
        <f>'Monthly Data'!CT51</f>
        <v>19</v>
      </c>
      <c r="H51" s="11">
        <f>'Monthly Data'!CL51</f>
        <v>0</v>
      </c>
      <c r="J51" s="11"/>
      <c r="K51" s="11">
        <f ca="1">(E51-F51)*'GS Co Gen Predicted Monthly'!$R$11</f>
        <v>0</v>
      </c>
      <c r="L51" s="11"/>
      <c r="M51" s="11"/>
      <c r="N51" s="11">
        <f t="shared" ca="1" si="5"/>
        <v>1176631.0139222587</v>
      </c>
    </row>
    <row r="52" spans="1:14" x14ac:dyDescent="0.2">
      <c r="A52" s="8">
        <f>'Monthly Data'!A52</f>
        <v>44256</v>
      </c>
      <c r="B52">
        <f t="shared" si="0"/>
        <v>2021</v>
      </c>
      <c r="C52">
        <f t="shared" si="1"/>
        <v>3</v>
      </c>
      <c r="D52" s="18">
        <f>'Monthly Data'!S52</f>
        <v>929052.76174393552</v>
      </c>
      <c r="E52" s="290">
        <f t="shared" ca="1" si="6"/>
        <v>0</v>
      </c>
      <c r="F52" s="21">
        <f>'Monthly Data'!BK52</f>
        <v>0</v>
      </c>
      <c r="G52" s="11">
        <f>'Monthly Data'!CT52</f>
        <v>23</v>
      </c>
      <c r="H52" s="11">
        <f>'Monthly Data'!CL52</f>
        <v>0</v>
      </c>
      <c r="J52" s="11"/>
      <c r="K52" s="11">
        <f ca="1">(E52-F52)*'GS Co Gen Predicted Monthly'!$R$11</f>
        <v>0</v>
      </c>
      <c r="L52" s="11"/>
      <c r="M52" s="11"/>
      <c r="N52" s="11">
        <f t="shared" ca="1" si="5"/>
        <v>929052.76174393552</v>
      </c>
    </row>
    <row r="53" spans="1:14" x14ac:dyDescent="0.2">
      <c r="A53" s="8">
        <f>'Monthly Data'!A53</f>
        <v>44287</v>
      </c>
      <c r="B53">
        <f t="shared" si="0"/>
        <v>2021</v>
      </c>
      <c r="C53">
        <f t="shared" si="1"/>
        <v>4</v>
      </c>
      <c r="D53" s="18">
        <f>'Monthly Data'!S53</f>
        <v>1370379.1031432985</v>
      </c>
      <c r="E53" s="290">
        <f t="shared" ca="1" si="6"/>
        <v>6.5650000000000031</v>
      </c>
      <c r="F53" s="21">
        <f>'Monthly Data'!BK53</f>
        <v>8.0499999999999954</v>
      </c>
      <c r="G53" s="11">
        <f>'Monthly Data'!CT53</f>
        <v>21</v>
      </c>
      <c r="H53" s="11">
        <f>'Monthly Data'!CL53</f>
        <v>0</v>
      </c>
      <c r="J53" s="11"/>
      <c r="K53" s="11">
        <f ca="1">(E53-F53)*'GS Co Gen Predicted Monthly'!$R$11</f>
        <v>-25251.302847724786</v>
      </c>
      <c r="L53" s="11"/>
      <c r="M53" s="11"/>
      <c r="N53" s="11">
        <f t="shared" ca="1" si="5"/>
        <v>1345127.8002955737</v>
      </c>
    </row>
    <row r="54" spans="1:14" x14ac:dyDescent="0.2">
      <c r="A54" s="8">
        <f>'Monthly Data'!A54</f>
        <v>44317</v>
      </c>
      <c r="B54">
        <f t="shared" si="0"/>
        <v>2021</v>
      </c>
      <c r="C54">
        <f t="shared" si="1"/>
        <v>5</v>
      </c>
      <c r="D54" s="18">
        <f>'Monthly Data'!S54</f>
        <v>1835106.5363508987</v>
      </c>
      <c r="E54" s="290">
        <f t="shared" ca="1" si="6"/>
        <v>59.300416666666649</v>
      </c>
      <c r="F54" s="21">
        <f>'Monthly Data'!BK54</f>
        <v>66.793749999999989</v>
      </c>
      <c r="G54" s="11">
        <f>'Monthly Data'!CT54</f>
        <v>20</v>
      </c>
      <c r="H54" s="11">
        <f>'Monthly Data'!CL54</f>
        <v>0</v>
      </c>
      <c r="J54" s="11"/>
      <c r="K54" s="11">
        <f ca="1">(E54-F54)*'GS Co Gen Predicted Monthly'!$R$11</f>
        <v>-127418.47093532134</v>
      </c>
      <c r="L54" s="11"/>
      <c r="M54" s="11"/>
      <c r="N54" s="11">
        <f t="shared" ca="1" si="5"/>
        <v>1707688.0654155773</v>
      </c>
    </row>
    <row r="55" spans="1:14" x14ac:dyDescent="0.2">
      <c r="A55" s="8">
        <f>'Monthly Data'!A55</f>
        <v>44348</v>
      </c>
      <c r="B55">
        <f t="shared" si="0"/>
        <v>2021</v>
      </c>
      <c r="C55">
        <f t="shared" si="1"/>
        <v>6</v>
      </c>
      <c r="D55" s="18">
        <f>'Monthly Data'!S55</f>
        <v>3942469.7375949784</v>
      </c>
      <c r="E55" s="290">
        <f t="shared" ca="1" si="6"/>
        <v>157.17000000000002</v>
      </c>
      <c r="F55" s="21">
        <f>'Monthly Data'!BK55</f>
        <v>198.83750000000006</v>
      </c>
      <c r="G55" s="11">
        <f>'Monthly Data'!CT55</f>
        <v>22</v>
      </c>
      <c r="H55" s="11">
        <f>'Monthly Data'!CL55</f>
        <v>0</v>
      </c>
      <c r="J55" s="11"/>
      <c r="K55" s="11">
        <f ca="1">(E55-F55)*'GS Co Gen Predicted Monthly'!$R$11</f>
        <v>-708524.35111621488</v>
      </c>
      <c r="L55" s="11"/>
      <c r="M55" s="11"/>
      <c r="N55" s="11">
        <f t="shared" ca="1" si="5"/>
        <v>3233945.3864787635</v>
      </c>
    </row>
    <row r="56" spans="1:14" x14ac:dyDescent="0.2">
      <c r="A56" s="8">
        <f>'Monthly Data'!A56</f>
        <v>44378</v>
      </c>
      <c r="B56">
        <f t="shared" si="0"/>
        <v>2021</v>
      </c>
      <c r="C56">
        <f t="shared" si="1"/>
        <v>7</v>
      </c>
      <c r="D56" s="18">
        <f>'Monthly Data'!S56</f>
        <v>3408979.3014047383</v>
      </c>
      <c r="E56" s="290">
        <f t="shared" ca="1" si="6"/>
        <v>231.27145833333333</v>
      </c>
      <c r="F56" s="21">
        <f>'Monthly Data'!BK56</f>
        <v>193.42708333333331</v>
      </c>
      <c r="G56" s="11">
        <f>'Monthly Data'!CT56</f>
        <v>21</v>
      </c>
      <c r="H56" s="11">
        <f>'Monthly Data'!CL56</f>
        <v>1</v>
      </c>
      <c r="J56" s="11"/>
      <c r="K56" s="11">
        <f ca="1">(E56-F56)*'GS Co Gen Predicted Monthly'!$R$11</f>
        <v>643514.99946657906</v>
      </c>
      <c r="L56" s="11"/>
      <c r="M56" s="11"/>
      <c r="N56" s="11">
        <f t="shared" ca="1" si="5"/>
        <v>4052494.3008713173</v>
      </c>
    </row>
    <row r="57" spans="1:14" x14ac:dyDescent="0.2">
      <c r="A57" s="8">
        <f>'Monthly Data'!A57</f>
        <v>44409</v>
      </c>
      <c r="B57">
        <f t="shared" si="0"/>
        <v>2021</v>
      </c>
      <c r="C57">
        <f t="shared" si="1"/>
        <v>8</v>
      </c>
      <c r="D57" s="18">
        <f>'Monthly Data'!S57</f>
        <v>4426996.8036107589</v>
      </c>
      <c r="E57" s="290">
        <f t="shared" ca="1" si="6"/>
        <v>196.13625000000002</v>
      </c>
      <c r="F57" s="21">
        <f>'Monthly Data'!BK57</f>
        <v>234.19791666666669</v>
      </c>
      <c r="G57" s="11">
        <f>'Monthly Data'!CT57</f>
        <v>20</v>
      </c>
      <c r="H57" s="11">
        <f>'Monthly Data'!CL57</f>
        <v>1</v>
      </c>
      <c r="J57" s="11"/>
      <c r="K57" s="11">
        <f ca="1">(E57-F57)*'GS Co Gen Predicted Monthly'!$R$11</f>
        <v>-647209.88006003806</v>
      </c>
      <c r="L57" s="11"/>
      <c r="M57" s="11"/>
      <c r="N57" s="11">
        <f t="shared" ca="1" si="5"/>
        <v>3779786.9235507208</v>
      </c>
    </row>
    <row r="58" spans="1:14" x14ac:dyDescent="0.2">
      <c r="A58" s="8">
        <f>'Monthly Data'!A58</f>
        <v>44440</v>
      </c>
      <c r="B58">
        <f t="shared" si="0"/>
        <v>2021</v>
      </c>
      <c r="C58">
        <f t="shared" si="1"/>
        <v>9</v>
      </c>
      <c r="D58" s="18">
        <f>'Monthly Data'!S58</f>
        <v>2726526.6582645886</v>
      </c>
      <c r="E58" s="290">
        <f t="shared" ca="1" si="6"/>
        <v>104.19854166666664</v>
      </c>
      <c r="F58" s="21">
        <f>'Monthly Data'!BK58</f>
        <v>86.675000000000011</v>
      </c>
      <c r="G58" s="11">
        <f>'Monthly Data'!CT58</f>
        <v>20</v>
      </c>
      <c r="H58" s="11">
        <f>'Monthly Data'!CL58</f>
        <v>0</v>
      </c>
      <c r="J58" s="11"/>
      <c r="K58" s="11">
        <f ca="1">(E58-F58)*'GS Co Gen Predicted Monthly'!$R$11</f>
        <v>297974.58423550526</v>
      </c>
      <c r="L58" s="11"/>
      <c r="M58" s="11"/>
      <c r="N58" s="11">
        <f t="shared" ca="1" si="5"/>
        <v>3024501.2425000938</v>
      </c>
    </row>
    <row r="59" spans="1:14" x14ac:dyDescent="0.2">
      <c r="A59" s="8">
        <f>'Monthly Data'!A59</f>
        <v>44470</v>
      </c>
      <c r="B59">
        <f t="shared" si="0"/>
        <v>2021</v>
      </c>
      <c r="C59">
        <f t="shared" si="1"/>
        <v>10</v>
      </c>
      <c r="D59" s="18">
        <f>'Monthly Data'!S59</f>
        <v>2613160.4865051284</v>
      </c>
      <c r="E59" s="290">
        <f t="shared" ca="1" si="6"/>
        <v>24.703125000000007</v>
      </c>
      <c r="F59" s="21">
        <f>'Monthly Data'!BK59</f>
        <v>50.395833333333336</v>
      </c>
      <c r="G59" s="11">
        <f>'Monthly Data'!CT59</f>
        <v>20</v>
      </c>
      <c r="H59" s="11">
        <f>'Monthly Data'!CL59</f>
        <v>0</v>
      </c>
      <c r="J59" s="11"/>
      <c r="K59" s="11">
        <f ca="1">(E59-F59)*'GS Co Gen Predicted Monthly'!$R$11</f>
        <v>-436885.09030522936</v>
      </c>
      <c r="L59" s="11"/>
      <c r="M59" s="11"/>
      <c r="N59" s="11">
        <f t="shared" ca="1" si="5"/>
        <v>2176275.3961998993</v>
      </c>
    </row>
    <row r="60" spans="1:14" x14ac:dyDescent="0.2">
      <c r="A60" s="8">
        <f>'Monthly Data'!A60</f>
        <v>44501</v>
      </c>
      <c r="B60">
        <f t="shared" si="0"/>
        <v>2021</v>
      </c>
      <c r="C60">
        <f t="shared" si="1"/>
        <v>11</v>
      </c>
      <c r="D60" s="18">
        <f>'Monthly Data'!S60</f>
        <v>3086375.0493431385</v>
      </c>
      <c r="E60" s="290">
        <f t="shared" ca="1" si="6"/>
        <v>1.6454166666666665</v>
      </c>
      <c r="F60" s="21">
        <f>'Monthly Data'!BK60</f>
        <v>0</v>
      </c>
      <c r="G60" s="11">
        <f>'Monthly Data'!CT60</f>
        <v>22</v>
      </c>
      <c r="H60" s="11">
        <f>'Monthly Data'!CL60</f>
        <v>0</v>
      </c>
      <c r="J60" s="11"/>
      <c r="K60" s="11">
        <f ca="1">(E60-F60)*'GS Co Gen Predicted Monthly'!$R$11</f>
        <v>27979.067044238407</v>
      </c>
      <c r="L60" s="11"/>
      <c r="M60" s="11"/>
      <c r="N60" s="11">
        <f t="shared" ca="1" si="5"/>
        <v>3114354.116387377</v>
      </c>
    </row>
    <row r="61" spans="1:14" x14ac:dyDescent="0.2">
      <c r="A61" s="8">
        <f>'Monthly Data'!A61</f>
        <v>44531</v>
      </c>
      <c r="B61">
        <f t="shared" si="0"/>
        <v>2021</v>
      </c>
      <c r="C61">
        <f t="shared" si="1"/>
        <v>12</v>
      </c>
      <c r="D61" s="18">
        <f>'Monthly Data'!S61</f>
        <v>2523914.5382058783</v>
      </c>
      <c r="E61" s="290">
        <f t="shared" ca="1" si="6"/>
        <v>0</v>
      </c>
      <c r="F61" s="21">
        <f>'Monthly Data'!BK61</f>
        <v>0</v>
      </c>
      <c r="G61" s="11">
        <f>'Monthly Data'!CT61</f>
        <v>21</v>
      </c>
      <c r="H61" s="11">
        <f>'Monthly Data'!CL61</f>
        <v>0</v>
      </c>
      <c r="J61" s="11"/>
      <c r="K61" s="11">
        <f ca="1">(E61-F61)*'GS Co Gen Predicted Monthly'!$R$11</f>
        <v>0</v>
      </c>
      <c r="L61" s="11"/>
      <c r="M61" s="11"/>
      <c r="N61" s="11">
        <f t="shared" ca="1" si="5"/>
        <v>2523914.5382058783</v>
      </c>
    </row>
    <row r="62" spans="1:14" x14ac:dyDescent="0.2">
      <c r="A62" s="8">
        <f>'Monthly Data'!A62</f>
        <v>44562</v>
      </c>
      <c r="B62">
        <f t="shared" si="0"/>
        <v>2022</v>
      </c>
      <c r="C62">
        <f t="shared" si="1"/>
        <v>1</v>
      </c>
      <c r="D62" s="18">
        <f>'Monthly Data'!S62</f>
        <v>1022059.6169857765</v>
      </c>
      <c r="E62" s="290">
        <f t="shared" ca="1" si="6"/>
        <v>0</v>
      </c>
      <c r="F62" s="21">
        <f>'Monthly Data'!BK62</f>
        <v>0</v>
      </c>
      <c r="G62" s="11">
        <f>'Monthly Data'!CT62</f>
        <v>20</v>
      </c>
      <c r="H62" s="11">
        <f>'Monthly Data'!CL62</f>
        <v>0</v>
      </c>
      <c r="J62" s="11"/>
      <c r="K62" s="11">
        <f ca="1">(E62-F62)*'GS Co Gen Predicted Monthly'!$R$11</f>
        <v>0</v>
      </c>
      <c r="L62" s="11"/>
      <c r="M62" s="11"/>
      <c r="N62" s="11">
        <f t="shared" ca="1" si="5"/>
        <v>1022059.6169857765</v>
      </c>
    </row>
    <row r="63" spans="1:14" x14ac:dyDescent="0.2">
      <c r="A63" s="8">
        <f>'Monthly Data'!A63</f>
        <v>44593</v>
      </c>
      <c r="B63">
        <f t="shared" si="0"/>
        <v>2022</v>
      </c>
      <c r="C63">
        <f t="shared" si="1"/>
        <v>2</v>
      </c>
      <c r="D63" s="18">
        <f>'Monthly Data'!S63</f>
        <v>1744892.6852793817</v>
      </c>
      <c r="E63" s="290">
        <f t="shared" ref="E63:E78" ca="1" si="7">E51</f>
        <v>0</v>
      </c>
      <c r="F63" s="21">
        <f>'Monthly Data'!BK63</f>
        <v>0</v>
      </c>
      <c r="G63" s="11">
        <f>'Monthly Data'!CT63</f>
        <v>19</v>
      </c>
      <c r="H63" s="11">
        <f>'Monthly Data'!CL63</f>
        <v>0</v>
      </c>
      <c r="J63" s="11"/>
      <c r="K63" s="11">
        <f ca="1">(E63-F63)*'GS Co Gen Predicted Monthly'!$R$11</f>
        <v>0</v>
      </c>
      <c r="L63" s="11"/>
      <c r="M63" s="11"/>
      <c r="N63" s="11">
        <f t="shared" ca="1" si="5"/>
        <v>1744892.6852793817</v>
      </c>
    </row>
    <row r="64" spans="1:14" x14ac:dyDescent="0.2">
      <c r="A64" s="8">
        <f>'Monthly Data'!A64</f>
        <v>44621</v>
      </c>
      <c r="B64">
        <f t="shared" si="0"/>
        <v>2022</v>
      </c>
      <c r="C64">
        <f t="shared" si="1"/>
        <v>3</v>
      </c>
      <c r="D64" s="18">
        <f>'Monthly Data'!S64</f>
        <v>1190079.078040208</v>
      </c>
      <c r="E64" s="290">
        <f t="shared" ca="1" si="7"/>
        <v>0</v>
      </c>
      <c r="F64" s="21">
        <f>'Monthly Data'!BK64</f>
        <v>0</v>
      </c>
      <c r="G64" s="11">
        <f>'Monthly Data'!CT64</f>
        <v>23</v>
      </c>
      <c r="H64" s="11">
        <f>'Monthly Data'!CL64</f>
        <v>0</v>
      </c>
      <c r="J64" s="11"/>
      <c r="K64" s="11">
        <f ca="1">(E64-F64)*'GS Co Gen Predicted Monthly'!$R$11</f>
        <v>0</v>
      </c>
      <c r="L64" s="11"/>
      <c r="M64" s="11"/>
      <c r="N64" s="11">
        <f t="shared" ca="1" si="5"/>
        <v>1190079.078040208</v>
      </c>
    </row>
    <row r="65" spans="1:14" x14ac:dyDescent="0.2">
      <c r="A65" s="8">
        <f>'Monthly Data'!A65</f>
        <v>44652</v>
      </c>
      <c r="B65">
        <f t="shared" si="0"/>
        <v>2022</v>
      </c>
      <c r="C65">
        <f t="shared" si="1"/>
        <v>4</v>
      </c>
      <c r="D65" s="18">
        <f>'Monthly Data'!S65</f>
        <v>1361343.5260930443</v>
      </c>
      <c r="E65" s="290">
        <f t="shared" ca="1" si="7"/>
        <v>6.5650000000000031</v>
      </c>
      <c r="F65" s="21">
        <f>'Monthly Data'!BK65</f>
        <v>2.5416666666666696</v>
      </c>
      <c r="G65" s="11">
        <f>'Monthly Data'!CT65</f>
        <v>20</v>
      </c>
      <c r="H65" s="11">
        <f>'Monthly Data'!CL65</f>
        <v>0</v>
      </c>
      <c r="J65" s="11"/>
      <c r="K65" s="11">
        <f ca="1">(E65-F65)*'GS Co Gen Predicted Monthly'!$R$11</f>
        <v>68413.743068920259</v>
      </c>
      <c r="L65" s="11"/>
      <c r="M65" s="11"/>
      <c r="N65" s="11">
        <f t="shared" ca="1" si="5"/>
        <v>1429757.2691619645</v>
      </c>
    </row>
    <row r="66" spans="1:14" x14ac:dyDescent="0.2">
      <c r="A66" s="8">
        <f>'Monthly Data'!A66</f>
        <v>44682</v>
      </c>
      <c r="B66">
        <f t="shared" ref="B66:B121" si="8">YEAR(A66)</f>
        <v>2022</v>
      </c>
      <c r="C66">
        <f t="shared" ref="C66:C121" si="9">MONTH(A66)</f>
        <v>5</v>
      </c>
      <c r="D66" s="18">
        <f>'Monthly Data'!S66</f>
        <v>5350720.1149436207</v>
      </c>
      <c r="E66" s="290">
        <f t="shared" ca="1" si="7"/>
        <v>59.300416666666649</v>
      </c>
      <c r="F66" s="21">
        <f>'Monthly Data'!BK66</f>
        <v>80.722916666666649</v>
      </c>
      <c r="G66" s="11">
        <f>'Monthly Data'!CT66</f>
        <v>21</v>
      </c>
      <c r="H66" s="11">
        <f>'Monthly Data'!CL66</f>
        <v>0</v>
      </c>
      <c r="J66" s="11"/>
      <c r="K66" s="11">
        <f ca="1">(E66-F66)*'GS Co Gen Predicted Monthly'!$R$11</f>
        <v>-364273.42441440199</v>
      </c>
      <c r="L66" s="11"/>
      <c r="M66" s="11"/>
      <c r="N66" s="11">
        <f t="shared" ref="N66:N97" ca="1" si="10">D66+K66</f>
        <v>4986446.6905292189</v>
      </c>
    </row>
    <row r="67" spans="1:14" x14ac:dyDescent="0.2">
      <c r="A67" s="8">
        <f>'Monthly Data'!A67</f>
        <v>44713</v>
      </c>
      <c r="B67">
        <f t="shared" si="8"/>
        <v>2022</v>
      </c>
      <c r="C67">
        <f t="shared" si="9"/>
        <v>6</v>
      </c>
      <c r="D67" s="18">
        <f>'Monthly Data'!S67</f>
        <v>4689316.800036367</v>
      </c>
      <c r="E67" s="290">
        <f t="shared" ca="1" si="7"/>
        <v>157.17000000000002</v>
      </c>
      <c r="F67" s="21">
        <f>'Monthly Data'!BK67</f>
        <v>142.82500000000002</v>
      </c>
      <c r="G67" s="11">
        <f>'Monthly Data'!CT67</f>
        <v>22</v>
      </c>
      <c r="H67" s="11">
        <f>'Monthly Data'!CL67</f>
        <v>0</v>
      </c>
      <c r="J67" s="11"/>
      <c r="K67" s="11">
        <f ca="1">(E67-F67)*'GS Co Gen Predicted Monthly'!$R$11</f>
        <v>243925.88508458849</v>
      </c>
      <c r="L67" s="11"/>
      <c r="M67" s="11"/>
      <c r="N67" s="11">
        <f t="shared" ca="1" si="10"/>
        <v>4933242.6851209551</v>
      </c>
    </row>
    <row r="68" spans="1:14" x14ac:dyDescent="0.2">
      <c r="A68" s="8">
        <f>'Monthly Data'!A68</f>
        <v>44743</v>
      </c>
      <c r="B68">
        <f t="shared" si="8"/>
        <v>2022</v>
      </c>
      <c r="C68">
        <f t="shared" si="9"/>
        <v>7</v>
      </c>
      <c r="D68" s="18">
        <f>'Monthly Data'!S68</f>
        <v>5115119.137130823</v>
      </c>
      <c r="E68" s="290">
        <f t="shared" ca="1" si="7"/>
        <v>231.27145833333333</v>
      </c>
      <c r="F68" s="21">
        <f>'Monthly Data'!BK68</f>
        <v>224.93333333333328</v>
      </c>
      <c r="G68" s="11">
        <f>'Monthly Data'!CT68</f>
        <v>20</v>
      </c>
      <c r="H68" s="11">
        <f>'Monthly Data'!CL68</f>
        <v>1</v>
      </c>
      <c r="J68" s="11"/>
      <c r="K68" s="11">
        <f ca="1">(E68-F68)*'GS Co Gen Predicted Monthly'!$R$11</f>
        <v>107775.02616952032</v>
      </c>
      <c r="L68" s="11"/>
      <c r="M68" s="11"/>
      <c r="N68" s="11">
        <f t="shared" ca="1" si="10"/>
        <v>5222894.1633003429</v>
      </c>
    </row>
    <row r="69" spans="1:14" x14ac:dyDescent="0.2">
      <c r="A69" s="8">
        <f>'Monthly Data'!A69</f>
        <v>44774</v>
      </c>
      <c r="B69">
        <f t="shared" si="8"/>
        <v>2022</v>
      </c>
      <c r="C69">
        <f t="shared" si="9"/>
        <v>8</v>
      </c>
      <c r="D69" s="18">
        <f>'Monthly Data'!S69</f>
        <v>7061111.8252039393</v>
      </c>
      <c r="E69" s="290">
        <f t="shared" ca="1" si="7"/>
        <v>196.13625000000002</v>
      </c>
      <c r="F69" s="21">
        <f>'Monthly Data'!BK69</f>
        <v>208.27916666666667</v>
      </c>
      <c r="G69" s="11">
        <f>'Monthly Data'!CT69</f>
        <v>22</v>
      </c>
      <c r="H69" s="11">
        <f>'Monthly Data'!CL69</f>
        <v>1</v>
      </c>
      <c r="J69" s="11"/>
      <c r="K69" s="11">
        <f ca="1">(E69-F69)*'GS Co Gen Predicted Monthly'!$R$11</f>
        <v>-206481.12202335751</v>
      </c>
      <c r="L69" s="11"/>
      <c r="M69" s="11"/>
      <c r="N69" s="11">
        <f t="shared" ca="1" si="10"/>
        <v>6854630.7031805823</v>
      </c>
    </row>
    <row r="70" spans="1:14" x14ac:dyDescent="0.2">
      <c r="A70" s="8">
        <f>'Monthly Data'!A70</f>
        <v>44805</v>
      </c>
      <c r="B70">
        <f t="shared" si="8"/>
        <v>2022</v>
      </c>
      <c r="C70">
        <f t="shared" si="9"/>
        <v>9</v>
      </c>
      <c r="D70" s="18">
        <f>'Monthly Data'!S70</f>
        <v>5290385.8347192556</v>
      </c>
      <c r="E70" s="290">
        <f t="shared" ca="1" si="7"/>
        <v>104.19854166666664</v>
      </c>
      <c r="F70" s="21">
        <f>'Monthly Data'!BK70</f>
        <v>101.75833333333333</v>
      </c>
      <c r="G70" s="11">
        <f>'Monthly Data'!CT70</f>
        <v>20</v>
      </c>
      <c r="H70" s="11">
        <f>'Monthly Data'!CL70</f>
        <v>0</v>
      </c>
      <c r="J70" s="11"/>
      <c r="K70" s="11">
        <f ca="1">(E70-F70)*'GS Co Gen Predicted Monthly'!$R$11</f>
        <v>41493.898745145889</v>
      </c>
      <c r="L70" s="11"/>
      <c r="M70" s="11"/>
      <c r="N70" s="11">
        <f t="shared" ca="1" si="10"/>
        <v>5331879.7334644012</v>
      </c>
    </row>
    <row r="71" spans="1:14" x14ac:dyDescent="0.2">
      <c r="A71" s="8">
        <f>'Monthly Data'!A71</f>
        <v>44835</v>
      </c>
      <c r="B71">
        <f t="shared" si="8"/>
        <v>2022</v>
      </c>
      <c r="C71">
        <f t="shared" si="9"/>
        <v>10</v>
      </c>
      <c r="D71" s="18">
        <f>'Monthly Data'!S71</f>
        <v>4236739.3971533719</v>
      </c>
      <c r="E71" s="290">
        <f t="shared" ca="1" si="7"/>
        <v>24.703125000000007</v>
      </c>
      <c r="F71" s="21">
        <f>'Monthly Data'!BK71</f>
        <v>4.3500000000000014</v>
      </c>
      <c r="G71" s="11">
        <f>'Monthly Data'!CT71</f>
        <v>20</v>
      </c>
      <c r="H71" s="11">
        <f>'Monthly Data'!CL71</f>
        <v>0</v>
      </c>
      <c r="J71" s="11"/>
      <c r="K71" s="11">
        <f ca="1">(E71-F71)*'GS Co Gen Predicted Monthly'!$R$11</f>
        <v>346089.51062128035</v>
      </c>
      <c r="L71" s="11"/>
      <c r="M71" s="11"/>
      <c r="N71" s="11">
        <f t="shared" ca="1" si="10"/>
        <v>4582828.9077746524</v>
      </c>
    </row>
    <row r="72" spans="1:14" x14ac:dyDescent="0.2">
      <c r="A72" s="8">
        <f>'Monthly Data'!A72</f>
        <v>44866</v>
      </c>
      <c r="B72">
        <f t="shared" si="8"/>
        <v>2022</v>
      </c>
      <c r="C72">
        <f t="shared" si="9"/>
        <v>11</v>
      </c>
      <c r="D72" s="18">
        <f>'Monthly Data'!S72</f>
        <v>5119153.7080734884</v>
      </c>
      <c r="E72" s="290">
        <f t="shared" ca="1" si="7"/>
        <v>1.6454166666666665</v>
      </c>
      <c r="F72" s="21">
        <f>'Monthly Data'!BK72</f>
        <v>4.2666666666666639</v>
      </c>
      <c r="G72" s="11">
        <f>'Monthly Data'!CT72</f>
        <v>22</v>
      </c>
      <c r="H72" s="11">
        <f>'Monthly Data'!CL72</f>
        <v>0</v>
      </c>
      <c r="J72" s="11"/>
      <c r="K72" s="11">
        <f ca="1">(E72-F72)*'GS Co Gen Predicted Monthly'!$R$11</f>
        <v>-44572.375481211355</v>
      </c>
      <c r="L72" s="11"/>
      <c r="M72" s="11"/>
      <c r="N72" s="11">
        <f t="shared" ca="1" si="10"/>
        <v>5074581.3325922769</v>
      </c>
    </row>
    <row r="73" spans="1:14" x14ac:dyDescent="0.2">
      <c r="A73" s="8">
        <f>'Monthly Data'!A73</f>
        <v>44896</v>
      </c>
      <c r="B73">
        <f t="shared" si="8"/>
        <v>2022</v>
      </c>
      <c r="C73">
        <f t="shared" si="9"/>
        <v>12</v>
      </c>
      <c r="D73" s="18">
        <f>'Monthly Data'!S73</f>
        <v>2153000.0512014646</v>
      </c>
      <c r="E73" s="290">
        <f t="shared" ca="1" si="7"/>
        <v>0</v>
      </c>
      <c r="F73" s="21">
        <f>'Monthly Data'!BK73</f>
        <v>0</v>
      </c>
      <c r="G73" s="11">
        <f>'Monthly Data'!CT73</f>
        <v>20</v>
      </c>
      <c r="H73" s="11">
        <f>'Monthly Data'!CL73</f>
        <v>0</v>
      </c>
      <c r="J73" s="11"/>
      <c r="K73" s="11">
        <f ca="1">(E73-F73)*'GS Co Gen Predicted Monthly'!$R$11</f>
        <v>0</v>
      </c>
      <c r="L73" s="11"/>
      <c r="M73" s="11"/>
      <c r="N73" s="11">
        <f t="shared" ca="1" si="10"/>
        <v>2153000.0512014646</v>
      </c>
    </row>
    <row r="74" spans="1:14" x14ac:dyDescent="0.2">
      <c r="A74" s="8">
        <f>'Monthly Data'!A74</f>
        <v>44927</v>
      </c>
      <c r="B74">
        <f t="shared" si="8"/>
        <v>2023</v>
      </c>
      <c r="C74">
        <f t="shared" si="9"/>
        <v>1</v>
      </c>
      <c r="D74" s="18">
        <f>'Monthly Data'!S74</f>
        <v>2475906.2124542031</v>
      </c>
      <c r="E74" s="290">
        <f t="shared" ca="1" si="7"/>
        <v>0</v>
      </c>
      <c r="F74" s="21">
        <f>'Monthly Data'!BK74</f>
        <v>0</v>
      </c>
      <c r="G74" s="11">
        <f>'Monthly Data'!CT74</f>
        <v>21</v>
      </c>
      <c r="H74" s="11">
        <f>'Monthly Data'!CL74</f>
        <v>0</v>
      </c>
      <c r="J74" s="11"/>
      <c r="K74" s="11">
        <f ca="1">(E74-F74)*'GS Co Gen Predicted Monthly'!$R$11</f>
        <v>0</v>
      </c>
      <c r="L74" s="11"/>
      <c r="M74" s="11"/>
      <c r="N74" s="11">
        <f t="shared" ca="1" si="10"/>
        <v>2475906.2124542031</v>
      </c>
    </row>
    <row r="75" spans="1:14" x14ac:dyDescent="0.2">
      <c r="A75" s="8">
        <f>'Monthly Data'!A75</f>
        <v>44958</v>
      </c>
      <c r="B75">
        <f t="shared" si="8"/>
        <v>2023</v>
      </c>
      <c r="C75">
        <f t="shared" si="9"/>
        <v>2</v>
      </c>
      <c r="D75" s="18">
        <f>'Monthly Data'!S75</f>
        <v>3051393.3752032155</v>
      </c>
      <c r="E75" s="290">
        <f t="shared" ca="1" si="7"/>
        <v>0</v>
      </c>
      <c r="F75" s="21">
        <f>'Monthly Data'!BK75</f>
        <v>0</v>
      </c>
      <c r="G75" s="11">
        <f>'Monthly Data'!CT75</f>
        <v>19</v>
      </c>
      <c r="H75" s="11">
        <f>'Monthly Data'!CL75</f>
        <v>0</v>
      </c>
      <c r="J75" s="11"/>
      <c r="K75" s="11">
        <f ca="1">(E75-F75)*'GS Co Gen Predicted Monthly'!$R$11</f>
        <v>0</v>
      </c>
      <c r="L75" s="11"/>
      <c r="M75" s="11"/>
      <c r="N75" s="11">
        <f t="shared" ca="1" si="10"/>
        <v>3051393.3752032155</v>
      </c>
    </row>
    <row r="76" spans="1:14" x14ac:dyDescent="0.2">
      <c r="A76" s="8">
        <f>'Monthly Data'!A76</f>
        <v>44986</v>
      </c>
      <c r="B76">
        <f t="shared" si="8"/>
        <v>2023</v>
      </c>
      <c r="C76">
        <f t="shared" si="9"/>
        <v>3</v>
      </c>
      <c r="D76" s="18">
        <f>'Monthly Data'!S76</f>
        <v>4360884.6742221788</v>
      </c>
      <c r="E76" s="290">
        <f t="shared" ca="1" si="7"/>
        <v>0</v>
      </c>
      <c r="F76" s="21">
        <f>'Monthly Data'!BK76</f>
        <v>0</v>
      </c>
      <c r="G76" s="11">
        <f>'Monthly Data'!CT76</f>
        <v>23</v>
      </c>
      <c r="H76" s="11">
        <f>'Monthly Data'!CL76</f>
        <v>0</v>
      </c>
      <c r="J76" s="11"/>
      <c r="K76" s="11">
        <f ca="1">(E76-F76)*'GS Co Gen Predicted Monthly'!$R$11</f>
        <v>0</v>
      </c>
      <c r="L76" s="11"/>
      <c r="M76" s="11"/>
      <c r="N76" s="11">
        <f t="shared" ca="1" si="10"/>
        <v>4360884.6742221788</v>
      </c>
    </row>
    <row r="77" spans="1:14" x14ac:dyDescent="0.2">
      <c r="A77" s="8">
        <f>'Monthly Data'!A77</f>
        <v>45017</v>
      </c>
      <c r="B77">
        <f t="shared" si="8"/>
        <v>2023</v>
      </c>
      <c r="C77">
        <f t="shared" si="9"/>
        <v>4</v>
      </c>
      <c r="D77" s="18">
        <f>'Monthly Data'!S77</f>
        <v>1982541.2606718806</v>
      </c>
      <c r="E77" s="290">
        <f t="shared" ca="1" si="7"/>
        <v>6.5650000000000031</v>
      </c>
      <c r="F77" s="21">
        <f>'Monthly Data'!BK77</f>
        <v>22.516666666666687</v>
      </c>
      <c r="G77" s="11">
        <f>'Monthly Data'!CT77</f>
        <v>19</v>
      </c>
      <c r="H77" s="11">
        <f>'Monthly Data'!CL77</f>
        <v>0</v>
      </c>
      <c r="J77" s="11"/>
      <c r="K77" s="11">
        <f ca="1">(E77-F77)*'GS Co Gen Predicted Monthly'!$R$11</f>
        <v>-271246.0376605785</v>
      </c>
      <c r="L77" s="11"/>
      <c r="M77" s="11"/>
      <c r="N77" s="11">
        <f t="shared" ca="1" si="10"/>
        <v>1711295.2230113021</v>
      </c>
    </row>
    <row r="78" spans="1:14" x14ac:dyDescent="0.2">
      <c r="A78" s="8">
        <f>'Monthly Data'!A78</f>
        <v>45047</v>
      </c>
      <c r="B78">
        <f t="shared" si="8"/>
        <v>2023</v>
      </c>
      <c r="C78">
        <f t="shared" si="9"/>
        <v>5</v>
      </c>
      <c r="D78" s="18">
        <f>'Monthly Data'!S78</f>
        <v>5249179.5430356627</v>
      </c>
      <c r="E78" s="290">
        <f t="shared" ca="1" si="7"/>
        <v>59.300416666666649</v>
      </c>
      <c r="F78" s="21">
        <f>'Monthly Data'!BK78</f>
        <v>49.670833333333306</v>
      </c>
      <c r="G78" s="11">
        <f>'Monthly Data'!CT78</f>
        <v>22</v>
      </c>
      <c r="H78" s="11">
        <f>'Monthly Data'!CL78</f>
        <v>0</v>
      </c>
      <c r="J78" s="11"/>
      <c r="K78" s="11">
        <f ca="1">(E78-F78)*'GS Co Gen Predicted Monthly'!$R$11</f>
        <v>163743.78791071021</v>
      </c>
      <c r="L78" s="11"/>
      <c r="M78" s="11"/>
      <c r="N78" s="11">
        <f t="shared" ca="1" si="10"/>
        <v>5412923.3309463728</v>
      </c>
    </row>
    <row r="79" spans="1:14" x14ac:dyDescent="0.2">
      <c r="A79" s="8">
        <f>'Monthly Data'!A79</f>
        <v>45078</v>
      </c>
      <c r="B79">
        <f t="shared" si="8"/>
        <v>2023</v>
      </c>
      <c r="C79">
        <f t="shared" si="9"/>
        <v>6</v>
      </c>
      <c r="D79" s="18">
        <f>'Monthly Data'!S79</f>
        <v>5648220.3218985656</v>
      </c>
      <c r="E79" s="290">
        <f t="shared" ref="E79:E94" ca="1" si="11">E67</f>
        <v>157.17000000000002</v>
      </c>
      <c r="F79" s="21">
        <f>'Monthly Data'!BK79</f>
        <v>130.14166666666665</v>
      </c>
      <c r="G79" s="11">
        <f>'Monthly Data'!CT79</f>
        <v>22</v>
      </c>
      <c r="H79" s="11">
        <f>'Monthly Data'!CL79</f>
        <v>0</v>
      </c>
      <c r="J79" s="11"/>
      <c r="K79" s="11">
        <f ca="1">(E79-F79)*'GS Co Gen Predicted Monthly'!$R$11</f>
        <v>459596.38415438321</v>
      </c>
      <c r="L79" s="11"/>
      <c r="M79" s="11"/>
      <c r="N79" s="11">
        <f t="shared" ca="1" si="10"/>
        <v>6107816.7060529487</v>
      </c>
    </row>
    <row r="80" spans="1:14" x14ac:dyDescent="0.2">
      <c r="A80" s="8">
        <f>'Monthly Data'!A80</f>
        <v>45108</v>
      </c>
      <c r="B80">
        <f t="shared" si="8"/>
        <v>2023</v>
      </c>
      <c r="C80">
        <f t="shared" si="9"/>
        <v>7</v>
      </c>
      <c r="D80" s="18">
        <f>'Monthly Data'!S80</f>
        <v>6322903.5001553874</v>
      </c>
      <c r="E80" s="290">
        <f t="shared" ca="1" si="11"/>
        <v>231.27145833333333</v>
      </c>
      <c r="F80" s="21">
        <f>'Monthly Data'!BK80</f>
        <v>203.20000000000002</v>
      </c>
      <c r="G80" s="11">
        <f>'Monthly Data'!CT80</f>
        <v>20</v>
      </c>
      <c r="H80" s="11">
        <f>'Monthly Data'!CL80</f>
        <v>1</v>
      </c>
      <c r="J80" s="11"/>
      <c r="K80" s="11">
        <f ca="1">(E80-F80)*'GS Co Gen Predicted Monthly'!$R$11</f>
        <v>477333.93653352914</v>
      </c>
      <c r="L80" s="11"/>
      <c r="M80" s="11"/>
      <c r="N80" s="11">
        <f t="shared" ca="1" si="10"/>
        <v>6800237.4366889168</v>
      </c>
    </row>
    <row r="81" spans="1:14" x14ac:dyDescent="0.2">
      <c r="A81" s="8">
        <f>'Monthly Data'!A81</f>
        <v>45139</v>
      </c>
      <c r="B81">
        <f t="shared" si="8"/>
        <v>2023</v>
      </c>
      <c r="C81">
        <f t="shared" si="9"/>
        <v>8</v>
      </c>
      <c r="D81" s="18">
        <f>'Monthly Data'!S81</f>
        <v>6992371.2423237106</v>
      </c>
      <c r="E81" s="290">
        <f t="shared" ca="1" si="11"/>
        <v>196.13625000000002</v>
      </c>
      <c r="F81" s="21">
        <f>'Monthly Data'!BK81</f>
        <v>144.09583333333336</v>
      </c>
      <c r="G81" s="11">
        <f>'Monthly Data'!CT81</f>
        <v>22</v>
      </c>
      <c r="H81" s="11">
        <f>'Monthly Data'!CL81</f>
        <v>1</v>
      </c>
      <c r="J81" s="11"/>
      <c r="K81" s="11">
        <f ca="1">(E81-F81)*'GS Co Gen Predicted Monthly'!$R$11</f>
        <v>884907.96065440471</v>
      </c>
      <c r="L81" s="11"/>
      <c r="M81" s="11"/>
      <c r="N81" s="11">
        <f t="shared" ca="1" si="10"/>
        <v>7877279.2029781155</v>
      </c>
    </row>
    <row r="82" spans="1:14" x14ac:dyDescent="0.2">
      <c r="A82" s="8">
        <f>'Monthly Data'!A82</f>
        <v>45170</v>
      </c>
      <c r="B82">
        <f t="shared" si="8"/>
        <v>2023</v>
      </c>
      <c r="C82">
        <f t="shared" si="9"/>
        <v>9</v>
      </c>
      <c r="D82" s="18">
        <f>'Monthly Data'!S82</f>
        <v>5494894.0473569827</v>
      </c>
      <c r="E82" s="290">
        <f t="shared" ca="1" si="11"/>
        <v>104.19854166666664</v>
      </c>
      <c r="F82" s="21">
        <f>'Monthly Data'!BK82</f>
        <v>90.90416666666664</v>
      </c>
      <c r="G82" s="11">
        <f>'Monthly Data'!CT82</f>
        <v>20</v>
      </c>
      <c r="H82" s="11">
        <f>'Monthly Data'!CL82</f>
        <v>0</v>
      </c>
      <c r="J82" s="11"/>
      <c r="K82" s="11">
        <f ca="1">(E82-F82)*'GS Co Gen Predicted Monthly'!$R$11</f>
        <v>226060.80087287744</v>
      </c>
      <c r="L82" s="11"/>
      <c r="M82" s="11"/>
      <c r="N82" s="11">
        <f t="shared" ca="1" si="10"/>
        <v>5720954.84822986</v>
      </c>
    </row>
    <row r="83" spans="1:14" x14ac:dyDescent="0.2">
      <c r="A83" s="8">
        <f>'Monthly Data'!A83</f>
        <v>45200</v>
      </c>
      <c r="B83">
        <f t="shared" si="8"/>
        <v>2023</v>
      </c>
      <c r="C83">
        <f t="shared" si="9"/>
        <v>10</v>
      </c>
      <c r="D83" s="18">
        <f>'Monthly Data'!S83</f>
        <v>4240327.1673253356</v>
      </c>
      <c r="E83" s="290">
        <f t="shared" ca="1" si="11"/>
        <v>24.703125000000007</v>
      </c>
      <c r="F83" s="21">
        <f>'Monthly Data'!BK83</f>
        <v>37.479166666666657</v>
      </c>
      <c r="G83" s="11">
        <f>'Monthly Data'!CT83</f>
        <v>21</v>
      </c>
      <c r="H83" s="11">
        <f>'Monthly Data'!CL83</f>
        <v>0</v>
      </c>
      <c r="J83" s="11"/>
      <c r="K83" s="11">
        <f ca="1">(E83-F83)*'GS Co Gen Predicted Monthly'!$R$11</f>
        <v>-217246.93422232443</v>
      </c>
      <c r="L83" s="11"/>
      <c r="M83" s="11"/>
      <c r="N83" s="11">
        <f t="shared" ca="1" si="10"/>
        <v>4023080.2331030113</v>
      </c>
    </row>
    <row r="84" spans="1:14" x14ac:dyDescent="0.2">
      <c r="A84" s="8">
        <f>'Monthly Data'!A84</f>
        <v>45231</v>
      </c>
      <c r="B84">
        <f t="shared" si="8"/>
        <v>2023</v>
      </c>
      <c r="C84">
        <f t="shared" si="9"/>
        <v>11</v>
      </c>
      <c r="D84" s="18">
        <f>'Monthly Data'!S84</f>
        <v>3874440.0590346674</v>
      </c>
      <c r="E84" s="290">
        <f t="shared" ca="1" si="11"/>
        <v>1.6454166666666665</v>
      </c>
      <c r="F84" s="21">
        <f>'Monthly Data'!BK84</f>
        <v>0</v>
      </c>
      <c r="G84" s="11">
        <f>'Monthly Data'!CT84</f>
        <v>22</v>
      </c>
      <c r="H84" s="11">
        <f>'Monthly Data'!CL84</f>
        <v>0</v>
      </c>
      <c r="J84" s="11"/>
      <c r="K84" s="11">
        <f ca="1">(E84-F84)*'GS Co Gen Predicted Monthly'!$R$11</f>
        <v>27979.067044238407</v>
      </c>
      <c r="L84" s="11"/>
      <c r="M84" s="11"/>
      <c r="N84" s="11">
        <f t="shared" ca="1" si="10"/>
        <v>3902419.126078906</v>
      </c>
    </row>
    <row r="85" spans="1:14" x14ac:dyDescent="0.2">
      <c r="A85" s="8">
        <f>'Monthly Data'!A85</f>
        <v>45261</v>
      </c>
      <c r="B85">
        <f t="shared" si="8"/>
        <v>2023</v>
      </c>
      <c r="C85">
        <f t="shared" si="9"/>
        <v>12</v>
      </c>
      <c r="D85" s="18">
        <f>'Monthly Data'!S85</f>
        <v>3620292.7286042501</v>
      </c>
      <c r="E85" s="290">
        <f t="shared" ca="1" si="11"/>
        <v>0</v>
      </c>
      <c r="F85" s="21">
        <f>'Monthly Data'!BK85</f>
        <v>0</v>
      </c>
      <c r="G85" s="11">
        <f>'Monthly Data'!CT85</f>
        <v>19</v>
      </c>
      <c r="H85" s="11">
        <f>'Monthly Data'!CL85</f>
        <v>0</v>
      </c>
      <c r="J85" s="11"/>
      <c r="K85" s="11">
        <f ca="1">(E85-F85)*'GS Co Gen Predicted Monthly'!$R$11</f>
        <v>0</v>
      </c>
      <c r="L85" s="11"/>
      <c r="M85" s="11"/>
      <c r="N85" s="11">
        <f t="shared" ca="1" si="10"/>
        <v>3620292.7286042501</v>
      </c>
    </row>
    <row r="86" spans="1:14" x14ac:dyDescent="0.2">
      <c r="A86" s="8">
        <f>'Monthly Data'!A86</f>
        <v>45292</v>
      </c>
      <c r="B86">
        <f t="shared" si="8"/>
        <v>2024</v>
      </c>
      <c r="C86">
        <f t="shared" si="9"/>
        <v>1</v>
      </c>
      <c r="D86" s="18">
        <f>'Monthly Data'!S86</f>
        <v>4134836.494755582</v>
      </c>
      <c r="E86" s="290">
        <f t="shared" ca="1" si="11"/>
        <v>0</v>
      </c>
      <c r="F86" s="21">
        <f>'Monthly Data'!BK86</f>
        <v>0</v>
      </c>
      <c r="G86" s="11">
        <f>'Monthly Data'!CT86</f>
        <v>22</v>
      </c>
      <c r="H86" s="11">
        <f>'Monthly Data'!CL86</f>
        <v>0</v>
      </c>
      <c r="J86" s="11"/>
      <c r="K86" s="11">
        <f ca="1">(E86-F86)*'GS Co Gen Predicted Monthly'!$R$11</f>
        <v>0</v>
      </c>
      <c r="L86" s="11"/>
      <c r="M86" s="11"/>
      <c r="N86" s="11">
        <f t="shared" ca="1" si="10"/>
        <v>4134836.494755582</v>
      </c>
    </row>
    <row r="87" spans="1:14" x14ac:dyDescent="0.2">
      <c r="A87" s="8">
        <f>'Monthly Data'!A87</f>
        <v>45323</v>
      </c>
      <c r="B87">
        <f t="shared" si="8"/>
        <v>2024</v>
      </c>
      <c r="C87">
        <f t="shared" si="9"/>
        <v>2</v>
      </c>
      <c r="D87" s="18">
        <f>'Monthly Data'!S87</f>
        <v>3340371.8788483315</v>
      </c>
      <c r="E87" s="290">
        <f t="shared" ca="1" si="11"/>
        <v>0</v>
      </c>
      <c r="F87" s="21">
        <f>'Monthly Data'!BK87</f>
        <v>0</v>
      </c>
      <c r="G87" s="11">
        <f>'Monthly Data'!CT87</f>
        <v>20</v>
      </c>
      <c r="H87" s="11">
        <f>'Monthly Data'!CL87</f>
        <v>0</v>
      </c>
      <c r="J87" s="11"/>
      <c r="K87" s="11">
        <f ca="1">(E87-F87)*'GS Co Gen Predicted Monthly'!$R$11</f>
        <v>0</v>
      </c>
      <c r="L87" s="11"/>
      <c r="M87" s="11"/>
      <c r="N87" s="11">
        <f t="shared" ca="1" si="10"/>
        <v>3340371.8788483315</v>
      </c>
    </row>
    <row r="88" spans="1:14" x14ac:dyDescent="0.2">
      <c r="A88" s="8">
        <f>'Monthly Data'!A88</f>
        <v>45352</v>
      </c>
      <c r="B88">
        <f t="shared" si="8"/>
        <v>2024</v>
      </c>
      <c r="C88">
        <f t="shared" si="9"/>
        <v>3</v>
      </c>
      <c r="D88" s="18">
        <f>'Monthly Data'!S88</f>
        <v>3571437.4403881808</v>
      </c>
      <c r="E88" s="290">
        <f t="shared" ca="1" si="11"/>
        <v>0</v>
      </c>
      <c r="F88" s="21">
        <f>'Monthly Data'!BK88</f>
        <v>0</v>
      </c>
      <c r="G88" s="11">
        <f>'Monthly Data'!CT88</f>
        <v>20</v>
      </c>
      <c r="H88" s="11">
        <f>'Monthly Data'!CL88</f>
        <v>0</v>
      </c>
      <c r="J88" s="11"/>
      <c r="K88" s="11">
        <f ca="1">(E88-F88)*'GS Co Gen Predicted Monthly'!$R$11</f>
        <v>0</v>
      </c>
      <c r="L88" s="11"/>
      <c r="M88" s="11"/>
      <c r="N88" s="11">
        <f t="shared" ca="1" si="10"/>
        <v>3571437.4403881808</v>
      </c>
    </row>
    <row r="89" spans="1:14" x14ac:dyDescent="0.2">
      <c r="A89" s="8">
        <f>'Monthly Data'!A89</f>
        <v>45383</v>
      </c>
      <c r="B89">
        <f t="shared" si="8"/>
        <v>2024</v>
      </c>
      <c r="C89">
        <f t="shared" si="9"/>
        <v>4</v>
      </c>
      <c r="D89" s="18">
        <f>'Monthly Data'!S89</f>
        <v>3559296.6426970703</v>
      </c>
      <c r="E89" s="290">
        <f t="shared" ca="1" si="11"/>
        <v>6.5650000000000031</v>
      </c>
      <c r="F89" s="21">
        <f>'Monthly Data'!BK89</f>
        <v>8.4166666666666679</v>
      </c>
      <c r="G89" s="11">
        <f>'Monthly Data'!CT89</f>
        <v>22</v>
      </c>
      <c r="H89" s="11">
        <f>'Monthly Data'!CL89</f>
        <v>0</v>
      </c>
      <c r="J89" s="11"/>
      <c r="K89" s="11">
        <f ca="1">(E89-F89)*'GS Co Gen Predicted Monthly'!$R$11</f>
        <v>-31486.192439755727</v>
      </c>
      <c r="L89" s="11"/>
      <c r="M89" s="11"/>
      <c r="N89" s="11">
        <f t="shared" ca="1" si="10"/>
        <v>3527810.4502573144</v>
      </c>
    </row>
    <row r="90" spans="1:14" x14ac:dyDescent="0.2">
      <c r="A90" s="8">
        <f>'Monthly Data'!A90</f>
        <v>45413</v>
      </c>
      <c r="B90">
        <f t="shared" si="8"/>
        <v>2024</v>
      </c>
      <c r="C90">
        <f t="shared" si="9"/>
        <v>5</v>
      </c>
      <c r="D90" s="18">
        <f>'Monthly Data'!S90</f>
        <v>3685994.6039710096</v>
      </c>
      <c r="E90" s="290">
        <f t="shared" ca="1" si="11"/>
        <v>59.300416666666649</v>
      </c>
      <c r="F90" s="21">
        <f>'Monthly Data'!BK90</f>
        <v>73.216666666666654</v>
      </c>
      <c r="G90" s="11">
        <f>'Monthly Data'!CT90</f>
        <v>22</v>
      </c>
      <c r="H90" s="11">
        <f>'Monthly Data'!CL90</f>
        <v>0</v>
      </c>
      <c r="J90" s="11"/>
      <c r="K90" s="11">
        <f ca="1">(E90-F90)*'GS Co Gen Predicted Monthly'!$R$11</f>
        <v>-236635.31532299798</v>
      </c>
      <c r="L90" s="11"/>
      <c r="M90" s="11"/>
      <c r="N90" s="11">
        <f t="shared" ca="1" si="10"/>
        <v>3449359.2886480116</v>
      </c>
    </row>
    <row r="91" spans="1:14" x14ac:dyDescent="0.2">
      <c r="A91" s="8">
        <f>'Monthly Data'!A91</f>
        <v>45444</v>
      </c>
      <c r="B91">
        <f t="shared" si="8"/>
        <v>2024</v>
      </c>
      <c r="C91">
        <f t="shared" si="9"/>
        <v>6</v>
      </c>
      <c r="D91" s="18">
        <f>'Monthly Data'!S91</f>
        <v>4407100.2006814191</v>
      </c>
      <c r="E91" s="290">
        <f t="shared" ca="1" si="11"/>
        <v>157.17000000000002</v>
      </c>
      <c r="F91" s="21">
        <f>'Monthly Data'!BK91</f>
        <v>169.16458333333333</v>
      </c>
      <c r="G91" s="11">
        <f>'Monthly Data'!CT91</f>
        <v>20</v>
      </c>
      <c r="H91" s="11">
        <f>'Monthly Data'!CL91</f>
        <v>0</v>
      </c>
      <c r="J91" s="11"/>
      <c r="K91" s="11">
        <f ca="1">(E91-F91)*'GS Co Gen Predicted Monthly'!$R$11</f>
        <v>-203958.82577930856</v>
      </c>
      <c r="L91" s="11"/>
      <c r="M91" s="11"/>
      <c r="N91" s="11">
        <f t="shared" ca="1" si="10"/>
        <v>4203141.3749021105</v>
      </c>
    </row>
    <row r="92" spans="1:14" x14ac:dyDescent="0.2">
      <c r="A92" s="8">
        <f>'Monthly Data'!A92</f>
        <v>45474</v>
      </c>
      <c r="B92">
        <f t="shared" si="8"/>
        <v>2024</v>
      </c>
      <c r="C92">
        <f t="shared" si="9"/>
        <v>7</v>
      </c>
      <c r="D92" s="18">
        <f>'Monthly Data'!S92</f>
        <v>2729070.3712969488</v>
      </c>
      <c r="E92" s="290">
        <f t="shared" ca="1" si="11"/>
        <v>231.27145833333333</v>
      </c>
      <c r="F92" s="21">
        <f>'Monthly Data'!BK92</f>
        <v>221.45416666666657</v>
      </c>
      <c r="G92" s="11">
        <f>'Monthly Data'!CT92</f>
        <v>22</v>
      </c>
      <c r="H92" s="11">
        <f>'Monthly Data'!CL92</f>
        <v>1</v>
      </c>
      <c r="J92" s="11"/>
      <c r="K92" s="11">
        <f ca="1">(E92-F92)*'GS Co Gen Predicted Monthly'!$R$11</f>
        <v>166935.6262757229</v>
      </c>
      <c r="L92" s="11"/>
      <c r="M92" s="11"/>
      <c r="N92" s="11">
        <f t="shared" ca="1" si="10"/>
        <v>2896005.9975726716</v>
      </c>
    </row>
    <row r="93" spans="1:14" x14ac:dyDescent="0.2">
      <c r="A93" s="8">
        <f>'Monthly Data'!A93</f>
        <v>45505</v>
      </c>
      <c r="B93">
        <f t="shared" si="8"/>
        <v>2024</v>
      </c>
      <c r="C93">
        <f t="shared" si="9"/>
        <v>8</v>
      </c>
      <c r="D93" s="18">
        <f>'Monthly Data'!S93</f>
        <v>2759475.7435549381</v>
      </c>
      <c r="E93" s="290">
        <f t="shared" ca="1" si="11"/>
        <v>196.13625000000002</v>
      </c>
      <c r="F93" s="21">
        <f>'Monthly Data'!BK93</f>
        <v>183.15208333333334</v>
      </c>
      <c r="G93" s="11">
        <f>'Monthly Data'!CT93</f>
        <v>22</v>
      </c>
      <c r="H93" s="11">
        <f>'Monthly Data'!CL93</f>
        <v>1</v>
      </c>
      <c r="J93" s="11"/>
      <c r="K93" s="11">
        <f ca="1">(E93-F93)*'GS Co Gen Predicted Monthly'!$R$11</f>
        <v>220785.94257598335</v>
      </c>
      <c r="L93" s="11"/>
      <c r="M93" s="11"/>
      <c r="N93" s="11">
        <f t="shared" ca="1" si="10"/>
        <v>2980261.6861309214</v>
      </c>
    </row>
    <row r="94" spans="1:14" x14ac:dyDescent="0.2">
      <c r="A94" s="8">
        <f>'Monthly Data'!A94</f>
        <v>45536</v>
      </c>
      <c r="B94">
        <f t="shared" si="8"/>
        <v>2024</v>
      </c>
      <c r="C94">
        <f t="shared" si="9"/>
        <v>9</v>
      </c>
      <c r="D94" s="18">
        <f>'Monthly Data'!S94</f>
        <v>2325797.1800787374</v>
      </c>
      <c r="E94" s="290">
        <f t="shared" ca="1" si="11"/>
        <v>104.19854166666664</v>
      </c>
      <c r="F94" s="21">
        <f>'Monthly Data'!BK94</f>
        <v>120.08541666666667</v>
      </c>
      <c r="G94" s="11">
        <f>'Monthly Data'!CT94</f>
        <v>20</v>
      </c>
      <c r="H94" s="11">
        <f>'Monthly Data'!CL94</f>
        <v>0</v>
      </c>
      <c r="J94" s="11"/>
      <c r="K94" s="11">
        <f ca="1">(E94-F94)*'GS Co Gen Predicted Monthly'!$R$11</f>
        <v>-270144.30432925967</v>
      </c>
      <c r="L94" s="11"/>
      <c r="M94" s="11"/>
      <c r="N94" s="11">
        <f t="shared" ca="1" si="10"/>
        <v>2055652.8757494777</v>
      </c>
    </row>
    <row r="95" spans="1:14" x14ac:dyDescent="0.2">
      <c r="A95" s="8">
        <f>'Monthly Data'!A95</f>
        <v>45566</v>
      </c>
      <c r="B95">
        <f t="shared" si="8"/>
        <v>2024</v>
      </c>
      <c r="C95">
        <f t="shared" si="9"/>
        <v>10</v>
      </c>
      <c r="D95" s="18">
        <f>'Monthly Data'!S95</f>
        <v>1986048.5879870269</v>
      </c>
      <c r="E95" s="290">
        <f t="shared" ref="E95:E110" ca="1" si="12">E83</f>
        <v>24.703125000000007</v>
      </c>
      <c r="F95" s="21">
        <f>'Monthly Data'!BK95</f>
        <v>19.300000000000008</v>
      </c>
      <c r="G95" s="11">
        <f>'Monthly Data'!CT95</f>
        <v>22</v>
      </c>
      <c r="H95" s="11">
        <f>'Monthly Data'!CL95</f>
        <v>0</v>
      </c>
      <c r="J95" s="11"/>
      <c r="K95" s="11">
        <f ca="1">(E95-F95)*'GS Co Gen Predicted Monthly'!$R$11</f>
        <v>91876.057709840854</v>
      </c>
      <c r="L95" s="11"/>
      <c r="M95" s="11"/>
      <c r="N95" s="11">
        <f t="shared" ca="1" si="10"/>
        <v>2077924.6456968677</v>
      </c>
    </row>
    <row r="96" spans="1:14" x14ac:dyDescent="0.2">
      <c r="A96" s="8">
        <f>'Monthly Data'!A96</f>
        <v>45597</v>
      </c>
      <c r="B96">
        <f t="shared" si="8"/>
        <v>2024</v>
      </c>
      <c r="C96">
        <f t="shared" si="9"/>
        <v>11</v>
      </c>
      <c r="D96" s="18">
        <f>'Monthly Data'!S96</f>
        <v>2700816.8671933762</v>
      </c>
      <c r="E96" s="290">
        <f t="shared" ca="1" si="12"/>
        <v>1.6454166666666665</v>
      </c>
      <c r="F96" s="21">
        <f>'Monthly Data'!BK96</f>
        <v>7.3583333333333343</v>
      </c>
      <c r="G96" s="11">
        <f>'Monthly Data'!CT96</f>
        <v>21</v>
      </c>
      <c r="H96" s="11">
        <f>'Monthly Data'!CL96</f>
        <v>0</v>
      </c>
      <c r="J96" s="11"/>
      <c r="K96" s="11">
        <f ca="1">(E96-F96)*'GS Co Gen Predicted Monthly'!$R$11</f>
        <v>-97143.830904926028</v>
      </c>
      <c r="L96" s="11"/>
      <c r="M96" s="11"/>
      <c r="N96" s="11">
        <f t="shared" ca="1" si="10"/>
        <v>2603673.03628845</v>
      </c>
    </row>
    <row r="97" spans="1:18" x14ac:dyDescent="0.2">
      <c r="A97" s="8">
        <f>'Monthly Data'!A97</f>
        <v>45627</v>
      </c>
      <c r="B97">
        <f t="shared" si="8"/>
        <v>2024</v>
      </c>
      <c r="C97">
        <f t="shared" si="9"/>
        <v>12</v>
      </c>
      <c r="D97" s="18">
        <f>'Monthly Data'!S97</f>
        <v>1434683.3089578557</v>
      </c>
      <c r="E97" s="290">
        <f t="shared" ca="1" si="12"/>
        <v>0</v>
      </c>
      <c r="F97" s="21">
        <f>'Monthly Data'!BK97</f>
        <v>0</v>
      </c>
      <c r="G97" s="11">
        <f>'Monthly Data'!CT97</f>
        <v>20</v>
      </c>
      <c r="H97" s="11">
        <f>'Monthly Data'!CL97</f>
        <v>0</v>
      </c>
      <c r="J97" s="11"/>
      <c r="K97" s="11">
        <f ca="1">(E97-F97)*'GS Co Gen Predicted Monthly'!$R$11</f>
        <v>0</v>
      </c>
      <c r="L97" s="11"/>
      <c r="M97" s="11"/>
      <c r="N97" s="11">
        <f t="shared" ca="1" si="10"/>
        <v>1434683.3089578557</v>
      </c>
    </row>
    <row r="98" spans="1:18" x14ac:dyDescent="0.2">
      <c r="A98" s="8">
        <f>'Monthly Data'!A98</f>
        <v>45658</v>
      </c>
      <c r="B98">
        <f t="shared" ref="B98:B109" si="13">YEAR(A98)</f>
        <v>2025</v>
      </c>
      <c r="C98">
        <f t="shared" ref="C98:C109" si="14">MONTH(A98)</f>
        <v>1</v>
      </c>
      <c r="D98" s="18">
        <f>'Monthly Data'!S98</f>
        <v>744626.86911603797</v>
      </c>
      <c r="E98" s="290">
        <f t="shared" ca="1" si="12"/>
        <v>0</v>
      </c>
      <c r="F98" s="21">
        <f>'Monthly Data'!BK98</f>
        <v>0</v>
      </c>
      <c r="G98" s="11">
        <f>'Monthly Data'!CT98</f>
        <v>22</v>
      </c>
      <c r="H98" s="11">
        <f>'Monthly Data'!CL98</f>
        <v>0</v>
      </c>
      <c r="J98" s="11"/>
      <c r="K98" s="11">
        <f ca="1">(E98-F98)*'GS Co Gen Predicted Monthly'!$R$11</f>
        <v>0</v>
      </c>
      <c r="L98" s="11"/>
      <c r="M98" s="11"/>
      <c r="N98" s="11">
        <f t="shared" ref="N98:N109" ca="1" si="15">D98+K98</f>
        <v>744626.86911603797</v>
      </c>
    </row>
    <row r="99" spans="1:18" x14ac:dyDescent="0.2">
      <c r="A99" s="8">
        <f>'Monthly Data'!A99</f>
        <v>45689</v>
      </c>
      <c r="B99">
        <f t="shared" si="13"/>
        <v>2025</v>
      </c>
      <c r="C99">
        <f t="shared" si="14"/>
        <v>2</v>
      </c>
      <c r="D99" s="18">
        <f>'Monthly Data'!S99</f>
        <v>934363.69084218494</v>
      </c>
      <c r="E99" s="290">
        <f t="shared" ca="1" si="12"/>
        <v>0</v>
      </c>
      <c r="F99" s="21">
        <f>'Monthly Data'!BK99</f>
        <v>0</v>
      </c>
      <c r="G99" s="11">
        <f>'Monthly Data'!CT99</f>
        <v>19</v>
      </c>
      <c r="H99" s="11">
        <f>'Monthly Data'!CL99</f>
        <v>0</v>
      </c>
      <c r="J99" s="11"/>
      <c r="K99" s="11">
        <f ca="1">(E99-F99)*'GS Co Gen Predicted Monthly'!$R$11</f>
        <v>0</v>
      </c>
      <c r="L99" s="11"/>
      <c r="M99" s="11"/>
      <c r="N99" s="11">
        <f t="shared" ca="1" si="15"/>
        <v>934363.69084218494</v>
      </c>
    </row>
    <row r="100" spans="1:18" x14ac:dyDescent="0.2">
      <c r="A100" s="8">
        <f>'Monthly Data'!A100</f>
        <v>45717</v>
      </c>
      <c r="B100">
        <f t="shared" si="13"/>
        <v>2025</v>
      </c>
      <c r="C100">
        <f t="shared" si="14"/>
        <v>3</v>
      </c>
      <c r="D100" s="18">
        <f>'Monthly Data'!S100</f>
        <v>1463704.6201513631</v>
      </c>
      <c r="E100" s="290">
        <f t="shared" ca="1" si="12"/>
        <v>0</v>
      </c>
      <c r="F100" s="21">
        <f>'Monthly Data'!BK100</f>
        <v>0</v>
      </c>
      <c r="G100" s="11">
        <f>'Monthly Data'!CT100</f>
        <v>21</v>
      </c>
      <c r="H100" s="11">
        <f>'Monthly Data'!CL100</f>
        <v>0</v>
      </c>
      <c r="J100" s="11"/>
      <c r="K100" s="11">
        <f ca="1">(E100-F100)*'GS Co Gen Predicted Monthly'!$R$11</f>
        <v>0</v>
      </c>
      <c r="L100" s="11"/>
      <c r="M100" s="11"/>
      <c r="N100" s="11">
        <f t="shared" ca="1" si="15"/>
        <v>1463704.6201513631</v>
      </c>
      <c r="Q100" s="11"/>
      <c r="R100" s="22"/>
    </row>
    <row r="101" spans="1:18" x14ac:dyDescent="0.2">
      <c r="A101" s="8">
        <f>'Monthly Data'!A101</f>
        <v>45748</v>
      </c>
      <c r="B101">
        <f t="shared" si="13"/>
        <v>2025</v>
      </c>
      <c r="C101">
        <f t="shared" si="14"/>
        <v>4</v>
      </c>
      <c r="D101" s="18">
        <f>'Monthly Data'!S101</f>
        <v>3015672.0979135549</v>
      </c>
      <c r="E101" s="290">
        <f t="shared" ca="1" si="12"/>
        <v>6.5650000000000031</v>
      </c>
      <c r="F101" s="21">
        <f>'Monthly Data'!BK101</f>
        <v>9.0583333333333371</v>
      </c>
      <c r="G101" s="11">
        <f>'Monthly Data'!CT101</f>
        <v>21</v>
      </c>
      <c r="H101" s="11">
        <f>'Monthly Data'!CL101</f>
        <v>0</v>
      </c>
      <c r="J101" s="11"/>
      <c r="K101" s="11">
        <f ca="1">(E101-F101)*'GS Co Gen Predicted Monthly'!$R$11</f>
        <v>-42397.249225809748</v>
      </c>
      <c r="L101" s="11"/>
      <c r="M101" s="11"/>
      <c r="N101" s="11">
        <f t="shared" ca="1" si="15"/>
        <v>2973274.8486877452</v>
      </c>
      <c r="Q101" s="11"/>
      <c r="R101" s="22"/>
    </row>
    <row r="102" spans="1:18" x14ac:dyDescent="0.2">
      <c r="A102" s="8">
        <f>'Monthly Data'!A102</f>
        <v>45778</v>
      </c>
      <c r="B102">
        <f t="shared" si="13"/>
        <v>2025</v>
      </c>
      <c r="C102">
        <f t="shared" si="14"/>
        <v>5</v>
      </c>
      <c r="D102" s="18">
        <f>'Monthly Data'!S102</f>
        <v>2717419.6950709871</v>
      </c>
      <c r="E102" s="290">
        <f t="shared" ca="1" si="12"/>
        <v>59.300416666666649</v>
      </c>
      <c r="F102" s="21">
        <f>'Monthly Data'!BK102</f>
        <v>30.504166666666652</v>
      </c>
      <c r="G102" s="11">
        <f>'Monthly Data'!CT102</f>
        <v>21</v>
      </c>
      <c r="H102" s="11">
        <f>'Monthly Data'!CL102</f>
        <v>0</v>
      </c>
      <c r="J102" s="11"/>
      <c r="K102" s="11">
        <f ca="1">(E102-F102)*'GS Co Gen Predicted Monthly'!$R$11</f>
        <v>489658.47113050404</v>
      </c>
      <c r="L102" s="11"/>
      <c r="M102" s="11"/>
      <c r="N102" s="11">
        <f t="shared" ca="1" si="15"/>
        <v>3207078.1662014909</v>
      </c>
      <c r="Q102" s="11"/>
      <c r="R102" s="22"/>
    </row>
    <row r="103" spans="1:18" x14ac:dyDescent="0.2">
      <c r="A103" s="8">
        <f>'Monthly Data'!A103</f>
        <v>45809</v>
      </c>
      <c r="B103">
        <f t="shared" si="13"/>
        <v>2025</v>
      </c>
      <c r="C103">
        <f t="shared" si="14"/>
        <v>6</v>
      </c>
      <c r="D103" s="18">
        <f>'Monthly Data'!S103</f>
        <v>6664300.3948202198</v>
      </c>
      <c r="E103" s="290">
        <f t="shared" ca="1" si="12"/>
        <v>157.17000000000002</v>
      </c>
      <c r="F103" s="21">
        <f>'Monthly Data'!BK103</f>
        <v>188.56249999999997</v>
      </c>
      <c r="G103" s="11">
        <f>'Monthly Data'!CT103</f>
        <v>21</v>
      </c>
      <c r="H103" s="11">
        <f>'Monthly Data'!CL103</f>
        <v>0</v>
      </c>
      <c r="J103" s="11"/>
      <c r="K103" s="11">
        <f ca="1">(E103-F103)*'GS Co Gen Predicted Monthly'!$R$11</f>
        <v>-533805.74050316715</v>
      </c>
      <c r="L103" s="11"/>
      <c r="M103" s="11"/>
      <c r="N103" s="11">
        <f t="shared" ca="1" si="15"/>
        <v>6130494.654317053</v>
      </c>
      <c r="Q103" s="11"/>
      <c r="R103" s="22"/>
    </row>
    <row r="104" spans="1:18" x14ac:dyDescent="0.2">
      <c r="A104" s="8">
        <f>'Monthly Data'!A104</f>
        <v>45839</v>
      </c>
      <c r="B104">
        <f t="shared" si="13"/>
        <v>2025</v>
      </c>
      <c r="C104">
        <f t="shared" si="14"/>
        <v>7</v>
      </c>
      <c r="D104" s="18">
        <f>'Monthly Data'!S104</f>
        <v>5559636.5173280817</v>
      </c>
      <c r="E104" s="290">
        <f t="shared" ca="1" si="12"/>
        <v>231.27145833333333</v>
      </c>
      <c r="F104" s="21">
        <f>'Monthly Data'!BK104</f>
        <v>255.57916666666662</v>
      </c>
      <c r="G104" s="11">
        <f>'Monthly Data'!CT104</f>
        <v>22</v>
      </c>
      <c r="H104" s="11">
        <f>'Monthly Data'!CL104</f>
        <v>1</v>
      </c>
      <c r="J104" s="11"/>
      <c r="K104" s="11">
        <f ca="1">(E104-F104)*'GS Co Gen Predicted Monthly'!$R$11</f>
        <v>-413334.21189169405</v>
      </c>
      <c r="L104" s="11"/>
      <c r="M104" s="11"/>
      <c r="N104" s="11">
        <f t="shared" ca="1" si="15"/>
        <v>5146302.3054363877</v>
      </c>
      <c r="Q104" s="11"/>
      <c r="R104" s="22"/>
    </row>
    <row r="105" spans="1:18" x14ac:dyDescent="0.2">
      <c r="A105" s="8">
        <f>'Monthly Data'!A105</f>
        <v>45870</v>
      </c>
      <c r="B105">
        <f t="shared" si="13"/>
        <v>2025</v>
      </c>
      <c r="C105">
        <f t="shared" si="14"/>
        <v>8</v>
      </c>
      <c r="D105" s="18">
        <f>'Monthly Data'!S105</f>
        <v>4475437.8092067335</v>
      </c>
      <c r="E105" s="290">
        <f t="shared" ca="1" si="12"/>
        <v>196.13625000000002</v>
      </c>
      <c r="F105" s="21">
        <f>'Monthly Data'!BK105</f>
        <v>178.91250000000005</v>
      </c>
      <c r="G105" s="11">
        <f>'Monthly Data'!CT105</f>
        <v>21</v>
      </c>
      <c r="H105" s="11">
        <f>'Monthly Data'!CL105</f>
        <v>1</v>
      </c>
      <c r="J105" s="11"/>
      <c r="K105" s="11">
        <f ca="1">(E105-F105)*'GS Co Gen Predicted Monthly'!$R$11</f>
        <v>292876.85348383919</v>
      </c>
      <c r="L105" s="11"/>
      <c r="M105" s="11"/>
      <c r="N105" s="11">
        <f t="shared" ca="1" si="15"/>
        <v>4768314.6626905724</v>
      </c>
      <c r="Q105" s="11"/>
      <c r="R105" s="22"/>
    </row>
    <row r="106" spans="1:18" x14ac:dyDescent="0.2">
      <c r="A106" s="8">
        <f>'Monthly Data'!A106</f>
        <v>45901</v>
      </c>
      <c r="B106">
        <f t="shared" si="13"/>
        <v>2025</v>
      </c>
      <c r="C106">
        <f t="shared" si="14"/>
        <v>9</v>
      </c>
      <c r="D106" s="18">
        <f>'Monthly Data'!S106</f>
        <v>2469394.5411401149</v>
      </c>
      <c r="E106" s="290">
        <f t="shared" ca="1" si="12"/>
        <v>104.19854166666664</v>
      </c>
      <c r="F106" s="21">
        <f>'Monthly Data'!BK106</f>
        <v>102.07916666666665</v>
      </c>
      <c r="G106" s="11">
        <f>'Monthly Data'!CT106</f>
        <v>21</v>
      </c>
      <c r="H106" s="11">
        <f>'Monthly Data'!CL106</f>
        <v>0</v>
      </c>
      <c r="J106" s="11"/>
      <c r="K106" s="11">
        <f ca="1">(E106-F106)*'GS Co Gen Predicted Monthly'!$R$11</f>
        <v>36038.370352119033</v>
      </c>
      <c r="L106" s="11"/>
      <c r="M106" s="11"/>
      <c r="N106" s="11">
        <f t="shared" ca="1" si="15"/>
        <v>2505432.9114922341</v>
      </c>
      <c r="Q106" s="11"/>
      <c r="R106" s="22"/>
    </row>
    <row r="107" spans="1:18" x14ac:dyDescent="0.2">
      <c r="A107" s="8">
        <f>'Monthly Data'!A107</f>
        <v>45931</v>
      </c>
      <c r="B107">
        <f t="shared" si="13"/>
        <v>2025</v>
      </c>
      <c r="C107">
        <f t="shared" si="14"/>
        <v>10</v>
      </c>
      <c r="D107" s="18">
        <f>'Monthly Data'!S107</f>
        <v>2893984.997376537</v>
      </c>
      <c r="E107" s="290">
        <f t="shared" ca="1" si="12"/>
        <v>24.703125000000007</v>
      </c>
      <c r="F107" s="21">
        <f>'Monthly Data'!BK107</f>
        <v>29.312500000000004</v>
      </c>
      <c r="G107" s="11">
        <f>'Monthly Data'!CT107</f>
        <v>22</v>
      </c>
      <c r="H107" s="11">
        <f>'Monthly Data'!CL107</f>
        <v>0</v>
      </c>
      <c r="J107" s="11"/>
      <c r="K107" s="11">
        <f ca="1">(E107-F107)*'GS Co Gen Predicted Monthly'!$R$11</f>
        <v>-78378.938763455852</v>
      </c>
      <c r="L107" s="11"/>
      <c r="M107" s="11"/>
      <c r="N107" s="11">
        <f t="shared" ca="1" si="15"/>
        <v>2815606.058613081</v>
      </c>
      <c r="Q107" s="11"/>
      <c r="R107" s="22"/>
    </row>
    <row r="108" spans="1:18" x14ac:dyDescent="0.2">
      <c r="A108" s="8">
        <f>'Monthly Data'!A108</f>
        <v>45962</v>
      </c>
      <c r="B108">
        <f t="shared" si="13"/>
        <v>2025</v>
      </c>
      <c r="C108">
        <f t="shared" si="14"/>
        <v>11</v>
      </c>
      <c r="D108" s="18">
        <f>'Monthly Data'!S108</f>
        <v>1206040.1878856791</v>
      </c>
      <c r="E108" s="290">
        <f t="shared" ca="1" si="12"/>
        <v>1.6454166666666665</v>
      </c>
      <c r="F108" s="21">
        <f>'Monthly Data'!BK108</f>
        <v>0</v>
      </c>
      <c r="G108" s="11">
        <f>'Monthly Data'!CT108</f>
        <v>20</v>
      </c>
      <c r="H108" s="11">
        <f>'Monthly Data'!CL108</f>
        <v>0</v>
      </c>
      <c r="J108" s="11"/>
      <c r="K108" s="11">
        <f ca="1">(E108-F108)*'GS Co Gen Predicted Monthly'!$R$11</f>
        <v>27979.067044238407</v>
      </c>
      <c r="L108" s="11"/>
      <c r="M108" s="11"/>
      <c r="N108" s="11">
        <f t="shared" ca="1" si="15"/>
        <v>1234019.2549299174</v>
      </c>
      <c r="Q108" s="11"/>
      <c r="R108" s="22"/>
    </row>
    <row r="109" spans="1:18" x14ac:dyDescent="0.2">
      <c r="A109" s="8">
        <f>'Monthly Data'!A109</f>
        <v>45992</v>
      </c>
      <c r="B109">
        <f t="shared" si="13"/>
        <v>2025</v>
      </c>
      <c r="C109">
        <f t="shared" si="14"/>
        <v>12</v>
      </c>
      <c r="D109" s="18">
        <f>'Monthly Data'!S109</f>
        <v>1366926.3633808512</v>
      </c>
      <c r="E109" s="290">
        <f t="shared" ca="1" si="12"/>
        <v>0</v>
      </c>
      <c r="F109" s="21">
        <f>'Monthly Data'!BK109</f>
        <v>0</v>
      </c>
      <c r="G109" s="11">
        <f>'Monthly Data'!CT109</f>
        <v>21</v>
      </c>
      <c r="H109" s="11">
        <f>'Monthly Data'!CL109</f>
        <v>0</v>
      </c>
      <c r="J109" s="11"/>
      <c r="K109" s="11">
        <f ca="1">(E109-F109)*'GS Co Gen Predicted Monthly'!$R$11</f>
        <v>0</v>
      </c>
      <c r="L109" s="11"/>
      <c r="M109" s="11"/>
      <c r="N109" s="11">
        <f t="shared" ca="1" si="15"/>
        <v>1366926.3633808512</v>
      </c>
      <c r="P109" s="18"/>
      <c r="Q109" s="11"/>
      <c r="R109" s="22"/>
    </row>
    <row r="110" spans="1:18" s="59" customFormat="1" x14ac:dyDescent="0.2">
      <c r="A110" s="506">
        <f t="shared" ref="A110:A133" si="16">EOMONTH(A109,0)+1</f>
        <v>46023</v>
      </c>
      <c r="B110" s="59">
        <f t="shared" si="8"/>
        <v>2026</v>
      </c>
      <c r="C110" s="59">
        <f t="shared" si="9"/>
        <v>1</v>
      </c>
      <c r="D110" s="178"/>
      <c r="E110" s="511">
        <f t="shared" ca="1" si="12"/>
        <v>0</v>
      </c>
      <c r="F110" s="177"/>
      <c r="G110" s="188">
        <f>'GS Co Gen Normalized Monthly'!F110</f>
        <v>21</v>
      </c>
      <c r="H110" s="188">
        <f>H98</f>
        <v>0</v>
      </c>
      <c r="J110" s="188">
        <f>'GS Co Gen Predicted Monthly'!$R$10</f>
        <v>-1091818.61931381</v>
      </c>
      <c r="K110" s="188">
        <f ca="1">E110*'GS Co Gen Predicted Monthly'!$R$11</f>
        <v>0</v>
      </c>
      <c r="L110" s="188">
        <f>G110*'GS Co Gen Predicted Monthly'!$R$12</f>
        <v>3490881.8897357369</v>
      </c>
      <c r="M110" s="188">
        <f>H110*'GS Co Gen Predicted Monthly'!$R$13</f>
        <v>0</v>
      </c>
      <c r="N110" s="188">
        <f ca="1">SUM(J110:M110)</f>
        <v>2399063.2704219269</v>
      </c>
      <c r="P110" s="178"/>
      <c r="Q110" s="188"/>
      <c r="R110" s="510"/>
    </row>
    <row r="111" spans="1:18" s="59" customFormat="1" x14ac:dyDescent="0.2">
      <c r="A111" s="506">
        <f t="shared" si="16"/>
        <v>46054</v>
      </c>
      <c r="B111" s="59">
        <f t="shared" si="8"/>
        <v>2026</v>
      </c>
      <c r="C111" s="59">
        <f t="shared" si="9"/>
        <v>2</v>
      </c>
      <c r="D111" s="178"/>
      <c r="E111" s="511">
        <f t="shared" ref="E111:E126" ca="1" si="17">E99</f>
        <v>0</v>
      </c>
      <c r="F111" s="177"/>
      <c r="G111" s="188">
        <f>'GS Co Gen Normalized Monthly'!F111</f>
        <v>19</v>
      </c>
      <c r="H111" s="188">
        <f t="shared" ref="H111:H133" si="18">H99</f>
        <v>0</v>
      </c>
      <c r="J111" s="188">
        <f>'GS Co Gen Predicted Monthly'!$R$10</f>
        <v>-1091818.61931381</v>
      </c>
      <c r="K111" s="188">
        <f ca="1">E111*'GS Co Gen Predicted Monthly'!$R$11</f>
        <v>0</v>
      </c>
      <c r="L111" s="188">
        <f>G111*'GS Co Gen Predicted Monthly'!$R$12</f>
        <v>3158416.9478561431</v>
      </c>
      <c r="M111" s="188">
        <f>H111*'GS Co Gen Predicted Monthly'!$R$13</f>
        <v>0</v>
      </c>
      <c r="N111" s="188">
        <f t="shared" ref="N111:N133" ca="1" si="19">SUM(J111:M111)</f>
        <v>2066598.3285423331</v>
      </c>
      <c r="P111" s="178"/>
      <c r="Q111" s="188"/>
      <c r="R111" s="510"/>
    </row>
    <row r="112" spans="1:18" s="59" customFormat="1" x14ac:dyDescent="0.2">
      <c r="A112" s="506">
        <f t="shared" si="16"/>
        <v>46082</v>
      </c>
      <c r="B112" s="59">
        <f t="shared" si="8"/>
        <v>2026</v>
      </c>
      <c r="C112" s="59">
        <f t="shared" si="9"/>
        <v>3</v>
      </c>
      <c r="D112" s="178"/>
      <c r="E112" s="511">
        <f t="shared" ca="1" si="17"/>
        <v>0</v>
      </c>
      <c r="F112" s="177"/>
      <c r="G112" s="188">
        <f>'GS Co Gen Normalized Monthly'!F112</f>
        <v>22</v>
      </c>
      <c r="H112" s="188">
        <f t="shared" si="18"/>
        <v>0</v>
      </c>
      <c r="J112" s="188">
        <f>'GS Co Gen Predicted Monthly'!$R$10</f>
        <v>-1091818.61931381</v>
      </c>
      <c r="K112" s="188">
        <f ca="1">E112*'GS Co Gen Predicted Monthly'!$R$11</f>
        <v>0</v>
      </c>
      <c r="L112" s="188">
        <f>G112*'GS Co Gen Predicted Monthly'!$R$12</f>
        <v>3657114.3606755342</v>
      </c>
      <c r="M112" s="188">
        <f>H112*'GS Co Gen Predicted Monthly'!$R$13</f>
        <v>0</v>
      </c>
      <c r="N112" s="188">
        <f t="shared" ca="1" si="19"/>
        <v>2565295.7413617242</v>
      </c>
      <c r="P112" s="178"/>
    </row>
    <row r="113" spans="1:17" s="59" customFormat="1" x14ac:dyDescent="0.2">
      <c r="A113" s="506">
        <f t="shared" si="16"/>
        <v>46113</v>
      </c>
      <c r="B113" s="59">
        <f t="shared" si="8"/>
        <v>2026</v>
      </c>
      <c r="C113" s="59">
        <f t="shared" si="9"/>
        <v>4</v>
      </c>
      <c r="D113" s="178"/>
      <c r="E113" s="511">
        <f t="shared" ca="1" si="17"/>
        <v>6.5650000000000031</v>
      </c>
      <c r="F113" s="177"/>
      <c r="G113" s="188">
        <f>'GS Co Gen Normalized Monthly'!F113</f>
        <v>21</v>
      </c>
      <c r="H113" s="188">
        <f t="shared" si="18"/>
        <v>0</v>
      </c>
      <c r="J113" s="188">
        <f>'GS Co Gen Predicted Monthly'!$R$10</f>
        <v>-1091818.61931381</v>
      </c>
      <c r="K113" s="188">
        <f ca="1">E113*'GS Co Gen Predicted Monthly'!$R$11</f>
        <v>111632.86410458865</v>
      </c>
      <c r="L113" s="188">
        <f>G113*'GS Co Gen Predicted Monthly'!$R$12</f>
        <v>3490881.8897357369</v>
      </c>
      <c r="M113" s="188">
        <f>H113*'GS Co Gen Predicted Monthly'!$R$13</f>
        <v>0</v>
      </c>
      <c r="N113" s="188">
        <f t="shared" ca="1" si="19"/>
        <v>2510696.1345265154</v>
      </c>
      <c r="P113" s="178"/>
      <c r="Q113" s="188"/>
    </row>
    <row r="114" spans="1:17" s="59" customFormat="1" x14ac:dyDescent="0.2">
      <c r="A114" s="506">
        <f t="shared" si="16"/>
        <v>46143</v>
      </c>
      <c r="B114" s="59">
        <f t="shared" si="8"/>
        <v>2026</v>
      </c>
      <c r="C114" s="59">
        <f t="shared" si="9"/>
        <v>5</v>
      </c>
      <c r="D114" s="178"/>
      <c r="E114" s="511">
        <f t="shared" ca="1" si="17"/>
        <v>59.300416666666649</v>
      </c>
      <c r="F114" s="177"/>
      <c r="G114" s="188">
        <f>'GS Co Gen Normalized Monthly'!F114</f>
        <v>20</v>
      </c>
      <c r="H114" s="188">
        <f t="shared" si="18"/>
        <v>0</v>
      </c>
      <c r="J114" s="188">
        <f>'GS Co Gen Predicted Monthly'!$R$10</f>
        <v>-1091818.61931381</v>
      </c>
      <c r="K114" s="188">
        <f ca="1">E114*'GS Co Gen Predicted Monthly'!$R$11</f>
        <v>1008358.7745766152</v>
      </c>
      <c r="L114" s="188">
        <f>G114*'GS Co Gen Predicted Monthly'!$R$12</f>
        <v>3324649.41879594</v>
      </c>
      <c r="M114" s="188">
        <f>H114*'GS Co Gen Predicted Monthly'!$R$13</f>
        <v>0</v>
      </c>
      <c r="N114" s="188">
        <f t="shared" ca="1" si="19"/>
        <v>3241189.5740587451</v>
      </c>
      <c r="P114" s="178"/>
      <c r="Q114" s="188"/>
    </row>
    <row r="115" spans="1:17" s="59" customFormat="1" x14ac:dyDescent="0.2">
      <c r="A115" s="506">
        <f t="shared" si="16"/>
        <v>46174</v>
      </c>
      <c r="B115" s="59">
        <f t="shared" si="8"/>
        <v>2026</v>
      </c>
      <c r="C115" s="59">
        <f t="shared" si="9"/>
        <v>6</v>
      </c>
      <c r="D115" s="178"/>
      <c r="E115" s="511">
        <f t="shared" ca="1" si="17"/>
        <v>157.17000000000002</v>
      </c>
      <c r="F115" s="177"/>
      <c r="G115" s="188">
        <f>'GS Co Gen Normalized Monthly'!F115</f>
        <v>22</v>
      </c>
      <c r="H115" s="188">
        <f t="shared" si="18"/>
        <v>0</v>
      </c>
      <c r="J115" s="188">
        <f>'GS Co Gen Predicted Monthly'!$R$10</f>
        <v>-1091818.61931381</v>
      </c>
      <c r="K115" s="188">
        <f ca="1">E115*'GS Co Gen Predicted Monthly'!$R$11</f>
        <v>2672557.083216785</v>
      </c>
      <c r="L115" s="188">
        <f>G115*'GS Co Gen Predicted Monthly'!$R$12</f>
        <v>3657114.3606755342</v>
      </c>
      <c r="M115" s="188">
        <f>H115*'GS Co Gen Predicted Monthly'!$R$13</f>
        <v>0</v>
      </c>
      <c r="N115" s="188">
        <f t="shared" ca="1" si="19"/>
        <v>5237852.8245785087</v>
      </c>
      <c r="P115" s="178"/>
      <c r="Q115" s="188"/>
    </row>
    <row r="116" spans="1:17" s="59" customFormat="1" x14ac:dyDescent="0.2">
      <c r="A116" s="506">
        <f t="shared" si="16"/>
        <v>46204</v>
      </c>
      <c r="B116" s="59">
        <f t="shared" si="8"/>
        <v>2026</v>
      </c>
      <c r="C116" s="59">
        <f t="shared" si="9"/>
        <v>7</v>
      </c>
      <c r="D116" s="178"/>
      <c r="E116" s="511">
        <f t="shared" ca="1" si="17"/>
        <v>231.27145833333333</v>
      </c>
      <c r="F116" s="177"/>
      <c r="G116" s="188">
        <f>'GS Co Gen Normalized Monthly'!F116</f>
        <v>22</v>
      </c>
      <c r="H116" s="188">
        <f t="shared" si="18"/>
        <v>1</v>
      </c>
      <c r="J116" s="188">
        <f>'GS Co Gen Predicted Monthly'!$R$10</f>
        <v>-1091818.61931381</v>
      </c>
      <c r="K116" s="188">
        <f ca="1">E116*'GS Co Gen Predicted Monthly'!$R$11</f>
        <v>3932596.3868080769</v>
      </c>
      <c r="L116" s="188">
        <f>G116*'GS Co Gen Predicted Monthly'!$R$12</f>
        <v>3657114.3606755342</v>
      </c>
      <c r="M116" s="188">
        <f>H116*'GS Co Gen Predicted Monthly'!$R$13</f>
        <v>-689077.09586613998</v>
      </c>
      <c r="N116" s="188">
        <f t="shared" ca="1" si="19"/>
        <v>5808815.0323036611</v>
      </c>
      <c r="P116" s="178"/>
      <c r="Q116" s="188"/>
    </row>
    <row r="117" spans="1:17" s="59" customFormat="1" x14ac:dyDescent="0.2">
      <c r="A117" s="506">
        <f t="shared" si="16"/>
        <v>46235</v>
      </c>
      <c r="B117" s="59">
        <f t="shared" si="8"/>
        <v>2026</v>
      </c>
      <c r="C117" s="59">
        <f t="shared" si="9"/>
        <v>8</v>
      </c>
      <c r="D117" s="178"/>
      <c r="E117" s="511">
        <f t="shared" ca="1" si="17"/>
        <v>196.13625000000002</v>
      </c>
      <c r="F117" s="177"/>
      <c r="G117" s="188">
        <f>'GS Co Gen Normalized Monthly'!F117</f>
        <v>21</v>
      </c>
      <c r="H117" s="188">
        <f t="shared" si="18"/>
        <v>1</v>
      </c>
      <c r="J117" s="188">
        <f>'GS Co Gen Predicted Monthly'!$R$10</f>
        <v>-1091818.61931381</v>
      </c>
      <c r="K117" s="188">
        <f ca="1">E117*'GS Co Gen Predicted Monthly'!$R$11</f>
        <v>3335148.7193044354</v>
      </c>
      <c r="L117" s="188">
        <f>G117*'GS Co Gen Predicted Monthly'!$R$12</f>
        <v>3490881.8897357369</v>
      </c>
      <c r="M117" s="188">
        <f>H117*'GS Co Gen Predicted Monthly'!$R$13</f>
        <v>-689077.09586613998</v>
      </c>
      <c r="N117" s="188">
        <f t="shared" ca="1" si="19"/>
        <v>5045134.8938602228</v>
      </c>
      <c r="Q117" s="188"/>
    </row>
    <row r="118" spans="1:17" s="59" customFormat="1" x14ac:dyDescent="0.2">
      <c r="A118" s="506">
        <f t="shared" si="16"/>
        <v>46266</v>
      </c>
      <c r="B118" s="59">
        <f t="shared" si="8"/>
        <v>2026</v>
      </c>
      <c r="C118" s="59">
        <f t="shared" si="9"/>
        <v>9</v>
      </c>
      <c r="D118" s="178"/>
      <c r="E118" s="511">
        <f t="shared" ca="1" si="17"/>
        <v>104.19854166666664</v>
      </c>
      <c r="F118" s="177"/>
      <c r="G118" s="188">
        <f>'GS Co Gen Normalized Monthly'!F118</f>
        <v>21</v>
      </c>
      <c r="H118" s="188">
        <f t="shared" si="18"/>
        <v>0</v>
      </c>
      <c r="J118" s="188">
        <f>'GS Co Gen Predicted Monthly'!$R$10</f>
        <v>-1091818.61931381</v>
      </c>
      <c r="K118" s="188">
        <f ca="1">E118*'GS Co Gen Predicted Monthly'!$R$11</f>
        <v>1771817.4625698873</v>
      </c>
      <c r="L118" s="188">
        <f>G118*'GS Co Gen Predicted Monthly'!$R$12</f>
        <v>3490881.8897357369</v>
      </c>
      <c r="M118" s="188">
        <f>H118*'GS Co Gen Predicted Monthly'!$R$13</f>
        <v>0</v>
      </c>
      <c r="N118" s="188">
        <f t="shared" ca="1" si="19"/>
        <v>4170880.7329918141</v>
      </c>
      <c r="Q118" s="188"/>
    </row>
    <row r="119" spans="1:17" s="59" customFormat="1" x14ac:dyDescent="0.2">
      <c r="A119" s="506">
        <f t="shared" si="16"/>
        <v>46296</v>
      </c>
      <c r="B119" s="59">
        <f t="shared" si="8"/>
        <v>2026</v>
      </c>
      <c r="C119" s="59">
        <f t="shared" si="9"/>
        <v>10</v>
      </c>
      <c r="D119" s="178"/>
      <c r="E119" s="511">
        <f t="shared" ca="1" si="17"/>
        <v>24.703125000000007</v>
      </c>
      <c r="F119" s="177"/>
      <c r="G119" s="188">
        <f>'GS Co Gen Normalized Monthly'!F119</f>
        <v>21</v>
      </c>
      <c r="H119" s="188">
        <f t="shared" si="18"/>
        <v>0</v>
      </c>
      <c r="J119" s="188">
        <f>'GS Co Gen Predicted Monthly'!$R$10</f>
        <v>-1091818.61931381</v>
      </c>
      <c r="K119" s="188">
        <f ca="1">E119*'GS Co Gen Predicted Monthly'!$R$11</f>
        <v>420057.97350855538</v>
      </c>
      <c r="L119" s="188">
        <f>G119*'GS Co Gen Predicted Monthly'!$R$12</f>
        <v>3490881.8897357369</v>
      </c>
      <c r="M119" s="188">
        <f>H119*'GS Co Gen Predicted Monthly'!$R$13</f>
        <v>0</v>
      </c>
      <c r="N119" s="188">
        <f t="shared" ca="1" si="19"/>
        <v>2819121.2439304823</v>
      </c>
      <c r="Q119" s="188"/>
    </row>
    <row r="120" spans="1:17" s="59" customFormat="1" x14ac:dyDescent="0.2">
      <c r="A120" s="506">
        <f t="shared" si="16"/>
        <v>46327</v>
      </c>
      <c r="B120" s="59">
        <f t="shared" si="8"/>
        <v>2026</v>
      </c>
      <c r="C120" s="59">
        <f t="shared" si="9"/>
        <v>11</v>
      </c>
      <c r="D120" s="178"/>
      <c r="E120" s="511">
        <f t="shared" ca="1" si="17"/>
        <v>1.6454166666666665</v>
      </c>
      <c r="F120" s="177"/>
      <c r="G120" s="188">
        <f>'GS Co Gen Normalized Monthly'!F120</f>
        <v>21</v>
      </c>
      <c r="H120" s="188">
        <f t="shared" si="18"/>
        <v>0</v>
      </c>
      <c r="J120" s="188">
        <f>'GS Co Gen Predicted Monthly'!$R$10</f>
        <v>-1091818.61931381</v>
      </c>
      <c r="K120" s="188">
        <f ca="1">E120*'GS Co Gen Predicted Monthly'!$R$11</f>
        <v>27979.067044238407</v>
      </c>
      <c r="L120" s="188">
        <f>G120*'GS Co Gen Predicted Monthly'!$R$12</f>
        <v>3490881.8897357369</v>
      </c>
      <c r="M120" s="188">
        <f>H120*'GS Co Gen Predicted Monthly'!$R$13</f>
        <v>0</v>
      </c>
      <c r="N120" s="188">
        <f t="shared" ca="1" si="19"/>
        <v>2427042.3374661654</v>
      </c>
      <c r="Q120" s="188"/>
    </row>
    <row r="121" spans="1:17" s="59" customFormat="1" x14ac:dyDescent="0.2">
      <c r="A121" s="506">
        <f t="shared" si="16"/>
        <v>46357</v>
      </c>
      <c r="B121" s="59">
        <f t="shared" si="8"/>
        <v>2026</v>
      </c>
      <c r="C121" s="59">
        <f t="shared" si="9"/>
        <v>12</v>
      </c>
      <c r="D121" s="178"/>
      <c r="E121" s="511">
        <f t="shared" ca="1" si="17"/>
        <v>0</v>
      </c>
      <c r="F121" s="177"/>
      <c r="G121" s="188">
        <f>'GS Co Gen Normalized Monthly'!F121</f>
        <v>21</v>
      </c>
      <c r="H121" s="188">
        <f t="shared" si="18"/>
        <v>0</v>
      </c>
      <c r="J121" s="188">
        <f>'GS Co Gen Predicted Monthly'!$R$10</f>
        <v>-1091818.61931381</v>
      </c>
      <c r="K121" s="188">
        <f ca="1">E121*'GS Co Gen Predicted Monthly'!$R$11</f>
        <v>0</v>
      </c>
      <c r="L121" s="188">
        <f>G121*'GS Co Gen Predicted Monthly'!$R$12</f>
        <v>3490881.8897357369</v>
      </c>
      <c r="M121" s="188">
        <f>H121*'GS Co Gen Predicted Monthly'!$R$13</f>
        <v>0</v>
      </c>
      <c r="N121" s="188">
        <f t="shared" ca="1" si="19"/>
        <v>2399063.2704219269</v>
      </c>
      <c r="Q121" s="188"/>
    </row>
    <row r="122" spans="1:17" s="59" customFormat="1" x14ac:dyDescent="0.2">
      <c r="A122" s="506">
        <f t="shared" si="16"/>
        <v>46388</v>
      </c>
      <c r="B122" s="59">
        <f>YEAR(A122)</f>
        <v>2027</v>
      </c>
      <c r="C122" s="59">
        <f>MONTH(A122)</f>
        <v>1</v>
      </c>
      <c r="D122" s="178"/>
      <c r="E122" s="511">
        <f t="shared" ca="1" si="17"/>
        <v>0</v>
      </c>
      <c r="F122" s="177"/>
      <c r="G122" s="188">
        <f>'GS Co Gen Normalized Monthly'!F122</f>
        <v>20</v>
      </c>
      <c r="H122" s="188">
        <f t="shared" si="18"/>
        <v>0</v>
      </c>
      <c r="J122" s="188">
        <f>'GS Co Gen Predicted Monthly'!$R$10</f>
        <v>-1091818.61931381</v>
      </c>
      <c r="K122" s="188">
        <f ca="1">E122*'GS Co Gen Predicted Monthly'!$R$11</f>
        <v>0</v>
      </c>
      <c r="L122" s="188">
        <f>G122*'GS Co Gen Predicted Monthly'!$R$12</f>
        <v>3324649.41879594</v>
      </c>
      <c r="M122" s="188">
        <f>H122*'GS Co Gen Predicted Monthly'!$R$13</f>
        <v>0</v>
      </c>
      <c r="N122" s="188">
        <f t="shared" ca="1" si="19"/>
        <v>2232830.79948213</v>
      </c>
      <c r="Q122" s="188"/>
    </row>
    <row r="123" spans="1:17" s="59" customFormat="1" x14ac:dyDescent="0.2">
      <c r="A123" s="506">
        <f t="shared" si="16"/>
        <v>46419</v>
      </c>
      <c r="B123" s="59">
        <f>YEAR(A123)</f>
        <v>2027</v>
      </c>
      <c r="C123" s="59">
        <f>MONTH(A123)</f>
        <v>2</v>
      </c>
      <c r="D123" s="178"/>
      <c r="E123" s="511">
        <f t="shared" ca="1" si="17"/>
        <v>0</v>
      </c>
      <c r="F123" s="177"/>
      <c r="G123" s="188">
        <f>'GS Co Gen Normalized Monthly'!F123</f>
        <v>19</v>
      </c>
      <c r="H123" s="188">
        <f t="shared" si="18"/>
        <v>0</v>
      </c>
      <c r="J123" s="188">
        <f>'GS Co Gen Predicted Monthly'!$R$10</f>
        <v>-1091818.61931381</v>
      </c>
      <c r="K123" s="188">
        <f ca="1">E123*'GS Co Gen Predicted Monthly'!$R$11</f>
        <v>0</v>
      </c>
      <c r="L123" s="188">
        <f>G123*'GS Co Gen Predicted Monthly'!$R$12</f>
        <v>3158416.9478561431</v>
      </c>
      <c r="M123" s="188">
        <f>H123*'GS Co Gen Predicted Monthly'!$R$13</f>
        <v>0</v>
      </c>
      <c r="N123" s="188">
        <f t="shared" ca="1" si="19"/>
        <v>2066598.3285423331</v>
      </c>
      <c r="Q123" s="188"/>
    </row>
    <row r="124" spans="1:17" s="59" customFormat="1" x14ac:dyDescent="0.2">
      <c r="A124" s="506">
        <f t="shared" si="16"/>
        <v>46447</v>
      </c>
      <c r="B124" s="59">
        <f>YEAR(A124)</f>
        <v>2027</v>
      </c>
      <c r="C124" s="59">
        <f>MONTH(A124)</f>
        <v>3</v>
      </c>
      <c r="D124" s="178"/>
      <c r="E124" s="511">
        <f t="shared" ca="1" si="17"/>
        <v>0</v>
      </c>
      <c r="F124" s="177"/>
      <c r="G124" s="188">
        <f>'GS Co Gen Normalized Monthly'!F124</f>
        <v>22</v>
      </c>
      <c r="H124" s="188">
        <f t="shared" si="18"/>
        <v>0</v>
      </c>
      <c r="J124" s="188">
        <f>'GS Co Gen Predicted Monthly'!$R$10</f>
        <v>-1091818.61931381</v>
      </c>
      <c r="K124" s="188">
        <f ca="1">E124*'GS Co Gen Predicted Monthly'!$R$11</f>
        <v>0</v>
      </c>
      <c r="L124" s="188">
        <f>G124*'GS Co Gen Predicted Monthly'!$R$12</f>
        <v>3657114.3606755342</v>
      </c>
      <c r="M124" s="188">
        <f>H124*'GS Co Gen Predicted Monthly'!$R$13</f>
        <v>0</v>
      </c>
      <c r="N124" s="188">
        <f t="shared" ca="1" si="19"/>
        <v>2565295.7413617242</v>
      </c>
      <c r="Q124" s="188"/>
    </row>
    <row r="125" spans="1:17" s="59" customFormat="1" x14ac:dyDescent="0.2">
      <c r="A125" s="506">
        <f t="shared" si="16"/>
        <v>46478</v>
      </c>
      <c r="B125" s="59">
        <f>YEAR(A125)</f>
        <v>2027</v>
      </c>
      <c r="C125" s="59">
        <f>MONTH(A125)</f>
        <v>4</v>
      </c>
      <c r="D125" s="178"/>
      <c r="E125" s="511">
        <f t="shared" ca="1" si="17"/>
        <v>6.5650000000000031</v>
      </c>
      <c r="F125" s="177"/>
      <c r="G125" s="188">
        <f>'GS Co Gen Normalized Monthly'!F125</f>
        <v>22</v>
      </c>
      <c r="H125" s="188">
        <f t="shared" si="18"/>
        <v>0</v>
      </c>
      <c r="J125" s="188">
        <f>'GS Co Gen Predicted Monthly'!$R$10</f>
        <v>-1091818.61931381</v>
      </c>
      <c r="K125" s="188">
        <f ca="1">E125*'GS Co Gen Predicted Monthly'!$R$11</f>
        <v>111632.86410458865</v>
      </c>
      <c r="L125" s="188">
        <f>G125*'GS Co Gen Predicted Monthly'!$R$12</f>
        <v>3657114.3606755342</v>
      </c>
      <c r="M125" s="188">
        <f>H125*'GS Co Gen Predicted Monthly'!$R$13</f>
        <v>0</v>
      </c>
      <c r="N125" s="188">
        <f t="shared" ca="1" si="19"/>
        <v>2676928.6054663127</v>
      </c>
    </row>
    <row r="126" spans="1:17" s="59" customFormat="1" x14ac:dyDescent="0.2">
      <c r="A126" s="506">
        <f t="shared" si="16"/>
        <v>46508</v>
      </c>
      <c r="B126" s="59">
        <f>YEAR(A126)</f>
        <v>2027</v>
      </c>
      <c r="C126" s="59">
        <f>MONTH(A126)</f>
        <v>5</v>
      </c>
      <c r="D126" s="178"/>
      <c r="E126" s="511">
        <f t="shared" ca="1" si="17"/>
        <v>59.300416666666649</v>
      </c>
      <c r="F126" s="177"/>
      <c r="G126" s="188">
        <f>'GS Co Gen Normalized Monthly'!F126</f>
        <v>20</v>
      </c>
      <c r="H126" s="188">
        <f t="shared" si="18"/>
        <v>0</v>
      </c>
      <c r="J126" s="188">
        <f>'GS Co Gen Predicted Monthly'!$R$10</f>
        <v>-1091818.61931381</v>
      </c>
      <c r="K126" s="188">
        <f ca="1">E126*'GS Co Gen Predicted Monthly'!$R$11</f>
        <v>1008358.7745766152</v>
      </c>
      <c r="L126" s="188">
        <f>G126*'GS Co Gen Predicted Monthly'!$R$12</f>
        <v>3324649.41879594</v>
      </c>
      <c r="M126" s="188">
        <f>H126*'GS Co Gen Predicted Monthly'!$R$13</f>
        <v>0</v>
      </c>
      <c r="N126" s="188">
        <f t="shared" ca="1" si="19"/>
        <v>3241189.5740587451</v>
      </c>
    </row>
    <row r="127" spans="1:17" s="59" customFormat="1" x14ac:dyDescent="0.2">
      <c r="A127" s="506">
        <f t="shared" si="16"/>
        <v>46539</v>
      </c>
      <c r="B127" s="59">
        <f t="shared" ref="B127:B133" si="20">YEAR(A127)</f>
        <v>2027</v>
      </c>
      <c r="C127" s="59">
        <f t="shared" ref="C127:C133" si="21">MONTH(A127)</f>
        <v>6</v>
      </c>
      <c r="E127" s="511">
        <f t="shared" ref="E127:E133" ca="1" si="22">E115</f>
        <v>157.17000000000002</v>
      </c>
      <c r="F127" s="177"/>
      <c r="G127" s="188">
        <f>'GS Co Gen Normalized Monthly'!F127</f>
        <v>22</v>
      </c>
      <c r="H127" s="188">
        <f t="shared" si="18"/>
        <v>0</v>
      </c>
      <c r="J127" s="188">
        <f>'GS Co Gen Predicted Monthly'!$R$10</f>
        <v>-1091818.61931381</v>
      </c>
      <c r="K127" s="188">
        <f ca="1">E127*'GS Co Gen Predicted Monthly'!$R$11</f>
        <v>2672557.083216785</v>
      </c>
      <c r="L127" s="188">
        <f>G127*'GS Co Gen Predicted Monthly'!$R$12</f>
        <v>3657114.3606755342</v>
      </c>
      <c r="M127" s="188">
        <f>H127*'GS Co Gen Predicted Monthly'!$R$13</f>
        <v>0</v>
      </c>
      <c r="N127" s="188">
        <f t="shared" ca="1" si="19"/>
        <v>5237852.8245785087</v>
      </c>
    </row>
    <row r="128" spans="1:17" s="59" customFormat="1" x14ac:dyDescent="0.2">
      <c r="A128" s="506">
        <f t="shared" si="16"/>
        <v>46569</v>
      </c>
      <c r="B128" s="59">
        <f t="shared" si="20"/>
        <v>2027</v>
      </c>
      <c r="C128" s="59">
        <f t="shared" si="21"/>
        <v>7</v>
      </c>
      <c r="E128" s="511">
        <f t="shared" ca="1" si="22"/>
        <v>231.27145833333333</v>
      </c>
      <c r="F128" s="177"/>
      <c r="G128" s="188">
        <f>'GS Co Gen Normalized Monthly'!F128</f>
        <v>21</v>
      </c>
      <c r="H128" s="188">
        <f t="shared" si="18"/>
        <v>1</v>
      </c>
      <c r="J128" s="188">
        <f>'GS Co Gen Predicted Monthly'!$R$10</f>
        <v>-1091818.61931381</v>
      </c>
      <c r="K128" s="188">
        <f ca="1">E128*'GS Co Gen Predicted Monthly'!$R$11</f>
        <v>3932596.3868080769</v>
      </c>
      <c r="L128" s="188">
        <f>G128*'GS Co Gen Predicted Monthly'!$R$12</f>
        <v>3490881.8897357369</v>
      </c>
      <c r="M128" s="188">
        <f>H128*'GS Co Gen Predicted Monthly'!$R$13</f>
        <v>-689077.09586613998</v>
      </c>
      <c r="N128" s="188">
        <f t="shared" ca="1" si="19"/>
        <v>5642582.5613638638</v>
      </c>
    </row>
    <row r="129" spans="1:14" s="59" customFormat="1" x14ac:dyDescent="0.2">
      <c r="A129" s="506">
        <f t="shared" si="16"/>
        <v>46600</v>
      </c>
      <c r="B129" s="59">
        <f t="shared" si="20"/>
        <v>2027</v>
      </c>
      <c r="C129" s="59">
        <f t="shared" si="21"/>
        <v>8</v>
      </c>
      <c r="E129" s="511">
        <f t="shared" ca="1" si="22"/>
        <v>196.13625000000002</v>
      </c>
      <c r="F129" s="177"/>
      <c r="G129" s="188">
        <f>'GS Co Gen Normalized Monthly'!F129</f>
        <v>22</v>
      </c>
      <c r="H129" s="188">
        <f t="shared" si="18"/>
        <v>1</v>
      </c>
      <c r="J129" s="188">
        <f>'GS Co Gen Predicted Monthly'!$R$10</f>
        <v>-1091818.61931381</v>
      </c>
      <c r="K129" s="188">
        <f ca="1">E129*'GS Co Gen Predicted Monthly'!$R$11</f>
        <v>3335148.7193044354</v>
      </c>
      <c r="L129" s="188">
        <f>G129*'GS Co Gen Predicted Monthly'!$R$12</f>
        <v>3657114.3606755342</v>
      </c>
      <c r="M129" s="188">
        <f>H129*'GS Co Gen Predicted Monthly'!$R$13</f>
        <v>-689077.09586613998</v>
      </c>
      <c r="N129" s="188">
        <f t="shared" ca="1" si="19"/>
        <v>5211367.3648000192</v>
      </c>
    </row>
    <row r="130" spans="1:14" s="59" customFormat="1" x14ac:dyDescent="0.2">
      <c r="A130" s="506">
        <f t="shared" si="16"/>
        <v>46631</v>
      </c>
      <c r="B130" s="59">
        <f t="shared" si="20"/>
        <v>2027</v>
      </c>
      <c r="C130" s="59">
        <f t="shared" si="21"/>
        <v>9</v>
      </c>
      <c r="E130" s="511">
        <f t="shared" ca="1" si="22"/>
        <v>104.19854166666664</v>
      </c>
      <c r="F130" s="177"/>
      <c r="G130" s="188">
        <f>'GS Co Gen Normalized Monthly'!F130</f>
        <v>21</v>
      </c>
      <c r="H130" s="188">
        <f t="shared" si="18"/>
        <v>0</v>
      </c>
      <c r="J130" s="188">
        <f>'GS Co Gen Predicted Monthly'!$R$10</f>
        <v>-1091818.61931381</v>
      </c>
      <c r="K130" s="188">
        <f ca="1">E130*'GS Co Gen Predicted Monthly'!$R$11</f>
        <v>1771817.4625698873</v>
      </c>
      <c r="L130" s="188">
        <f>G130*'GS Co Gen Predicted Monthly'!$R$12</f>
        <v>3490881.8897357369</v>
      </c>
      <c r="M130" s="188">
        <f>H130*'GS Co Gen Predicted Monthly'!$R$13</f>
        <v>0</v>
      </c>
      <c r="N130" s="188">
        <f t="shared" ca="1" si="19"/>
        <v>4170880.7329918141</v>
      </c>
    </row>
    <row r="131" spans="1:14" s="59" customFormat="1" x14ac:dyDescent="0.2">
      <c r="A131" s="506">
        <f t="shared" si="16"/>
        <v>46661</v>
      </c>
      <c r="B131" s="59">
        <f t="shared" si="20"/>
        <v>2027</v>
      </c>
      <c r="C131" s="59">
        <f t="shared" si="21"/>
        <v>10</v>
      </c>
      <c r="E131" s="511">
        <f t="shared" ca="1" si="22"/>
        <v>24.703125000000007</v>
      </c>
      <c r="F131" s="177"/>
      <c r="G131" s="188">
        <f>'GS Co Gen Normalized Monthly'!F131</f>
        <v>20</v>
      </c>
      <c r="H131" s="188">
        <f t="shared" si="18"/>
        <v>0</v>
      </c>
      <c r="J131" s="188">
        <f>'GS Co Gen Predicted Monthly'!$R$10</f>
        <v>-1091818.61931381</v>
      </c>
      <c r="K131" s="188">
        <f ca="1">E131*'GS Co Gen Predicted Monthly'!$R$11</f>
        <v>420057.97350855538</v>
      </c>
      <c r="L131" s="188">
        <f>G131*'GS Co Gen Predicted Monthly'!$R$12</f>
        <v>3324649.41879594</v>
      </c>
      <c r="M131" s="188">
        <f>H131*'GS Co Gen Predicted Monthly'!$R$13</f>
        <v>0</v>
      </c>
      <c r="N131" s="188">
        <f t="shared" ca="1" si="19"/>
        <v>2652888.7729906854</v>
      </c>
    </row>
    <row r="132" spans="1:14" s="59" customFormat="1" x14ac:dyDescent="0.2">
      <c r="A132" s="506">
        <f t="shared" si="16"/>
        <v>46692</v>
      </c>
      <c r="B132" s="59">
        <f t="shared" si="20"/>
        <v>2027</v>
      </c>
      <c r="C132" s="59">
        <f t="shared" si="21"/>
        <v>11</v>
      </c>
      <c r="E132" s="511">
        <f t="shared" ca="1" si="22"/>
        <v>1.6454166666666665</v>
      </c>
      <c r="F132" s="177"/>
      <c r="G132" s="188">
        <f>'GS Co Gen Normalized Monthly'!F132</f>
        <v>22</v>
      </c>
      <c r="H132" s="188">
        <f t="shared" si="18"/>
        <v>0</v>
      </c>
      <c r="J132" s="188">
        <f>'GS Co Gen Predicted Monthly'!$R$10</f>
        <v>-1091818.61931381</v>
      </c>
      <c r="K132" s="188">
        <f ca="1">E132*'GS Co Gen Predicted Monthly'!$R$11</f>
        <v>27979.067044238407</v>
      </c>
      <c r="L132" s="188">
        <f>G132*'GS Co Gen Predicted Monthly'!$R$12</f>
        <v>3657114.3606755342</v>
      </c>
      <c r="M132" s="188">
        <f>H132*'GS Co Gen Predicted Monthly'!$R$13</f>
        <v>0</v>
      </c>
      <c r="N132" s="188">
        <f t="shared" ca="1" si="19"/>
        <v>2593274.8084059628</v>
      </c>
    </row>
    <row r="133" spans="1:14" s="59" customFormat="1" x14ac:dyDescent="0.2">
      <c r="A133" s="506">
        <f t="shared" si="16"/>
        <v>46722</v>
      </c>
      <c r="B133" s="59">
        <f t="shared" si="20"/>
        <v>2027</v>
      </c>
      <c r="C133" s="59">
        <f t="shared" si="21"/>
        <v>12</v>
      </c>
      <c r="E133" s="511">
        <f t="shared" ca="1" si="22"/>
        <v>0</v>
      </c>
      <c r="F133" s="177"/>
      <c r="G133" s="188">
        <f>'GS Co Gen Normalized Monthly'!F133</f>
        <v>20</v>
      </c>
      <c r="H133" s="188">
        <f t="shared" si="18"/>
        <v>0</v>
      </c>
      <c r="J133" s="188">
        <f>'GS Co Gen Predicted Monthly'!$R$10</f>
        <v>-1091818.61931381</v>
      </c>
      <c r="K133" s="188">
        <f ca="1">E133*'GS Co Gen Predicted Monthly'!$R$11</f>
        <v>0</v>
      </c>
      <c r="L133" s="188">
        <f>G133*'GS Co Gen Predicted Monthly'!$R$12</f>
        <v>3324649.41879594</v>
      </c>
      <c r="M133" s="188">
        <f>H133*'GS Co Gen Predicted Monthly'!$R$13</f>
        <v>0</v>
      </c>
      <c r="N133" s="188">
        <f t="shared" ca="1" si="19"/>
        <v>2232830.79948213</v>
      </c>
    </row>
    <row r="183" spans="10:18" x14ac:dyDescent="0.2">
      <c r="K183" s="11"/>
      <c r="L183" s="11"/>
      <c r="M183" s="11"/>
      <c r="N183" s="11"/>
      <c r="O183" s="11"/>
      <c r="P183" s="11"/>
      <c r="Q183" s="11"/>
      <c r="R183" s="11"/>
    </row>
    <row r="184" spans="10:18" x14ac:dyDescent="0.2">
      <c r="K184" s="11"/>
      <c r="L184" s="11"/>
      <c r="M184" s="11"/>
      <c r="N184" s="11"/>
      <c r="O184" s="11"/>
      <c r="P184" s="11"/>
      <c r="Q184" s="11"/>
      <c r="R184" s="11"/>
    </row>
    <row r="185" spans="10:18" x14ac:dyDescent="0.2">
      <c r="K185" s="11"/>
      <c r="L185" s="11"/>
      <c r="M185" s="11"/>
      <c r="N185" s="11"/>
      <c r="O185" s="11"/>
      <c r="P185" s="11"/>
      <c r="Q185" s="11"/>
      <c r="R185" s="11"/>
    </row>
    <row r="186" spans="10:18" x14ac:dyDescent="0.2">
      <c r="K186" s="11"/>
      <c r="L186" s="11"/>
      <c r="M186" s="11"/>
      <c r="N186" s="11"/>
      <c r="O186" s="11"/>
      <c r="P186" s="11"/>
      <c r="Q186" s="11"/>
      <c r="R186" s="11"/>
    </row>
    <row r="187" spans="10:18" x14ac:dyDescent="0.2">
      <c r="K187" s="11"/>
      <c r="L187" s="11"/>
      <c r="M187" s="11"/>
      <c r="N187" s="11"/>
      <c r="O187" s="11"/>
      <c r="P187" s="11"/>
      <c r="Q187" s="11"/>
      <c r="R187" s="11"/>
    </row>
    <row r="188" spans="10:18" x14ac:dyDescent="0.2">
      <c r="K188" s="11"/>
      <c r="L188" s="11"/>
      <c r="M188" s="11"/>
      <c r="N188" s="11"/>
      <c r="O188" s="11"/>
      <c r="P188" s="11"/>
      <c r="Q188" s="11"/>
      <c r="R188" s="11"/>
    </row>
    <row r="189" spans="10:18" x14ac:dyDescent="0.2">
      <c r="K189" s="11"/>
      <c r="L189" s="11"/>
      <c r="M189" s="11"/>
      <c r="N189" s="11"/>
      <c r="O189" s="11"/>
      <c r="P189" s="11"/>
      <c r="Q189" s="11"/>
      <c r="R189" s="11"/>
    </row>
    <row r="190" spans="10:18" x14ac:dyDescent="0.2">
      <c r="K190" s="11"/>
      <c r="L190" s="11"/>
      <c r="M190" s="11"/>
      <c r="N190" s="11"/>
      <c r="O190" s="11"/>
      <c r="P190" s="11"/>
      <c r="Q190" s="11"/>
      <c r="R190" s="11"/>
    </row>
    <row r="192" spans="10:18" x14ac:dyDescent="0.2">
      <c r="J192" s="19"/>
      <c r="K192" s="19"/>
      <c r="L192" s="19"/>
      <c r="M192" s="19"/>
      <c r="N192" s="19"/>
      <c r="O192" s="19"/>
      <c r="P192" s="19"/>
      <c r="Q192" s="19"/>
      <c r="R192" s="19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8879-DC6B-4461-AC5E-AE1A3A9FCCC2}">
  <sheetPr>
    <tabColor theme="6" tint="0.59999389629810485"/>
  </sheetPr>
  <dimension ref="A1:AC192"/>
  <sheetViews>
    <sheetView topLeftCell="A103" workbookViewId="0">
      <selection activeCell="R121" sqref="R121"/>
    </sheetView>
  </sheetViews>
  <sheetFormatPr defaultColWidth="9.33203125" defaultRowHeight="12.75" x14ac:dyDescent="0.2"/>
  <cols>
    <col min="1" max="1" width="10.33203125" bestFit="1" customWidth="1"/>
    <col min="2" max="3" width="9.5" bestFit="1" customWidth="1"/>
    <col min="4" max="5" width="17.5" customWidth="1"/>
    <col min="6" max="6" width="9.5" bestFit="1" customWidth="1"/>
    <col min="9" max="14" width="9.5" bestFit="1" customWidth="1"/>
    <col min="16" max="16" width="11" bestFit="1" customWidth="1"/>
    <col min="17" max="17" width="10.83203125" customWidth="1"/>
    <col min="18" max="24" width="9.83203125" customWidth="1"/>
    <col min="25" max="25" width="11.33203125" bestFit="1" customWidth="1"/>
    <col min="27" max="27" width="13.83203125" bestFit="1" customWidth="1"/>
    <col min="28" max="28" width="12.5" bestFit="1" customWidth="1"/>
  </cols>
  <sheetData>
    <row r="1" spans="1:26" x14ac:dyDescent="0.2">
      <c r="A1" s="179" t="str">
        <f>'Monthly Data'!A1</f>
        <v>Date</v>
      </c>
      <c r="B1" s="171" t="s">
        <v>0</v>
      </c>
      <c r="C1" s="171" t="s">
        <v>23</v>
      </c>
      <c r="D1" s="180" t="str">
        <f>'Monthly Data'!X1</f>
        <v>Large_Use_NoCDM</v>
      </c>
      <c r="E1" s="181" t="str">
        <f>'Monthly Data'!BJ1</f>
        <v>HDD14</v>
      </c>
      <c r="F1" s="181" t="str">
        <f>'Monthly Data'!BM1</f>
        <v>CDD12</v>
      </c>
      <c r="G1" s="181" t="str">
        <f>'Monthly Data'!BJ1</f>
        <v>HDD14</v>
      </c>
      <c r="H1" s="181" t="str">
        <f>'Monthly Data'!BM1</f>
        <v>CDD12</v>
      </c>
      <c r="I1" s="181" t="str">
        <f>'Monthly Data'!Z1</f>
        <v>Large_Use_Customers</v>
      </c>
      <c r="J1" s="181" t="str">
        <f>'Monthly Data'!CF1</f>
        <v>Fall</v>
      </c>
      <c r="K1" s="181" t="str">
        <f>'Monthly Data'!CV1</f>
        <v>COVID_AM</v>
      </c>
      <c r="L1" s="181" t="str">
        <f>'Monthly Data'!CS1</f>
        <v>Month Days</v>
      </c>
      <c r="M1" s="181" t="str">
        <f>'Monthly Data'!CM1</f>
        <v>Trend</v>
      </c>
      <c r="N1" s="181" t="str">
        <f>'Monthly Data'!CK1</f>
        <v>Summer</v>
      </c>
      <c r="P1" s="171" t="s">
        <v>65</v>
      </c>
      <c r="Q1" s="181" t="str">
        <f>E1</f>
        <v>HDD14</v>
      </c>
      <c r="R1" s="181" t="str">
        <f>F1</f>
        <v>CDD12</v>
      </c>
      <c r="S1" s="181" t="str">
        <f t="shared" ref="S1:X1" si="0">I1</f>
        <v>Large_Use_Customers</v>
      </c>
      <c r="T1" s="181" t="str">
        <f t="shared" si="0"/>
        <v>Fall</v>
      </c>
      <c r="U1" s="181" t="str">
        <f t="shared" si="0"/>
        <v>COVID_AM</v>
      </c>
      <c r="V1" s="181" t="str">
        <f t="shared" si="0"/>
        <v>Month Days</v>
      </c>
      <c r="W1" s="181" t="str">
        <f t="shared" si="0"/>
        <v>Trend</v>
      </c>
      <c r="X1" s="181" t="str">
        <f t="shared" si="0"/>
        <v>Summer</v>
      </c>
      <c r="Y1" s="171" t="s">
        <v>101</v>
      </c>
      <c r="Z1" s="171"/>
    </row>
    <row r="2" spans="1:26" x14ac:dyDescent="0.2">
      <c r="A2" s="8">
        <f>'Monthly Data'!A2</f>
        <v>42736</v>
      </c>
      <c r="B2">
        <f t="shared" ref="B2:B65" si="1">YEAR(A2)</f>
        <v>2017</v>
      </c>
      <c r="C2">
        <f t="shared" ref="C2:C65" si="2">MONTH(A2)</f>
        <v>1</v>
      </c>
      <c r="D2" s="18">
        <f>'Monthly Data'!X2</f>
        <v>8999446.6822758783</v>
      </c>
      <c r="E2" s="504">
        <f ca="1">Weather!BQ34</f>
        <v>566.30416666666667</v>
      </c>
      <c r="F2" s="290">
        <f ca="1">Weather!CF34</f>
        <v>0</v>
      </c>
      <c r="G2" s="21">
        <f>'Monthly Data'!BJ2</f>
        <v>507.0916666666667</v>
      </c>
      <c r="H2" s="21">
        <f>'Monthly Data'!BM2</f>
        <v>0</v>
      </c>
      <c r="I2" s="21">
        <f>'Monthly Data'!Z2</f>
        <v>1</v>
      </c>
      <c r="J2" s="21">
        <f>'Monthly Data'!CF2</f>
        <v>0</v>
      </c>
      <c r="K2" s="21">
        <f>'Monthly Data'!CV2</f>
        <v>0</v>
      </c>
      <c r="L2" s="21">
        <f>'Monthly Data'!CS2</f>
        <v>31</v>
      </c>
      <c r="M2" s="21">
        <f>'Monthly Data'!CM2</f>
        <v>1</v>
      </c>
      <c r="N2" s="21">
        <f>'Monthly Data'!CK2</f>
        <v>0</v>
      </c>
      <c r="P2" s="11"/>
      <c r="Q2" s="11">
        <f ca="1">(E2-G2)*'Large Use Predicted Monthly'!$AB$11</f>
        <v>36520.149572417984</v>
      </c>
      <c r="R2" s="11">
        <f ca="1">(F2-H2)*'Large Use Predicted Monthly'!$AB$12</f>
        <v>0</v>
      </c>
      <c r="S2" s="11"/>
      <c r="T2" s="11"/>
      <c r="U2" s="11"/>
      <c r="V2" s="11"/>
      <c r="W2" s="11"/>
      <c r="X2" s="11"/>
      <c r="Y2" s="11">
        <f t="shared" ref="Y2:Y33" ca="1" si="3">D2+R2</f>
        <v>8999446.6822758783</v>
      </c>
    </row>
    <row r="3" spans="1:26" x14ac:dyDescent="0.2">
      <c r="A3" s="8">
        <f>'Monthly Data'!A3</f>
        <v>42767</v>
      </c>
      <c r="B3">
        <f t="shared" si="1"/>
        <v>2017</v>
      </c>
      <c r="C3">
        <f t="shared" si="2"/>
        <v>2</v>
      </c>
      <c r="D3" s="18">
        <f>'Monthly Data'!X3</f>
        <v>8124930.9065793287</v>
      </c>
      <c r="E3" s="504">
        <f ca="1">Weather!BQ35</f>
        <v>483.54541666666665</v>
      </c>
      <c r="F3" s="290">
        <f ca="1">Weather!CF35</f>
        <v>0</v>
      </c>
      <c r="G3" s="21">
        <f>'Monthly Data'!BJ3</f>
        <v>393.97916666666669</v>
      </c>
      <c r="H3" s="21">
        <f>'Monthly Data'!BM3</f>
        <v>0</v>
      </c>
      <c r="I3" s="21">
        <f>'Monthly Data'!Z3</f>
        <v>1</v>
      </c>
      <c r="J3" s="21">
        <f>'Monthly Data'!CF3</f>
        <v>0</v>
      </c>
      <c r="K3" s="21">
        <f>'Monthly Data'!CV3</f>
        <v>0</v>
      </c>
      <c r="L3" s="21">
        <f>'Monthly Data'!CS3</f>
        <v>28</v>
      </c>
      <c r="M3" s="21">
        <f>'Monthly Data'!CM3</f>
        <v>2</v>
      </c>
      <c r="N3" s="21">
        <f>'Monthly Data'!CK3</f>
        <v>0</v>
      </c>
      <c r="P3" s="11"/>
      <c r="Q3" s="11">
        <f ca="1">(E3-G3)*'Large Use Predicted Monthly'!$AB$11</f>
        <v>55241.255590299043</v>
      </c>
      <c r="R3" s="11">
        <f ca="1">(F3-H3)*'Large Use Predicted Monthly'!$AB$12</f>
        <v>0</v>
      </c>
      <c r="S3" s="11"/>
      <c r="T3" s="11"/>
      <c r="U3" s="11"/>
      <c r="V3" s="11"/>
      <c r="W3" s="11"/>
      <c r="X3" s="11"/>
      <c r="Y3" s="11">
        <f t="shared" ca="1" si="3"/>
        <v>8124930.9065793287</v>
      </c>
    </row>
    <row r="4" spans="1:26" x14ac:dyDescent="0.2">
      <c r="A4" s="8">
        <f>'Monthly Data'!A4</f>
        <v>42795</v>
      </c>
      <c r="B4">
        <f t="shared" si="1"/>
        <v>2017</v>
      </c>
      <c r="C4">
        <f t="shared" si="2"/>
        <v>3</v>
      </c>
      <c r="D4" s="18">
        <f>'Monthly Data'!X4</f>
        <v>9234224.1308827791</v>
      </c>
      <c r="E4" s="504">
        <f ca="1">Weather!BQ36</f>
        <v>393.96333333333331</v>
      </c>
      <c r="F4" s="290">
        <f ca="1">Weather!CF36</f>
        <v>0.93041666666666656</v>
      </c>
      <c r="G4" s="21">
        <f>'Monthly Data'!BJ4</f>
        <v>439.39166666666665</v>
      </c>
      <c r="H4" s="21">
        <f>'Monthly Data'!BM4</f>
        <v>0</v>
      </c>
      <c r="I4" s="21">
        <f>'Monthly Data'!Z4</f>
        <v>1</v>
      </c>
      <c r="J4" s="21">
        <f>'Monthly Data'!CF4</f>
        <v>0</v>
      </c>
      <c r="K4" s="21">
        <f>'Monthly Data'!CV4</f>
        <v>0</v>
      </c>
      <c r="L4" s="21">
        <f>'Monthly Data'!CS4</f>
        <v>31</v>
      </c>
      <c r="M4" s="21">
        <f>'Monthly Data'!CM4</f>
        <v>3</v>
      </c>
      <c r="N4" s="21">
        <f>'Monthly Data'!CK4</f>
        <v>0</v>
      </c>
      <c r="P4" s="11"/>
      <c r="Q4" s="11">
        <f ca="1">(E4-G4)*'Large Use Predicted Monthly'!$AB$11</f>
        <v>-28018.569189934486</v>
      </c>
      <c r="R4" s="11">
        <f ca="1">(F4-H4)*'Large Use Predicted Monthly'!$AB$12</f>
        <v>12723.445625875136</v>
      </c>
      <c r="S4" s="11"/>
      <c r="T4" s="11"/>
      <c r="U4" s="11"/>
      <c r="V4" s="11"/>
      <c r="W4" s="11"/>
      <c r="X4" s="11"/>
      <c r="Y4" s="11">
        <f t="shared" ca="1" si="3"/>
        <v>9246947.5765086543</v>
      </c>
    </row>
    <row r="5" spans="1:26" x14ac:dyDescent="0.2">
      <c r="A5" s="8">
        <f>'Monthly Data'!A5</f>
        <v>42826</v>
      </c>
      <c r="B5">
        <f t="shared" si="1"/>
        <v>2017</v>
      </c>
      <c r="C5">
        <f t="shared" si="2"/>
        <v>4</v>
      </c>
      <c r="D5" s="18">
        <f>'Monthly Data'!X5</f>
        <v>8840028.3551862296</v>
      </c>
      <c r="E5" s="504">
        <f ca="1">Weather!BQ37</f>
        <v>226.60145833333337</v>
      </c>
      <c r="F5" s="290">
        <f ca="1">Weather!CF37</f>
        <v>13.944166666666669</v>
      </c>
      <c r="G5" s="21">
        <f>'Monthly Data'!BJ5</f>
        <v>150.22500000000002</v>
      </c>
      <c r="H5" s="21">
        <f>'Monthly Data'!BM5</f>
        <v>23.666666666666675</v>
      </c>
      <c r="I5" s="21">
        <f>'Monthly Data'!Z5</f>
        <v>1</v>
      </c>
      <c r="J5" s="21">
        <f>'Monthly Data'!CF5</f>
        <v>0</v>
      </c>
      <c r="K5" s="21">
        <f>'Monthly Data'!CV5</f>
        <v>0</v>
      </c>
      <c r="L5" s="21">
        <f>'Monthly Data'!CS5</f>
        <v>30</v>
      </c>
      <c r="M5" s="21">
        <f>'Monthly Data'!CM5</f>
        <v>4</v>
      </c>
      <c r="N5" s="21">
        <f>'Monthly Data'!CK5</f>
        <v>0</v>
      </c>
      <c r="P5" s="11"/>
      <c r="Q5" s="11">
        <f ca="1">(E5-G5)*'Large Use Predicted Monthly'!$AB$11</f>
        <v>47106.264422966175</v>
      </c>
      <c r="R5" s="11">
        <f ca="1">(F5-H5)*'Large Use Predicted Monthly'!$AB$12</f>
        <v>-132955.16356210061</v>
      </c>
      <c r="S5" s="11"/>
      <c r="T5" s="11"/>
      <c r="U5" s="11"/>
      <c r="V5" s="11"/>
      <c r="W5" s="11"/>
      <c r="X5" s="11"/>
      <c r="Y5" s="11">
        <f t="shared" ca="1" si="3"/>
        <v>8707073.1916241292</v>
      </c>
    </row>
    <row r="6" spans="1:26" x14ac:dyDescent="0.2">
      <c r="A6" s="8">
        <f>'Monthly Data'!A6</f>
        <v>42856</v>
      </c>
      <c r="B6">
        <f t="shared" si="1"/>
        <v>2017</v>
      </c>
      <c r="C6">
        <f t="shared" si="2"/>
        <v>5</v>
      </c>
      <c r="D6" s="18">
        <f>'Monthly Data'!X6</f>
        <v>9326722.57948968</v>
      </c>
      <c r="E6" s="504">
        <f ca="1">Weather!BQ38</f>
        <v>65.335833333333326</v>
      </c>
      <c r="F6" s="290">
        <f ca="1">Weather!CF38</f>
        <v>93.837916666666644</v>
      </c>
      <c r="G6" s="21">
        <f>'Monthly Data'!BJ6</f>
        <v>92.170833333333348</v>
      </c>
      <c r="H6" s="21">
        <f>'Monthly Data'!BM6</f>
        <v>61.962500000000006</v>
      </c>
      <c r="I6" s="21">
        <f>'Monthly Data'!Z6</f>
        <v>1</v>
      </c>
      <c r="J6" s="21">
        <f>'Monthly Data'!CF6</f>
        <v>0</v>
      </c>
      <c r="K6" s="21">
        <f>'Monthly Data'!CV6</f>
        <v>0</v>
      </c>
      <c r="L6" s="21">
        <f>'Monthly Data'!CS6</f>
        <v>31</v>
      </c>
      <c r="M6" s="21">
        <f>'Monthly Data'!CM6</f>
        <v>5</v>
      </c>
      <c r="N6" s="21">
        <f>'Monthly Data'!CK6</f>
        <v>1</v>
      </c>
      <c r="P6" s="11"/>
      <c r="Q6" s="11">
        <f ca="1">(E6-G6)*'Large Use Predicted Monthly'!$AB$11</f>
        <v>-16550.867025979947</v>
      </c>
      <c r="R6" s="11">
        <f ca="1">(F6-H6)*'Large Use Predicted Monthly'!$AB$12</f>
        <v>435896.24443576939</v>
      </c>
      <c r="S6" s="11"/>
      <c r="T6" s="11"/>
      <c r="U6" s="11"/>
      <c r="V6" s="11"/>
      <c r="W6" s="11"/>
      <c r="X6" s="11"/>
      <c r="Y6" s="11">
        <f t="shared" ca="1" si="3"/>
        <v>9762618.8239254486</v>
      </c>
    </row>
    <row r="7" spans="1:26" x14ac:dyDescent="0.2">
      <c r="A7" s="8">
        <f>'Monthly Data'!A7</f>
        <v>42887</v>
      </c>
      <c r="B7">
        <f t="shared" si="1"/>
        <v>2017</v>
      </c>
      <c r="C7">
        <f t="shared" si="2"/>
        <v>6</v>
      </c>
      <c r="D7" s="18">
        <f>'Monthly Data'!X7</f>
        <v>10997553.80379313</v>
      </c>
      <c r="E7" s="504">
        <f ca="1">Weather!BQ39</f>
        <v>3.0447916666666672</v>
      </c>
      <c r="F7" s="290">
        <f ca="1">Weather!CF39</f>
        <v>214.81645833333337</v>
      </c>
      <c r="G7" s="21">
        <f>'Monthly Data'!BJ7</f>
        <v>0.98333333333333428</v>
      </c>
      <c r="H7" s="21">
        <f>'Monthly Data'!BM7</f>
        <v>206.14999999999995</v>
      </c>
      <c r="I7" s="21">
        <f>'Monthly Data'!Z7</f>
        <v>1</v>
      </c>
      <c r="J7" s="21">
        <f>'Monthly Data'!CF7</f>
        <v>0</v>
      </c>
      <c r="K7" s="21">
        <f>'Monthly Data'!CV7</f>
        <v>0</v>
      </c>
      <c r="L7" s="21">
        <f>'Monthly Data'!CS7</f>
        <v>30</v>
      </c>
      <c r="M7" s="21">
        <f>'Monthly Data'!CM7</f>
        <v>6</v>
      </c>
      <c r="N7" s="21">
        <f>'Monthly Data'!CK7</f>
        <v>1</v>
      </c>
      <c r="P7" s="11"/>
      <c r="Q7" s="11">
        <f ca="1">(E7-G7)*'Large Use Predicted Monthly'!$AB$11</f>
        <v>1271.4336782037717</v>
      </c>
      <c r="R7" s="11">
        <f ca="1">(F7-H7)*'Large Use Predicted Monthly'!$AB$12</f>
        <v>118513.79637052964</v>
      </c>
      <c r="S7" s="11"/>
      <c r="T7" s="11"/>
      <c r="U7" s="11"/>
      <c r="V7" s="11"/>
      <c r="W7" s="11"/>
      <c r="X7" s="11"/>
      <c r="Y7" s="11">
        <f t="shared" ca="1" si="3"/>
        <v>11116067.600163661</v>
      </c>
    </row>
    <row r="8" spans="1:26" x14ac:dyDescent="0.2">
      <c r="A8" s="8">
        <f>'Monthly Data'!A8</f>
        <v>42917</v>
      </c>
      <c r="B8">
        <f t="shared" si="1"/>
        <v>2017</v>
      </c>
      <c r="C8">
        <f t="shared" si="2"/>
        <v>7</v>
      </c>
      <c r="D8" s="18">
        <f>'Monthly Data'!X8</f>
        <v>12310894.028096581</v>
      </c>
      <c r="E8" s="504">
        <f ca="1">Weather!BQ40</f>
        <v>0</v>
      </c>
      <c r="F8" s="290">
        <f ca="1">Weather!CF40</f>
        <v>293.27145833333327</v>
      </c>
      <c r="G8" s="21">
        <f>'Monthly Data'!BJ8</f>
        <v>0</v>
      </c>
      <c r="H8" s="21">
        <f>'Monthly Data'!BM8</f>
        <v>268.83541666666667</v>
      </c>
      <c r="I8" s="21">
        <f>'Monthly Data'!Z8</f>
        <v>1</v>
      </c>
      <c r="J8" s="21">
        <f>'Monthly Data'!CF8</f>
        <v>0</v>
      </c>
      <c r="K8" s="21">
        <f>'Monthly Data'!CV8</f>
        <v>0</v>
      </c>
      <c r="L8" s="21">
        <f>'Monthly Data'!CS8</f>
        <v>31</v>
      </c>
      <c r="M8" s="21">
        <f>'Monthly Data'!CM8</f>
        <v>7</v>
      </c>
      <c r="N8" s="21">
        <f>'Monthly Data'!CK8</f>
        <v>1</v>
      </c>
      <c r="P8" s="11"/>
      <c r="Q8" s="11">
        <f ca="1">(E8-G8)*'Large Use Predicted Monthly'!$AB$11</f>
        <v>0</v>
      </c>
      <c r="R8" s="11">
        <f ca="1">(F8-H8)*'Large Use Predicted Monthly'!$AB$12</f>
        <v>334162.80962735519</v>
      </c>
      <c r="S8" s="11"/>
      <c r="T8" s="11"/>
      <c r="U8" s="11"/>
      <c r="V8" s="11"/>
      <c r="W8" s="11"/>
      <c r="X8" s="11"/>
      <c r="Y8" s="11">
        <f t="shared" ca="1" si="3"/>
        <v>12645056.837723937</v>
      </c>
    </row>
    <row r="9" spans="1:26" x14ac:dyDescent="0.2">
      <c r="A9" s="8">
        <f>'Monthly Data'!A9</f>
        <v>42948</v>
      </c>
      <c r="B9">
        <f t="shared" si="1"/>
        <v>2017</v>
      </c>
      <c r="C9">
        <f t="shared" si="2"/>
        <v>8</v>
      </c>
      <c r="D9" s="18">
        <f>'Monthly Data'!X9</f>
        <v>11685596.252400031</v>
      </c>
      <c r="E9" s="504">
        <f ca="1">Weather!BQ41</f>
        <v>0.27875000000000066</v>
      </c>
      <c r="F9" s="290">
        <f ca="1">Weather!CF41</f>
        <v>257.85749999999996</v>
      </c>
      <c r="G9" s="21">
        <f>'Monthly Data'!BJ9</f>
        <v>0</v>
      </c>
      <c r="H9" s="21">
        <f>'Monthly Data'!BM9</f>
        <v>211.20833333333331</v>
      </c>
      <c r="I9" s="21">
        <f>'Monthly Data'!Z9</f>
        <v>1</v>
      </c>
      <c r="J9" s="21">
        <f>'Monthly Data'!CF9</f>
        <v>0</v>
      </c>
      <c r="K9" s="21">
        <f>'Monthly Data'!CV9</f>
        <v>0</v>
      </c>
      <c r="L9" s="21">
        <f>'Monthly Data'!CS9</f>
        <v>31</v>
      </c>
      <c r="M9" s="21">
        <f>'Monthly Data'!CM9</f>
        <v>8</v>
      </c>
      <c r="N9" s="21">
        <f>'Monthly Data'!CK9</f>
        <v>1</v>
      </c>
      <c r="P9" s="11"/>
      <c r="Q9" s="11">
        <f ca="1">(E9-G9)*'Large Use Predicted Monthly'!$AB$11</f>
        <v>171.92301783088942</v>
      </c>
      <c r="R9" s="11">
        <f ca="1">(F9-H9)*'Large Use Predicted Monthly'!$AB$12</f>
        <v>637927.23931111873</v>
      </c>
      <c r="S9" s="11"/>
      <c r="T9" s="11"/>
      <c r="U9" s="11"/>
      <c r="V9" s="11"/>
      <c r="W9" s="11"/>
      <c r="X9" s="11"/>
      <c r="Y9" s="11">
        <f t="shared" ca="1" si="3"/>
        <v>12323523.491711151</v>
      </c>
    </row>
    <row r="10" spans="1:26" x14ac:dyDescent="0.2">
      <c r="A10" s="8">
        <f>'Monthly Data'!A10</f>
        <v>42979</v>
      </c>
      <c r="B10">
        <f t="shared" si="1"/>
        <v>2017</v>
      </c>
      <c r="C10">
        <f t="shared" si="2"/>
        <v>9</v>
      </c>
      <c r="D10" s="18">
        <f>'Monthly Data'!X10</f>
        <v>11271867.476703482</v>
      </c>
      <c r="E10" s="504">
        <f ca="1">Weather!BQ42</f>
        <v>11.319999999999997</v>
      </c>
      <c r="F10" s="290">
        <f ca="1">Weather!CF42</f>
        <v>155.75020833333332</v>
      </c>
      <c r="G10" s="21">
        <f>'Monthly Data'!BJ10</f>
        <v>20.80416666666666</v>
      </c>
      <c r="H10" s="21">
        <f>'Monthly Data'!BM10</f>
        <v>156.5</v>
      </c>
      <c r="I10" s="21">
        <f>'Monthly Data'!Z10</f>
        <v>1</v>
      </c>
      <c r="J10" s="21">
        <f>'Monthly Data'!CF10</f>
        <v>1</v>
      </c>
      <c r="K10" s="21">
        <f>'Monthly Data'!CV10</f>
        <v>0</v>
      </c>
      <c r="L10" s="21">
        <f>'Monthly Data'!CS10</f>
        <v>30</v>
      </c>
      <c r="M10" s="21">
        <f>'Monthly Data'!CM10</f>
        <v>9</v>
      </c>
      <c r="N10" s="21">
        <f>'Monthly Data'!CK10</f>
        <v>0</v>
      </c>
      <c r="P10" s="11"/>
      <c r="Q10" s="11">
        <f ca="1">(E10-G10)*'Large Use Predicted Monthly'!$AB$11</f>
        <v>-5849.4943675137438</v>
      </c>
      <c r="R10" s="11">
        <f ca="1">(F10-H10)*'Large Use Predicted Monthly'!$AB$12</f>
        <v>-10253.399195594604</v>
      </c>
      <c r="S10" s="11"/>
      <c r="T10" s="11"/>
      <c r="U10" s="11"/>
      <c r="V10" s="11"/>
      <c r="W10" s="11"/>
      <c r="X10" s="11"/>
      <c r="Y10" s="11">
        <f t="shared" ca="1" si="3"/>
        <v>11261614.077507887</v>
      </c>
    </row>
    <row r="11" spans="1:26" x14ac:dyDescent="0.2">
      <c r="A11" s="8">
        <f>'Monthly Data'!A11</f>
        <v>43009</v>
      </c>
      <c r="B11">
        <f t="shared" si="1"/>
        <v>2017</v>
      </c>
      <c r="C11">
        <f t="shared" si="2"/>
        <v>10</v>
      </c>
      <c r="D11" s="18">
        <f>'Monthly Data'!X11</f>
        <v>9994517.7010069322</v>
      </c>
      <c r="E11" s="504">
        <f ca="1">Weather!BQ43</f>
        <v>126.12583333333332</v>
      </c>
      <c r="F11" s="290">
        <f ca="1">Weather!CF43</f>
        <v>45.238541666666677</v>
      </c>
      <c r="G11" s="21">
        <f>'Monthly Data'!BJ11</f>
        <v>90.324999999999989</v>
      </c>
      <c r="H11" s="21">
        <f>'Monthly Data'!BM11</f>
        <v>68.40833333333336</v>
      </c>
      <c r="I11" s="21">
        <f>'Monthly Data'!Z11</f>
        <v>1</v>
      </c>
      <c r="J11" s="21">
        <f>'Monthly Data'!CF11</f>
        <v>1</v>
      </c>
      <c r="K11" s="21">
        <f>'Monthly Data'!CV11</f>
        <v>0</v>
      </c>
      <c r="L11" s="21">
        <f>'Monthly Data'!CS11</f>
        <v>31</v>
      </c>
      <c r="M11" s="21">
        <f>'Monthly Data'!CM11</f>
        <v>10</v>
      </c>
      <c r="N11" s="21">
        <f>'Monthly Data'!CK11</f>
        <v>0</v>
      </c>
      <c r="P11" s="11"/>
      <c r="Q11" s="11">
        <f ca="1">(E11-G11)*'Large Use Predicted Monthly'!$AB$11</f>
        <v>22080.671955255075</v>
      </c>
      <c r="R11" s="11">
        <f ca="1">(F11-H11)*'Large Use Predicted Monthly'!$AB$12</f>
        <v>-316846.84399500774</v>
      </c>
      <c r="S11" s="11"/>
      <c r="T11" s="11"/>
      <c r="U11" s="11"/>
      <c r="V11" s="11"/>
      <c r="W11" s="11"/>
      <c r="X11" s="11"/>
      <c r="Y11" s="11">
        <f t="shared" ca="1" si="3"/>
        <v>9677670.8570119236</v>
      </c>
    </row>
    <row r="12" spans="1:26" x14ac:dyDescent="0.2">
      <c r="A12" s="8">
        <f>'Monthly Data'!A12</f>
        <v>43040</v>
      </c>
      <c r="B12">
        <f t="shared" si="1"/>
        <v>2017</v>
      </c>
      <c r="C12">
        <f t="shared" si="2"/>
        <v>11</v>
      </c>
      <c r="D12" s="18">
        <f>'Monthly Data'!X12</f>
        <v>8686801.9253103826</v>
      </c>
      <c r="E12" s="504">
        <f ca="1">Weather!BQ44</f>
        <v>312.40687500000001</v>
      </c>
      <c r="F12" s="290">
        <f ca="1">Weather!CF44</f>
        <v>3.6587500000000004</v>
      </c>
      <c r="G12" s="21">
        <f>'Monthly Data'!BJ12</f>
        <v>331.08124999999995</v>
      </c>
      <c r="H12" s="21">
        <f>'Monthly Data'!BM12</f>
        <v>0.11666666666666714</v>
      </c>
      <c r="I12" s="21">
        <f>'Monthly Data'!Z12</f>
        <v>1</v>
      </c>
      <c r="J12" s="21">
        <f>'Monthly Data'!CF12</f>
        <v>1</v>
      </c>
      <c r="K12" s="21">
        <f>'Monthly Data'!CV12</f>
        <v>0</v>
      </c>
      <c r="L12" s="21">
        <f>'Monthly Data'!CS12</f>
        <v>30</v>
      </c>
      <c r="M12" s="21">
        <f>'Monthly Data'!CM12</f>
        <v>11</v>
      </c>
      <c r="N12" s="21">
        <f>'Monthly Data'!CK12</f>
        <v>0</v>
      </c>
      <c r="P12" s="11"/>
      <c r="Q12" s="11">
        <f ca="1">(E12-G12)*'Large Use Predicted Monthly'!$AB$11</f>
        <v>-11517.685761814162</v>
      </c>
      <c r="R12" s="11">
        <f ca="1">(F12-H12)*'Large Use Predicted Monthly'!$AB$12</f>
        <v>48437.980862321783</v>
      </c>
      <c r="S12" s="11"/>
      <c r="T12" s="11"/>
      <c r="U12" s="11"/>
      <c r="V12" s="11"/>
      <c r="W12" s="11"/>
      <c r="X12" s="11"/>
      <c r="Y12" s="11">
        <f t="shared" ca="1" si="3"/>
        <v>8735239.906172704</v>
      </c>
    </row>
    <row r="13" spans="1:26" x14ac:dyDescent="0.2">
      <c r="A13" s="8">
        <f>'Monthly Data'!A13</f>
        <v>43070</v>
      </c>
      <c r="B13">
        <f t="shared" si="1"/>
        <v>2017</v>
      </c>
      <c r="C13">
        <f t="shared" si="2"/>
        <v>12</v>
      </c>
      <c r="D13" s="18">
        <f>'Monthly Data'!X13</f>
        <v>8551960.1496138331</v>
      </c>
      <c r="E13" s="504">
        <f ca="1">Weather!BQ45</f>
        <v>473.52499999999998</v>
      </c>
      <c r="F13" s="290">
        <f ca="1">Weather!CF45</f>
        <v>0</v>
      </c>
      <c r="G13" s="21">
        <f>'Monthly Data'!BJ13</f>
        <v>592.54583333333346</v>
      </c>
      <c r="H13" s="21">
        <f>'Monthly Data'!BM13</f>
        <v>0</v>
      </c>
      <c r="I13" s="21">
        <f>'Monthly Data'!Z13</f>
        <v>1</v>
      </c>
      <c r="J13" s="21">
        <f>'Monthly Data'!CF13</f>
        <v>0</v>
      </c>
      <c r="K13" s="21">
        <f>'Monthly Data'!CV13</f>
        <v>0</v>
      </c>
      <c r="L13" s="21">
        <f>'Monthly Data'!CS13</f>
        <v>31</v>
      </c>
      <c r="M13" s="21">
        <f>'Monthly Data'!CM13</f>
        <v>12</v>
      </c>
      <c r="N13" s="21">
        <f>'Monthly Data'!CK13</f>
        <v>0</v>
      </c>
      <c r="P13" s="11"/>
      <c r="Q13" s="11">
        <f ca="1">(E13-G13)*'Large Use Predicted Monthly'!$AB$11</f>
        <v>-73407.787807763088</v>
      </c>
      <c r="R13" s="11">
        <f ca="1">(F13-H13)*'Large Use Predicted Monthly'!$AB$12</f>
        <v>0</v>
      </c>
      <c r="S13" s="11"/>
      <c r="T13" s="11"/>
      <c r="U13" s="11"/>
      <c r="V13" s="11"/>
      <c r="W13" s="11"/>
      <c r="X13" s="11"/>
      <c r="Y13" s="11">
        <f t="shared" ca="1" si="3"/>
        <v>8551960.1496138331</v>
      </c>
    </row>
    <row r="14" spans="1:26" x14ac:dyDescent="0.2">
      <c r="A14" s="8">
        <f>'Monthly Data'!A14</f>
        <v>43101</v>
      </c>
      <c r="B14">
        <f t="shared" si="1"/>
        <v>2018</v>
      </c>
      <c r="C14">
        <f t="shared" si="2"/>
        <v>1</v>
      </c>
      <c r="D14" s="18">
        <f>'Monthly Data'!X14</f>
        <v>9103066.0429361481</v>
      </c>
      <c r="E14" s="290">
        <f ca="1">E2</f>
        <v>566.30416666666667</v>
      </c>
      <c r="F14" s="290">
        <f ca="1">F2</f>
        <v>0</v>
      </c>
      <c r="G14" s="21">
        <f>'Monthly Data'!BJ14</f>
        <v>626.29583333333323</v>
      </c>
      <c r="H14" s="21">
        <f>'Monthly Data'!BM14</f>
        <v>0</v>
      </c>
      <c r="I14" s="21">
        <f>'Monthly Data'!Z14</f>
        <v>1</v>
      </c>
      <c r="J14" s="21">
        <f>'Monthly Data'!CF14</f>
        <v>0</v>
      </c>
      <c r="K14" s="21">
        <f>'Monthly Data'!CV14</f>
        <v>0</v>
      </c>
      <c r="L14" s="21">
        <f>'Monthly Data'!CS14</f>
        <v>31</v>
      </c>
      <c r="M14" s="21">
        <f>'Monthly Data'!CM14</f>
        <v>13</v>
      </c>
      <c r="N14" s="21">
        <f>'Monthly Data'!CK14</f>
        <v>0</v>
      </c>
      <c r="P14" s="11"/>
      <c r="Q14" s="11">
        <f ca="1">(E14-G14)*'Large Use Predicted Monthly'!$AB$11</f>
        <v>-37000.711670091718</v>
      </c>
      <c r="R14" s="11">
        <f ca="1">(F14-H14)*'Large Use Predicted Monthly'!$AB$12</f>
        <v>0</v>
      </c>
      <c r="S14" s="11"/>
      <c r="T14" s="11"/>
      <c r="U14" s="11"/>
      <c r="V14" s="11"/>
      <c r="W14" s="11"/>
      <c r="X14" s="11"/>
      <c r="Y14" s="11">
        <f t="shared" ca="1" si="3"/>
        <v>9103066.0429361481</v>
      </c>
    </row>
    <row r="15" spans="1:26" x14ac:dyDescent="0.2">
      <c r="A15" s="8">
        <f>'Monthly Data'!A15</f>
        <v>43132</v>
      </c>
      <c r="B15">
        <f t="shared" si="1"/>
        <v>2018</v>
      </c>
      <c r="C15">
        <f t="shared" si="2"/>
        <v>2</v>
      </c>
      <c r="D15" s="18">
        <f>'Monthly Data'!X15</f>
        <v>8069983.3265349884</v>
      </c>
      <c r="E15" s="290">
        <f t="shared" ref="E15:F78" ca="1" si="4">E3</f>
        <v>483.54541666666665</v>
      </c>
      <c r="F15" s="290">
        <f t="shared" ca="1" si="4"/>
        <v>0</v>
      </c>
      <c r="G15" s="21">
        <f>'Monthly Data'!BJ15</f>
        <v>462.37083333333339</v>
      </c>
      <c r="H15" s="21">
        <f>'Monthly Data'!BM15</f>
        <v>0</v>
      </c>
      <c r="I15" s="21">
        <f>'Monthly Data'!Z15</f>
        <v>1</v>
      </c>
      <c r="J15" s="21">
        <f>'Monthly Data'!CF15</f>
        <v>0</v>
      </c>
      <c r="K15" s="21">
        <f>'Monthly Data'!CV15</f>
        <v>0</v>
      </c>
      <c r="L15" s="21">
        <f>'Monthly Data'!CS15</f>
        <v>28</v>
      </c>
      <c r="M15" s="21">
        <f>'Monthly Data'!CM15</f>
        <v>14</v>
      </c>
      <c r="N15" s="21">
        <f>'Monthly Data'!CK15</f>
        <v>0</v>
      </c>
      <c r="P15" s="11"/>
      <c r="Q15" s="11">
        <f ca="1">(E15-G15)*'Large Use Predicted Monthly'!$AB$11</f>
        <v>13059.724728173271</v>
      </c>
      <c r="R15" s="11">
        <f ca="1">(F15-H15)*'Large Use Predicted Monthly'!$AB$12</f>
        <v>0</v>
      </c>
      <c r="S15" s="11"/>
      <c r="T15" s="11"/>
      <c r="U15" s="11"/>
      <c r="V15" s="11"/>
      <c r="W15" s="11"/>
      <c r="X15" s="11"/>
      <c r="Y15" s="11">
        <f t="shared" ca="1" si="3"/>
        <v>8069983.3265349884</v>
      </c>
    </row>
    <row r="16" spans="1:26" x14ac:dyDescent="0.2">
      <c r="A16" s="8">
        <f>'Monthly Data'!A16</f>
        <v>43160</v>
      </c>
      <c r="B16">
        <f t="shared" si="1"/>
        <v>2018</v>
      </c>
      <c r="C16">
        <f t="shared" si="2"/>
        <v>3</v>
      </c>
      <c r="D16" s="18">
        <f>'Monthly Data'!X16</f>
        <v>9022606.6101338267</v>
      </c>
      <c r="E16" s="290">
        <f t="shared" ca="1" si="4"/>
        <v>393.96333333333331</v>
      </c>
      <c r="F16" s="290">
        <f t="shared" ca="1" si="4"/>
        <v>0.93041666666666656</v>
      </c>
      <c r="G16" s="21">
        <f>'Monthly Data'!BJ16</f>
        <v>471.81666666666666</v>
      </c>
      <c r="H16" s="21">
        <f>'Monthly Data'!BM16</f>
        <v>0</v>
      </c>
      <c r="I16" s="21">
        <f>'Monthly Data'!Z16</f>
        <v>1</v>
      </c>
      <c r="J16" s="21">
        <f>'Monthly Data'!CF16</f>
        <v>0</v>
      </c>
      <c r="K16" s="21">
        <f>'Monthly Data'!CV16</f>
        <v>0</v>
      </c>
      <c r="L16" s="21">
        <f>'Monthly Data'!CS16</f>
        <v>31</v>
      </c>
      <c r="M16" s="21">
        <f>'Monthly Data'!CM16</f>
        <v>15</v>
      </c>
      <c r="N16" s="21">
        <f>'Monthly Data'!CK16</f>
        <v>0</v>
      </c>
      <c r="P16" s="11"/>
      <c r="Q16" s="11">
        <f ca="1">(E16-G16)*'Large Use Predicted Monthly'!$AB$11</f>
        <v>-48017.148035375125</v>
      </c>
      <c r="R16" s="11">
        <f ca="1">(F16-H16)*'Large Use Predicted Monthly'!$AB$12</f>
        <v>12723.445625875136</v>
      </c>
      <c r="S16" s="11"/>
      <c r="T16" s="11"/>
      <c r="U16" s="11"/>
      <c r="V16" s="11"/>
      <c r="W16" s="11"/>
      <c r="X16" s="11"/>
      <c r="Y16" s="11">
        <f t="shared" ca="1" si="3"/>
        <v>9035330.0557597019</v>
      </c>
    </row>
    <row r="17" spans="1:27" x14ac:dyDescent="0.2">
      <c r="A17" s="8">
        <f>'Monthly Data'!A17</f>
        <v>43191</v>
      </c>
      <c r="B17">
        <f t="shared" si="1"/>
        <v>2018</v>
      </c>
      <c r="C17">
        <f t="shared" si="2"/>
        <v>4</v>
      </c>
      <c r="D17" s="18">
        <f>'Monthly Data'!X17</f>
        <v>8607346.893732667</v>
      </c>
      <c r="E17" s="290">
        <f t="shared" ca="1" si="4"/>
        <v>226.60145833333337</v>
      </c>
      <c r="F17" s="290">
        <f t="shared" ca="1" si="4"/>
        <v>13.944166666666669</v>
      </c>
      <c r="G17" s="21">
        <f>'Monthly Data'!BJ17</f>
        <v>340.9</v>
      </c>
      <c r="H17" s="21">
        <f>'Monthly Data'!BM17</f>
        <v>0.10416666666666607</v>
      </c>
      <c r="I17" s="21">
        <f>'Monthly Data'!Z17</f>
        <v>1</v>
      </c>
      <c r="J17" s="21">
        <f>'Monthly Data'!CF17</f>
        <v>0</v>
      </c>
      <c r="K17" s="21">
        <f>'Monthly Data'!CV17</f>
        <v>0</v>
      </c>
      <c r="L17" s="21">
        <f>'Monthly Data'!CS17</f>
        <v>30</v>
      </c>
      <c r="M17" s="21">
        <f>'Monthly Data'!CM17</f>
        <v>16</v>
      </c>
      <c r="N17" s="21">
        <f>'Monthly Data'!CK17</f>
        <v>0</v>
      </c>
      <c r="P17" s="11"/>
      <c r="Q17" s="11">
        <f ca="1">(E17-G17)*'Large Use Predicted Monthly'!$AB$11</f>
        <v>-70495.247415257167</v>
      </c>
      <c r="R17" s="11">
        <f ca="1">(F17-H17)*'Large Use Predicted Monthly'!$AB$12</f>
        <v>189261.96592434784</v>
      </c>
      <c r="S17" s="11"/>
      <c r="T17" s="11"/>
      <c r="U17" s="11"/>
      <c r="V17" s="11"/>
      <c r="W17" s="11"/>
      <c r="X17" s="11"/>
      <c r="Y17" s="11">
        <f t="shared" ca="1" si="3"/>
        <v>8796608.8596570157</v>
      </c>
    </row>
    <row r="18" spans="1:27" x14ac:dyDescent="0.2">
      <c r="A18" s="8">
        <f>'Monthly Data'!A18</f>
        <v>43221</v>
      </c>
      <c r="B18">
        <f t="shared" si="1"/>
        <v>2018</v>
      </c>
      <c r="C18">
        <f t="shared" si="2"/>
        <v>5</v>
      </c>
      <c r="D18" s="18">
        <f>'Monthly Data'!X18</f>
        <v>10249196.177331505</v>
      </c>
      <c r="E18" s="290">
        <f t="shared" ca="1" si="4"/>
        <v>65.335833333333326</v>
      </c>
      <c r="F18" s="290">
        <f t="shared" ca="1" si="4"/>
        <v>93.837916666666644</v>
      </c>
      <c r="G18" s="21">
        <f>'Monthly Data'!BJ18</f>
        <v>15.375000000000002</v>
      </c>
      <c r="H18" s="21">
        <f>'Monthly Data'!BM18</f>
        <v>162.29999999999998</v>
      </c>
      <c r="I18" s="21">
        <f>'Monthly Data'!Z18</f>
        <v>1</v>
      </c>
      <c r="J18" s="21">
        <f>'Monthly Data'!CF18</f>
        <v>0</v>
      </c>
      <c r="K18" s="21">
        <f>'Monthly Data'!CV18</f>
        <v>0</v>
      </c>
      <c r="L18" s="21">
        <f>'Monthly Data'!CS18</f>
        <v>31</v>
      </c>
      <c r="M18" s="21">
        <f>'Monthly Data'!CM18</f>
        <v>17</v>
      </c>
      <c r="N18" s="21">
        <f>'Monthly Data'!CK18</f>
        <v>1</v>
      </c>
      <c r="P18" s="11"/>
      <c r="Q18" s="11">
        <f ca="1">(E18-G18)*'Large Use Predicted Monthly'!$AB$11</f>
        <v>30814.052878969469</v>
      </c>
      <c r="R18" s="11">
        <f ca="1">(F18-H18)*'Large Use Predicted Monthly'!$AB$12</f>
        <v>-936218.82102190692</v>
      </c>
      <c r="S18" s="11"/>
      <c r="T18" s="11"/>
      <c r="U18" s="11"/>
      <c r="V18" s="11"/>
      <c r="W18" s="11"/>
      <c r="X18" s="11"/>
      <c r="Y18" s="11">
        <f t="shared" ca="1" si="3"/>
        <v>9312977.3563095983</v>
      </c>
    </row>
    <row r="19" spans="1:27" x14ac:dyDescent="0.2">
      <c r="A19" s="8">
        <f>'Monthly Data'!A19</f>
        <v>43252</v>
      </c>
      <c r="B19">
        <f t="shared" si="1"/>
        <v>2018</v>
      </c>
      <c r="C19">
        <f t="shared" si="2"/>
        <v>6</v>
      </c>
      <c r="D19" s="18">
        <f>'Monthly Data'!X19</f>
        <v>10702581.460930346</v>
      </c>
      <c r="E19" s="290">
        <f t="shared" ca="1" si="4"/>
        <v>3.0447916666666672</v>
      </c>
      <c r="F19" s="290">
        <f t="shared" ca="1" si="4"/>
        <v>214.81645833333337</v>
      </c>
      <c r="G19" s="21">
        <f>'Monthly Data'!BJ19</f>
        <v>4.6208333333333336</v>
      </c>
      <c r="H19" s="21">
        <f>'Monthly Data'!BM19</f>
        <v>211.26666666666671</v>
      </c>
      <c r="I19" s="21">
        <f>'Monthly Data'!Z19</f>
        <v>1</v>
      </c>
      <c r="J19" s="21">
        <f>'Monthly Data'!CF19</f>
        <v>0</v>
      </c>
      <c r="K19" s="21">
        <f>'Monthly Data'!CV19</f>
        <v>0</v>
      </c>
      <c r="L19" s="21">
        <f>'Monthly Data'!CS19</f>
        <v>30</v>
      </c>
      <c r="M19" s="21">
        <f>'Monthly Data'!CM19</f>
        <v>18</v>
      </c>
      <c r="N19" s="21">
        <f>'Monthly Data'!CK19</f>
        <v>1</v>
      </c>
      <c r="P19" s="11"/>
      <c r="Q19" s="11">
        <f ca="1">(E19-G19)*'Large Use Predicted Monthly'!$AB$11</f>
        <v>-972.0460612037931</v>
      </c>
      <c r="R19" s="11">
        <f ca="1">(F19-H19)*'Large Use Predicted Monthly'!$AB$12</f>
        <v>48543.392301676293</v>
      </c>
      <c r="S19" s="11"/>
      <c r="T19" s="11"/>
      <c r="U19" s="11"/>
      <c r="V19" s="11"/>
      <c r="W19" s="11"/>
      <c r="X19" s="11"/>
      <c r="Y19" s="11">
        <f t="shared" ca="1" si="3"/>
        <v>10751124.853232022</v>
      </c>
      <c r="AA19" s="60"/>
    </row>
    <row r="20" spans="1:27" x14ac:dyDescent="0.2">
      <c r="A20" s="8">
        <f>'Monthly Data'!A20</f>
        <v>43282</v>
      </c>
      <c r="B20">
        <f t="shared" si="1"/>
        <v>2018</v>
      </c>
      <c r="C20">
        <f t="shared" si="2"/>
        <v>7</v>
      </c>
      <c r="D20" s="18">
        <f>'Monthly Data'!X20</f>
        <v>12327687.744529184</v>
      </c>
      <c r="E20" s="290">
        <f t="shared" ca="1" si="4"/>
        <v>0</v>
      </c>
      <c r="F20" s="290">
        <f t="shared" ca="1" si="4"/>
        <v>293.27145833333327</v>
      </c>
      <c r="G20" s="21">
        <f>'Monthly Data'!BJ20</f>
        <v>0</v>
      </c>
      <c r="H20" s="21">
        <f>'Monthly Data'!BM20</f>
        <v>286.8145833333333</v>
      </c>
      <c r="I20" s="21">
        <f>'Monthly Data'!Z20</f>
        <v>1</v>
      </c>
      <c r="J20" s="21">
        <f>'Monthly Data'!CF20</f>
        <v>0</v>
      </c>
      <c r="K20" s="21">
        <f>'Monthly Data'!CV20</f>
        <v>0</v>
      </c>
      <c r="L20" s="21">
        <f>'Monthly Data'!CS20</f>
        <v>31</v>
      </c>
      <c r="M20" s="21">
        <f>'Monthly Data'!CM20</f>
        <v>19</v>
      </c>
      <c r="N20" s="21">
        <f>'Monthly Data'!CK20</f>
        <v>1</v>
      </c>
      <c r="P20" s="11"/>
      <c r="Q20" s="11">
        <f ca="1">(E20-G20)*'Large Use Predicted Monthly'!$AB$11</f>
        <v>0</v>
      </c>
      <c r="R20" s="11">
        <f ca="1">(F20-H20)*'Large Use Predicted Monthly'!$AB$12</f>
        <v>88297.749727439819</v>
      </c>
      <c r="S20" s="11"/>
      <c r="T20" s="11"/>
      <c r="U20" s="11"/>
      <c r="V20" s="11"/>
      <c r="W20" s="11"/>
      <c r="X20" s="11"/>
      <c r="Y20" s="11">
        <f t="shared" ca="1" si="3"/>
        <v>12415985.494256623</v>
      </c>
    </row>
    <row r="21" spans="1:27" x14ac:dyDescent="0.2">
      <c r="A21" s="8">
        <f>'Monthly Data'!A21</f>
        <v>43313</v>
      </c>
      <c r="B21">
        <f t="shared" si="1"/>
        <v>2018</v>
      </c>
      <c r="C21">
        <f t="shared" si="2"/>
        <v>8</v>
      </c>
      <c r="D21" s="18">
        <f>'Monthly Data'!X21</f>
        <v>12834453.028128022</v>
      </c>
      <c r="E21" s="290">
        <f t="shared" ca="1" si="4"/>
        <v>0.27875000000000066</v>
      </c>
      <c r="F21" s="290">
        <f t="shared" ca="1" si="4"/>
        <v>257.85749999999996</v>
      </c>
      <c r="G21" s="21">
        <f>'Monthly Data'!BJ21</f>
        <v>0</v>
      </c>
      <c r="H21" s="21">
        <f>'Monthly Data'!BM21</f>
        <v>292.90833333333325</v>
      </c>
      <c r="I21" s="21">
        <f>'Monthly Data'!Z21</f>
        <v>1</v>
      </c>
      <c r="J21" s="21">
        <f>'Monthly Data'!CF21</f>
        <v>0</v>
      </c>
      <c r="K21" s="21">
        <f>'Monthly Data'!CV21</f>
        <v>0</v>
      </c>
      <c r="L21" s="21">
        <f>'Monthly Data'!CS21</f>
        <v>31</v>
      </c>
      <c r="M21" s="21">
        <f>'Monthly Data'!CM21</f>
        <v>20</v>
      </c>
      <c r="N21" s="21">
        <f>'Monthly Data'!CK21</f>
        <v>1</v>
      </c>
      <c r="P21" s="11"/>
      <c r="Q21" s="11">
        <f ca="1">(E21-G21)*'Large Use Predicted Monthly'!$AB$11</f>
        <v>171.92301783088942</v>
      </c>
      <c r="R21" s="11">
        <f ca="1">(F21-H21)*'Large Use Predicted Monthly'!$AB$12</f>
        <v>-479320.05953419924</v>
      </c>
      <c r="S21" s="11"/>
      <c r="T21" s="11"/>
      <c r="U21" s="11"/>
      <c r="V21" s="11"/>
      <c r="W21" s="11"/>
      <c r="X21" s="11"/>
      <c r="Y21" s="11">
        <f t="shared" ca="1" si="3"/>
        <v>12355132.968593823</v>
      </c>
    </row>
    <row r="22" spans="1:27" x14ac:dyDescent="0.2">
      <c r="A22" s="8">
        <f>'Monthly Data'!A22</f>
        <v>43344</v>
      </c>
      <c r="B22">
        <f t="shared" si="1"/>
        <v>2018</v>
      </c>
      <c r="C22">
        <f t="shared" si="2"/>
        <v>9</v>
      </c>
      <c r="D22" s="18">
        <f>'Monthly Data'!X22</f>
        <v>11555740.311726863</v>
      </c>
      <c r="E22" s="290">
        <f t="shared" ca="1" si="4"/>
        <v>11.319999999999997</v>
      </c>
      <c r="F22" s="290">
        <f t="shared" ca="1" si="4"/>
        <v>155.75020833333332</v>
      </c>
      <c r="G22" s="21">
        <f>'Monthly Data'!BJ22</f>
        <v>20.0625</v>
      </c>
      <c r="H22" s="21">
        <f>'Monthly Data'!BM22</f>
        <v>175.49583333333331</v>
      </c>
      <c r="I22" s="21">
        <f>'Monthly Data'!Z22</f>
        <v>1</v>
      </c>
      <c r="J22" s="21">
        <f>'Monthly Data'!CF22</f>
        <v>1</v>
      </c>
      <c r="K22" s="21">
        <f>'Monthly Data'!CV22</f>
        <v>0</v>
      </c>
      <c r="L22" s="21">
        <f>'Monthly Data'!CS22</f>
        <v>30</v>
      </c>
      <c r="M22" s="21">
        <f>'Monthly Data'!CM22</f>
        <v>21</v>
      </c>
      <c r="N22" s="21">
        <f>'Monthly Data'!CK22</f>
        <v>0</v>
      </c>
      <c r="P22" s="11"/>
      <c r="Q22" s="11">
        <f ca="1">(E22-G22)*'Large Use Predicted Monthly'!$AB$11</f>
        <v>-5392.060926947257</v>
      </c>
      <c r="R22" s="11">
        <f ca="1">(F22-H22)*'Large Use Predicted Monthly'!$AB$12</f>
        <v>-270021.37325902801</v>
      </c>
      <c r="S22" s="11"/>
      <c r="T22" s="11"/>
      <c r="U22" s="11"/>
      <c r="V22" s="11"/>
      <c r="W22" s="11"/>
      <c r="X22" s="11"/>
      <c r="Y22" s="11">
        <f t="shared" ca="1" si="3"/>
        <v>11285718.938467834</v>
      </c>
    </row>
    <row r="23" spans="1:27" x14ac:dyDescent="0.2">
      <c r="A23" s="8">
        <f>'Monthly Data'!A23</f>
        <v>43374</v>
      </c>
      <c r="B23">
        <f t="shared" si="1"/>
        <v>2018</v>
      </c>
      <c r="C23">
        <f t="shared" si="2"/>
        <v>10</v>
      </c>
      <c r="D23" s="18">
        <f>'Monthly Data'!X23</f>
        <v>9663556.5953257009</v>
      </c>
      <c r="E23" s="290">
        <f t="shared" ca="1" si="4"/>
        <v>126.12583333333332</v>
      </c>
      <c r="F23" s="290">
        <f t="shared" ca="1" si="4"/>
        <v>45.238541666666677</v>
      </c>
      <c r="G23" s="21">
        <f>'Monthly Data'!BJ23</f>
        <v>181.64999999999998</v>
      </c>
      <c r="H23" s="21">
        <f>'Monthly Data'!BM23</f>
        <v>40.30416666666666</v>
      </c>
      <c r="I23" s="21">
        <f>'Monthly Data'!Z23</f>
        <v>1</v>
      </c>
      <c r="J23" s="21">
        <f>'Monthly Data'!CF23</f>
        <v>1</v>
      </c>
      <c r="K23" s="21">
        <f>'Monthly Data'!CV23</f>
        <v>0</v>
      </c>
      <c r="L23" s="21">
        <f>'Monthly Data'!CS23</f>
        <v>31</v>
      </c>
      <c r="M23" s="21">
        <f>'Monthly Data'!CM23</f>
        <v>22</v>
      </c>
      <c r="N23" s="21">
        <f>'Monthly Data'!CK23</f>
        <v>0</v>
      </c>
      <c r="P23" s="11"/>
      <c r="Q23" s="11">
        <f ca="1">(E23-G23)*'Large Use Predicted Monthly'!$AB$11</f>
        <v>-34245.317653376092</v>
      </c>
      <c r="R23" s="11">
        <f ca="1">(F23-H23)*'Large Use Predicted Monthly'!$AB$12</f>
        <v>67477.565976008438</v>
      </c>
      <c r="S23" s="11"/>
      <c r="T23" s="11"/>
      <c r="U23" s="11"/>
      <c r="V23" s="11"/>
      <c r="W23" s="11"/>
      <c r="X23" s="11"/>
      <c r="Y23" s="11">
        <f t="shared" ca="1" si="3"/>
        <v>9731034.1613017097</v>
      </c>
    </row>
    <row r="24" spans="1:27" x14ac:dyDescent="0.2">
      <c r="A24" s="8">
        <f>'Monthly Data'!A24</f>
        <v>43405</v>
      </c>
      <c r="B24">
        <f t="shared" si="1"/>
        <v>2018</v>
      </c>
      <c r="C24">
        <f t="shared" si="2"/>
        <v>11</v>
      </c>
      <c r="D24" s="18">
        <f>'Monthly Data'!X24</f>
        <v>8876990.8789245412</v>
      </c>
      <c r="E24" s="290">
        <f t="shared" ca="1" si="4"/>
        <v>312.40687500000001</v>
      </c>
      <c r="F24" s="290">
        <f t="shared" ca="1" si="4"/>
        <v>3.6587500000000004</v>
      </c>
      <c r="G24" s="21">
        <f>'Monthly Data'!BJ24</f>
        <v>398.42499999999995</v>
      </c>
      <c r="H24" s="21">
        <f>'Monthly Data'!BM24</f>
        <v>0</v>
      </c>
      <c r="I24" s="21">
        <f>'Monthly Data'!Z24</f>
        <v>1</v>
      </c>
      <c r="J24" s="21">
        <f>'Monthly Data'!CF24</f>
        <v>1</v>
      </c>
      <c r="K24" s="21">
        <f>'Monthly Data'!CV24</f>
        <v>0</v>
      </c>
      <c r="L24" s="21">
        <f>'Monthly Data'!CS24</f>
        <v>30</v>
      </c>
      <c r="M24" s="21">
        <f>'Monthly Data'!CM24</f>
        <v>23</v>
      </c>
      <c r="N24" s="21">
        <f>'Monthly Data'!CK24</f>
        <v>0</v>
      </c>
      <c r="P24" s="11"/>
      <c r="Q24" s="11">
        <f ca="1">(E24-G24)*'Large Use Predicted Monthly'!$AB$11</f>
        <v>-53052.899150330515</v>
      </c>
      <c r="R24" s="11">
        <f ca="1">(F24-H24)*'Large Use Predicted Monthly'!$AB$12</f>
        <v>50033.39724174187</v>
      </c>
      <c r="S24" s="11"/>
      <c r="T24" s="11"/>
      <c r="U24" s="11"/>
      <c r="V24" s="11"/>
      <c r="W24" s="11"/>
      <c r="X24" s="11"/>
      <c r="Y24" s="11">
        <f t="shared" ca="1" si="3"/>
        <v>8927024.2761662826</v>
      </c>
    </row>
    <row r="25" spans="1:27" x14ac:dyDescent="0.2">
      <c r="A25" s="8">
        <f>'Monthly Data'!A25</f>
        <v>43435</v>
      </c>
      <c r="B25">
        <f t="shared" si="1"/>
        <v>2018</v>
      </c>
      <c r="C25">
        <f t="shared" si="2"/>
        <v>12</v>
      </c>
      <c r="D25" s="18">
        <f>'Monthly Data'!X25</f>
        <v>8567404.1625233795</v>
      </c>
      <c r="E25" s="290">
        <f t="shared" ca="1" si="4"/>
        <v>473.52499999999998</v>
      </c>
      <c r="F25" s="290">
        <f t="shared" ca="1" si="4"/>
        <v>0</v>
      </c>
      <c r="G25" s="21">
        <f>'Monthly Data'!BJ25</f>
        <v>449.47083333333325</v>
      </c>
      <c r="H25" s="21">
        <f>'Monthly Data'!BM25</f>
        <v>0</v>
      </c>
      <c r="I25" s="21">
        <f>'Monthly Data'!Z25</f>
        <v>1</v>
      </c>
      <c r="J25" s="21">
        <f>'Monthly Data'!CF25</f>
        <v>0</v>
      </c>
      <c r="K25" s="21">
        <f>'Monthly Data'!CV25</f>
        <v>0</v>
      </c>
      <c r="L25" s="21">
        <f>'Monthly Data'!CS25</f>
        <v>31</v>
      </c>
      <c r="M25" s="21">
        <f>'Monthly Data'!CM25</f>
        <v>24</v>
      </c>
      <c r="N25" s="21">
        <f>'Monthly Data'!CK25</f>
        <v>0</v>
      </c>
      <c r="P25" s="11"/>
      <c r="Q25" s="11">
        <f ca="1">(E25-G25)*'Large Use Predicted Monthly'!$AB$11</f>
        <v>14835.748608934604</v>
      </c>
      <c r="R25" s="11">
        <f ca="1">(F25-H25)*'Large Use Predicted Monthly'!$AB$12</f>
        <v>0</v>
      </c>
      <c r="S25" s="11"/>
      <c r="T25" s="11"/>
      <c r="U25" s="11"/>
      <c r="V25" s="11"/>
      <c r="W25" s="11"/>
      <c r="X25" s="11"/>
      <c r="Y25" s="11">
        <f t="shared" ca="1" si="3"/>
        <v>8567404.1625233795</v>
      </c>
    </row>
    <row r="26" spans="1:27" x14ac:dyDescent="0.2">
      <c r="A26" s="8">
        <f>'Monthly Data'!A26</f>
        <v>43466</v>
      </c>
      <c r="B26">
        <f t="shared" si="1"/>
        <v>2019</v>
      </c>
      <c r="C26">
        <f t="shared" si="2"/>
        <v>1</v>
      </c>
      <c r="D26" s="18">
        <f>'Monthly Data'!X26</f>
        <v>8989278.2746889144</v>
      </c>
      <c r="E26" s="290">
        <f t="shared" ca="1" si="4"/>
        <v>566.30416666666667</v>
      </c>
      <c r="F26" s="290">
        <f t="shared" ca="1" si="4"/>
        <v>0</v>
      </c>
      <c r="G26" s="21">
        <f>'Monthly Data'!BJ26</f>
        <v>654.33749999999986</v>
      </c>
      <c r="H26" s="21">
        <f>'Monthly Data'!BM26</f>
        <v>0</v>
      </c>
      <c r="I26" s="21">
        <f>'Monthly Data'!Z26</f>
        <v>1</v>
      </c>
      <c r="J26" s="21">
        <f>'Monthly Data'!CF26</f>
        <v>0</v>
      </c>
      <c r="K26" s="21">
        <f>'Monthly Data'!CV26</f>
        <v>0</v>
      </c>
      <c r="L26" s="21">
        <f>'Monthly Data'!CS26</f>
        <v>31</v>
      </c>
      <c r="M26" s="21">
        <f>'Monthly Data'!CM26</f>
        <v>25</v>
      </c>
      <c r="N26" s="21">
        <f>'Monthly Data'!CK26</f>
        <v>0</v>
      </c>
      <c r="P26" s="11"/>
      <c r="Q26" s="11">
        <f ca="1">(E26-G26)*'Large Use Predicted Monthly'!$AB$11</f>
        <v>-54295.807484768571</v>
      </c>
      <c r="R26" s="11">
        <f ca="1">(F26-H26)*'Large Use Predicted Monthly'!$AB$12</f>
        <v>0</v>
      </c>
      <c r="S26" s="11"/>
      <c r="T26" s="11"/>
      <c r="U26" s="11"/>
      <c r="V26" s="11"/>
      <c r="W26" s="11"/>
      <c r="X26" s="11"/>
      <c r="Y26" s="11">
        <f t="shared" ca="1" si="3"/>
        <v>8989278.2746889144</v>
      </c>
    </row>
    <row r="27" spans="1:27" x14ac:dyDescent="0.2">
      <c r="A27" s="8">
        <f>'Monthly Data'!A27</f>
        <v>43497</v>
      </c>
      <c r="B27">
        <f t="shared" si="1"/>
        <v>2019</v>
      </c>
      <c r="C27">
        <f t="shared" si="2"/>
        <v>2</v>
      </c>
      <c r="D27" s="18">
        <f>'Monthly Data'!X27</f>
        <v>8097545.3515033722</v>
      </c>
      <c r="E27" s="290">
        <f t="shared" ca="1" si="4"/>
        <v>483.54541666666665</v>
      </c>
      <c r="F27" s="290">
        <f t="shared" ca="1" si="4"/>
        <v>0</v>
      </c>
      <c r="G27" s="21">
        <f>'Monthly Data'!BJ27</f>
        <v>517.91250000000002</v>
      </c>
      <c r="H27" s="21">
        <f>'Monthly Data'!BM27</f>
        <v>0</v>
      </c>
      <c r="I27" s="21">
        <f>'Monthly Data'!Z27</f>
        <v>1</v>
      </c>
      <c r="J27" s="21">
        <f>'Monthly Data'!CF27</f>
        <v>0</v>
      </c>
      <c r="K27" s="21">
        <f>'Monthly Data'!CV27</f>
        <v>0</v>
      </c>
      <c r="L27" s="21">
        <f>'Monthly Data'!CS27</f>
        <v>28</v>
      </c>
      <c r="M27" s="21">
        <f>'Monthly Data'!CM27</f>
        <v>26</v>
      </c>
      <c r="N27" s="21">
        <f>'Monthly Data'!CK27</f>
        <v>0</v>
      </c>
      <c r="P27" s="11"/>
      <c r="Q27" s="11">
        <f ca="1">(E27-G27)*'Large Use Predicted Monthly'!$AB$11</f>
        <v>-21196.386298519541</v>
      </c>
      <c r="R27" s="11">
        <f ca="1">(F27-H27)*'Large Use Predicted Monthly'!$AB$12</f>
        <v>0</v>
      </c>
      <c r="S27" s="11"/>
      <c r="T27" s="11"/>
      <c r="U27" s="11"/>
      <c r="V27" s="11"/>
      <c r="W27" s="11"/>
      <c r="X27" s="11"/>
      <c r="Y27" s="11">
        <f t="shared" ca="1" si="3"/>
        <v>8097545.3515033722</v>
      </c>
    </row>
    <row r="28" spans="1:27" x14ac:dyDescent="0.2">
      <c r="A28" s="8">
        <f>'Monthly Data'!A28</f>
        <v>43525</v>
      </c>
      <c r="B28">
        <f t="shared" si="1"/>
        <v>2019</v>
      </c>
      <c r="C28">
        <f t="shared" si="2"/>
        <v>3</v>
      </c>
      <c r="D28" s="18">
        <f>'Monthly Data'!X28</f>
        <v>8985392.6473651007</v>
      </c>
      <c r="E28" s="290">
        <f t="shared" ca="1" si="4"/>
        <v>393.96333333333331</v>
      </c>
      <c r="F28" s="290">
        <f t="shared" ca="1" si="4"/>
        <v>0.93041666666666656</v>
      </c>
      <c r="G28" s="21">
        <f>'Monthly Data'!BJ28</f>
        <v>488.37083333333339</v>
      </c>
      <c r="H28" s="21">
        <f>'Monthly Data'!BM28</f>
        <v>0</v>
      </c>
      <c r="I28" s="21">
        <f>'Monthly Data'!Z28</f>
        <v>1</v>
      </c>
      <c r="J28" s="21">
        <f>'Monthly Data'!CF28</f>
        <v>0</v>
      </c>
      <c r="K28" s="21">
        <f>'Monthly Data'!CV28</f>
        <v>0</v>
      </c>
      <c r="L28" s="21">
        <f>'Monthly Data'!CS28</f>
        <v>31</v>
      </c>
      <c r="M28" s="21">
        <f>'Monthly Data'!CM28</f>
        <v>27</v>
      </c>
      <c r="N28" s="21">
        <f>'Monthly Data'!CK28</f>
        <v>0</v>
      </c>
      <c r="P28" s="11"/>
      <c r="Q28" s="11">
        <f ca="1">(E28-G28)*'Large Use Predicted Monthly'!$AB$11</f>
        <v>-58227.165222850832</v>
      </c>
      <c r="R28" s="11">
        <f ca="1">(F28-H28)*'Large Use Predicted Monthly'!$AB$12</f>
        <v>12723.445625875136</v>
      </c>
      <c r="S28" s="11"/>
      <c r="T28" s="11"/>
      <c r="U28" s="11"/>
      <c r="V28" s="11"/>
      <c r="W28" s="11"/>
      <c r="X28" s="11"/>
      <c r="Y28" s="11">
        <f t="shared" ca="1" si="3"/>
        <v>8998116.0929909758</v>
      </c>
    </row>
    <row r="29" spans="1:27" x14ac:dyDescent="0.2">
      <c r="A29" s="8">
        <f>'Monthly Data'!A29</f>
        <v>43556</v>
      </c>
      <c r="B29">
        <f t="shared" si="1"/>
        <v>2019</v>
      </c>
      <c r="C29">
        <f t="shared" si="2"/>
        <v>4</v>
      </c>
      <c r="D29" s="18">
        <f>'Monthly Data'!X29</f>
        <v>8504581.5898450892</v>
      </c>
      <c r="E29" s="290">
        <f t="shared" ca="1" si="4"/>
        <v>226.60145833333337</v>
      </c>
      <c r="F29" s="290">
        <f t="shared" ca="1" si="4"/>
        <v>13.944166666666669</v>
      </c>
      <c r="G29" s="21">
        <f>'Monthly Data'!BJ29</f>
        <v>235.04791666666668</v>
      </c>
      <c r="H29" s="21">
        <f>'Monthly Data'!BM29</f>
        <v>2.112500000000006</v>
      </c>
      <c r="I29" s="21">
        <f>'Monthly Data'!Z29</f>
        <v>1</v>
      </c>
      <c r="J29" s="21">
        <f>'Monthly Data'!CF29</f>
        <v>0</v>
      </c>
      <c r="K29" s="21">
        <f>'Monthly Data'!CV29</f>
        <v>0</v>
      </c>
      <c r="L29" s="21">
        <f>'Monthly Data'!CS29</f>
        <v>30</v>
      </c>
      <c r="M29" s="21">
        <f>'Monthly Data'!CM29</f>
        <v>28</v>
      </c>
      <c r="N29" s="21">
        <f>'Monthly Data'!CK29</f>
        <v>0</v>
      </c>
      <c r="P29" s="11"/>
      <c r="Q29" s="11">
        <f ca="1">(E29-G29)*'Large Use Predicted Monthly'!$AB$11</f>
        <v>-5209.4730283390991</v>
      </c>
      <c r="R29" s="11">
        <f ca="1">(F29-H29)*'Large Use Predicted Monthly'!$AB$12</f>
        <v>161798.01253575922</v>
      </c>
      <c r="S29" s="11"/>
      <c r="T29" s="11"/>
      <c r="U29" s="11"/>
      <c r="V29" s="11"/>
      <c r="W29" s="11"/>
      <c r="X29" s="11"/>
      <c r="Y29" s="11">
        <f t="shared" ca="1" si="3"/>
        <v>8666379.6023808476</v>
      </c>
    </row>
    <row r="30" spans="1:27" x14ac:dyDescent="0.2">
      <c r="A30" s="8">
        <f>'Monthly Data'!A30</f>
        <v>43586</v>
      </c>
      <c r="B30">
        <f t="shared" si="1"/>
        <v>2019</v>
      </c>
      <c r="C30">
        <f t="shared" si="2"/>
        <v>5</v>
      </c>
      <c r="D30" s="18">
        <f>'Monthly Data'!X30</f>
        <v>9087651.3384452276</v>
      </c>
      <c r="E30" s="290">
        <f t="shared" ca="1" si="4"/>
        <v>65.335833333333326</v>
      </c>
      <c r="F30" s="290">
        <f t="shared" ca="1" si="4"/>
        <v>93.837916666666644</v>
      </c>
      <c r="G30" s="21">
        <f>'Monthly Data'!BJ30</f>
        <v>74.912499999999994</v>
      </c>
      <c r="H30" s="21">
        <f>'Monthly Data'!BM30</f>
        <v>44.54166666666665</v>
      </c>
      <c r="I30" s="21">
        <f>'Monthly Data'!Z30</f>
        <v>1</v>
      </c>
      <c r="J30" s="21">
        <f>'Monthly Data'!CF30</f>
        <v>0</v>
      </c>
      <c r="K30" s="21">
        <f>'Monthly Data'!CV30</f>
        <v>0</v>
      </c>
      <c r="L30" s="21">
        <f>'Monthly Data'!CS30</f>
        <v>31</v>
      </c>
      <c r="M30" s="21">
        <f>'Monthly Data'!CM30</f>
        <v>29</v>
      </c>
      <c r="N30" s="21">
        <f>'Monthly Data'!CK30</f>
        <v>1</v>
      </c>
      <c r="P30" s="11"/>
      <c r="Q30" s="11">
        <f ca="1">(E30-G30)*'Large Use Predicted Monthly'!$AB$11</f>
        <v>-5906.5450550450732</v>
      </c>
      <c r="R30" s="11">
        <f ca="1">(F30-H30)*'Large Use Predicted Monthly'!$AB$12</f>
        <v>674126.09737703239</v>
      </c>
      <c r="S30" s="11"/>
      <c r="T30" s="11"/>
      <c r="U30" s="11"/>
      <c r="V30" s="11"/>
      <c r="W30" s="11"/>
      <c r="X30" s="11"/>
      <c r="Y30" s="11">
        <f t="shared" ca="1" si="3"/>
        <v>9761777.4358222596</v>
      </c>
    </row>
    <row r="31" spans="1:27" x14ac:dyDescent="0.2">
      <c r="A31" s="8">
        <f>'Monthly Data'!A31</f>
        <v>43617</v>
      </c>
      <c r="B31">
        <f t="shared" si="1"/>
        <v>2019</v>
      </c>
      <c r="C31">
        <f t="shared" si="2"/>
        <v>6</v>
      </c>
      <c r="D31" s="18">
        <f>'Monthly Data'!X31</f>
        <v>10150109.924780237</v>
      </c>
      <c r="E31" s="290">
        <f t="shared" ca="1" si="4"/>
        <v>3.0447916666666672</v>
      </c>
      <c r="F31" s="290">
        <f t="shared" ca="1" si="4"/>
        <v>214.81645833333337</v>
      </c>
      <c r="G31" s="21">
        <f>'Monthly Data'!BJ31</f>
        <v>4.4958333333333336</v>
      </c>
      <c r="H31" s="21">
        <f>'Monthly Data'!BM31</f>
        <v>184.8104166666667</v>
      </c>
      <c r="I31" s="21">
        <f>'Monthly Data'!Z31</f>
        <v>1</v>
      </c>
      <c r="J31" s="21">
        <f>'Monthly Data'!CF31</f>
        <v>0</v>
      </c>
      <c r="K31" s="21">
        <f>'Monthly Data'!CV31</f>
        <v>0</v>
      </c>
      <c r="L31" s="21">
        <f>'Monthly Data'!CS31</f>
        <v>30</v>
      </c>
      <c r="M31" s="21">
        <f>'Monthly Data'!CM31</f>
        <v>30</v>
      </c>
      <c r="N31" s="21">
        <f>'Monthly Data'!CK31</f>
        <v>1</v>
      </c>
      <c r="P31" s="11"/>
      <c r="Q31" s="11">
        <f ca="1">(E31-G31)*'Large Use Predicted Monthly'!$AB$11</f>
        <v>-894.95053751281148</v>
      </c>
      <c r="R31" s="11">
        <f ca="1">(F31-H31)*'Large Use Predicted Monthly'!$AB$12</f>
        <v>410332.54591338354</v>
      </c>
      <c r="S31" s="11"/>
      <c r="T31" s="11"/>
      <c r="U31" s="11"/>
      <c r="V31" s="11"/>
      <c r="W31" s="11"/>
      <c r="X31" s="11"/>
      <c r="Y31" s="11">
        <f t="shared" ca="1" si="3"/>
        <v>10560442.47069362</v>
      </c>
    </row>
    <row r="32" spans="1:27" x14ac:dyDescent="0.2">
      <c r="A32" s="8">
        <f>'Monthly Data'!A32</f>
        <v>43647</v>
      </c>
      <c r="B32">
        <f t="shared" si="1"/>
        <v>2019</v>
      </c>
      <c r="C32">
        <f t="shared" si="2"/>
        <v>7</v>
      </c>
      <c r="D32" s="18">
        <f>'Monthly Data'!X32</f>
        <v>12285416.778856665</v>
      </c>
      <c r="E32" s="290">
        <f t="shared" ca="1" si="4"/>
        <v>0</v>
      </c>
      <c r="F32" s="290">
        <f t="shared" ca="1" si="4"/>
        <v>293.27145833333327</v>
      </c>
      <c r="G32" s="21">
        <f>'Monthly Data'!BJ32</f>
        <v>0</v>
      </c>
      <c r="H32" s="21">
        <f>'Monthly Data'!BM32</f>
        <v>314.07499999999999</v>
      </c>
      <c r="I32" s="21">
        <f>'Monthly Data'!Z32</f>
        <v>1</v>
      </c>
      <c r="J32" s="21">
        <f>'Monthly Data'!CF32</f>
        <v>0</v>
      </c>
      <c r="K32" s="21">
        <f>'Monthly Data'!CV32</f>
        <v>0</v>
      </c>
      <c r="L32" s="21">
        <f>'Monthly Data'!CS32</f>
        <v>31</v>
      </c>
      <c r="M32" s="21">
        <f>'Monthly Data'!CM32</f>
        <v>31</v>
      </c>
      <c r="N32" s="21">
        <f>'Monthly Data'!CK32</f>
        <v>1</v>
      </c>
      <c r="P32" s="11"/>
      <c r="Q32" s="11">
        <f ca="1">(E32-G32)*'Large Use Predicted Monthly'!$AB$11</f>
        <v>0</v>
      </c>
      <c r="R32" s="11">
        <f ca="1">(F32-H32)*'Large Use Predicted Monthly'!$AB$12</f>
        <v>-284488.38107098447</v>
      </c>
      <c r="S32" s="11"/>
      <c r="T32" s="11"/>
      <c r="U32" s="11"/>
      <c r="V32" s="11"/>
      <c r="W32" s="11"/>
      <c r="X32" s="11"/>
      <c r="Y32" s="11">
        <f t="shared" ca="1" si="3"/>
        <v>12000928.39778568</v>
      </c>
    </row>
    <row r="33" spans="1:25" x14ac:dyDescent="0.2">
      <c r="A33" s="8">
        <f>'Monthly Data'!A33</f>
        <v>43678</v>
      </c>
      <c r="B33">
        <f t="shared" si="1"/>
        <v>2019</v>
      </c>
      <c r="C33">
        <f t="shared" si="2"/>
        <v>8</v>
      </c>
      <c r="D33" s="18">
        <f>'Monthly Data'!X33</f>
        <v>11478159.279289683</v>
      </c>
      <c r="E33" s="290">
        <f t="shared" ca="1" si="4"/>
        <v>0.27875000000000066</v>
      </c>
      <c r="F33" s="290">
        <f t="shared" ca="1" si="4"/>
        <v>257.85749999999996</v>
      </c>
      <c r="G33" s="21">
        <f>'Monthly Data'!BJ33</f>
        <v>0</v>
      </c>
      <c r="H33" s="21">
        <f>'Monthly Data'!BM33</f>
        <v>244.71666666666661</v>
      </c>
      <c r="I33" s="21">
        <f>'Monthly Data'!Z33</f>
        <v>1</v>
      </c>
      <c r="J33" s="21">
        <f>'Monthly Data'!CF33</f>
        <v>0</v>
      </c>
      <c r="K33" s="21">
        <f>'Monthly Data'!CV33</f>
        <v>0</v>
      </c>
      <c r="L33" s="21">
        <f>'Monthly Data'!CS33</f>
        <v>31</v>
      </c>
      <c r="M33" s="21">
        <f>'Monthly Data'!CM33</f>
        <v>32</v>
      </c>
      <c r="N33" s="21">
        <f>'Monthly Data'!CK33</f>
        <v>1</v>
      </c>
      <c r="P33" s="11"/>
      <c r="Q33" s="11">
        <f ca="1">(E33-G33)*'Large Use Predicted Monthly'!$AB$11</f>
        <v>171.92301783088942</v>
      </c>
      <c r="R33" s="11">
        <f ca="1">(F33-H33)*'Large Use Predicted Monthly'!$AB$12</f>
        <v>179700.86347910907</v>
      </c>
      <c r="S33" s="11"/>
      <c r="T33" s="11"/>
      <c r="U33" s="11"/>
      <c r="V33" s="11"/>
      <c r="W33" s="11"/>
      <c r="X33" s="11"/>
      <c r="Y33" s="11">
        <f t="shared" ca="1" si="3"/>
        <v>11657860.142768793</v>
      </c>
    </row>
    <row r="34" spans="1:25" x14ac:dyDescent="0.2">
      <c r="A34" s="8">
        <f>'Monthly Data'!A34</f>
        <v>43709</v>
      </c>
      <c r="B34">
        <f t="shared" si="1"/>
        <v>2019</v>
      </c>
      <c r="C34">
        <f t="shared" si="2"/>
        <v>9</v>
      </c>
      <c r="D34" s="18">
        <f>'Monthly Data'!X34</f>
        <v>10722555.998619301</v>
      </c>
      <c r="E34" s="290">
        <f t="shared" ca="1" si="4"/>
        <v>11.319999999999997</v>
      </c>
      <c r="F34" s="290">
        <f t="shared" ca="1" si="4"/>
        <v>155.75020833333332</v>
      </c>
      <c r="G34" s="21">
        <f>'Monthly Data'!BJ34</f>
        <v>1.8833333333333364</v>
      </c>
      <c r="H34" s="21">
        <f>'Monthly Data'!BM34</f>
        <v>161.49791666666664</v>
      </c>
      <c r="I34" s="21">
        <f>'Monthly Data'!Z34</f>
        <v>1</v>
      </c>
      <c r="J34" s="21">
        <f>'Monthly Data'!CF34</f>
        <v>1</v>
      </c>
      <c r="K34" s="21">
        <f>'Monthly Data'!CV34</f>
        <v>0</v>
      </c>
      <c r="L34" s="21">
        <f>'Monthly Data'!CS34</f>
        <v>30</v>
      </c>
      <c r="M34" s="21">
        <f>'Monthly Data'!CM34</f>
        <v>33</v>
      </c>
      <c r="N34" s="21">
        <f>'Monthly Data'!CK34</f>
        <v>0</v>
      </c>
      <c r="P34" s="11"/>
      <c r="Q34" s="11">
        <f ca="1">(E34-G34)*'Large Use Predicted Monthly'!$AB$11</f>
        <v>5820.1980685111685</v>
      </c>
      <c r="R34" s="11">
        <f ca="1">(F34-H34)*'Large Use Predicted Monthly'!$AB$12</f>
        <v>-78599.897306822313</v>
      </c>
      <c r="S34" s="11"/>
      <c r="T34" s="11"/>
      <c r="U34" s="11"/>
      <c r="V34" s="11"/>
      <c r="W34" s="11"/>
      <c r="X34" s="11"/>
      <c r="Y34" s="11">
        <f t="shared" ref="Y34:Y65" ca="1" si="5">D34+R34</f>
        <v>10643956.101312479</v>
      </c>
    </row>
    <row r="35" spans="1:25" x14ac:dyDescent="0.2">
      <c r="A35" s="8">
        <f>'Monthly Data'!A35</f>
        <v>43739</v>
      </c>
      <c r="B35">
        <f t="shared" si="1"/>
        <v>2019</v>
      </c>
      <c r="C35">
        <f t="shared" si="2"/>
        <v>10</v>
      </c>
      <c r="D35" s="18">
        <f>'Monthly Data'!X35</f>
        <v>9195841.3160605505</v>
      </c>
      <c r="E35" s="290">
        <f t="shared" ca="1" si="4"/>
        <v>126.12583333333332</v>
      </c>
      <c r="F35" s="290">
        <f t="shared" ca="1" si="4"/>
        <v>45.238541666666677</v>
      </c>
      <c r="G35" s="21">
        <f>'Monthly Data'!BJ35</f>
        <v>126.96250000000001</v>
      </c>
      <c r="H35" s="21">
        <f>'Monthly Data'!BM35</f>
        <v>21.087500000000006</v>
      </c>
      <c r="I35" s="21">
        <f>'Monthly Data'!Z35</f>
        <v>1</v>
      </c>
      <c r="J35" s="21">
        <f>'Monthly Data'!CF35</f>
        <v>1</v>
      </c>
      <c r="K35" s="21">
        <f>'Monthly Data'!CV35</f>
        <v>0</v>
      </c>
      <c r="L35" s="21">
        <f>'Monthly Data'!CS35</f>
        <v>31</v>
      </c>
      <c r="M35" s="21">
        <f>'Monthly Data'!CM35</f>
        <v>34</v>
      </c>
      <c r="N35" s="21">
        <f>'Monthly Data'!CK35</f>
        <v>0</v>
      </c>
      <c r="P35" s="11"/>
      <c r="Q35" s="11">
        <f ca="1">(E35-G35)*'Large Use Predicted Monthly'!$AB$11</f>
        <v>-516.02603857164968</v>
      </c>
      <c r="R35" s="11">
        <f ca="1">(F35-H35)*'Large Use Predicted Monthly'!$AB$12</f>
        <v>330265.43532905862</v>
      </c>
      <c r="S35" s="11"/>
      <c r="T35" s="11"/>
      <c r="U35" s="11"/>
      <c r="V35" s="11"/>
      <c r="W35" s="11"/>
      <c r="X35" s="11"/>
      <c r="Y35" s="11">
        <f t="shared" ca="1" si="5"/>
        <v>9526106.7513896096</v>
      </c>
    </row>
    <row r="36" spans="1:25" x14ac:dyDescent="0.2">
      <c r="A36" s="8">
        <f>'Monthly Data'!A36</f>
        <v>43770</v>
      </c>
      <c r="B36">
        <f t="shared" si="1"/>
        <v>2019</v>
      </c>
      <c r="C36">
        <f t="shared" si="2"/>
        <v>11</v>
      </c>
      <c r="D36" s="18">
        <f>'Monthly Data'!X36</f>
        <v>8525347.6827713586</v>
      </c>
      <c r="E36" s="290">
        <f t="shared" ca="1" si="4"/>
        <v>312.40687500000001</v>
      </c>
      <c r="F36" s="290">
        <f t="shared" ca="1" si="4"/>
        <v>3.6587500000000004</v>
      </c>
      <c r="G36" s="21">
        <f>'Monthly Data'!BJ36</f>
        <v>403.4666666666667</v>
      </c>
      <c r="H36" s="21">
        <f>'Monthly Data'!BM36</f>
        <v>0</v>
      </c>
      <c r="I36" s="21">
        <f>'Monthly Data'!Z36</f>
        <v>1</v>
      </c>
      <c r="J36" s="21">
        <f>'Monthly Data'!CF36</f>
        <v>1</v>
      </c>
      <c r="K36" s="21">
        <f>'Monthly Data'!CV36</f>
        <v>0</v>
      </c>
      <c r="L36" s="21">
        <f>'Monthly Data'!CS36</f>
        <v>30</v>
      </c>
      <c r="M36" s="21">
        <f>'Monthly Data'!CM36</f>
        <v>35</v>
      </c>
      <c r="N36" s="21">
        <f>'Monthly Data'!CK36</f>
        <v>0</v>
      </c>
      <c r="P36" s="11"/>
      <c r="Q36" s="11">
        <f ca="1">(E36-G36)*'Large Use Predicted Monthly'!$AB$11</f>
        <v>-56162.41860586682</v>
      </c>
      <c r="R36" s="11">
        <f ca="1">(F36-H36)*'Large Use Predicted Monthly'!$AB$12</f>
        <v>50033.39724174187</v>
      </c>
      <c r="S36" s="11"/>
      <c r="T36" s="11"/>
      <c r="U36" s="11"/>
      <c r="V36" s="11"/>
      <c r="W36" s="11"/>
      <c r="X36" s="11"/>
      <c r="Y36" s="11">
        <f t="shared" ca="1" si="5"/>
        <v>8575381.0800131001</v>
      </c>
    </row>
    <row r="37" spans="1:25" x14ac:dyDescent="0.2">
      <c r="A37" s="8">
        <f>'Monthly Data'!A37</f>
        <v>43800</v>
      </c>
      <c r="B37">
        <f t="shared" si="1"/>
        <v>2019</v>
      </c>
      <c r="C37">
        <f t="shared" si="2"/>
        <v>12</v>
      </c>
      <c r="D37" s="18">
        <f>'Monthly Data'!X37</f>
        <v>8302879.6970118778</v>
      </c>
      <c r="E37" s="290">
        <f t="shared" ca="1" si="4"/>
        <v>473.52499999999998</v>
      </c>
      <c r="F37" s="290">
        <f t="shared" ca="1" si="4"/>
        <v>0</v>
      </c>
      <c r="G37" s="21">
        <f>'Monthly Data'!BJ37</f>
        <v>456.13125000000002</v>
      </c>
      <c r="H37" s="21">
        <f>'Monthly Data'!BM37</f>
        <v>0</v>
      </c>
      <c r="I37" s="21">
        <f>'Monthly Data'!Z37</f>
        <v>1</v>
      </c>
      <c r="J37" s="21">
        <f>'Monthly Data'!CF37</f>
        <v>0</v>
      </c>
      <c r="K37" s="21">
        <f>'Monthly Data'!CV37</f>
        <v>0</v>
      </c>
      <c r="L37" s="21">
        <f>'Monthly Data'!CS37</f>
        <v>31</v>
      </c>
      <c r="M37" s="21">
        <f>'Monthly Data'!CM37</f>
        <v>36</v>
      </c>
      <c r="N37" s="21">
        <f>'Monthly Data'!CK37</f>
        <v>0</v>
      </c>
      <c r="P37" s="11"/>
      <c r="Q37" s="11">
        <f ca="1">(E37-G37)*'Large Use Predicted Monthly'!$AB$11</f>
        <v>10727.842121600064</v>
      </c>
      <c r="R37" s="11">
        <f ca="1">(F37-H37)*'Large Use Predicted Monthly'!$AB$12</f>
        <v>0</v>
      </c>
      <c r="S37" s="11"/>
      <c r="T37" s="11"/>
      <c r="U37" s="11"/>
      <c r="V37" s="11"/>
      <c r="W37" s="11"/>
      <c r="X37" s="11"/>
      <c r="Y37" s="11">
        <f t="shared" ca="1" si="5"/>
        <v>8302879.6970118778</v>
      </c>
    </row>
    <row r="38" spans="1:25" x14ac:dyDescent="0.2">
      <c r="A38" s="8">
        <f>'Monthly Data'!A38</f>
        <v>43831</v>
      </c>
      <c r="B38">
        <f t="shared" si="1"/>
        <v>2020</v>
      </c>
      <c r="C38">
        <f t="shared" si="2"/>
        <v>1</v>
      </c>
      <c r="D38" s="18">
        <f>'Monthly Data'!X38</f>
        <v>8600262.0200518575</v>
      </c>
      <c r="E38" s="290">
        <f t="shared" ca="1" si="4"/>
        <v>566.30416666666667</v>
      </c>
      <c r="F38" s="290">
        <f t="shared" ca="1" si="4"/>
        <v>0</v>
      </c>
      <c r="G38" s="21">
        <f>'Monthly Data'!BJ38</f>
        <v>478.31249999999994</v>
      </c>
      <c r="H38" s="21">
        <f>'Monthly Data'!BM38</f>
        <v>0</v>
      </c>
      <c r="I38" s="21">
        <f>'Monthly Data'!Z38</f>
        <v>1</v>
      </c>
      <c r="J38" s="21">
        <f>'Monthly Data'!CF38</f>
        <v>0</v>
      </c>
      <c r="K38" s="21">
        <f>'Monthly Data'!CV38</f>
        <v>0</v>
      </c>
      <c r="L38" s="21">
        <f>'Monthly Data'!CS38</f>
        <v>31</v>
      </c>
      <c r="M38" s="21">
        <f>'Monthly Data'!CM38</f>
        <v>37</v>
      </c>
      <c r="N38" s="21">
        <f>'Monthly Data'!CK38</f>
        <v>0</v>
      </c>
      <c r="P38" s="11"/>
      <c r="Q38" s="11">
        <f ca="1">(E38-G38)*'Large Use Predicted Monthly'!$AB$11</f>
        <v>54270.108976871707</v>
      </c>
      <c r="R38" s="11">
        <f ca="1">(F38-H38)*'Large Use Predicted Monthly'!$AB$12</f>
        <v>0</v>
      </c>
      <c r="S38" s="11"/>
      <c r="T38" s="11"/>
      <c r="U38" s="11"/>
      <c r="V38" s="11"/>
      <c r="W38" s="11"/>
      <c r="X38" s="11"/>
      <c r="Y38" s="11">
        <f t="shared" ca="1" si="5"/>
        <v>8600262.0200518575</v>
      </c>
    </row>
    <row r="39" spans="1:25" x14ac:dyDescent="0.2">
      <c r="A39" s="8">
        <f>'Monthly Data'!A39</f>
        <v>43862</v>
      </c>
      <c r="B39">
        <f t="shared" si="1"/>
        <v>2020</v>
      </c>
      <c r="C39">
        <f t="shared" si="2"/>
        <v>2</v>
      </c>
      <c r="D39" s="18">
        <f>'Monthly Data'!X39</f>
        <v>8180470.246807198</v>
      </c>
      <c r="E39" s="290">
        <f t="shared" ca="1" si="4"/>
        <v>483.54541666666665</v>
      </c>
      <c r="F39" s="290">
        <f t="shared" ca="1" si="4"/>
        <v>0</v>
      </c>
      <c r="G39" s="21">
        <f>'Monthly Data'!BJ39</f>
        <v>496.01666666666659</v>
      </c>
      <c r="H39" s="21">
        <f>'Monthly Data'!BM39</f>
        <v>0</v>
      </c>
      <c r="I39" s="21">
        <f>'Monthly Data'!Z39</f>
        <v>1</v>
      </c>
      <c r="J39" s="21">
        <f>'Monthly Data'!CF39</f>
        <v>0</v>
      </c>
      <c r="K39" s="21">
        <f>'Monthly Data'!CV39</f>
        <v>0</v>
      </c>
      <c r="L39" s="21">
        <f>'Monthly Data'!CS39</f>
        <v>29</v>
      </c>
      <c r="M39" s="21">
        <f>'Monthly Data'!CM39</f>
        <v>38</v>
      </c>
      <c r="N39" s="21">
        <f>'Monthly Data'!CK39</f>
        <v>0</v>
      </c>
      <c r="P39" s="11"/>
      <c r="Q39" s="11">
        <f ca="1">(E39-G39)*'Large Use Predicted Monthly'!$AB$11</f>
        <v>-7691.8203986491999</v>
      </c>
      <c r="R39" s="11">
        <f ca="1">(F39-H39)*'Large Use Predicted Monthly'!$AB$12</f>
        <v>0</v>
      </c>
      <c r="S39" s="11"/>
      <c r="T39" s="11"/>
      <c r="U39" s="11"/>
      <c r="V39" s="11"/>
      <c r="W39" s="11"/>
      <c r="X39" s="11"/>
      <c r="Y39" s="11">
        <f t="shared" ca="1" si="5"/>
        <v>8180470.246807198</v>
      </c>
    </row>
    <row r="40" spans="1:25" x14ac:dyDescent="0.2">
      <c r="A40" s="8">
        <f>'Monthly Data'!A40</f>
        <v>43891</v>
      </c>
      <c r="B40">
        <f t="shared" si="1"/>
        <v>2020</v>
      </c>
      <c r="C40">
        <f t="shared" si="2"/>
        <v>3</v>
      </c>
      <c r="D40" s="18">
        <f>'Monthly Data'!X40</f>
        <v>8146171.5943440981</v>
      </c>
      <c r="E40" s="290">
        <f t="shared" ca="1" si="4"/>
        <v>393.96333333333331</v>
      </c>
      <c r="F40" s="290">
        <f t="shared" ca="1" si="4"/>
        <v>0.93041666666666656</v>
      </c>
      <c r="G40" s="21">
        <f>'Monthly Data'!BJ40</f>
        <v>346.7208333333333</v>
      </c>
      <c r="H40" s="21">
        <f>'Monthly Data'!BM40</f>
        <v>0</v>
      </c>
      <c r="I40" s="21">
        <f>'Monthly Data'!Z40</f>
        <v>1</v>
      </c>
      <c r="J40" s="21">
        <f>'Monthly Data'!CF40</f>
        <v>0</v>
      </c>
      <c r="K40" s="21">
        <f>'Monthly Data'!CV40</f>
        <v>0.5</v>
      </c>
      <c r="L40" s="21">
        <f>'Monthly Data'!CS40</f>
        <v>31</v>
      </c>
      <c r="M40" s="21">
        <f>'Monthly Data'!CM40</f>
        <v>39</v>
      </c>
      <c r="N40" s="21">
        <f>'Monthly Data'!CK40</f>
        <v>0</v>
      </c>
      <c r="P40" s="11"/>
      <c r="Q40" s="11">
        <f ca="1">(E40-G40)*'Large Use Predicted Monthly'!$AB$11</f>
        <v>29137.482223769599</v>
      </c>
      <c r="R40" s="11">
        <f ca="1">(F40-H40)*'Large Use Predicted Monthly'!$AB$12</f>
        <v>12723.445625875136</v>
      </c>
      <c r="S40" s="11"/>
      <c r="T40" s="11"/>
      <c r="U40" s="11"/>
      <c r="V40" s="11"/>
      <c r="W40" s="11"/>
      <c r="X40" s="11"/>
      <c r="Y40" s="11">
        <f t="shared" ca="1" si="5"/>
        <v>8158895.0399699733</v>
      </c>
    </row>
    <row r="41" spans="1:25" x14ac:dyDescent="0.2">
      <c r="A41" s="8">
        <f>'Monthly Data'!A41</f>
        <v>43922</v>
      </c>
      <c r="B41">
        <f t="shared" si="1"/>
        <v>2020</v>
      </c>
      <c r="C41">
        <f t="shared" si="2"/>
        <v>4</v>
      </c>
      <c r="D41" s="18">
        <f>'Monthly Data'!X41</f>
        <v>7110674.2288400885</v>
      </c>
      <c r="E41" s="290">
        <f t="shared" ca="1" si="4"/>
        <v>226.60145833333337</v>
      </c>
      <c r="F41" s="290">
        <f t="shared" ca="1" si="4"/>
        <v>13.944166666666669</v>
      </c>
      <c r="G41" s="21">
        <f>'Monthly Data'!BJ41</f>
        <v>265.07083333333338</v>
      </c>
      <c r="H41" s="21">
        <f>'Monthly Data'!BM41</f>
        <v>0</v>
      </c>
      <c r="I41" s="21">
        <f>'Monthly Data'!Z41</f>
        <v>1</v>
      </c>
      <c r="J41" s="21">
        <f>'Monthly Data'!CF41</f>
        <v>0</v>
      </c>
      <c r="K41" s="21">
        <f>'Monthly Data'!CV41</f>
        <v>1</v>
      </c>
      <c r="L41" s="21">
        <f>'Monthly Data'!CS41</f>
        <v>30</v>
      </c>
      <c r="M41" s="21">
        <f>'Monthly Data'!CM41</f>
        <v>40</v>
      </c>
      <c r="N41" s="21">
        <f>'Monthly Data'!CK41</f>
        <v>0</v>
      </c>
      <c r="P41" s="11"/>
      <c r="Q41" s="11">
        <f ca="1">(E41-G41)*'Large Use Predicted Monthly'!$AB$11</f>
        <v>-23726.532893518059</v>
      </c>
      <c r="R41" s="11">
        <f ca="1">(F41-H41)*'Large Use Predicted Monthly'!$AB$12</f>
        <v>190686.44483454432</v>
      </c>
      <c r="S41" s="11"/>
      <c r="T41" s="11"/>
      <c r="U41" s="11"/>
      <c r="V41" s="11"/>
      <c r="W41" s="11"/>
      <c r="X41" s="11"/>
      <c r="Y41" s="11">
        <f t="shared" ca="1" si="5"/>
        <v>7301360.6736746328</v>
      </c>
    </row>
    <row r="42" spans="1:25" x14ac:dyDescent="0.2">
      <c r="A42" s="8">
        <f>'Monthly Data'!A42</f>
        <v>43952</v>
      </c>
      <c r="B42">
        <f t="shared" si="1"/>
        <v>2020</v>
      </c>
      <c r="C42">
        <f t="shared" si="2"/>
        <v>5</v>
      </c>
      <c r="D42" s="18">
        <f>'Monthly Data'!X42</f>
        <v>8099810.9285269296</v>
      </c>
      <c r="E42" s="290">
        <f t="shared" ca="1" si="4"/>
        <v>65.335833333333326</v>
      </c>
      <c r="F42" s="290">
        <f t="shared" ca="1" si="4"/>
        <v>93.837916666666644</v>
      </c>
      <c r="G42" s="21">
        <f>'Monthly Data'!BJ42</f>
        <v>117.34583333333333</v>
      </c>
      <c r="H42" s="21">
        <f>'Monthly Data'!BM42</f>
        <v>82.791666666666657</v>
      </c>
      <c r="I42" s="21">
        <f>'Monthly Data'!Z42</f>
        <v>1</v>
      </c>
      <c r="J42" s="21">
        <f>'Monthly Data'!CF42</f>
        <v>0</v>
      </c>
      <c r="K42" s="21">
        <f>'Monthly Data'!CV42</f>
        <v>1</v>
      </c>
      <c r="L42" s="21">
        <f>'Monthly Data'!CS42</f>
        <v>31</v>
      </c>
      <c r="M42" s="21">
        <f>'Monthly Data'!CM42</f>
        <v>41</v>
      </c>
      <c r="N42" s="21">
        <f>'Monthly Data'!CK42</f>
        <v>1</v>
      </c>
      <c r="P42" s="11"/>
      <c r="Q42" s="11">
        <f ca="1">(E42-G42)*'Large Use Predicted Monthly'!$AB$11</f>
        <v>-32077.905497343636</v>
      </c>
      <c r="R42" s="11">
        <f ca="1">(F42-H42)*'Large Use Predicted Monthly'!$AB$12</f>
        <v>151057.44155287746</v>
      </c>
      <c r="S42" s="11"/>
      <c r="T42" s="11"/>
      <c r="U42" s="11"/>
      <c r="V42" s="11"/>
      <c r="W42" s="11"/>
      <c r="X42" s="11"/>
      <c r="Y42" s="11">
        <f t="shared" ca="1" si="5"/>
        <v>8250868.370079807</v>
      </c>
    </row>
    <row r="43" spans="1:25" x14ac:dyDescent="0.2">
      <c r="A43" s="8">
        <f>'Monthly Data'!A43</f>
        <v>43983</v>
      </c>
      <c r="B43">
        <f t="shared" si="1"/>
        <v>2020</v>
      </c>
      <c r="C43">
        <f t="shared" si="2"/>
        <v>6</v>
      </c>
      <c r="D43" s="18">
        <f>'Monthly Data'!X43</f>
        <v>9661634.6249788105</v>
      </c>
      <c r="E43" s="290">
        <f t="shared" ca="1" si="4"/>
        <v>3.0447916666666672</v>
      </c>
      <c r="F43" s="290">
        <f t="shared" ca="1" si="4"/>
        <v>214.81645833333337</v>
      </c>
      <c r="G43" s="21">
        <f>'Monthly Data'!BJ43</f>
        <v>3.7708333333333339</v>
      </c>
      <c r="H43" s="21">
        <f>'Monthly Data'!BM43</f>
        <v>223.45416666666662</v>
      </c>
      <c r="I43" s="21">
        <f>'Monthly Data'!Z43</f>
        <v>1</v>
      </c>
      <c r="J43" s="21">
        <f>'Monthly Data'!CF43</f>
        <v>0</v>
      </c>
      <c r="K43" s="21">
        <f>'Monthly Data'!CV43</f>
        <v>0.5</v>
      </c>
      <c r="L43" s="21">
        <f>'Monthly Data'!CS43</f>
        <v>30</v>
      </c>
      <c r="M43" s="21">
        <f>'Monthly Data'!CM43</f>
        <v>42</v>
      </c>
      <c r="N43" s="21">
        <f>'Monthly Data'!CK43</f>
        <v>1</v>
      </c>
      <c r="P43" s="11"/>
      <c r="Q43" s="11">
        <f ca="1">(E43-G43)*'Large Use Predicted Monthly'!$AB$11</f>
        <v>-447.7965001051183</v>
      </c>
      <c r="R43" s="11">
        <f ca="1">(F43-H43)*'Large Use Predicted Monthly'!$AB$12</f>
        <v>-118120.64019131304</v>
      </c>
      <c r="S43" s="11"/>
      <c r="T43" s="11"/>
      <c r="U43" s="11"/>
      <c r="V43" s="11"/>
      <c r="W43" s="11"/>
      <c r="X43" s="11"/>
      <c r="Y43" s="11">
        <f t="shared" ca="1" si="5"/>
        <v>9543513.9847874977</v>
      </c>
    </row>
    <row r="44" spans="1:25" x14ac:dyDescent="0.2">
      <c r="A44" s="8">
        <f>'Monthly Data'!A44</f>
        <v>44013</v>
      </c>
      <c r="B44">
        <f t="shared" si="1"/>
        <v>2020</v>
      </c>
      <c r="C44">
        <f t="shared" si="2"/>
        <v>7</v>
      </c>
      <c r="D44" s="18">
        <f>'Monthly Data'!X44</f>
        <v>11633464.73742496</v>
      </c>
      <c r="E44" s="290">
        <f t="shared" ca="1" si="4"/>
        <v>0</v>
      </c>
      <c r="F44" s="290">
        <f t="shared" ca="1" si="4"/>
        <v>293.27145833333327</v>
      </c>
      <c r="G44" s="21">
        <f>'Monthly Data'!BJ44</f>
        <v>0</v>
      </c>
      <c r="H44" s="21">
        <f>'Monthly Data'!BM44</f>
        <v>347.85000000000008</v>
      </c>
      <c r="I44" s="21">
        <f>'Monthly Data'!Z44</f>
        <v>1</v>
      </c>
      <c r="J44" s="21">
        <f>'Monthly Data'!CF44</f>
        <v>0</v>
      </c>
      <c r="K44" s="21">
        <f>'Monthly Data'!CV44</f>
        <v>0.5</v>
      </c>
      <c r="L44" s="21">
        <f>'Monthly Data'!CS44</f>
        <v>31</v>
      </c>
      <c r="M44" s="21">
        <f>'Monthly Data'!CM44</f>
        <v>43</v>
      </c>
      <c r="N44" s="21">
        <f>'Monthly Data'!CK44</f>
        <v>1</v>
      </c>
      <c r="P44" s="11"/>
      <c r="Q44" s="11">
        <f ca="1">(E44-G44)*'Large Use Predicted Monthly'!$AB$11</f>
        <v>0</v>
      </c>
      <c r="R44" s="11">
        <f ca="1">(F44-H44)*'Large Use Predicted Monthly'!$AB$12</f>
        <v>-746361.42291309894</v>
      </c>
      <c r="S44" s="11"/>
      <c r="T44" s="11"/>
      <c r="U44" s="11"/>
      <c r="V44" s="11"/>
      <c r="W44" s="11"/>
      <c r="X44" s="11"/>
      <c r="Y44" s="11">
        <f t="shared" ca="1" si="5"/>
        <v>10887103.314511862</v>
      </c>
    </row>
    <row r="45" spans="1:25" x14ac:dyDescent="0.2">
      <c r="A45" s="8">
        <f>'Monthly Data'!A45</f>
        <v>44044</v>
      </c>
      <c r="B45">
        <f t="shared" si="1"/>
        <v>2020</v>
      </c>
      <c r="C45">
        <f t="shared" si="2"/>
        <v>8</v>
      </c>
      <c r="D45" s="18">
        <f>'Monthly Data'!X45</f>
        <v>10881748.22689686</v>
      </c>
      <c r="E45" s="290">
        <f t="shared" ca="1" si="4"/>
        <v>0.27875000000000066</v>
      </c>
      <c r="F45" s="290">
        <f t="shared" ca="1" si="4"/>
        <v>257.85749999999996</v>
      </c>
      <c r="G45" s="21">
        <f>'Monthly Data'!BJ45</f>
        <v>0</v>
      </c>
      <c r="H45" s="21">
        <f>'Monthly Data'!BM45</f>
        <v>261.54583333333341</v>
      </c>
      <c r="I45" s="21">
        <f>'Monthly Data'!Z45</f>
        <v>1</v>
      </c>
      <c r="J45" s="21">
        <f>'Monthly Data'!CF45</f>
        <v>0</v>
      </c>
      <c r="K45" s="21">
        <f>'Monthly Data'!CV45</f>
        <v>0.5</v>
      </c>
      <c r="L45" s="21">
        <f>'Monthly Data'!CS45</f>
        <v>31</v>
      </c>
      <c r="M45" s="21">
        <f>'Monthly Data'!CM45</f>
        <v>44</v>
      </c>
      <c r="N45" s="21">
        <f>'Monthly Data'!CK45</f>
        <v>1</v>
      </c>
      <c r="P45" s="11"/>
      <c r="Q45" s="11">
        <f ca="1">(E45-G45)*'Large Use Predicted Monthly'!$AB$11</f>
        <v>171.92301783088942</v>
      </c>
      <c r="R45" s="11">
        <f ca="1">(F45-H45)*'Large Use Predicted Monthly'!$AB$12</f>
        <v>-50437.949252239217</v>
      </c>
      <c r="S45" s="11"/>
      <c r="T45" s="11"/>
      <c r="U45" s="11"/>
      <c r="V45" s="11"/>
      <c r="W45" s="11"/>
      <c r="X45" s="11"/>
      <c r="Y45" s="11">
        <f t="shared" ca="1" si="5"/>
        <v>10831310.277644621</v>
      </c>
    </row>
    <row r="46" spans="1:25" x14ac:dyDescent="0.2">
      <c r="A46" s="8">
        <f>'Monthly Data'!A46</f>
        <v>44075</v>
      </c>
      <c r="B46">
        <f t="shared" si="1"/>
        <v>2020</v>
      </c>
      <c r="C46">
        <f t="shared" si="2"/>
        <v>9</v>
      </c>
      <c r="D46" s="18">
        <f>'Monthly Data'!X46</f>
        <v>9412013.6198623907</v>
      </c>
      <c r="E46" s="290">
        <f t="shared" ca="1" si="4"/>
        <v>11.319999999999997</v>
      </c>
      <c r="F46" s="290">
        <f t="shared" ca="1" si="4"/>
        <v>155.75020833333332</v>
      </c>
      <c r="G46" s="21">
        <f>'Monthly Data'!BJ46</f>
        <v>25.787499999999994</v>
      </c>
      <c r="H46" s="21">
        <f>'Monthly Data'!BM46</f>
        <v>115.55833333333335</v>
      </c>
      <c r="I46" s="21">
        <f>'Monthly Data'!Z46</f>
        <v>1</v>
      </c>
      <c r="J46" s="21">
        <f>'Monthly Data'!CF46</f>
        <v>1</v>
      </c>
      <c r="K46" s="21">
        <f>'Monthly Data'!CV46</f>
        <v>0.5</v>
      </c>
      <c r="L46" s="21">
        <f>'Monthly Data'!CS46</f>
        <v>30</v>
      </c>
      <c r="M46" s="21">
        <f>'Monthly Data'!CM46</f>
        <v>45</v>
      </c>
      <c r="N46" s="21">
        <f>'Monthly Data'!CK46</f>
        <v>0</v>
      </c>
      <c r="P46" s="11"/>
      <c r="Q46" s="11">
        <f ca="1">(E46-G46)*'Large Use Predicted Monthly'!$AB$11</f>
        <v>-8923.0359119942113</v>
      </c>
      <c r="R46" s="11">
        <f ca="1">(F46-H46)*'Large Use Predicted Monthly'!$AB$12</f>
        <v>549623.79166803753</v>
      </c>
      <c r="S46" s="11"/>
      <c r="T46" s="11"/>
      <c r="U46" s="11"/>
      <c r="V46" s="11"/>
      <c r="W46" s="11"/>
      <c r="X46" s="11"/>
      <c r="Y46" s="11">
        <f t="shared" ca="1" si="5"/>
        <v>9961637.4115304276</v>
      </c>
    </row>
    <row r="47" spans="1:25" x14ac:dyDescent="0.2">
      <c r="A47" s="8">
        <f>'Monthly Data'!A47</f>
        <v>44105</v>
      </c>
      <c r="B47">
        <f t="shared" si="1"/>
        <v>2020</v>
      </c>
      <c r="C47">
        <f t="shared" si="2"/>
        <v>10</v>
      </c>
      <c r="D47" s="18">
        <f>'Monthly Data'!X47</f>
        <v>8181488.4837523811</v>
      </c>
      <c r="E47" s="290">
        <f t="shared" ca="1" si="4"/>
        <v>126.12583333333332</v>
      </c>
      <c r="F47" s="290">
        <f t="shared" ca="1" si="4"/>
        <v>45.238541666666677</v>
      </c>
      <c r="G47" s="21">
        <f>'Monthly Data'!BJ47</f>
        <v>165.45833333333334</v>
      </c>
      <c r="H47" s="21">
        <f>'Monthly Data'!BM47</f>
        <v>12.639583333333345</v>
      </c>
      <c r="I47" s="21">
        <f>'Monthly Data'!Z47</f>
        <v>1</v>
      </c>
      <c r="J47" s="21">
        <f>'Monthly Data'!CF47</f>
        <v>1</v>
      </c>
      <c r="K47" s="21">
        <f>'Monthly Data'!CV47</f>
        <v>0.5</v>
      </c>
      <c r="L47" s="21">
        <f>'Monthly Data'!CS47</f>
        <v>31</v>
      </c>
      <c r="M47" s="21">
        <f>'Monthly Data'!CM47</f>
        <v>46</v>
      </c>
      <c r="N47" s="21">
        <f>'Monthly Data'!CK47</f>
        <v>0</v>
      </c>
      <c r="P47" s="11"/>
      <c r="Q47" s="11">
        <f ca="1">(E47-G47)*'Large Use Predicted Monthly'!$AB$11</f>
        <v>-24258.877484604291</v>
      </c>
      <c r="R47" s="11">
        <f ca="1">(F47-H47)*'Large Use Predicted Monthly'!$AB$12</f>
        <v>445790.67494599463</v>
      </c>
      <c r="S47" s="11"/>
      <c r="T47" s="11"/>
      <c r="U47" s="11"/>
      <c r="V47" s="11"/>
      <c r="W47" s="11"/>
      <c r="X47" s="11"/>
      <c r="Y47" s="11">
        <f t="shared" ca="1" si="5"/>
        <v>8627279.1586983763</v>
      </c>
    </row>
    <row r="48" spans="1:25" x14ac:dyDescent="0.2">
      <c r="A48" s="8">
        <f>'Monthly Data'!A48</f>
        <v>44136</v>
      </c>
      <c r="B48">
        <f t="shared" si="1"/>
        <v>2020</v>
      </c>
      <c r="C48">
        <f t="shared" si="2"/>
        <v>11</v>
      </c>
      <c r="D48" s="18">
        <f>'Monthly Data'!X48</f>
        <v>7873386.2840596009</v>
      </c>
      <c r="E48" s="290">
        <f t="shared" ca="1" si="4"/>
        <v>312.40687500000001</v>
      </c>
      <c r="F48" s="290">
        <f t="shared" ca="1" si="4"/>
        <v>3.6587500000000004</v>
      </c>
      <c r="G48" s="21">
        <f>'Monthly Data'!BJ48</f>
        <v>238.94583333333335</v>
      </c>
      <c r="H48" s="21">
        <f>'Monthly Data'!BM48</f>
        <v>8.4666666666666615</v>
      </c>
      <c r="I48" s="21">
        <f>'Monthly Data'!Z48</f>
        <v>1</v>
      </c>
      <c r="J48" s="21">
        <f>'Monthly Data'!CF48</f>
        <v>1</v>
      </c>
      <c r="K48" s="21">
        <f>'Monthly Data'!CV48</f>
        <v>0.5</v>
      </c>
      <c r="L48" s="21">
        <f>'Monthly Data'!CS48</f>
        <v>30</v>
      </c>
      <c r="M48" s="21">
        <f>'Monthly Data'!CM48</f>
        <v>47</v>
      </c>
      <c r="N48" s="21">
        <f>'Monthly Data'!CK48</f>
        <v>0</v>
      </c>
      <c r="P48" s="11"/>
      <c r="Q48" s="11">
        <f ca="1">(E48-G48)*'Large Use Predicted Monthly'!$AB$11</f>
        <v>45308.139825413498</v>
      </c>
      <c r="R48" s="11">
        <f ca="1">(F48-H48)*'Large Use Predicted Monthly'!$AB$12</f>
        <v>-65748.248579029576</v>
      </c>
      <c r="S48" s="11"/>
      <c r="T48" s="11"/>
      <c r="U48" s="11"/>
      <c r="V48" s="11"/>
      <c r="W48" s="11"/>
      <c r="X48" s="11"/>
      <c r="Y48" s="11">
        <f t="shared" ca="1" si="5"/>
        <v>7807638.035480571</v>
      </c>
    </row>
    <row r="49" spans="1:25" x14ac:dyDescent="0.2">
      <c r="A49" s="8">
        <f>'Monthly Data'!A49</f>
        <v>44166</v>
      </c>
      <c r="B49">
        <f t="shared" si="1"/>
        <v>2020</v>
      </c>
      <c r="C49">
        <f t="shared" si="2"/>
        <v>12</v>
      </c>
      <c r="D49" s="18">
        <f>'Monthly Data'!X49</f>
        <v>8025859.8760891212</v>
      </c>
      <c r="E49" s="290">
        <f t="shared" ca="1" si="4"/>
        <v>473.52499999999998</v>
      </c>
      <c r="F49" s="290">
        <f t="shared" ca="1" si="4"/>
        <v>0</v>
      </c>
      <c r="G49" s="21">
        <f>'Monthly Data'!BJ49</f>
        <v>455.59791666666672</v>
      </c>
      <c r="H49" s="21">
        <f>'Monthly Data'!BM49</f>
        <v>0</v>
      </c>
      <c r="I49" s="21">
        <f>'Monthly Data'!Z49</f>
        <v>1</v>
      </c>
      <c r="J49" s="21">
        <f>'Monthly Data'!CF49</f>
        <v>0</v>
      </c>
      <c r="K49" s="21">
        <f>'Monthly Data'!CV49</f>
        <v>0.5</v>
      </c>
      <c r="L49" s="21">
        <f>'Monthly Data'!CS49</f>
        <v>31</v>
      </c>
      <c r="M49" s="21">
        <f>'Monthly Data'!CM49</f>
        <v>48</v>
      </c>
      <c r="N49" s="21">
        <f>'Monthly Data'!CK49</f>
        <v>0</v>
      </c>
      <c r="P49" s="11"/>
      <c r="Q49" s="11">
        <f ca="1">(E49-G49)*'Large Use Predicted Monthly'!$AB$11</f>
        <v>11056.783022681568</v>
      </c>
      <c r="R49" s="11">
        <f ca="1">(F49-H49)*'Large Use Predicted Monthly'!$AB$12</f>
        <v>0</v>
      </c>
      <c r="S49" s="11"/>
      <c r="T49" s="11"/>
      <c r="U49" s="11"/>
      <c r="V49" s="11"/>
      <c r="W49" s="11"/>
      <c r="X49" s="11"/>
      <c r="Y49" s="11">
        <f t="shared" ca="1" si="5"/>
        <v>8025859.8760891212</v>
      </c>
    </row>
    <row r="50" spans="1:25" x14ac:dyDescent="0.2">
      <c r="A50" s="8">
        <f>'Monthly Data'!A50</f>
        <v>44197</v>
      </c>
      <c r="B50">
        <f t="shared" si="1"/>
        <v>2021</v>
      </c>
      <c r="C50">
        <f t="shared" si="2"/>
        <v>1</v>
      </c>
      <c r="D50" s="18">
        <f>'Monthly Data'!X50</f>
        <v>8267121.5026186379</v>
      </c>
      <c r="E50" s="290">
        <f t="shared" ca="1" si="4"/>
        <v>566.30416666666667</v>
      </c>
      <c r="F50" s="290">
        <f t="shared" ca="1" si="4"/>
        <v>0</v>
      </c>
      <c r="G50" s="21">
        <f>'Monthly Data'!BJ50</f>
        <v>523.92083333333335</v>
      </c>
      <c r="H50" s="21">
        <f>'Monthly Data'!BM50</f>
        <v>0</v>
      </c>
      <c r="I50" s="21">
        <f>'Monthly Data'!Z50</f>
        <v>1</v>
      </c>
      <c r="J50" s="21">
        <f>'Monthly Data'!CF50</f>
        <v>0</v>
      </c>
      <c r="K50" s="21">
        <f>'Monthly Data'!CV50</f>
        <v>0.5</v>
      </c>
      <c r="L50" s="21">
        <f>'Monthly Data'!CS50</f>
        <v>31</v>
      </c>
      <c r="M50" s="21">
        <f>'Monthly Data'!CM50</f>
        <v>49</v>
      </c>
      <c r="N50" s="21">
        <f>'Monthly Data'!CK50</f>
        <v>0</v>
      </c>
      <c r="P50" s="11"/>
      <c r="Q50" s="11">
        <f ca="1">(E50-G50)*'Large Use Predicted Monthly'!$AB$11</f>
        <v>26140.522232822164</v>
      </c>
      <c r="R50" s="11">
        <f ca="1">(F50-H50)*'Large Use Predicted Monthly'!$AB$12</f>
        <v>0</v>
      </c>
      <c r="S50" s="11"/>
      <c r="T50" s="11"/>
      <c r="U50" s="11"/>
      <c r="V50" s="11"/>
      <c r="W50" s="11"/>
      <c r="X50" s="11"/>
      <c r="Y50" s="11">
        <f t="shared" ca="1" si="5"/>
        <v>8267121.5026186379</v>
      </c>
    </row>
    <row r="51" spans="1:25" x14ac:dyDescent="0.2">
      <c r="A51" s="8">
        <f>'Monthly Data'!A51</f>
        <v>44228</v>
      </c>
      <c r="B51">
        <f t="shared" si="1"/>
        <v>2021</v>
      </c>
      <c r="C51">
        <f t="shared" si="2"/>
        <v>2</v>
      </c>
      <c r="D51" s="18">
        <f>'Monthly Data'!X51</f>
        <v>7860890.0394344553</v>
      </c>
      <c r="E51" s="290">
        <f t="shared" ca="1" si="4"/>
        <v>483.54541666666665</v>
      </c>
      <c r="F51" s="290">
        <f t="shared" ca="1" si="4"/>
        <v>0</v>
      </c>
      <c r="G51" s="21">
        <f>'Monthly Data'!BJ51</f>
        <v>570.50000000000011</v>
      </c>
      <c r="H51" s="21">
        <f>'Monthly Data'!BM51</f>
        <v>0</v>
      </c>
      <c r="I51" s="21">
        <f>'Monthly Data'!Z51</f>
        <v>1</v>
      </c>
      <c r="J51" s="21">
        <f>'Monthly Data'!CF51</f>
        <v>0</v>
      </c>
      <c r="K51" s="21">
        <f>'Monthly Data'!CV51</f>
        <v>0.5</v>
      </c>
      <c r="L51" s="21">
        <f>'Monthly Data'!CS51</f>
        <v>28</v>
      </c>
      <c r="M51" s="21">
        <f>'Monthly Data'!CM51</f>
        <v>50</v>
      </c>
      <c r="N51" s="21">
        <f>'Monthly Data'!CK51</f>
        <v>0</v>
      </c>
      <c r="P51" s="11"/>
      <c r="Q51" s="11">
        <f ca="1">(E51-G51)*'Large Use Predicted Monthly'!$AB$11</f>
        <v>-53630.473115315566</v>
      </c>
      <c r="R51" s="11">
        <f ca="1">(F51-H51)*'Large Use Predicted Monthly'!$AB$12</f>
        <v>0</v>
      </c>
      <c r="S51" s="11"/>
      <c r="T51" s="11"/>
      <c r="U51" s="11"/>
      <c r="V51" s="11"/>
      <c r="W51" s="11"/>
      <c r="X51" s="11"/>
      <c r="Y51" s="11">
        <f t="shared" ca="1" si="5"/>
        <v>7860890.0394344553</v>
      </c>
    </row>
    <row r="52" spans="1:25" x14ac:dyDescent="0.2">
      <c r="A52" s="8">
        <f>'Monthly Data'!A52</f>
        <v>44256</v>
      </c>
      <c r="B52">
        <f t="shared" si="1"/>
        <v>2021</v>
      </c>
      <c r="C52">
        <f t="shared" si="2"/>
        <v>3</v>
      </c>
      <c r="D52" s="18">
        <f>'Monthly Data'!X52</f>
        <v>8617027.7213605233</v>
      </c>
      <c r="E52" s="290">
        <f t="shared" ca="1" si="4"/>
        <v>393.96333333333331</v>
      </c>
      <c r="F52" s="290">
        <f t="shared" ca="1" si="4"/>
        <v>0.93041666666666656</v>
      </c>
      <c r="G52" s="21">
        <f>'Monthly Data'!BJ52</f>
        <v>328.07083333333333</v>
      </c>
      <c r="H52" s="21">
        <f>'Monthly Data'!BM52</f>
        <v>4.8416666666666686</v>
      </c>
      <c r="I52" s="21">
        <f>'Monthly Data'!Z52</f>
        <v>1</v>
      </c>
      <c r="J52" s="21">
        <f>'Monthly Data'!CF52</f>
        <v>0</v>
      </c>
      <c r="K52" s="21">
        <f>'Monthly Data'!CV52</f>
        <v>0.5</v>
      </c>
      <c r="L52" s="21">
        <f>'Monthly Data'!CS52</f>
        <v>31</v>
      </c>
      <c r="M52" s="21">
        <f>'Monthly Data'!CM52</f>
        <v>51</v>
      </c>
      <c r="N52" s="21">
        <f>'Monthly Data'!CK52</f>
        <v>0</v>
      </c>
      <c r="P52" s="11"/>
      <c r="Q52" s="11">
        <f ca="1">(E52-G52)*'Large Use Predicted Monthly'!$AB$11</f>
        <v>40640.134358464042</v>
      </c>
      <c r="R52" s="11">
        <f ca="1">(F52-H52)*'Large Use Predicted Monthly'!$AB$12</f>
        <v>-53486.334120058214</v>
      </c>
      <c r="S52" s="11"/>
      <c r="T52" s="11"/>
      <c r="U52" s="11"/>
      <c r="V52" s="11"/>
      <c r="W52" s="11"/>
      <c r="X52" s="11"/>
      <c r="Y52" s="11">
        <f t="shared" ca="1" si="5"/>
        <v>8563541.3872404657</v>
      </c>
    </row>
    <row r="53" spans="1:25" x14ac:dyDescent="0.2">
      <c r="A53" s="8">
        <f>'Monthly Data'!A53</f>
        <v>44287</v>
      </c>
      <c r="B53">
        <f t="shared" si="1"/>
        <v>2021</v>
      </c>
      <c r="C53">
        <f t="shared" si="2"/>
        <v>4</v>
      </c>
      <c r="D53" s="18">
        <f>'Monthly Data'!X53</f>
        <v>8151550.2276455313</v>
      </c>
      <c r="E53" s="290">
        <f t="shared" ca="1" si="4"/>
        <v>226.60145833333337</v>
      </c>
      <c r="F53" s="290">
        <f t="shared" ca="1" si="4"/>
        <v>13.944166666666669</v>
      </c>
      <c r="G53" s="21">
        <f>'Monthly Data'!BJ53</f>
        <v>195.19166666666669</v>
      </c>
      <c r="H53" s="21">
        <f>'Monthly Data'!BM53</f>
        <v>20.929166666666667</v>
      </c>
      <c r="I53" s="21">
        <f>'Monthly Data'!Z53</f>
        <v>1</v>
      </c>
      <c r="J53" s="21">
        <f>'Monthly Data'!CF53</f>
        <v>0</v>
      </c>
      <c r="K53" s="21">
        <f>'Monthly Data'!CV53</f>
        <v>0.5</v>
      </c>
      <c r="L53" s="21">
        <f>'Monthly Data'!CS53</f>
        <v>30</v>
      </c>
      <c r="M53" s="21">
        <f>'Monthly Data'!CM53</f>
        <v>52</v>
      </c>
      <c r="N53" s="21">
        <f>'Monthly Data'!CK53</f>
        <v>0</v>
      </c>
      <c r="P53" s="11"/>
      <c r="Q53" s="11">
        <f ca="1">(E53-G53)*'Large Use Predicted Monthly'!$AB$11</f>
        <v>19372.434700530383</v>
      </c>
      <c r="R53" s="11">
        <f ca="1">(F53-H53)*'Large Use Predicted Monthly'!$AB$12</f>
        <v>-95519.857802136466</v>
      </c>
      <c r="S53" s="11"/>
      <c r="T53" s="11"/>
      <c r="U53" s="11"/>
      <c r="V53" s="11"/>
      <c r="W53" s="11"/>
      <c r="X53" s="11"/>
      <c r="Y53" s="11">
        <f t="shared" ca="1" si="5"/>
        <v>8056030.3698433945</v>
      </c>
    </row>
    <row r="54" spans="1:25" x14ac:dyDescent="0.2">
      <c r="A54" s="8">
        <f>'Monthly Data'!A54</f>
        <v>44317</v>
      </c>
      <c r="B54">
        <f t="shared" si="1"/>
        <v>2021</v>
      </c>
      <c r="C54">
        <f t="shared" si="2"/>
        <v>5</v>
      </c>
      <c r="D54" s="18">
        <f>'Monthly Data'!X54</f>
        <v>9085951.214230109</v>
      </c>
      <c r="E54" s="290">
        <f t="shared" ca="1" si="4"/>
        <v>65.335833333333326</v>
      </c>
      <c r="F54" s="290">
        <f t="shared" ca="1" si="4"/>
        <v>93.837916666666644</v>
      </c>
      <c r="G54" s="21">
        <f>'Monthly Data'!BJ54</f>
        <v>93.4375</v>
      </c>
      <c r="H54" s="21">
        <f>'Monthly Data'!BM54</f>
        <v>95.585416666666632</v>
      </c>
      <c r="I54" s="21">
        <f>'Monthly Data'!Z54</f>
        <v>1</v>
      </c>
      <c r="J54" s="21">
        <f>'Monthly Data'!CF54</f>
        <v>0</v>
      </c>
      <c r="K54" s="21">
        <f>'Monthly Data'!CV54</f>
        <v>0.5</v>
      </c>
      <c r="L54" s="21">
        <f>'Monthly Data'!CS54</f>
        <v>31</v>
      </c>
      <c r="M54" s="21">
        <f>'Monthly Data'!CM54</f>
        <v>53</v>
      </c>
      <c r="N54" s="21">
        <f>'Monthly Data'!CK54</f>
        <v>1</v>
      </c>
      <c r="P54" s="11"/>
      <c r="Q54" s="11">
        <f ca="1">(E54-G54)*'Large Use Predicted Monthly'!$AB$11</f>
        <v>-17332.101666048551</v>
      </c>
      <c r="R54" s="11">
        <f ca="1">(F54-H54)*'Large Use Predicted Monthly'!$AB$12</f>
        <v>-23897.058197456321</v>
      </c>
      <c r="S54" s="11"/>
      <c r="T54" s="11"/>
      <c r="U54" s="11"/>
      <c r="V54" s="11"/>
      <c r="W54" s="11"/>
      <c r="X54" s="11"/>
      <c r="Y54" s="11">
        <f t="shared" ca="1" si="5"/>
        <v>9062054.1560326535</v>
      </c>
    </row>
    <row r="55" spans="1:25" x14ac:dyDescent="0.2">
      <c r="A55" s="8">
        <f>'Monthly Data'!A55</f>
        <v>44348</v>
      </c>
      <c r="B55">
        <f t="shared" si="1"/>
        <v>2021</v>
      </c>
      <c r="C55">
        <f t="shared" si="2"/>
        <v>6</v>
      </c>
      <c r="D55" s="18">
        <f>'Monthly Data'!X55</f>
        <v>10943993.453054408</v>
      </c>
      <c r="E55" s="290">
        <f t="shared" ca="1" si="4"/>
        <v>3.0447916666666672</v>
      </c>
      <c r="F55" s="290">
        <f t="shared" ca="1" si="4"/>
        <v>214.81645833333337</v>
      </c>
      <c r="G55" s="21">
        <f>'Monthly Data'!BJ55</f>
        <v>1.1083333333333361</v>
      </c>
      <c r="H55" s="21">
        <f>'Monthly Data'!BM55</f>
        <v>257.72916666666674</v>
      </c>
      <c r="I55" s="21">
        <f>'Monthly Data'!Z55</f>
        <v>1</v>
      </c>
      <c r="J55" s="21">
        <f>'Monthly Data'!CF55</f>
        <v>0</v>
      </c>
      <c r="K55" s="21">
        <f>'Monthly Data'!CV55</f>
        <v>0.5</v>
      </c>
      <c r="L55" s="21">
        <f>'Monthly Data'!CS55</f>
        <v>30</v>
      </c>
      <c r="M55" s="21">
        <f>'Monthly Data'!CM55</f>
        <v>54</v>
      </c>
      <c r="N55" s="21">
        <f>'Monthly Data'!CK55</f>
        <v>1</v>
      </c>
      <c r="P55" s="11"/>
      <c r="Q55" s="11">
        <f ca="1">(E55-G55)*'Large Use Predicted Monthly'!$AB$11</f>
        <v>1194.3381545127891</v>
      </c>
      <c r="R55" s="11">
        <f ca="1">(F55-H55)*'Large Use Predicted Monthly'!$AB$12</f>
        <v>-586831.180802371</v>
      </c>
      <c r="S55" s="11"/>
      <c r="T55" s="11"/>
      <c r="U55" s="11"/>
      <c r="V55" s="11"/>
      <c r="W55" s="11"/>
      <c r="X55" s="11"/>
      <c r="Y55" s="11">
        <f t="shared" ca="1" si="5"/>
        <v>10357162.272252036</v>
      </c>
    </row>
    <row r="56" spans="1:25" x14ac:dyDescent="0.2">
      <c r="A56" s="8">
        <f>'Monthly Data'!A56</f>
        <v>44378</v>
      </c>
      <c r="B56">
        <f t="shared" si="1"/>
        <v>2021</v>
      </c>
      <c r="C56">
        <f t="shared" si="2"/>
        <v>7</v>
      </c>
      <c r="D56" s="18">
        <f>'Monthly Data'!X56</f>
        <v>11368752.713587916</v>
      </c>
      <c r="E56" s="290">
        <f t="shared" ca="1" si="4"/>
        <v>0</v>
      </c>
      <c r="F56" s="290">
        <f t="shared" ca="1" si="4"/>
        <v>293.27145833333327</v>
      </c>
      <c r="G56" s="21">
        <f>'Monthly Data'!BJ56</f>
        <v>0</v>
      </c>
      <c r="H56" s="21">
        <f>'Monthly Data'!BM56</f>
        <v>255.42708333333331</v>
      </c>
      <c r="I56" s="21">
        <f>'Monthly Data'!Z56</f>
        <v>1</v>
      </c>
      <c r="J56" s="21">
        <f>'Monthly Data'!CF56</f>
        <v>0</v>
      </c>
      <c r="K56" s="21">
        <f>'Monthly Data'!CV56</f>
        <v>0.5</v>
      </c>
      <c r="L56" s="21">
        <f>'Monthly Data'!CS56</f>
        <v>31</v>
      </c>
      <c r="M56" s="21">
        <f>'Monthly Data'!CM56</f>
        <v>55</v>
      </c>
      <c r="N56" s="21">
        <f>'Monthly Data'!CK56</f>
        <v>1</v>
      </c>
      <c r="P56" s="11"/>
      <c r="Q56" s="11">
        <f ca="1">(E56-G56)*'Large Use Predicted Monthly'!$AB$11</f>
        <v>0</v>
      </c>
      <c r="R56" s="11">
        <f ca="1">(F56-H56)*'Large Use Predicted Monthly'!$AB$12</f>
        <v>517521.73494784907</v>
      </c>
      <c r="S56" s="11"/>
      <c r="T56" s="11"/>
      <c r="U56" s="11"/>
      <c r="V56" s="11"/>
      <c r="W56" s="11"/>
      <c r="X56" s="11"/>
      <c r="Y56" s="11">
        <f t="shared" ca="1" si="5"/>
        <v>11886274.448535765</v>
      </c>
    </row>
    <row r="57" spans="1:25" x14ac:dyDescent="0.2">
      <c r="A57" s="8">
        <f>'Monthly Data'!A57</f>
        <v>44409</v>
      </c>
      <c r="B57">
        <f t="shared" si="1"/>
        <v>2021</v>
      </c>
      <c r="C57">
        <f t="shared" si="2"/>
        <v>8</v>
      </c>
      <c r="D57" s="18">
        <f>'Monthly Data'!X57</f>
        <v>12536881.909072623</v>
      </c>
      <c r="E57" s="290">
        <f t="shared" ca="1" si="4"/>
        <v>0.27875000000000066</v>
      </c>
      <c r="F57" s="290">
        <f t="shared" ca="1" si="4"/>
        <v>257.85749999999996</v>
      </c>
      <c r="G57" s="21">
        <f>'Monthly Data'!BJ57</f>
        <v>0</v>
      </c>
      <c r="H57" s="21">
        <f>'Monthly Data'!BM57</f>
        <v>296.19791666666657</v>
      </c>
      <c r="I57" s="21">
        <f>'Monthly Data'!Z57</f>
        <v>1</v>
      </c>
      <c r="J57" s="21">
        <f>'Monthly Data'!CF57</f>
        <v>0</v>
      </c>
      <c r="K57" s="21">
        <f>'Monthly Data'!CV57</f>
        <v>0.5</v>
      </c>
      <c r="L57" s="21">
        <f>'Monthly Data'!CS57</f>
        <v>31</v>
      </c>
      <c r="M57" s="21">
        <f>'Monthly Data'!CM57</f>
        <v>56</v>
      </c>
      <c r="N57" s="21">
        <f>'Monthly Data'!CK57</f>
        <v>1</v>
      </c>
      <c r="P57" s="11"/>
      <c r="Q57" s="11">
        <f ca="1">(E57-G57)*'Large Use Predicted Monthly'!$AB$11</f>
        <v>171.92301783088942</v>
      </c>
      <c r="R57" s="11">
        <f ca="1">(F57-H57)*'Large Use Predicted Monthly'!$AB$12</f>
        <v>-524305.10351820465</v>
      </c>
      <c r="S57" s="11"/>
      <c r="T57" s="11"/>
      <c r="U57" s="11"/>
      <c r="V57" s="11"/>
      <c r="W57" s="11"/>
      <c r="X57" s="11"/>
      <c r="Y57" s="11">
        <f t="shared" ca="1" si="5"/>
        <v>12012576.805554418</v>
      </c>
    </row>
    <row r="58" spans="1:25" x14ac:dyDescent="0.2">
      <c r="A58" s="8">
        <f>'Monthly Data'!A58</f>
        <v>44440</v>
      </c>
      <c r="B58">
        <f t="shared" si="1"/>
        <v>2021</v>
      </c>
      <c r="C58">
        <f t="shared" si="2"/>
        <v>9</v>
      </c>
      <c r="D58" s="18">
        <f>'Monthly Data'!X58</f>
        <v>10749580.623415139</v>
      </c>
      <c r="E58" s="290">
        <f t="shared" ca="1" si="4"/>
        <v>11.319999999999997</v>
      </c>
      <c r="F58" s="290">
        <f t="shared" ca="1" si="4"/>
        <v>155.75020833333332</v>
      </c>
      <c r="G58" s="21">
        <f>'Monthly Data'!BJ58</f>
        <v>6.8624999999999954</v>
      </c>
      <c r="H58" s="21">
        <f>'Monthly Data'!BM58</f>
        <v>139.96249999999998</v>
      </c>
      <c r="I58" s="21">
        <f>'Monthly Data'!Z58</f>
        <v>1</v>
      </c>
      <c r="J58" s="21">
        <f>'Monthly Data'!CF58</f>
        <v>1</v>
      </c>
      <c r="K58" s="21">
        <f>'Monthly Data'!CV58</f>
        <v>0.5</v>
      </c>
      <c r="L58" s="21">
        <f>'Monthly Data'!CS58</f>
        <v>30</v>
      </c>
      <c r="M58" s="21">
        <f>'Monthly Data'!CM58</f>
        <v>57</v>
      </c>
      <c r="N58" s="21">
        <f>'Monthly Data'!CK58</f>
        <v>0</v>
      </c>
      <c r="P58" s="11"/>
      <c r="Q58" s="11">
        <f ca="1">(E58-G58)*'Large Use Predicted Monthly'!$AB$11</f>
        <v>2749.2263748204055</v>
      </c>
      <c r="R58" s="11">
        <f ca="1">(F58-H58)*'Large Use Predicted Monthly'!$AB$12</f>
        <v>215896.87258720206</v>
      </c>
      <c r="S58" s="11"/>
      <c r="T58" s="11"/>
      <c r="U58" s="11"/>
      <c r="V58" s="11"/>
      <c r="W58" s="11"/>
      <c r="X58" s="11"/>
      <c r="Y58" s="11">
        <f t="shared" ca="1" si="5"/>
        <v>10965477.496002341</v>
      </c>
    </row>
    <row r="59" spans="1:25" x14ac:dyDescent="0.2">
      <c r="A59" s="8">
        <f>'Monthly Data'!A59</f>
        <v>44470</v>
      </c>
      <c r="B59">
        <f t="shared" si="1"/>
        <v>2021</v>
      </c>
      <c r="C59">
        <f t="shared" si="2"/>
        <v>10</v>
      </c>
      <c r="D59" s="18">
        <f>'Monthly Data'!X59</f>
        <v>10356128.307750057</v>
      </c>
      <c r="E59" s="290">
        <f t="shared" ca="1" si="4"/>
        <v>126.12583333333332</v>
      </c>
      <c r="F59" s="290">
        <f t="shared" ca="1" si="4"/>
        <v>45.238541666666677</v>
      </c>
      <c r="G59" s="21">
        <f>'Monthly Data'!BJ59</f>
        <v>80.245833333333309</v>
      </c>
      <c r="H59" s="21">
        <f>'Monthly Data'!BM59</f>
        <v>83.354166666666686</v>
      </c>
      <c r="I59" s="21">
        <f>'Monthly Data'!Z59</f>
        <v>1</v>
      </c>
      <c r="J59" s="21">
        <f>'Monthly Data'!CF59</f>
        <v>1</v>
      </c>
      <c r="K59" s="21">
        <f>'Monthly Data'!CV59</f>
        <v>0.5</v>
      </c>
      <c r="L59" s="21">
        <f>'Monthly Data'!CS59</f>
        <v>31</v>
      </c>
      <c r="M59" s="21">
        <f>'Monthly Data'!CM59</f>
        <v>58</v>
      </c>
      <c r="N59" s="21">
        <f>'Monthly Data'!CK59</f>
        <v>0</v>
      </c>
      <c r="P59" s="11"/>
      <c r="Q59" s="11">
        <f ca="1">(E59-G59)*'Large Use Predicted Monthly'!$AB$11</f>
        <v>28297.141015537902</v>
      </c>
      <c r="R59" s="11">
        <f ca="1">(F59-H59)*'Large Use Predicted Monthly'!$AB$12</f>
        <v>-521231.07803000143</v>
      </c>
      <c r="S59" s="11"/>
      <c r="T59" s="11"/>
      <c r="U59" s="11"/>
      <c r="V59" s="11"/>
      <c r="W59" s="11"/>
      <c r="X59" s="11"/>
      <c r="Y59" s="11">
        <f t="shared" ca="1" si="5"/>
        <v>9834897.2297200561</v>
      </c>
    </row>
    <row r="60" spans="1:25" x14ac:dyDescent="0.2">
      <c r="A60" s="8">
        <f>'Monthly Data'!A60</f>
        <v>44501</v>
      </c>
      <c r="B60">
        <f t="shared" si="1"/>
        <v>2021</v>
      </c>
      <c r="C60">
        <f t="shared" si="2"/>
        <v>11</v>
      </c>
      <c r="D60" s="18">
        <f>'Monthly Data'!X60</f>
        <v>9055135.6095071044</v>
      </c>
      <c r="E60" s="290">
        <f t="shared" ca="1" si="4"/>
        <v>312.40687500000001</v>
      </c>
      <c r="F60" s="290">
        <f t="shared" ca="1" si="4"/>
        <v>3.6587500000000004</v>
      </c>
      <c r="G60" s="21">
        <f>'Monthly Data'!BJ60</f>
        <v>328.07916666666665</v>
      </c>
      <c r="H60" s="21">
        <f>'Monthly Data'!BM60</f>
        <v>0</v>
      </c>
      <c r="I60" s="21">
        <f>'Monthly Data'!Z60</f>
        <v>1</v>
      </c>
      <c r="J60" s="21">
        <f>'Monthly Data'!CF60</f>
        <v>1</v>
      </c>
      <c r="K60" s="21">
        <f>'Monthly Data'!CV60</f>
        <v>0.5</v>
      </c>
      <c r="L60" s="21">
        <f>'Monthly Data'!CS60</f>
        <v>30</v>
      </c>
      <c r="M60" s="21">
        <f>'Monthly Data'!CM60</f>
        <v>59</v>
      </c>
      <c r="N60" s="21">
        <f>'Monthly Data'!CK60</f>
        <v>0</v>
      </c>
      <c r="P60" s="11"/>
      <c r="Q60" s="11">
        <f ca="1">(E60-G60)*'Large Use Predicted Monthly'!$AB$11</f>
        <v>-9666.1082678357725</v>
      </c>
      <c r="R60" s="11">
        <f ca="1">(F60-H60)*'Large Use Predicted Monthly'!$AB$12</f>
        <v>50033.39724174187</v>
      </c>
      <c r="S60" s="11"/>
      <c r="T60" s="11"/>
      <c r="U60" s="11"/>
      <c r="V60" s="11"/>
      <c r="W60" s="11"/>
      <c r="X60" s="11"/>
      <c r="Y60" s="11">
        <f t="shared" ca="1" si="5"/>
        <v>9105169.0067488458</v>
      </c>
    </row>
    <row r="61" spans="1:25" x14ac:dyDescent="0.2">
      <c r="A61" s="8">
        <f>'Monthly Data'!A61</f>
        <v>44531</v>
      </c>
      <c r="B61">
        <f t="shared" si="1"/>
        <v>2021</v>
      </c>
      <c r="C61">
        <f t="shared" si="2"/>
        <v>12</v>
      </c>
      <c r="D61" s="18">
        <f>'Monthly Data'!X61</f>
        <v>9104376.5640171226</v>
      </c>
      <c r="E61" s="290">
        <f t="shared" ca="1" si="4"/>
        <v>473.52499999999998</v>
      </c>
      <c r="F61" s="290">
        <f t="shared" ca="1" si="4"/>
        <v>0</v>
      </c>
      <c r="G61" s="21">
        <f>'Monthly Data'!BJ61</f>
        <v>403.17083333333323</v>
      </c>
      <c r="H61" s="21">
        <f>'Monthly Data'!BM61</f>
        <v>0</v>
      </c>
      <c r="I61" s="21">
        <f>'Monthly Data'!Z61</f>
        <v>1</v>
      </c>
      <c r="J61" s="21">
        <f>'Monthly Data'!CF61</f>
        <v>0</v>
      </c>
      <c r="K61" s="21">
        <f>'Monthly Data'!CV61</f>
        <v>0.5</v>
      </c>
      <c r="L61" s="21">
        <f>'Monthly Data'!CS61</f>
        <v>31</v>
      </c>
      <c r="M61" s="21">
        <f>'Monthly Data'!CM61</f>
        <v>60</v>
      </c>
      <c r="N61" s="21">
        <f>'Monthly Data'!CK61</f>
        <v>0</v>
      </c>
      <c r="P61" s="11"/>
      <c r="Q61" s="11">
        <f ca="1">(E61-G61)*'Large Use Predicted Monthly'!$AB$11</f>
        <v>43391.930584074202</v>
      </c>
      <c r="R61" s="11">
        <f ca="1">(F61-H61)*'Large Use Predicted Monthly'!$AB$12</f>
        <v>0</v>
      </c>
      <c r="S61" s="11"/>
      <c r="T61" s="11"/>
      <c r="U61" s="11"/>
      <c r="V61" s="11"/>
      <c r="W61" s="11"/>
      <c r="X61" s="11"/>
      <c r="Y61" s="11">
        <f t="shared" ca="1" si="5"/>
        <v>9104376.5640171226</v>
      </c>
    </row>
    <row r="62" spans="1:25" x14ac:dyDescent="0.2">
      <c r="A62" s="8">
        <f>'Monthly Data'!A62</f>
        <v>44562</v>
      </c>
      <c r="B62">
        <f t="shared" si="1"/>
        <v>2022</v>
      </c>
      <c r="C62">
        <f t="shared" si="2"/>
        <v>1</v>
      </c>
      <c r="D62" s="18">
        <f>'Monthly Data'!X62</f>
        <v>9110751.0308836643</v>
      </c>
      <c r="E62" s="290">
        <f t="shared" ca="1" si="4"/>
        <v>566.30416666666667</v>
      </c>
      <c r="F62" s="290">
        <f t="shared" ca="1" si="4"/>
        <v>0</v>
      </c>
      <c r="G62" s="21">
        <f>'Monthly Data'!BJ62</f>
        <v>680.12083333333328</v>
      </c>
      <c r="H62" s="21">
        <f>'Monthly Data'!BM62</f>
        <v>0</v>
      </c>
      <c r="I62" s="21">
        <f>'Monthly Data'!Z62</f>
        <v>1</v>
      </c>
      <c r="J62" s="21">
        <f>'Monthly Data'!CF62</f>
        <v>0</v>
      </c>
      <c r="K62" s="21">
        <f>'Monthly Data'!CV62</f>
        <v>0.25</v>
      </c>
      <c r="L62" s="21">
        <f>'Monthly Data'!CS62</f>
        <v>31</v>
      </c>
      <c r="M62" s="21">
        <f>'Monthly Data'!CM62</f>
        <v>61</v>
      </c>
      <c r="N62" s="21">
        <f>'Monthly Data'!CK62</f>
        <v>0</v>
      </c>
      <c r="P62" s="11"/>
      <c r="Q62" s="11">
        <f ca="1">(E62-G62)*'Large Use Predicted Monthly'!$AB$11</f>
        <v>-70198.044171428424</v>
      </c>
      <c r="R62" s="11">
        <f ca="1">(F62-H62)*'Large Use Predicted Monthly'!$AB$12</f>
        <v>0</v>
      </c>
      <c r="S62" s="11"/>
      <c r="T62" s="11"/>
      <c r="U62" s="11"/>
      <c r="V62" s="11"/>
      <c r="W62" s="11"/>
      <c r="X62" s="11"/>
      <c r="Y62" s="11">
        <f t="shared" ca="1" si="5"/>
        <v>9110751.0308836643</v>
      </c>
    </row>
    <row r="63" spans="1:25" x14ac:dyDescent="0.2">
      <c r="A63" s="8">
        <f>'Monthly Data'!A63</f>
        <v>44593</v>
      </c>
      <c r="B63">
        <f t="shared" si="1"/>
        <v>2022</v>
      </c>
      <c r="C63">
        <f t="shared" si="2"/>
        <v>2</v>
      </c>
      <c r="D63" s="18">
        <f>'Monthly Data'!X63</f>
        <v>8626632.1104067359</v>
      </c>
      <c r="E63" s="290">
        <f t="shared" ca="1" si="4"/>
        <v>483.54541666666665</v>
      </c>
      <c r="F63" s="290">
        <f t="shared" ca="1" si="4"/>
        <v>0</v>
      </c>
      <c r="G63" s="21">
        <f>'Monthly Data'!BJ63</f>
        <v>528.55208333333337</v>
      </c>
      <c r="H63" s="21">
        <f>'Monthly Data'!BM63</f>
        <v>0</v>
      </c>
      <c r="I63" s="21">
        <f>'Monthly Data'!Z63</f>
        <v>1</v>
      </c>
      <c r="J63" s="21">
        <f>'Monthly Data'!CF63</f>
        <v>0</v>
      </c>
      <c r="K63" s="21">
        <f>'Monthly Data'!CV63</f>
        <v>0.25</v>
      </c>
      <c r="L63" s="21">
        <f>'Monthly Data'!CS63</f>
        <v>28</v>
      </c>
      <c r="M63" s="21">
        <f>'Monthly Data'!CM63</f>
        <v>62</v>
      </c>
      <c r="N63" s="21">
        <f>'Monthly Data'!CK63</f>
        <v>0</v>
      </c>
      <c r="P63" s="11"/>
      <c r="Q63" s="11">
        <f ca="1">(E63-G63)*'Large Use Predicted Monthly'!$AB$11</f>
        <v>-27758.500290016935</v>
      </c>
      <c r="R63" s="11">
        <f ca="1">(F63-H63)*'Large Use Predicted Monthly'!$AB$12</f>
        <v>0</v>
      </c>
      <c r="S63" s="11"/>
      <c r="T63" s="11"/>
      <c r="U63" s="11"/>
      <c r="V63" s="11"/>
      <c r="W63" s="11"/>
      <c r="X63" s="11"/>
      <c r="Y63" s="11">
        <f t="shared" ca="1" si="5"/>
        <v>8626632.1104067359</v>
      </c>
    </row>
    <row r="64" spans="1:25" x14ac:dyDescent="0.2">
      <c r="A64" s="8">
        <f>'Monthly Data'!A64</f>
        <v>44621</v>
      </c>
      <c r="B64">
        <f t="shared" si="1"/>
        <v>2022</v>
      </c>
      <c r="C64">
        <f t="shared" si="2"/>
        <v>3</v>
      </c>
      <c r="D64" s="18">
        <f>'Monthly Data'!X64</f>
        <v>9589247.0186625384</v>
      </c>
      <c r="E64" s="290">
        <f t="shared" ca="1" si="4"/>
        <v>393.96333333333331</v>
      </c>
      <c r="F64" s="290">
        <f t="shared" ca="1" si="4"/>
        <v>0.93041666666666656</v>
      </c>
      <c r="G64" s="21">
        <f>'Monthly Data'!BJ64</f>
        <v>412.21041666666667</v>
      </c>
      <c r="H64" s="21">
        <f>'Monthly Data'!BM64</f>
        <v>0</v>
      </c>
      <c r="I64" s="21">
        <f>'Monthly Data'!Z64</f>
        <v>1</v>
      </c>
      <c r="J64" s="21">
        <f>'Monthly Data'!CF64</f>
        <v>0</v>
      </c>
      <c r="K64" s="21">
        <f>'Monthly Data'!CV64</f>
        <v>0.25</v>
      </c>
      <c r="L64" s="21">
        <f>'Monthly Data'!CS64</f>
        <v>31</v>
      </c>
      <c r="M64" s="21">
        <f>'Monthly Data'!CM64</f>
        <v>63</v>
      </c>
      <c r="N64" s="21">
        <f>'Monthly Data'!CK64</f>
        <v>0</v>
      </c>
      <c r="P64" s="11"/>
      <c r="Q64" s="11">
        <f ca="1">(E64-G64)*'Large Use Predicted Monthly'!$AB$11</f>
        <v>-11254.147563330547</v>
      </c>
      <c r="R64" s="11">
        <f ca="1">(F64-H64)*'Large Use Predicted Monthly'!$AB$12</f>
        <v>12723.445625875136</v>
      </c>
      <c r="S64" s="11"/>
      <c r="T64" s="11"/>
      <c r="U64" s="11"/>
      <c r="V64" s="11"/>
      <c r="W64" s="11"/>
      <c r="X64" s="11"/>
      <c r="Y64" s="11">
        <f t="shared" ca="1" si="5"/>
        <v>9601970.4642884135</v>
      </c>
    </row>
    <row r="65" spans="1:25" x14ac:dyDescent="0.2">
      <c r="A65" s="8">
        <f>'Monthly Data'!A65</f>
        <v>44652</v>
      </c>
      <c r="B65">
        <f t="shared" si="1"/>
        <v>2022</v>
      </c>
      <c r="C65">
        <f t="shared" si="2"/>
        <v>4</v>
      </c>
      <c r="D65" s="18">
        <f>'Monthly Data'!X65</f>
        <v>9180227.9473527595</v>
      </c>
      <c r="E65" s="290">
        <f t="shared" ca="1" si="4"/>
        <v>226.60145833333337</v>
      </c>
      <c r="F65" s="290">
        <f t="shared" ca="1" si="4"/>
        <v>13.944166666666669</v>
      </c>
      <c r="G65" s="21">
        <f>'Monthly Data'!BJ65</f>
        <v>250.45416666666662</v>
      </c>
      <c r="H65" s="21">
        <f>'Monthly Data'!BM65</f>
        <v>8.4583333333333357</v>
      </c>
      <c r="I65" s="21">
        <f>'Monthly Data'!Z65</f>
        <v>1</v>
      </c>
      <c r="J65" s="21">
        <f>'Monthly Data'!CF65</f>
        <v>0</v>
      </c>
      <c r="K65" s="21">
        <f>'Monthly Data'!CV65</f>
        <v>0.25</v>
      </c>
      <c r="L65" s="21">
        <f>'Monthly Data'!CS65</f>
        <v>30</v>
      </c>
      <c r="M65" s="21">
        <f>'Monthly Data'!CM65</f>
        <v>64</v>
      </c>
      <c r="N65" s="21">
        <f>'Monthly Data'!CK65</f>
        <v>0</v>
      </c>
      <c r="P65" s="11"/>
      <c r="Q65" s="11">
        <f ca="1">(E65-G65)*'Large Use Predicted Monthly'!$AB$11</f>
        <v>-14711.49632325255</v>
      </c>
      <c r="R65" s="11">
        <f ca="1">(F65-H65)*'Large Use Predicted Monthly'!$AB$12</f>
        <v>75018.757326588486</v>
      </c>
      <c r="S65" s="11"/>
      <c r="T65" s="11"/>
      <c r="U65" s="11"/>
      <c r="V65" s="11"/>
      <c r="W65" s="11"/>
      <c r="X65" s="11"/>
      <c r="Y65" s="11">
        <f t="shared" ca="1" si="5"/>
        <v>9255246.7046793476</v>
      </c>
    </row>
    <row r="66" spans="1:25" x14ac:dyDescent="0.2">
      <c r="A66" s="8">
        <f>'Monthly Data'!A66</f>
        <v>44682</v>
      </c>
      <c r="B66">
        <f t="shared" ref="B66:B121" si="6">YEAR(A66)</f>
        <v>2022</v>
      </c>
      <c r="C66">
        <f t="shared" ref="C66:C121" si="7">MONTH(A66)</f>
        <v>5</v>
      </c>
      <c r="D66" s="18">
        <f>'Monthly Data'!X66</f>
        <v>10077830.463332593</v>
      </c>
      <c r="E66" s="290">
        <f t="shared" ca="1" si="4"/>
        <v>65.335833333333326</v>
      </c>
      <c r="F66" s="290">
        <f t="shared" ca="1" si="4"/>
        <v>93.837916666666644</v>
      </c>
      <c r="G66" s="21">
        <f>'Monthly Data'!BJ66</f>
        <v>44.104166666666664</v>
      </c>
      <c r="H66" s="21">
        <f>'Monthly Data'!BM66</f>
        <v>118.09791666666665</v>
      </c>
      <c r="I66" s="21">
        <f>'Monthly Data'!Z66</f>
        <v>1</v>
      </c>
      <c r="J66" s="21">
        <f>'Monthly Data'!CF66</f>
        <v>0</v>
      </c>
      <c r="K66" s="21">
        <f>'Monthly Data'!CV66</f>
        <v>0.25</v>
      </c>
      <c r="L66" s="21">
        <f>'Monthly Data'!CS66</f>
        <v>31</v>
      </c>
      <c r="M66" s="21">
        <f>'Monthly Data'!CM66</f>
        <v>65</v>
      </c>
      <c r="N66" s="21">
        <f>'Monthly Data'!CK66</f>
        <v>1</v>
      </c>
      <c r="P66" s="11"/>
      <c r="Q66" s="11">
        <f ca="1">(E66-G66)*'Large Use Predicted Monthly'!$AB$11</f>
        <v>13094.931683992196</v>
      </c>
      <c r="R66" s="11">
        <f ca="1">(F66-H66)*'Large Use Predicted Monthly'!$AB$12</f>
        <v>-331755.44026912411</v>
      </c>
      <c r="S66" s="11"/>
      <c r="T66" s="11"/>
      <c r="U66" s="11"/>
      <c r="V66" s="11"/>
      <c r="W66" s="11"/>
      <c r="X66" s="11"/>
      <c r="Y66" s="11">
        <f t="shared" ref="Y66:Y97" ca="1" si="8">D66+R66</f>
        <v>9746075.0230634697</v>
      </c>
    </row>
    <row r="67" spans="1:25" x14ac:dyDescent="0.2">
      <c r="A67" s="8">
        <f>'Monthly Data'!A67</f>
        <v>44713</v>
      </c>
      <c r="B67">
        <f t="shared" si="6"/>
        <v>2022</v>
      </c>
      <c r="C67">
        <f t="shared" si="7"/>
        <v>6</v>
      </c>
      <c r="D67" s="18">
        <f>'Monthly Data'!X67</f>
        <v>10583328.764044672</v>
      </c>
      <c r="E67" s="290">
        <f t="shared" ca="1" si="4"/>
        <v>3.0447916666666672</v>
      </c>
      <c r="F67" s="290">
        <f t="shared" ca="1" si="4"/>
        <v>214.81645833333337</v>
      </c>
      <c r="G67" s="21">
        <f>'Monthly Data'!BJ67</f>
        <v>0.97291666666666998</v>
      </c>
      <c r="H67" s="21">
        <f>'Monthly Data'!BM67</f>
        <v>201.85208333333333</v>
      </c>
      <c r="I67" s="21">
        <f>'Monthly Data'!Z67</f>
        <v>1</v>
      </c>
      <c r="J67" s="21">
        <f>'Monthly Data'!CF67</f>
        <v>0</v>
      </c>
      <c r="K67" s="21">
        <f>'Monthly Data'!CV67</f>
        <v>0.25</v>
      </c>
      <c r="L67" s="21">
        <f>'Monthly Data'!CS67</f>
        <v>30</v>
      </c>
      <c r="M67" s="21">
        <f>'Monthly Data'!CM67</f>
        <v>66</v>
      </c>
      <c r="N67" s="21">
        <f>'Monthly Data'!CK67</f>
        <v>1</v>
      </c>
      <c r="P67" s="11"/>
      <c r="Q67" s="11">
        <f ca="1">(E67-G67)*'Large Use Predicted Monthly'!$AB$11</f>
        <v>1277.8583051780188</v>
      </c>
      <c r="R67" s="11">
        <f ca="1">(F67-H67)*'Large Use Predicted Monthly'!$AB$12</f>
        <v>177287.79620523663</v>
      </c>
      <c r="S67" s="11"/>
      <c r="T67" s="11"/>
      <c r="U67" s="11"/>
      <c r="V67" s="11"/>
      <c r="W67" s="11"/>
      <c r="X67" s="11"/>
      <c r="Y67" s="11">
        <f t="shared" ca="1" si="8"/>
        <v>10760616.56024991</v>
      </c>
    </row>
    <row r="68" spans="1:25" x14ac:dyDescent="0.2">
      <c r="A68" s="8">
        <f>'Monthly Data'!A68</f>
        <v>44743</v>
      </c>
      <c r="B68">
        <f t="shared" si="6"/>
        <v>2022</v>
      </c>
      <c r="C68">
        <f t="shared" si="7"/>
        <v>7</v>
      </c>
      <c r="D68" s="18">
        <f>'Monthly Data'!X68</f>
        <v>11652875.177961215</v>
      </c>
      <c r="E68" s="290">
        <f t="shared" ca="1" si="4"/>
        <v>0</v>
      </c>
      <c r="F68" s="290">
        <f t="shared" ca="1" si="4"/>
        <v>293.27145833333327</v>
      </c>
      <c r="G68" s="21">
        <f>'Monthly Data'!BJ68</f>
        <v>0</v>
      </c>
      <c r="H68" s="21">
        <f>'Monthly Data'!BM68</f>
        <v>286.93333333333339</v>
      </c>
      <c r="I68" s="21">
        <f>'Monthly Data'!Z68</f>
        <v>1</v>
      </c>
      <c r="J68" s="21">
        <f>'Monthly Data'!CF68</f>
        <v>0</v>
      </c>
      <c r="K68" s="21">
        <f>'Monthly Data'!CV68</f>
        <v>0.25</v>
      </c>
      <c r="L68" s="21">
        <f>'Monthly Data'!CS68</f>
        <v>31</v>
      </c>
      <c r="M68" s="21">
        <f>'Monthly Data'!CM68</f>
        <v>67</v>
      </c>
      <c r="N68" s="21">
        <f>'Monthly Data'!CK68</f>
        <v>1</v>
      </c>
      <c r="P68" s="11"/>
      <c r="Q68" s="11">
        <f ca="1">(E68-G68)*'Large Use Predicted Monthly'!$AB$11</f>
        <v>0</v>
      </c>
      <c r="R68" s="11">
        <f ca="1">(F68-H68)*'Large Use Predicted Monthly'!$AB$12</f>
        <v>86673.843769814557</v>
      </c>
      <c r="S68" s="11"/>
      <c r="T68" s="11"/>
      <c r="U68" s="11"/>
      <c r="V68" s="11"/>
      <c r="W68" s="11"/>
      <c r="X68" s="11"/>
      <c r="Y68" s="11">
        <f t="shared" ca="1" si="8"/>
        <v>11739549.02173103</v>
      </c>
    </row>
    <row r="69" spans="1:25" x14ac:dyDescent="0.2">
      <c r="A69" s="8">
        <f>'Monthly Data'!A69</f>
        <v>44774</v>
      </c>
      <c r="B69">
        <f t="shared" si="6"/>
        <v>2022</v>
      </c>
      <c r="C69">
        <f t="shared" si="7"/>
        <v>8</v>
      </c>
      <c r="D69" s="18">
        <f>'Monthly Data'!X69</f>
        <v>11707751.467102198</v>
      </c>
      <c r="E69" s="290">
        <f t="shared" ca="1" si="4"/>
        <v>0.27875000000000066</v>
      </c>
      <c r="F69" s="290">
        <f t="shared" ca="1" si="4"/>
        <v>257.85749999999996</v>
      </c>
      <c r="G69" s="21">
        <f>'Monthly Data'!BJ69</f>
        <v>0</v>
      </c>
      <c r="H69" s="21">
        <f>'Monthly Data'!BM69</f>
        <v>270.27916666666675</v>
      </c>
      <c r="I69" s="21">
        <f>'Monthly Data'!Z69</f>
        <v>1</v>
      </c>
      <c r="J69" s="21">
        <f>'Monthly Data'!CF69</f>
        <v>0</v>
      </c>
      <c r="K69" s="21">
        <f>'Monthly Data'!CV69</f>
        <v>0.25</v>
      </c>
      <c r="L69" s="21">
        <f>'Monthly Data'!CS69</f>
        <v>31</v>
      </c>
      <c r="M69" s="21">
        <f>'Monthly Data'!CM69</f>
        <v>68</v>
      </c>
      <c r="N69" s="21">
        <f>'Monthly Data'!CK69</f>
        <v>1</v>
      </c>
      <c r="P69" s="11"/>
      <c r="Q69" s="11">
        <f ca="1">(E69-G69)*'Large Use Predicted Monthly'!$AB$11</f>
        <v>171.92301783088942</v>
      </c>
      <c r="R69" s="11">
        <f ca="1">(F69-H69)*'Large Use Predicted Monthly'!$AB$12</f>
        <v>-169866.26108311399</v>
      </c>
      <c r="S69" s="11"/>
      <c r="T69" s="11"/>
      <c r="U69" s="11"/>
      <c r="V69" s="11"/>
      <c r="W69" s="11"/>
      <c r="X69" s="11"/>
      <c r="Y69" s="11">
        <f t="shared" ca="1" si="8"/>
        <v>11537885.206019083</v>
      </c>
    </row>
    <row r="70" spans="1:25" x14ac:dyDescent="0.2">
      <c r="A70" s="8">
        <f>'Monthly Data'!A70</f>
        <v>44805</v>
      </c>
      <c r="B70">
        <f t="shared" si="6"/>
        <v>2022</v>
      </c>
      <c r="C70">
        <f t="shared" si="7"/>
        <v>9</v>
      </c>
      <c r="D70" s="18">
        <f>'Monthly Data'!X70</f>
        <v>10939336.920596739</v>
      </c>
      <c r="E70" s="290">
        <f t="shared" ca="1" si="4"/>
        <v>11.319999999999997</v>
      </c>
      <c r="F70" s="290">
        <f t="shared" ca="1" si="4"/>
        <v>155.75020833333332</v>
      </c>
      <c r="G70" s="21">
        <f>'Monthly Data'!BJ70</f>
        <v>24.349999999999994</v>
      </c>
      <c r="H70" s="21">
        <f>'Monthly Data'!BM70</f>
        <v>145.54583333333335</v>
      </c>
      <c r="I70" s="21">
        <f>'Monthly Data'!Z70</f>
        <v>1</v>
      </c>
      <c r="J70" s="21">
        <f>'Monthly Data'!CF70</f>
        <v>1</v>
      </c>
      <c r="K70" s="21">
        <f>'Monthly Data'!CV70</f>
        <v>0.25</v>
      </c>
      <c r="L70" s="21">
        <f>'Monthly Data'!CS70</f>
        <v>30</v>
      </c>
      <c r="M70" s="21">
        <f>'Monthly Data'!CM70</f>
        <v>69</v>
      </c>
      <c r="N70" s="21">
        <f>'Monthly Data'!CK70</f>
        <v>0</v>
      </c>
      <c r="P70" s="11"/>
      <c r="Q70" s="11">
        <f ca="1">(E70-G70)*'Large Use Predicted Monthly'!$AB$11</f>
        <v>-8036.437389547923</v>
      </c>
      <c r="R70" s="11">
        <f ca="1">(F70-H70)*'Large Use Predicted Monthly'!$AB$12</f>
        <v>139544.80300066914</v>
      </c>
      <c r="S70" s="11"/>
      <c r="T70" s="11"/>
      <c r="U70" s="11"/>
      <c r="V70" s="11"/>
      <c r="W70" s="11"/>
      <c r="X70" s="11"/>
      <c r="Y70" s="11">
        <f t="shared" ca="1" si="8"/>
        <v>11078881.723597409</v>
      </c>
    </row>
    <row r="71" spans="1:25" x14ac:dyDescent="0.2">
      <c r="A71" s="8">
        <f>'Monthly Data'!A71</f>
        <v>44835</v>
      </c>
      <c r="B71">
        <f t="shared" si="6"/>
        <v>2022</v>
      </c>
      <c r="C71">
        <f t="shared" si="7"/>
        <v>10</v>
      </c>
      <c r="D71" s="18">
        <f>'Monthly Data'!X71</f>
        <v>12833984.256122762</v>
      </c>
      <c r="E71" s="290">
        <f t="shared" ca="1" si="4"/>
        <v>126.12583333333332</v>
      </c>
      <c r="F71" s="290">
        <f t="shared" ca="1" si="4"/>
        <v>45.238541666666677</v>
      </c>
      <c r="G71" s="21">
        <f>'Monthly Data'!BJ71</f>
        <v>138.87083333333328</v>
      </c>
      <c r="H71" s="21">
        <f>'Monthly Data'!BM71</f>
        <v>19.333333333333336</v>
      </c>
      <c r="I71" s="21">
        <f>'Monthly Data'!Z71</f>
        <v>2</v>
      </c>
      <c r="J71" s="21">
        <f>'Monthly Data'!CF71</f>
        <v>1</v>
      </c>
      <c r="K71" s="21">
        <f>'Monthly Data'!CV71</f>
        <v>0.25</v>
      </c>
      <c r="L71" s="21">
        <f>'Monthly Data'!CS71</f>
        <v>31</v>
      </c>
      <c r="M71" s="21">
        <f>'Monthly Data'!CM71</f>
        <v>70</v>
      </c>
      <c r="N71" s="21">
        <f>'Monthly Data'!CK71</f>
        <v>0</v>
      </c>
      <c r="P71" s="11"/>
      <c r="Q71" s="11">
        <f ca="1">(E71-G71)*'Large Use Predicted Monthly'!$AB$11</f>
        <v>-7860.6595955324628</v>
      </c>
      <c r="R71" s="11">
        <f ca="1">(F71-H71)*'Large Use Predicted Monthly'!$AB$12</f>
        <v>354253.66017676768</v>
      </c>
      <c r="S71" s="11"/>
      <c r="T71" s="11"/>
      <c r="U71" s="11"/>
      <c r="V71" s="11"/>
      <c r="W71" s="11"/>
      <c r="X71" s="11"/>
      <c r="Y71" s="11">
        <f t="shared" ca="1" si="8"/>
        <v>13188237.916299529</v>
      </c>
    </row>
    <row r="72" spans="1:25" x14ac:dyDescent="0.2">
      <c r="A72" s="8">
        <f>'Monthly Data'!A72</f>
        <v>44866</v>
      </c>
      <c r="B72">
        <f t="shared" si="6"/>
        <v>2022</v>
      </c>
      <c r="C72">
        <f t="shared" si="7"/>
        <v>11</v>
      </c>
      <c r="D72" s="18">
        <f>'Monthly Data'!X72</f>
        <v>12654963.870489843</v>
      </c>
      <c r="E72" s="290">
        <f t="shared" ca="1" si="4"/>
        <v>312.40687500000001</v>
      </c>
      <c r="F72" s="290">
        <f t="shared" ca="1" si="4"/>
        <v>3.6587500000000004</v>
      </c>
      <c r="G72" s="21">
        <f>'Monthly Data'!BJ72</f>
        <v>285.52916666666664</v>
      </c>
      <c r="H72" s="21">
        <f>'Monthly Data'!BM72</f>
        <v>10.529166666666663</v>
      </c>
      <c r="I72" s="21">
        <f>'Monthly Data'!Z72</f>
        <v>2</v>
      </c>
      <c r="J72" s="21">
        <f>'Monthly Data'!CF72</f>
        <v>1</v>
      </c>
      <c r="K72" s="21">
        <f>'Monthly Data'!CV72</f>
        <v>0.25</v>
      </c>
      <c r="L72" s="21">
        <f>'Monthly Data'!CS72</f>
        <v>30</v>
      </c>
      <c r="M72" s="21">
        <f>'Monthly Data'!CM72</f>
        <v>71</v>
      </c>
      <c r="N72" s="21">
        <f>'Monthly Data'!CK72</f>
        <v>0</v>
      </c>
      <c r="P72" s="11"/>
      <c r="Q72" s="11">
        <f ca="1">(E72-G72)*'Large Use Predicted Monthly'!$AB$11</f>
        <v>16577.20799657438</v>
      </c>
      <c r="R72" s="11">
        <f ca="1">(F72-H72)*'Large Use Predicted Monthly'!$AB$12</f>
        <v>-93952.931000920304</v>
      </c>
      <c r="S72" s="11"/>
      <c r="T72" s="11"/>
      <c r="U72" s="11"/>
      <c r="V72" s="11"/>
      <c r="W72" s="11"/>
      <c r="X72" s="11"/>
      <c r="Y72" s="11">
        <f t="shared" ca="1" si="8"/>
        <v>12561010.939488923</v>
      </c>
    </row>
    <row r="73" spans="1:25" x14ac:dyDescent="0.2">
      <c r="A73" s="8">
        <f>'Monthly Data'!A73</f>
        <v>44896</v>
      </c>
      <c r="B73">
        <f t="shared" si="6"/>
        <v>2022</v>
      </c>
      <c r="C73">
        <f t="shared" si="7"/>
        <v>12</v>
      </c>
      <c r="D73" s="18">
        <f>'Monthly Data'!X73</f>
        <v>12881327.663235825</v>
      </c>
      <c r="E73" s="290">
        <f t="shared" ca="1" si="4"/>
        <v>473.52499999999998</v>
      </c>
      <c r="F73" s="290">
        <f t="shared" ca="1" si="4"/>
        <v>0</v>
      </c>
      <c r="G73" s="21">
        <f>'Monthly Data'!BJ73</f>
        <v>469.42500000000007</v>
      </c>
      <c r="H73" s="21">
        <f>'Monthly Data'!BM73</f>
        <v>0</v>
      </c>
      <c r="I73" s="21">
        <f>'Monthly Data'!Z73</f>
        <v>2</v>
      </c>
      <c r="J73" s="21">
        <f>'Monthly Data'!CF73</f>
        <v>0</v>
      </c>
      <c r="K73" s="21">
        <f>'Monthly Data'!CV73</f>
        <v>0.25</v>
      </c>
      <c r="L73" s="21">
        <f>'Monthly Data'!CS73</f>
        <v>31</v>
      </c>
      <c r="M73" s="21">
        <f>'Monthly Data'!CM73</f>
        <v>72</v>
      </c>
      <c r="N73" s="21">
        <f>'Monthly Data'!CK73</f>
        <v>0</v>
      </c>
      <c r="P73" s="11"/>
      <c r="Q73" s="11">
        <f ca="1">(E73-G73)*'Large Use Predicted Monthly'!$AB$11</f>
        <v>2528.7331770641413</v>
      </c>
      <c r="R73" s="11">
        <f ca="1">(F73-H73)*'Large Use Predicted Monthly'!$AB$12</f>
        <v>0</v>
      </c>
      <c r="S73" s="11"/>
      <c r="T73" s="11"/>
      <c r="U73" s="11"/>
      <c r="V73" s="11"/>
      <c r="W73" s="11"/>
      <c r="X73" s="11"/>
      <c r="Y73" s="11">
        <f t="shared" ca="1" si="8"/>
        <v>12881327.663235825</v>
      </c>
    </row>
    <row r="74" spans="1:25" x14ac:dyDescent="0.2">
      <c r="A74" s="8">
        <f>'Monthly Data'!A74</f>
        <v>44927</v>
      </c>
      <c r="B74">
        <f t="shared" si="6"/>
        <v>2023</v>
      </c>
      <c r="C74">
        <f t="shared" si="7"/>
        <v>1</v>
      </c>
      <c r="D74" s="18">
        <f>'Monthly Data'!X74</f>
        <v>12735778.584634606</v>
      </c>
      <c r="E74" s="290">
        <f t="shared" ca="1" si="4"/>
        <v>566.30416666666667</v>
      </c>
      <c r="F74" s="290">
        <f t="shared" ca="1" si="4"/>
        <v>0</v>
      </c>
      <c r="G74" s="21">
        <f>'Monthly Data'!BJ74</f>
        <v>465.55416666666667</v>
      </c>
      <c r="H74" s="21">
        <f>'Monthly Data'!BM74</f>
        <v>0</v>
      </c>
      <c r="I74" s="21">
        <f>'Monthly Data'!Z74</f>
        <v>2</v>
      </c>
      <c r="J74" s="21">
        <f>'Monthly Data'!CF74</f>
        <v>0</v>
      </c>
      <c r="K74" s="21">
        <f>'Monthly Data'!CV74</f>
        <v>0</v>
      </c>
      <c r="L74" s="21">
        <f>'Monthly Data'!CS74</f>
        <v>31</v>
      </c>
      <c r="M74" s="21">
        <f>'Monthly Data'!CM74</f>
        <v>73</v>
      </c>
      <c r="N74" s="21">
        <f>'Monthly Data'!CK74</f>
        <v>0</v>
      </c>
      <c r="P74" s="11"/>
      <c r="Q74" s="11">
        <f ca="1">(E74-G74)*'Large Use Predicted Monthly'!$AB$11</f>
        <v>62138.992094931185</v>
      </c>
      <c r="R74" s="11">
        <f ca="1">(F74-H74)*'Large Use Predicted Monthly'!$AB$12</f>
        <v>0</v>
      </c>
      <c r="S74" s="11"/>
      <c r="T74" s="11"/>
      <c r="U74" s="11"/>
      <c r="V74" s="11"/>
      <c r="W74" s="11"/>
      <c r="X74" s="11"/>
      <c r="Y74" s="11">
        <f t="shared" ca="1" si="8"/>
        <v>12735778.584634606</v>
      </c>
    </row>
    <row r="75" spans="1:25" x14ac:dyDescent="0.2">
      <c r="A75" s="8">
        <f>'Monthly Data'!A75</f>
        <v>44958</v>
      </c>
      <c r="B75">
        <f t="shared" si="6"/>
        <v>2023</v>
      </c>
      <c r="C75">
        <f t="shared" si="7"/>
        <v>2</v>
      </c>
      <c r="D75" s="18">
        <f>'Monthly Data'!X75</f>
        <v>11767083.564607263</v>
      </c>
      <c r="E75" s="290">
        <f t="shared" ca="1" si="4"/>
        <v>483.54541666666665</v>
      </c>
      <c r="F75" s="290">
        <f t="shared" ca="1" si="4"/>
        <v>0</v>
      </c>
      <c r="G75" s="21">
        <f>'Monthly Data'!BJ75</f>
        <v>433.21666666666664</v>
      </c>
      <c r="H75" s="21">
        <f>'Monthly Data'!BM75</f>
        <v>0</v>
      </c>
      <c r="I75" s="21">
        <f>'Monthly Data'!Z75</f>
        <v>2</v>
      </c>
      <c r="J75" s="21">
        <f>'Monthly Data'!CF75</f>
        <v>0</v>
      </c>
      <c r="K75" s="21">
        <f>'Monthly Data'!CV75</f>
        <v>0</v>
      </c>
      <c r="L75" s="21">
        <f>'Monthly Data'!CS75</f>
        <v>28</v>
      </c>
      <c r="M75" s="21">
        <f>'Monthly Data'!CM75</f>
        <v>74</v>
      </c>
      <c r="N75" s="21">
        <f>'Monthly Data'!CK75</f>
        <v>0</v>
      </c>
      <c r="P75" s="11"/>
      <c r="Q75" s="11">
        <f ca="1">(E75-G75)*'Large Use Predicted Monthly'!$AB$11</f>
        <v>31040.970703699939</v>
      </c>
      <c r="R75" s="11">
        <f ca="1">(F75-H75)*'Large Use Predicted Monthly'!$AB$12</f>
        <v>0</v>
      </c>
      <c r="S75" s="11"/>
      <c r="T75" s="11"/>
      <c r="U75" s="11"/>
      <c r="V75" s="11"/>
      <c r="W75" s="11"/>
      <c r="X75" s="11"/>
      <c r="Y75" s="11">
        <f t="shared" ca="1" si="8"/>
        <v>11767083.564607263</v>
      </c>
    </row>
    <row r="76" spans="1:25" x14ac:dyDescent="0.2">
      <c r="A76" s="8">
        <f>'Monthly Data'!A76</f>
        <v>44986</v>
      </c>
      <c r="B76">
        <f t="shared" si="6"/>
        <v>2023</v>
      </c>
      <c r="C76">
        <f t="shared" si="7"/>
        <v>3</v>
      </c>
      <c r="D76" s="18">
        <f>'Monthly Data'!X76</f>
        <v>13459049.055932319</v>
      </c>
      <c r="E76" s="290">
        <f t="shared" ca="1" si="4"/>
        <v>393.96333333333331</v>
      </c>
      <c r="F76" s="290">
        <f t="shared" ca="1" si="4"/>
        <v>0.93041666666666656</v>
      </c>
      <c r="G76" s="21">
        <f>'Monthly Data'!BJ76</f>
        <v>428.04583333333323</v>
      </c>
      <c r="H76" s="21">
        <f>'Monthly Data'!BM76</f>
        <v>0</v>
      </c>
      <c r="I76" s="21">
        <f>'Monthly Data'!Z76</f>
        <v>2</v>
      </c>
      <c r="J76" s="21">
        <f>'Monthly Data'!CF76</f>
        <v>0</v>
      </c>
      <c r="K76" s="21">
        <f>'Monthly Data'!CV76</f>
        <v>0</v>
      </c>
      <c r="L76" s="21">
        <f>'Monthly Data'!CS76</f>
        <v>31</v>
      </c>
      <c r="M76" s="21">
        <f>'Monthly Data'!CM76</f>
        <v>75</v>
      </c>
      <c r="N76" s="21">
        <f>'Monthly Data'!CK76</f>
        <v>0</v>
      </c>
      <c r="P76" s="11"/>
      <c r="Q76" s="11">
        <f ca="1">(E76-G76)*'Large Use Predicted Monthly'!$AB$11</f>
        <v>-21020.865489583004</v>
      </c>
      <c r="R76" s="11">
        <f ca="1">(F76-H76)*'Large Use Predicted Monthly'!$AB$12</f>
        <v>12723.445625875136</v>
      </c>
      <c r="S76" s="11"/>
      <c r="T76" s="11"/>
      <c r="U76" s="11"/>
      <c r="V76" s="11"/>
      <c r="W76" s="11"/>
      <c r="X76" s="11"/>
      <c r="Y76" s="11">
        <f t="shared" ca="1" si="8"/>
        <v>13471772.501558194</v>
      </c>
    </row>
    <row r="77" spans="1:25" x14ac:dyDescent="0.2">
      <c r="A77" s="8">
        <f>'Monthly Data'!A77</f>
        <v>45017</v>
      </c>
      <c r="B77">
        <f t="shared" si="6"/>
        <v>2023</v>
      </c>
      <c r="C77">
        <f t="shared" si="7"/>
        <v>4</v>
      </c>
      <c r="D77" s="18">
        <f>'Monthly Data'!X77</f>
        <v>13160905.919451777</v>
      </c>
      <c r="E77" s="290">
        <f t="shared" ca="1" si="4"/>
        <v>226.60145833333337</v>
      </c>
      <c r="F77" s="290">
        <f t="shared" ca="1" si="4"/>
        <v>13.944166666666669</v>
      </c>
      <c r="G77" s="21">
        <f>'Monthly Data'!BJ77</f>
        <v>192.73750000000004</v>
      </c>
      <c r="H77" s="21">
        <f>'Monthly Data'!BM77</f>
        <v>34.51666666666668</v>
      </c>
      <c r="I77" s="21">
        <f>'Monthly Data'!Z77</f>
        <v>2</v>
      </c>
      <c r="J77" s="21">
        <f>'Monthly Data'!CF77</f>
        <v>0</v>
      </c>
      <c r="K77" s="21">
        <f>'Monthly Data'!CV77</f>
        <v>0</v>
      </c>
      <c r="L77" s="21">
        <f>'Monthly Data'!CS77</f>
        <v>30</v>
      </c>
      <c r="M77" s="21">
        <f>'Monthly Data'!CM77</f>
        <v>76</v>
      </c>
      <c r="N77" s="21">
        <f>'Monthly Data'!CK77</f>
        <v>0</v>
      </c>
      <c r="P77" s="11"/>
      <c r="Q77" s="11">
        <f ca="1">(E77-G77)*'Large Use Predicted Monthly'!$AB$11</f>
        <v>20886.076815663313</v>
      </c>
      <c r="R77" s="11">
        <f ca="1">(F77-H77)*'Large Use Predicted Monthly'!$AB$12</f>
        <v>-281328.88684816816</v>
      </c>
      <c r="S77" s="11"/>
      <c r="T77" s="11"/>
      <c r="U77" s="11"/>
      <c r="V77" s="11"/>
      <c r="W77" s="11"/>
      <c r="X77" s="11"/>
      <c r="Y77" s="11">
        <f t="shared" ca="1" si="8"/>
        <v>12879577.032603608</v>
      </c>
    </row>
    <row r="78" spans="1:25" x14ac:dyDescent="0.2">
      <c r="A78" s="8">
        <f>'Monthly Data'!A78</f>
        <v>45047</v>
      </c>
      <c r="B78">
        <f t="shared" si="6"/>
        <v>2023</v>
      </c>
      <c r="C78">
        <f t="shared" si="7"/>
        <v>5</v>
      </c>
      <c r="D78" s="18">
        <f>'Monthly Data'!X78</f>
        <v>13788454.644214533</v>
      </c>
      <c r="E78" s="290">
        <f t="shared" ca="1" si="4"/>
        <v>65.335833333333326</v>
      </c>
      <c r="F78" s="290">
        <f t="shared" ca="1" si="4"/>
        <v>93.837916666666644</v>
      </c>
      <c r="G78" s="21">
        <f>'Monthly Data'!BJ78</f>
        <v>62.808333333333323</v>
      </c>
      <c r="H78" s="21">
        <f>'Monthly Data'!BM78</f>
        <v>88.470833333333317</v>
      </c>
      <c r="I78" s="21">
        <f>'Monthly Data'!Z78</f>
        <v>2</v>
      </c>
      <c r="J78" s="21">
        <f>'Monthly Data'!CF78</f>
        <v>0</v>
      </c>
      <c r="K78" s="21">
        <f>'Monthly Data'!CV78</f>
        <v>0</v>
      </c>
      <c r="L78" s="21">
        <f>'Monthly Data'!CS78</f>
        <v>31</v>
      </c>
      <c r="M78" s="21">
        <f>'Monthly Data'!CM78</f>
        <v>77</v>
      </c>
      <c r="N78" s="21">
        <f>'Monthly Data'!CK78</f>
        <v>1</v>
      </c>
      <c r="P78" s="11"/>
      <c r="Q78" s="11">
        <f ca="1">(E78-G78)*'Large Use Predicted Monthly'!$AB$11</f>
        <v>1558.8714890316505</v>
      </c>
      <c r="R78" s="11">
        <f ca="1">(F78-H78)*'Large Use Predicted Monthly'!$AB$12</f>
        <v>73394.851368964373</v>
      </c>
      <c r="S78" s="11"/>
      <c r="T78" s="11"/>
      <c r="U78" s="11"/>
      <c r="V78" s="11"/>
      <c r="W78" s="11"/>
      <c r="X78" s="11"/>
      <c r="Y78" s="11">
        <f t="shared" ca="1" si="8"/>
        <v>13861849.495583497</v>
      </c>
    </row>
    <row r="79" spans="1:25" x14ac:dyDescent="0.2">
      <c r="A79" s="8">
        <f>'Monthly Data'!A79</f>
        <v>45078</v>
      </c>
      <c r="B79">
        <f t="shared" si="6"/>
        <v>2023</v>
      </c>
      <c r="C79">
        <f t="shared" si="7"/>
        <v>6</v>
      </c>
      <c r="D79" s="18">
        <f>'Monthly Data'!X79</f>
        <v>14703192.83696259</v>
      </c>
      <c r="E79" s="290">
        <f t="shared" ref="E79:F133" ca="1" si="9">E67</f>
        <v>3.0447916666666672</v>
      </c>
      <c r="F79" s="290">
        <f t="shared" ca="1" si="9"/>
        <v>214.81645833333337</v>
      </c>
      <c r="G79" s="21">
        <f>'Monthly Data'!BJ79</f>
        <v>1.8374999999999932</v>
      </c>
      <c r="H79" s="21">
        <f>'Monthly Data'!BM79</f>
        <v>188.3041666666667</v>
      </c>
      <c r="I79" s="21">
        <f>'Monthly Data'!Z79</f>
        <v>2</v>
      </c>
      <c r="J79" s="21">
        <f>'Monthly Data'!CF79</f>
        <v>0</v>
      </c>
      <c r="K79" s="21">
        <f>'Monthly Data'!CV79</f>
        <v>0</v>
      </c>
      <c r="L79" s="21">
        <f>'Monthly Data'!CS79</f>
        <v>30</v>
      </c>
      <c r="M79" s="21">
        <f>'Monthly Data'!CM79</f>
        <v>78</v>
      </c>
      <c r="N79" s="21">
        <f>'Monthly Data'!CK79</f>
        <v>1</v>
      </c>
      <c r="P79" s="11"/>
      <c r="Q79" s="11">
        <f ca="1">(E79-G79)*'Large Use Predicted Monthly'!$AB$11</f>
        <v>744.61426631540201</v>
      </c>
      <c r="R79" s="11">
        <f ca="1">(F79-H79)*'Large Use Predicted Monthly'!$AB$12</f>
        <v>362555.52326539281</v>
      </c>
      <c r="S79" s="11"/>
      <c r="T79" s="11"/>
      <c r="U79" s="11"/>
      <c r="V79" s="11"/>
      <c r="W79" s="11"/>
      <c r="X79" s="11"/>
      <c r="Y79" s="11">
        <f t="shared" ca="1" si="8"/>
        <v>15065748.360227983</v>
      </c>
    </row>
    <row r="80" spans="1:25" x14ac:dyDescent="0.2">
      <c r="A80" s="8">
        <f>'Monthly Data'!A80</f>
        <v>45108</v>
      </c>
      <c r="B80">
        <f t="shared" si="6"/>
        <v>2023</v>
      </c>
      <c r="C80">
        <f t="shared" si="7"/>
        <v>7</v>
      </c>
      <c r="D80" s="18">
        <f>'Monthly Data'!X80</f>
        <v>16655581.63047855</v>
      </c>
      <c r="E80" s="290">
        <f t="shared" ca="1" si="9"/>
        <v>0</v>
      </c>
      <c r="F80" s="290">
        <f t="shared" ca="1" si="9"/>
        <v>293.27145833333327</v>
      </c>
      <c r="G80" s="21">
        <f>'Monthly Data'!BJ80</f>
        <v>0</v>
      </c>
      <c r="H80" s="21">
        <f>'Monthly Data'!BM80</f>
        <v>265.2</v>
      </c>
      <c r="I80" s="21">
        <f>'Monthly Data'!Z80</f>
        <v>2</v>
      </c>
      <c r="J80" s="21">
        <f>'Monthly Data'!CF80</f>
        <v>0</v>
      </c>
      <c r="K80" s="21">
        <f>'Monthly Data'!CV80</f>
        <v>0</v>
      </c>
      <c r="L80" s="21">
        <f>'Monthly Data'!CS80</f>
        <v>31</v>
      </c>
      <c r="M80" s="21">
        <f>'Monthly Data'!CM80</f>
        <v>79</v>
      </c>
      <c r="N80" s="21">
        <f>'Monthly Data'!CK80</f>
        <v>1</v>
      </c>
      <c r="P80" s="11"/>
      <c r="Q80" s="11">
        <f ca="1">(E80-G80)*'Large Use Predicted Monthly'!$AB$11</f>
        <v>0</v>
      </c>
      <c r="R80" s="11">
        <f ca="1">(F80-H80)*'Large Use Predicted Monthly'!$AB$12</f>
        <v>383877.12359321333</v>
      </c>
      <c r="S80" s="11"/>
      <c r="T80" s="11"/>
      <c r="U80" s="11"/>
      <c r="V80" s="11"/>
      <c r="W80" s="11"/>
      <c r="X80" s="11"/>
      <c r="Y80" s="11">
        <f t="shared" ca="1" si="8"/>
        <v>17039458.754071765</v>
      </c>
    </row>
    <row r="81" spans="1:25" x14ac:dyDescent="0.2">
      <c r="A81" s="8">
        <f>'Monthly Data'!A81</f>
        <v>45139</v>
      </c>
      <c r="B81">
        <f t="shared" si="6"/>
        <v>2023</v>
      </c>
      <c r="C81">
        <f t="shared" si="7"/>
        <v>8</v>
      </c>
      <c r="D81" s="18">
        <f>'Monthly Data'!X81</f>
        <v>16706591.428423306</v>
      </c>
      <c r="E81" s="290">
        <f t="shared" ca="1" si="9"/>
        <v>0.27875000000000066</v>
      </c>
      <c r="F81" s="290">
        <f t="shared" ca="1" si="9"/>
        <v>257.85749999999996</v>
      </c>
      <c r="G81" s="21">
        <f>'Monthly Data'!BJ81</f>
        <v>4.1666666666646535E-3</v>
      </c>
      <c r="H81" s="21">
        <f>'Monthly Data'!BM81</f>
        <v>206.09166666666664</v>
      </c>
      <c r="I81" s="21">
        <f>'Monthly Data'!Z81</f>
        <v>2</v>
      </c>
      <c r="J81" s="21">
        <f>'Monthly Data'!CF81</f>
        <v>0</v>
      </c>
      <c r="K81" s="21">
        <f>'Monthly Data'!CV81</f>
        <v>0</v>
      </c>
      <c r="L81" s="21">
        <f>'Monthly Data'!CS81</f>
        <v>31</v>
      </c>
      <c r="M81" s="21">
        <f>'Monthly Data'!CM81</f>
        <v>80</v>
      </c>
      <c r="N81" s="21">
        <f>'Monthly Data'!CK81</f>
        <v>1</v>
      </c>
      <c r="P81" s="11"/>
      <c r="Q81" s="11">
        <f ca="1">(E81-G81)*'Large Use Predicted Monthly'!$AB$11</f>
        <v>169.35316704119128</v>
      </c>
      <c r="R81" s="11">
        <f ca="1">(F81-H81)*'Large Use Predicted Monthly'!$AB$12</f>
        <v>707897.64337997092</v>
      </c>
      <c r="S81" s="11"/>
      <c r="T81" s="11"/>
      <c r="U81" s="11"/>
      <c r="V81" s="11"/>
      <c r="W81" s="11"/>
      <c r="X81" s="11"/>
      <c r="Y81" s="11">
        <f t="shared" ca="1" si="8"/>
        <v>17414489.071803275</v>
      </c>
    </row>
    <row r="82" spans="1:25" x14ac:dyDescent="0.2">
      <c r="A82" s="8">
        <f>'Monthly Data'!A82</f>
        <v>45170</v>
      </c>
      <c r="B82">
        <f t="shared" si="6"/>
        <v>2023</v>
      </c>
      <c r="C82">
        <f t="shared" si="7"/>
        <v>9</v>
      </c>
      <c r="D82" s="18">
        <f>'Monthly Data'!X82</f>
        <v>15701047.359710263</v>
      </c>
      <c r="E82" s="290">
        <f t="shared" ca="1" si="9"/>
        <v>11.319999999999997</v>
      </c>
      <c r="F82" s="290">
        <f t="shared" ca="1" si="9"/>
        <v>155.75020833333332</v>
      </c>
      <c r="G82" s="21">
        <f>'Monthly Data'!BJ82</f>
        <v>3.8624999999999901</v>
      </c>
      <c r="H82" s="21">
        <f>'Monthly Data'!BM82</f>
        <v>147.04166666666669</v>
      </c>
      <c r="I82" s="21">
        <f>'Monthly Data'!Z82</f>
        <v>2</v>
      </c>
      <c r="J82" s="21">
        <f>'Monthly Data'!CF82</f>
        <v>1</v>
      </c>
      <c r="K82" s="21">
        <f>'Monthly Data'!CV82</f>
        <v>0</v>
      </c>
      <c r="L82" s="21">
        <f>'Monthly Data'!CS82</f>
        <v>30</v>
      </c>
      <c r="M82" s="21">
        <f>'Monthly Data'!CM82</f>
        <v>81</v>
      </c>
      <c r="N82" s="21">
        <f>'Monthly Data'!CK82</f>
        <v>0</v>
      </c>
      <c r="P82" s="11"/>
      <c r="Q82" s="11">
        <f ca="1">(E82-G82)*'Large Use Predicted Monthly'!$AB$11</f>
        <v>4599.5189434039676</v>
      </c>
      <c r="R82" s="11">
        <f ca="1">(F82-H82)*'Large Use Predicted Monthly'!$AB$12</f>
        <v>119089.28585024734</v>
      </c>
      <c r="S82" s="11"/>
      <c r="T82" s="11"/>
      <c r="U82" s="11"/>
      <c r="V82" s="11"/>
      <c r="W82" s="11"/>
      <c r="X82" s="11"/>
      <c r="Y82" s="11">
        <f t="shared" ca="1" si="8"/>
        <v>15820136.64556051</v>
      </c>
    </row>
    <row r="83" spans="1:25" x14ac:dyDescent="0.2">
      <c r="A83" s="8">
        <f>'Monthly Data'!A83</f>
        <v>45200</v>
      </c>
      <c r="B83">
        <f t="shared" si="6"/>
        <v>2023</v>
      </c>
      <c r="C83">
        <f t="shared" si="7"/>
        <v>10</v>
      </c>
      <c r="D83" s="18">
        <f>'Monthly Data'!X83</f>
        <v>14743057.004624922</v>
      </c>
      <c r="E83" s="290">
        <f t="shared" ca="1" si="9"/>
        <v>126.12583333333332</v>
      </c>
      <c r="F83" s="290">
        <f t="shared" ca="1" si="9"/>
        <v>45.238541666666677</v>
      </c>
      <c r="G83" s="21">
        <f>'Monthly Data'!BJ83</f>
        <v>126.92083333333335</v>
      </c>
      <c r="H83" s="21">
        <f>'Monthly Data'!BM83</f>
        <v>57.625</v>
      </c>
      <c r="I83" s="21">
        <f>'Monthly Data'!Z83</f>
        <v>2</v>
      </c>
      <c r="J83" s="21">
        <f>'Monthly Data'!CF83</f>
        <v>1</v>
      </c>
      <c r="K83" s="21">
        <f>'Monthly Data'!CV83</f>
        <v>0</v>
      </c>
      <c r="L83" s="21">
        <f>'Monthly Data'!CS83</f>
        <v>31</v>
      </c>
      <c r="M83" s="21">
        <f>'Monthly Data'!CM83</f>
        <v>82</v>
      </c>
      <c r="N83" s="21">
        <f>'Monthly Data'!CK83</f>
        <v>0</v>
      </c>
      <c r="P83" s="11"/>
      <c r="Q83" s="11">
        <f ca="1">(E83-G83)*'Large Use Predicted Monthly'!$AB$11</f>
        <v>-490.32753067466172</v>
      </c>
      <c r="R83" s="11">
        <f ca="1">(F83-H83)*'Large Use Predicted Monthly'!$AB$12</f>
        <v>-169384.78721146568</v>
      </c>
      <c r="S83" s="11"/>
      <c r="T83" s="11"/>
      <c r="U83" s="11"/>
      <c r="V83" s="11"/>
      <c r="W83" s="11"/>
      <c r="X83" s="11"/>
      <c r="Y83" s="11">
        <f t="shared" ca="1" si="8"/>
        <v>14573672.217413455</v>
      </c>
    </row>
    <row r="84" spans="1:25" x14ac:dyDescent="0.2">
      <c r="A84" s="8">
        <f>'Monthly Data'!A84</f>
        <v>45231</v>
      </c>
      <c r="B84">
        <f t="shared" si="6"/>
        <v>2023</v>
      </c>
      <c r="C84">
        <f t="shared" si="7"/>
        <v>11</v>
      </c>
      <c r="D84" s="18">
        <f>'Monthly Data'!X84</f>
        <v>13765936.609469777</v>
      </c>
      <c r="E84" s="290">
        <f t="shared" ca="1" si="9"/>
        <v>312.40687500000001</v>
      </c>
      <c r="F84" s="290">
        <f t="shared" ca="1" si="9"/>
        <v>3.6587500000000004</v>
      </c>
      <c r="G84" s="21">
        <f>'Monthly Data'!BJ84</f>
        <v>323.11666666666673</v>
      </c>
      <c r="H84" s="21">
        <f>'Monthly Data'!BM84</f>
        <v>0</v>
      </c>
      <c r="I84" s="21">
        <f>'Monthly Data'!Z84</f>
        <v>2</v>
      </c>
      <c r="J84" s="21">
        <f>'Monthly Data'!CF84</f>
        <v>1</v>
      </c>
      <c r="K84" s="21">
        <f>'Monthly Data'!CV84</f>
        <v>0</v>
      </c>
      <c r="L84" s="21">
        <f>'Monthly Data'!CS84</f>
        <v>30</v>
      </c>
      <c r="M84" s="21">
        <f>'Monthly Data'!CM84</f>
        <v>83</v>
      </c>
      <c r="N84" s="21">
        <f>'Monthly Data'!CK84</f>
        <v>0</v>
      </c>
      <c r="P84" s="11"/>
      <c r="Q84" s="11">
        <f ca="1">(E84-G84)*'Large Use Predicted Monthly'!$AB$11</f>
        <v>-6605.4159773038518</v>
      </c>
      <c r="R84" s="11">
        <f ca="1">(F84-H84)*'Large Use Predicted Monthly'!$AB$12</f>
        <v>50033.39724174187</v>
      </c>
      <c r="S84" s="11"/>
      <c r="T84" s="11"/>
      <c r="U84" s="11"/>
      <c r="V84" s="11"/>
      <c r="W84" s="11"/>
      <c r="X84" s="11"/>
      <c r="Y84" s="11">
        <f t="shared" ca="1" si="8"/>
        <v>13815970.006711518</v>
      </c>
    </row>
    <row r="85" spans="1:25" x14ac:dyDescent="0.2">
      <c r="A85" s="8">
        <f>'Monthly Data'!A85</f>
        <v>45261</v>
      </c>
      <c r="B85">
        <f t="shared" si="6"/>
        <v>2023</v>
      </c>
      <c r="C85">
        <f t="shared" si="7"/>
        <v>12</v>
      </c>
      <c r="D85" s="18">
        <f>'Monthly Data'!X85</f>
        <v>13779390.384411534</v>
      </c>
      <c r="E85" s="290">
        <f t="shared" ca="1" si="9"/>
        <v>473.52499999999998</v>
      </c>
      <c r="F85" s="290">
        <f t="shared" ca="1" si="9"/>
        <v>0</v>
      </c>
      <c r="G85" s="21">
        <f>'Monthly Data'!BJ85</f>
        <v>356.10416666666674</v>
      </c>
      <c r="H85" s="21">
        <f>'Monthly Data'!BM85</f>
        <v>0</v>
      </c>
      <c r="I85" s="21">
        <f>'Monthly Data'!Z85</f>
        <v>2</v>
      </c>
      <c r="J85" s="21">
        <f>'Monthly Data'!CF85</f>
        <v>0</v>
      </c>
      <c r="K85" s="21">
        <f>'Monthly Data'!CV85</f>
        <v>0</v>
      </c>
      <c r="L85" s="21">
        <f>'Monthly Data'!CS85</f>
        <v>31</v>
      </c>
      <c r="M85" s="21">
        <f>'Monthly Data'!CM85</f>
        <v>84</v>
      </c>
      <c r="N85" s="21">
        <f>'Monthly Data'!CK85</f>
        <v>0</v>
      </c>
      <c r="P85" s="11"/>
      <c r="Q85" s="11">
        <f ca="1">(E85-G85)*'Large Use Predicted Monthly'!$AB$11</f>
        <v>72420.965104518371</v>
      </c>
      <c r="R85" s="11">
        <f ca="1">(F85-H85)*'Large Use Predicted Monthly'!$AB$12</f>
        <v>0</v>
      </c>
      <c r="S85" s="11"/>
      <c r="T85" s="11"/>
      <c r="U85" s="11"/>
      <c r="V85" s="11"/>
      <c r="W85" s="11"/>
      <c r="X85" s="11"/>
      <c r="Y85" s="11">
        <f t="shared" ca="1" si="8"/>
        <v>13779390.384411534</v>
      </c>
    </row>
    <row r="86" spans="1:25" x14ac:dyDescent="0.2">
      <c r="A86" s="8">
        <f>'Monthly Data'!A86</f>
        <v>45292</v>
      </c>
      <c r="B86">
        <f t="shared" si="6"/>
        <v>2024</v>
      </c>
      <c r="C86">
        <f t="shared" si="7"/>
        <v>1</v>
      </c>
      <c r="D86" s="18">
        <f>'Monthly Data'!X86</f>
        <v>14260589.724485524</v>
      </c>
      <c r="E86" s="290">
        <f t="shared" ca="1" si="9"/>
        <v>566.30416666666667</v>
      </c>
      <c r="F86" s="290">
        <f t="shared" ca="1" si="9"/>
        <v>0</v>
      </c>
      <c r="G86" s="21">
        <f>'Monthly Data'!BJ86</f>
        <v>530.65208333333339</v>
      </c>
      <c r="H86" s="21">
        <f>'Monthly Data'!BM86</f>
        <v>0</v>
      </c>
      <c r="I86" s="21">
        <f>'Monthly Data'!Z86</f>
        <v>2</v>
      </c>
      <c r="J86" s="21">
        <f>'Monthly Data'!CF86</f>
        <v>0</v>
      </c>
      <c r="K86" s="21">
        <f>'Monthly Data'!CV86</f>
        <v>0</v>
      </c>
      <c r="L86" s="21">
        <f>'Monthly Data'!CS86</f>
        <v>31</v>
      </c>
      <c r="M86" s="21">
        <f>'Monthly Data'!CM86</f>
        <v>85</v>
      </c>
      <c r="N86" s="21">
        <f>'Monthly Data'!CK86</f>
        <v>0</v>
      </c>
      <c r="P86" s="11"/>
      <c r="Q86" s="11">
        <f ca="1">(E86-G86)*'Large Use Predicted Monthly'!$AB$11</f>
        <v>21988.928282062774</v>
      </c>
      <c r="R86" s="11">
        <f ca="1">(F86-H86)*'Large Use Predicted Monthly'!$AB$12</f>
        <v>0</v>
      </c>
      <c r="S86" s="11"/>
      <c r="T86" s="11"/>
      <c r="U86" s="11"/>
      <c r="V86" s="11"/>
      <c r="W86" s="11"/>
      <c r="X86" s="11"/>
      <c r="Y86" s="11">
        <f t="shared" ca="1" si="8"/>
        <v>14260589.724485524</v>
      </c>
    </row>
    <row r="87" spans="1:25" x14ac:dyDescent="0.2">
      <c r="A87" s="8">
        <f>'Monthly Data'!A87</f>
        <v>45323</v>
      </c>
      <c r="B87">
        <f t="shared" si="6"/>
        <v>2024</v>
      </c>
      <c r="C87">
        <f t="shared" si="7"/>
        <v>2</v>
      </c>
      <c r="D87" s="18">
        <f>'Monthly Data'!X87</f>
        <v>13283794.127959238</v>
      </c>
      <c r="E87" s="290">
        <f t="shared" ca="1" si="9"/>
        <v>483.54541666666665</v>
      </c>
      <c r="F87" s="290">
        <f t="shared" ca="1" si="9"/>
        <v>0</v>
      </c>
      <c r="G87" s="21">
        <f>'Monthly Data'!BJ87</f>
        <v>407.16041666666661</v>
      </c>
      <c r="H87" s="21">
        <f>'Monthly Data'!BM87</f>
        <v>0</v>
      </c>
      <c r="I87" s="21">
        <f>'Monthly Data'!Z87</f>
        <v>2</v>
      </c>
      <c r="J87" s="21">
        <f>'Monthly Data'!CF87</f>
        <v>0</v>
      </c>
      <c r="K87" s="21">
        <f>'Monthly Data'!CV87</f>
        <v>0</v>
      </c>
      <c r="L87" s="21">
        <f>'Monthly Data'!CS87</f>
        <v>29</v>
      </c>
      <c r="M87" s="21">
        <f>'Monthly Data'!CM87</f>
        <v>86</v>
      </c>
      <c r="N87" s="21">
        <f>'Monthly Data'!CK87</f>
        <v>0</v>
      </c>
      <c r="P87" s="11"/>
      <c r="Q87" s="11">
        <f ca="1">(E87-G87)*'Large Use Predicted Monthly'!$AB$11</f>
        <v>47111.532617085082</v>
      </c>
      <c r="R87" s="11">
        <f ca="1">(F87-H87)*'Large Use Predicted Monthly'!$AB$12</f>
        <v>0</v>
      </c>
      <c r="S87" s="11"/>
      <c r="T87" s="11"/>
      <c r="U87" s="11"/>
      <c r="V87" s="11"/>
      <c r="W87" s="11"/>
      <c r="X87" s="11"/>
      <c r="Y87" s="11">
        <f t="shared" ca="1" si="8"/>
        <v>13283794.127959238</v>
      </c>
    </row>
    <row r="88" spans="1:25" x14ac:dyDescent="0.2">
      <c r="A88" s="8">
        <f>'Monthly Data'!A88</f>
        <v>45352</v>
      </c>
      <c r="B88">
        <f t="shared" si="6"/>
        <v>2024</v>
      </c>
      <c r="C88">
        <f t="shared" si="7"/>
        <v>3</v>
      </c>
      <c r="D88" s="18">
        <f>'Monthly Data'!X88</f>
        <v>14003296.408531051</v>
      </c>
      <c r="E88" s="290">
        <f t="shared" ca="1" si="9"/>
        <v>393.96333333333331</v>
      </c>
      <c r="F88" s="290">
        <f t="shared" ca="1" si="9"/>
        <v>0.93041666666666656</v>
      </c>
      <c r="G88" s="21">
        <f>'Monthly Data'!BJ88</f>
        <v>332.44375000000008</v>
      </c>
      <c r="H88" s="21">
        <f>'Monthly Data'!BM88</f>
        <v>0</v>
      </c>
      <c r="I88" s="21">
        <f>'Monthly Data'!Z88</f>
        <v>2</v>
      </c>
      <c r="J88" s="21">
        <f>'Monthly Data'!CF88</f>
        <v>0</v>
      </c>
      <c r="K88" s="21">
        <f>'Monthly Data'!CV88</f>
        <v>0</v>
      </c>
      <c r="L88" s="21">
        <f>'Monthly Data'!CS88</f>
        <v>31</v>
      </c>
      <c r="M88" s="21">
        <f>'Monthly Data'!CM88</f>
        <v>87</v>
      </c>
      <c r="N88" s="21">
        <f>'Monthly Data'!CK88</f>
        <v>0</v>
      </c>
      <c r="P88" s="11"/>
      <c r="Q88" s="11">
        <f ca="1">(E88-G88)*'Large Use Predicted Monthly'!$AB$11</f>
        <v>37943.075954674481</v>
      </c>
      <c r="R88" s="11">
        <f ca="1">(F88-H88)*'Large Use Predicted Monthly'!$AB$12</f>
        <v>12723.445625875136</v>
      </c>
      <c r="S88" s="11"/>
      <c r="T88" s="11"/>
      <c r="U88" s="11"/>
      <c r="V88" s="11"/>
      <c r="W88" s="11"/>
      <c r="X88" s="11"/>
      <c r="Y88" s="11">
        <f t="shared" ca="1" si="8"/>
        <v>14016019.854156926</v>
      </c>
    </row>
    <row r="89" spans="1:25" x14ac:dyDescent="0.2">
      <c r="A89" s="8">
        <f>'Monthly Data'!A89</f>
        <v>45383</v>
      </c>
      <c r="B89">
        <f t="shared" si="6"/>
        <v>2024</v>
      </c>
      <c r="C89">
        <f t="shared" si="7"/>
        <v>4</v>
      </c>
      <c r="D89" s="18">
        <f>'Monthly Data'!X89</f>
        <v>13877323.379148966</v>
      </c>
      <c r="E89" s="290">
        <f t="shared" ca="1" si="9"/>
        <v>226.60145833333337</v>
      </c>
      <c r="F89" s="290">
        <f t="shared" ca="1" si="9"/>
        <v>13.944166666666669</v>
      </c>
      <c r="G89" s="21">
        <f>'Monthly Data'!BJ89</f>
        <v>158.17500000000004</v>
      </c>
      <c r="H89" s="21">
        <f>'Monthly Data'!BM89</f>
        <v>19.600000000000001</v>
      </c>
      <c r="I89" s="21">
        <f>'Monthly Data'!Z89</f>
        <v>2</v>
      </c>
      <c r="J89" s="21">
        <f>'Monthly Data'!CF89</f>
        <v>0</v>
      </c>
      <c r="K89" s="21">
        <f>'Monthly Data'!CV89</f>
        <v>0</v>
      </c>
      <c r="L89" s="21">
        <f>'Monthly Data'!CS89</f>
        <v>30</v>
      </c>
      <c r="M89" s="21">
        <f>'Monthly Data'!CM89</f>
        <v>88</v>
      </c>
      <c r="N89" s="21">
        <f>'Monthly Data'!CK89</f>
        <v>0</v>
      </c>
      <c r="P89" s="11"/>
      <c r="Q89" s="11">
        <f ca="1">(E89-G89)*'Large Use Predicted Monthly'!$AB$11</f>
        <v>42202.989116219731</v>
      </c>
      <c r="R89" s="11">
        <f ca="1">(F89-H89)*'Large Use Predicted Monthly'!$AB$12</f>
        <v>-77343.506908029143</v>
      </c>
      <c r="S89" s="11"/>
      <c r="T89" s="11"/>
      <c r="U89" s="11"/>
      <c r="V89" s="11"/>
      <c r="W89" s="11"/>
      <c r="X89" s="11"/>
      <c r="Y89" s="11">
        <f t="shared" ca="1" si="8"/>
        <v>13799979.872240936</v>
      </c>
    </row>
    <row r="90" spans="1:25" x14ac:dyDescent="0.2">
      <c r="A90" s="8">
        <f>'Monthly Data'!A90</f>
        <v>45413</v>
      </c>
      <c r="B90">
        <f t="shared" si="6"/>
        <v>2024</v>
      </c>
      <c r="C90">
        <f t="shared" si="7"/>
        <v>5</v>
      </c>
      <c r="D90" s="18">
        <f>'Monthly Data'!X90</f>
        <v>15404708.31516158</v>
      </c>
      <c r="E90" s="290">
        <f t="shared" ca="1" si="9"/>
        <v>65.335833333333326</v>
      </c>
      <c r="F90" s="290">
        <f t="shared" ca="1" si="9"/>
        <v>93.837916666666644</v>
      </c>
      <c r="G90" s="21">
        <f>'Monthly Data'!BJ90</f>
        <v>14.683333333333328</v>
      </c>
      <c r="H90" s="21">
        <f>'Monthly Data'!BM90</f>
        <v>124.46666666666667</v>
      </c>
      <c r="I90" s="21">
        <f>'Monthly Data'!Z90</f>
        <v>2</v>
      </c>
      <c r="J90" s="21">
        <f>'Monthly Data'!CF90</f>
        <v>0</v>
      </c>
      <c r="K90" s="21">
        <f>'Monthly Data'!CV90</f>
        <v>0</v>
      </c>
      <c r="L90" s="21">
        <f>'Monthly Data'!CS90</f>
        <v>31</v>
      </c>
      <c r="M90" s="21">
        <f>'Monthly Data'!CM90</f>
        <v>89</v>
      </c>
      <c r="N90" s="21">
        <f>'Monthly Data'!CK90</f>
        <v>1</v>
      </c>
      <c r="P90" s="11"/>
      <c r="Q90" s="11">
        <f ca="1">(E90-G90)*'Large Use Predicted Monthly'!$AB$11</f>
        <v>31240.64811005957</v>
      </c>
      <c r="R90" s="11">
        <f ca="1">(F90-H90)*'Large Use Predicted Monthly'!$AB$12</f>
        <v>-418848.08083853842</v>
      </c>
      <c r="S90" s="11"/>
      <c r="T90" s="11"/>
      <c r="U90" s="11"/>
      <c r="V90" s="11"/>
      <c r="W90" s="11"/>
      <c r="X90" s="11"/>
      <c r="Y90" s="11">
        <f t="shared" ca="1" si="8"/>
        <v>14985860.234323042</v>
      </c>
    </row>
    <row r="91" spans="1:25" x14ac:dyDescent="0.2">
      <c r="A91" s="8">
        <f>'Monthly Data'!A91</f>
        <v>45444</v>
      </c>
      <c r="B91">
        <f t="shared" si="6"/>
        <v>2024</v>
      </c>
      <c r="C91">
        <f t="shared" si="7"/>
        <v>6</v>
      </c>
      <c r="D91" s="18">
        <f>'Monthly Data'!X91</f>
        <v>16166675.685287094</v>
      </c>
      <c r="E91" s="290">
        <f t="shared" ca="1" si="9"/>
        <v>3.0447916666666672</v>
      </c>
      <c r="F91" s="290">
        <f t="shared" ca="1" si="9"/>
        <v>214.81645833333337</v>
      </c>
      <c r="G91" s="21">
        <f>'Monthly Data'!BJ91</f>
        <v>1.9666666666666686</v>
      </c>
      <c r="H91" s="21">
        <f>'Monthly Data'!BM91</f>
        <v>227.19791666666666</v>
      </c>
      <c r="I91" s="21">
        <f>'Monthly Data'!Z91</f>
        <v>2</v>
      </c>
      <c r="J91" s="21">
        <f>'Monthly Data'!CF91</f>
        <v>0</v>
      </c>
      <c r="K91" s="21">
        <f>'Monthly Data'!CV91</f>
        <v>0</v>
      </c>
      <c r="L91" s="21">
        <f>'Monthly Data'!CS91</f>
        <v>30</v>
      </c>
      <c r="M91" s="21">
        <f>'Monthly Data'!CM91</f>
        <v>90</v>
      </c>
      <c r="N91" s="21">
        <f>'Monthly Data'!CK91</f>
        <v>1</v>
      </c>
      <c r="P91" s="11"/>
      <c r="Q91" s="11">
        <f ca="1">(E91-G91)*'Large Use Predicted Monthly'!$AB$11</f>
        <v>664.94889183471571</v>
      </c>
      <c r="R91" s="11">
        <f ca="1">(F91-H91)*'Large Use Predicted Monthly'!$AB$12</f>
        <v>-169316.41222377573</v>
      </c>
      <c r="S91" s="11"/>
      <c r="T91" s="11"/>
      <c r="U91" s="11"/>
      <c r="V91" s="11"/>
      <c r="W91" s="11"/>
      <c r="X91" s="11"/>
      <c r="Y91" s="11">
        <f t="shared" ca="1" si="8"/>
        <v>15997359.273063319</v>
      </c>
    </row>
    <row r="92" spans="1:25" x14ac:dyDescent="0.2">
      <c r="A92" s="8">
        <f>'Monthly Data'!A92</f>
        <v>45474</v>
      </c>
      <c r="B92">
        <f t="shared" si="6"/>
        <v>2024</v>
      </c>
      <c r="C92">
        <f t="shared" si="7"/>
        <v>7</v>
      </c>
      <c r="D92" s="18">
        <f>'Monthly Data'!X92</f>
        <v>17648326.53122801</v>
      </c>
      <c r="E92" s="290">
        <f t="shared" ca="1" si="9"/>
        <v>0</v>
      </c>
      <c r="F92" s="290">
        <f t="shared" ca="1" si="9"/>
        <v>293.27145833333327</v>
      </c>
      <c r="G92" s="21">
        <f>'Monthly Data'!BJ92</f>
        <v>0</v>
      </c>
      <c r="H92" s="21">
        <f>'Monthly Data'!BM92</f>
        <v>283.45416666666665</v>
      </c>
      <c r="I92" s="21">
        <f>'Monthly Data'!Z92</f>
        <v>2</v>
      </c>
      <c r="J92" s="21">
        <f>'Monthly Data'!CF92</f>
        <v>0</v>
      </c>
      <c r="K92" s="21">
        <f>'Monthly Data'!CV92</f>
        <v>0</v>
      </c>
      <c r="L92" s="21">
        <f>'Monthly Data'!CS92</f>
        <v>31</v>
      </c>
      <c r="M92" s="21">
        <f>'Monthly Data'!CM92</f>
        <v>91</v>
      </c>
      <c r="N92" s="21">
        <f>'Monthly Data'!CK92</f>
        <v>1</v>
      </c>
      <c r="P92" s="11"/>
      <c r="Q92" s="11">
        <f ca="1">(E92-G92)*'Large Use Predicted Monthly'!$AB$11</f>
        <v>0</v>
      </c>
      <c r="R92" s="11">
        <f ca="1">(F92-H92)*'Large Use Predicted Monthly'!$AB$12</f>
        <v>134251.43937037871</v>
      </c>
      <c r="S92" s="11"/>
      <c r="T92" s="11"/>
      <c r="U92" s="11"/>
      <c r="V92" s="11"/>
      <c r="W92" s="11"/>
      <c r="X92" s="11"/>
      <c r="Y92" s="11">
        <f t="shared" ca="1" si="8"/>
        <v>17782577.970598388</v>
      </c>
    </row>
    <row r="93" spans="1:25" x14ac:dyDescent="0.2">
      <c r="A93" s="8">
        <f>'Monthly Data'!A93</f>
        <v>45505</v>
      </c>
      <c r="B93">
        <f t="shared" si="6"/>
        <v>2024</v>
      </c>
      <c r="C93">
        <f t="shared" si="7"/>
        <v>8</v>
      </c>
      <c r="D93" s="18">
        <f>'Monthly Data'!X93</f>
        <v>17363128.283993222</v>
      </c>
      <c r="E93" s="290">
        <f t="shared" ca="1" si="9"/>
        <v>0.27875000000000066</v>
      </c>
      <c r="F93" s="290">
        <f t="shared" ca="1" si="9"/>
        <v>257.85749999999996</v>
      </c>
      <c r="G93" s="21">
        <f>'Monthly Data'!BJ93</f>
        <v>0.30000000000000426</v>
      </c>
      <c r="H93" s="21">
        <f>'Monthly Data'!BM93</f>
        <v>244.8520833333333</v>
      </c>
      <c r="I93" s="21">
        <f>'Monthly Data'!Z93</f>
        <v>2</v>
      </c>
      <c r="J93" s="21">
        <f>'Monthly Data'!CF93</f>
        <v>0</v>
      </c>
      <c r="K93" s="21">
        <f>'Monthly Data'!CV93</f>
        <v>0</v>
      </c>
      <c r="L93" s="21">
        <f>'Monthly Data'!CS93</f>
        <v>31</v>
      </c>
      <c r="M93" s="21">
        <f>'Monthly Data'!CM93</f>
        <v>92</v>
      </c>
      <c r="N93" s="21">
        <f>'Monthly Data'!CK93</f>
        <v>1</v>
      </c>
      <c r="P93" s="11"/>
      <c r="Q93" s="11">
        <f ca="1">(E93-G93)*'Large Use Predicted Monthly'!$AB$11</f>
        <v>-13.106239027469096</v>
      </c>
      <c r="R93" s="11">
        <f ca="1">(F93-H93)*'Large Use Predicted Monthly'!$AB$12</f>
        <v>177849.04089585337</v>
      </c>
      <c r="S93" s="11"/>
      <c r="T93" s="11"/>
      <c r="U93" s="11"/>
      <c r="V93" s="11"/>
      <c r="W93" s="11"/>
      <c r="X93" s="11"/>
      <c r="Y93" s="11">
        <f t="shared" ca="1" si="8"/>
        <v>17540977.324889075</v>
      </c>
    </row>
    <row r="94" spans="1:25" x14ac:dyDescent="0.2">
      <c r="A94" s="8">
        <f>'Monthly Data'!A94</f>
        <v>45536</v>
      </c>
      <c r="B94">
        <f t="shared" si="6"/>
        <v>2024</v>
      </c>
      <c r="C94">
        <f t="shared" si="7"/>
        <v>9</v>
      </c>
      <c r="D94" s="18">
        <f>'Monthly Data'!X94</f>
        <v>16364222.048419036</v>
      </c>
      <c r="E94" s="290">
        <f t="shared" ca="1" si="9"/>
        <v>11.319999999999997</v>
      </c>
      <c r="F94" s="290">
        <f t="shared" ca="1" si="9"/>
        <v>155.75020833333332</v>
      </c>
      <c r="G94" s="21">
        <f>'Monthly Data'!BJ94</f>
        <v>4.2874999999999979</v>
      </c>
      <c r="H94" s="21">
        <f>'Monthly Data'!BM94</f>
        <v>176.65208333333334</v>
      </c>
      <c r="I94" s="21">
        <f>'Monthly Data'!Z94</f>
        <v>2</v>
      </c>
      <c r="J94" s="21">
        <f>'Monthly Data'!CF94</f>
        <v>1</v>
      </c>
      <c r="K94" s="21">
        <f>'Monthly Data'!CV94</f>
        <v>0</v>
      </c>
      <c r="L94" s="21">
        <f>'Monthly Data'!CS94</f>
        <v>30</v>
      </c>
      <c r="M94" s="21">
        <f>'Monthly Data'!CM94</f>
        <v>93</v>
      </c>
      <c r="N94" s="21">
        <f>'Monthly Data'!CK94</f>
        <v>0</v>
      </c>
      <c r="P94" s="11"/>
      <c r="Q94" s="11">
        <f ca="1">(E94-G94)*'Large Use Predicted Monthly'!$AB$11</f>
        <v>4337.3941628546254</v>
      </c>
      <c r="R94" s="11">
        <f ca="1">(F94-H94)*'Large Use Predicted Monthly'!$AB$12</f>
        <v>-285833.08916220954</v>
      </c>
      <c r="S94" s="11"/>
      <c r="T94" s="11"/>
      <c r="U94" s="11"/>
      <c r="V94" s="11"/>
      <c r="W94" s="11"/>
      <c r="X94" s="11"/>
      <c r="Y94" s="11">
        <f t="shared" ca="1" si="8"/>
        <v>16078388.959256826</v>
      </c>
    </row>
    <row r="95" spans="1:25" x14ac:dyDescent="0.2">
      <c r="A95" s="8">
        <f>'Monthly Data'!A95</f>
        <v>45566</v>
      </c>
      <c r="B95">
        <f t="shared" si="6"/>
        <v>2024</v>
      </c>
      <c r="C95">
        <f t="shared" si="7"/>
        <v>10</v>
      </c>
      <c r="D95" s="18">
        <f>'Monthly Data'!X95</f>
        <v>14807290.144618651</v>
      </c>
      <c r="E95" s="290">
        <f t="shared" ca="1" si="9"/>
        <v>126.12583333333332</v>
      </c>
      <c r="F95" s="290">
        <f t="shared" ca="1" si="9"/>
        <v>45.238541666666677</v>
      </c>
      <c r="G95" s="21">
        <f>'Monthly Data'!BJ95</f>
        <v>109.52916666666667</v>
      </c>
      <c r="H95" s="21">
        <f>'Monthly Data'!BM95</f>
        <v>41.512500000000003</v>
      </c>
      <c r="I95" s="21">
        <f>'Monthly Data'!Z95</f>
        <v>2</v>
      </c>
      <c r="J95" s="21">
        <f>'Monthly Data'!CF95</f>
        <v>1</v>
      </c>
      <c r="K95" s="21">
        <f>'Monthly Data'!CV95</f>
        <v>0</v>
      </c>
      <c r="L95" s="21">
        <f>'Monthly Data'!CS95</f>
        <v>31</v>
      </c>
      <c r="M95" s="21">
        <f>'Monthly Data'!CM95</f>
        <v>94</v>
      </c>
      <c r="N95" s="21">
        <f>'Monthly Data'!CK95</f>
        <v>0</v>
      </c>
      <c r="P95" s="11"/>
      <c r="Q95" s="11">
        <f ca="1">(E95-G95)*'Large Use Predicted Monthly'!$AB$11</f>
        <v>10236.229665530589</v>
      </c>
      <c r="R95" s="11">
        <f ca="1">(F95-H95)*'Large Use Predicted Monthly'!$AB$12</f>
        <v>50953.610617728911</v>
      </c>
      <c r="S95" s="11"/>
      <c r="T95" s="11"/>
      <c r="U95" s="11"/>
      <c r="V95" s="11"/>
      <c r="W95" s="11"/>
      <c r="X95" s="11"/>
      <c r="Y95" s="11">
        <f t="shared" ca="1" si="8"/>
        <v>14858243.75523638</v>
      </c>
    </row>
    <row r="96" spans="1:25" x14ac:dyDescent="0.2">
      <c r="A96" s="8">
        <f>'Monthly Data'!A96</f>
        <v>45597</v>
      </c>
      <c r="B96">
        <f t="shared" si="6"/>
        <v>2024</v>
      </c>
      <c r="C96">
        <f t="shared" si="7"/>
        <v>11</v>
      </c>
      <c r="D96" s="18">
        <f>'Monthly Data'!X96</f>
        <v>13992711.462041363</v>
      </c>
      <c r="E96" s="290">
        <f t="shared" ca="1" si="9"/>
        <v>312.40687500000001</v>
      </c>
      <c r="F96" s="290">
        <f t="shared" ca="1" si="9"/>
        <v>3.6587500000000004</v>
      </c>
      <c r="G96" s="21">
        <f>'Monthly Data'!BJ96</f>
        <v>248.15208333333331</v>
      </c>
      <c r="H96" s="21">
        <f>'Monthly Data'!BM96</f>
        <v>12.462500000000004</v>
      </c>
      <c r="I96" s="21">
        <f>'Monthly Data'!Z96</f>
        <v>2</v>
      </c>
      <c r="J96" s="21">
        <f>'Monthly Data'!CF96</f>
        <v>1</v>
      </c>
      <c r="K96" s="21">
        <f>'Monthly Data'!CV96</f>
        <v>0</v>
      </c>
      <c r="L96" s="21">
        <f>'Monthly Data'!CS96</f>
        <v>30</v>
      </c>
      <c r="M96" s="21">
        <f>'Monthly Data'!CM96</f>
        <v>95</v>
      </c>
      <c r="N96" s="21">
        <f>'Monthly Data'!CK96</f>
        <v>0</v>
      </c>
      <c r="P96" s="11"/>
      <c r="Q96" s="11">
        <f ca="1">(E96-G96)*'Large Use Predicted Monthly'!$AB$11</f>
        <v>39630.054505572734</v>
      </c>
      <c r="R96" s="11">
        <f ca="1">(F96-H96)*'Large Use Predicted Monthly'!$AB$12</f>
        <v>-120391.25957416746</v>
      </c>
      <c r="S96" s="11"/>
      <c r="T96" s="11"/>
      <c r="U96" s="11"/>
      <c r="V96" s="11"/>
      <c r="W96" s="11"/>
      <c r="X96" s="11"/>
      <c r="Y96" s="11">
        <f t="shared" ca="1" si="8"/>
        <v>13872320.202467196</v>
      </c>
    </row>
    <row r="97" spans="1:29" x14ac:dyDescent="0.2">
      <c r="A97" s="8">
        <f>'Monthly Data'!A97</f>
        <v>45627</v>
      </c>
      <c r="B97">
        <f t="shared" si="6"/>
        <v>2024</v>
      </c>
      <c r="C97">
        <f t="shared" si="7"/>
        <v>12</v>
      </c>
      <c r="D97" s="18">
        <f>'Monthly Data'!X97</f>
        <v>13601921.748472378</v>
      </c>
      <c r="E97" s="290">
        <f t="shared" ca="1" si="9"/>
        <v>473.52499999999998</v>
      </c>
      <c r="F97" s="290">
        <f t="shared" ca="1" si="9"/>
        <v>0</v>
      </c>
      <c r="G97" s="21">
        <f>'Monthly Data'!BJ97</f>
        <v>477.23749999999995</v>
      </c>
      <c r="H97" s="21">
        <f>'Monthly Data'!BM97</f>
        <v>0</v>
      </c>
      <c r="I97" s="21">
        <f>'Monthly Data'!Z97</f>
        <v>2</v>
      </c>
      <c r="J97" s="21">
        <f>'Monthly Data'!CF97</f>
        <v>0</v>
      </c>
      <c r="K97" s="21">
        <f>'Monthly Data'!CV97</f>
        <v>0</v>
      </c>
      <c r="L97" s="21">
        <f>'Monthly Data'!CS97</f>
        <v>31</v>
      </c>
      <c r="M97" s="21">
        <f>'Monthly Data'!CM97</f>
        <v>96</v>
      </c>
      <c r="N97" s="21">
        <f>'Monthly Data'!CK97</f>
        <v>0</v>
      </c>
      <c r="P97" s="11"/>
      <c r="Q97" s="11">
        <f ca="1">(E97-G97)*'Large Use Predicted Monthly'!$AB$11</f>
        <v>-2289.7370536221401</v>
      </c>
      <c r="R97" s="11">
        <f ca="1">(F97-H97)*'Large Use Predicted Monthly'!$AB$12</f>
        <v>0</v>
      </c>
      <c r="S97" s="11"/>
      <c r="T97" s="11"/>
      <c r="U97" s="11"/>
      <c r="V97" s="11"/>
      <c r="W97" s="11"/>
      <c r="X97" s="11"/>
      <c r="Y97" s="11">
        <f t="shared" ca="1" si="8"/>
        <v>13601921.748472378</v>
      </c>
    </row>
    <row r="98" spans="1:29" x14ac:dyDescent="0.2">
      <c r="A98" s="8">
        <f>'Monthly Data'!A98</f>
        <v>45658</v>
      </c>
      <c r="B98">
        <f t="shared" ref="B98:B109" si="10">YEAR(A98)</f>
        <v>2025</v>
      </c>
      <c r="C98">
        <f t="shared" ref="C98:C109" si="11">MONTH(A98)</f>
        <v>1</v>
      </c>
      <c r="D98" s="18">
        <f>'Monthly Data'!X98</f>
        <v>14361905.166353663</v>
      </c>
      <c r="E98" s="290">
        <f t="shared" ca="1" si="9"/>
        <v>566.30416666666667</v>
      </c>
      <c r="F98" s="290">
        <f t="shared" ca="1" si="9"/>
        <v>0</v>
      </c>
      <c r="G98" s="21">
        <f>'Monthly Data'!BJ98</f>
        <v>631.72708333333333</v>
      </c>
      <c r="H98" s="21">
        <f>'Monthly Data'!BM98</f>
        <v>0</v>
      </c>
      <c r="I98" s="21">
        <f>'Monthly Data'!Z98</f>
        <v>2</v>
      </c>
      <c r="J98" s="21">
        <f>'Monthly Data'!CF98</f>
        <v>0</v>
      </c>
      <c r="K98" s="21">
        <f>'Monthly Data'!CV98</f>
        <v>0</v>
      </c>
      <c r="L98" s="21">
        <f>'Monthly Data'!CS98</f>
        <v>31</v>
      </c>
      <c r="M98" s="21">
        <f>'Monthly Data'!CM98</f>
        <v>97</v>
      </c>
      <c r="N98" s="21">
        <f>'Monthly Data'!CK98</f>
        <v>0</v>
      </c>
      <c r="P98" s="11"/>
      <c r="Q98" s="11">
        <f ca="1">(E98-G98)*'Large Use Predicted Monthly'!$AB$11</f>
        <v>-40350.512174464922</v>
      </c>
      <c r="R98" s="11">
        <f ca="1">(F98-H98)*'Large Use Predicted Monthly'!$AB$12</f>
        <v>0</v>
      </c>
      <c r="S98" s="11"/>
      <c r="T98" s="11"/>
      <c r="U98" s="11"/>
      <c r="V98" s="11"/>
      <c r="W98" s="11"/>
      <c r="X98" s="11"/>
      <c r="Y98" s="11">
        <f t="shared" ref="Y98:Y109" ca="1" si="12">D98+R98</f>
        <v>14361905.166353663</v>
      </c>
    </row>
    <row r="99" spans="1:29" x14ac:dyDescent="0.2">
      <c r="A99" s="8">
        <f>'Monthly Data'!A99</f>
        <v>45689</v>
      </c>
      <c r="B99">
        <f t="shared" si="10"/>
        <v>2025</v>
      </c>
      <c r="C99">
        <f t="shared" si="11"/>
        <v>2</v>
      </c>
      <c r="D99" s="18">
        <f>'Monthly Data'!X99</f>
        <v>12945592.518201813</v>
      </c>
      <c r="E99" s="290">
        <f t="shared" ca="1" si="9"/>
        <v>483.54541666666665</v>
      </c>
      <c r="F99" s="290">
        <f t="shared" ca="1" si="9"/>
        <v>0</v>
      </c>
      <c r="G99" s="21">
        <f>'Monthly Data'!BJ99</f>
        <v>547.18750000000011</v>
      </c>
      <c r="H99" s="21">
        <f>'Monthly Data'!BM99</f>
        <v>0</v>
      </c>
      <c r="I99" s="21">
        <f>'Monthly Data'!Z99</f>
        <v>2</v>
      </c>
      <c r="J99" s="21">
        <f>'Monthly Data'!CF99</f>
        <v>0</v>
      </c>
      <c r="K99" s="21">
        <f>'Monthly Data'!CV99</f>
        <v>0</v>
      </c>
      <c r="L99" s="21">
        <f>'Monthly Data'!CS99</f>
        <v>28</v>
      </c>
      <c r="M99" s="21">
        <f>'Monthly Data'!CM99</f>
        <v>98</v>
      </c>
      <c r="N99" s="21">
        <f>'Monthly Data'!CK99</f>
        <v>0</v>
      </c>
      <c r="P99" s="11"/>
      <c r="Q99" s="11">
        <f ca="1">(E99-G99)*'Large Use Predicted Monthly'!$AB$11</f>
        <v>-39252.157946947489</v>
      </c>
      <c r="R99" s="11">
        <f ca="1">(F99-H99)*'Large Use Predicted Monthly'!$AB$12</f>
        <v>0</v>
      </c>
      <c r="S99" s="11"/>
      <c r="T99" s="11"/>
      <c r="U99" s="11"/>
      <c r="V99" s="11"/>
      <c r="W99" s="11"/>
      <c r="X99" s="11"/>
      <c r="Y99" s="11">
        <f t="shared" ca="1" si="12"/>
        <v>12945592.518201813</v>
      </c>
    </row>
    <row r="100" spans="1:29" x14ac:dyDescent="0.2">
      <c r="A100" s="8">
        <f>'Monthly Data'!A100</f>
        <v>45717</v>
      </c>
      <c r="B100">
        <f t="shared" si="10"/>
        <v>2025</v>
      </c>
      <c r="C100">
        <f t="shared" si="11"/>
        <v>3</v>
      </c>
      <c r="D100" s="18">
        <f>'Monthly Data'!X100</f>
        <v>14237317.45575696</v>
      </c>
      <c r="E100" s="290">
        <f t="shared" ca="1" si="9"/>
        <v>393.96333333333331</v>
      </c>
      <c r="F100" s="290">
        <f t="shared" ca="1" si="9"/>
        <v>0.93041666666666656</v>
      </c>
      <c r="G100" s="21">
        <f>'Monthly Data'!BJ100</f>
        <v>350.71041666666673</v>
      </c>
      <c r="H100" s="21">
        <f>'Monthly Data'!BM100</f>
        <v>2.4708333333333297</v>
      </c>
      <c r="I100" s="21">
        <f>'Monthly Data'!Z100</f>
        <v>2</v>
      </c>
      <c r="J100" s="21">
        <f>'Monthly Data'!CF100</f>
        <v>0</v>
      </c>
      <c r="K100" s="21">
        <f>'Monthly Data'!CV100</f>
        <v>0</v>
      </c>
      <c r="L100" s="21">
        <f>'Monthly Data'!CS100</f>
        <v>31</v>
      </c>
      <c r="M100" s="21">
        <f>'Monthly Data'!CM100</f>
        <v>99</v>
      </c>
      <c r="N100" s="21">
        <f>'Monthly Data'!CK100</f>
        <v>0</v>
      </c>
      <c r="P100" s="11"/>
      <c r="Q100" s="11">
        <f ca="1">(E100-G100)*'Large Use Predicted Monthly'!$AB$11</f>
        <v>26676.850092632376</v>
      </c>
      <c r="R100" s="11">
        <f ca="1">(F100-H100)*'Large Use Predicted Monthly'!$AB$12</f>
        <v>-21065.194123985795</v>
      </c>
      <c r="S100" s="11"/>
      <c r="T100" s="11"/>
      <c r="U100" s="11"/>
      <c r="V100" s="11"/>
      <c r="W100" s="11"/>
      <c r="X100" s="11"/>
      <c r="Y100" s="11">
        <f t="shared" ca="1" si="12"/>
        <v>14216252.261632975</v>
      </c>
      <c r="AB100" s="11"/>
      <c r="AC100" s="22"/>
    </row>
    <row r="101" spans="1:29" x14ac:dyDescent="0.2">
      <c r="A101" s="8">
        <f>'Monthly Data'!A101</f>
        <v>45748</v>
      </c>
      <c r="B101">
        <f t="shared" si="10"/>
        <v>2025</v>
      </c>
      <c r="C101">
        <f t="shared" si="11"/>
        <v>4</v>
      </c>
      <c r="D101" s="18">
        <f>'Monthly Data'!X101</f>
        <v>14137926.302662909</v>
      </c>
      <c r="E101" s="290">
        <f t="shared" ca="1" si="9"/>
        <v>226.60145833333337</v>
      </c>
      <c r="F101" s="290">
        <f t="shared" ca="1" si="9"/>
        <v>13.944166666666669</v>
      </c>
      <c r="G101" s="21">
        <f>'Monthly Data'!BJ101</f>
        <v>209.11249999999995</v>
      </c>
      <c r="H101" s="21">
        <f>'Monthly Data'!BM101</f>
        <v>21.741666666666667</v>
      </c>
      <c r="I101" s="21">
        <f>'Monthly Data'!Z101</f>
        <v>2</v>
      </c>
      <c r="J101" s="21">
        <f>'Monthly Data'!CF101</f>
        <v>0</v>
      </c>
      <c r="K101" s="21">
        <f>'Monthly Data'!CV101</f>
        <v>0</v>
      </c>
      <c r="L101" s="21">
        <f>'Monthly Data'!CS101</f>
        <v>30</v>
      </c>
      <c r="M101" s="21">
        <f>'Monthly Data'!CM101</f>
        <v>100</v>
      </c>
      <c r="N101" s="21">
        <f>'Monthly Data'!CK101</f>
        <v>0</v>
      </c>
      <c r="P101" s="11"/>
      <c r="Q101" s="11">
        <f ca="1">(E101-G101)*'Large Use Predicted Monthly'!$AB$11</f>
        <v>10786.563212144774</v>
      </c>
      <c r="R101" s="11">
        <f ca="1">(F101-H101)*'Large Use Predicted Monthly'!$AB$12</f>
        <v>-106630.79330166917</v>
      </c>
      <c r="S101" s="11"/>
      <c r="T101" s="11"/>
      <c r="U101" s="11"/>
      <c r="V101" s="11"/>
      <c r="W101" s="11"/>
      <c r="X101" s="11"/>
      <c r="Y101" s="11">
        <f t="shared" ca="1" si="12"/>
        <v>14031295.509361239</v>
      </c>
      <c r="AB101" s="11"/>
      <c r="AC101" s="22"/>
    </row>
    <row r="102" spans="1:29" x14ac:dyDescent="0.2">
      <c r="A102" s="8">
        <f>'Monthly Data'!A102</f>
        <v>45778</v>
      </c>
      <c r="B102">
        <f t="shared" si="10"/>
        <v>2025</v>
      </c>
      <c r="C102">
        <f t="shared" si="11"/>
        <v>5</v>
      </c>
      <c r="D102" s="18">
        <f>'Monthly Data'!X102</f>
        <v>14378587.136586657</v>
      </c>
      <c r="E102" s="290">
        <f t="shared" ca="1" si="9"/>
        <v>65.335833333333326</v>
      </c>
      <c r="F102" s="290">
        <f t="shared" ca="1" si="9"/>
        <v>93.837916666666644</v>
      </c>
      <c r="G102" s="21">
        <f>'Monthly Data'!BJ102</f>
        <v>73.445833333333326</v>
      </c>
      <c r="H102" s="21">
        <f>'Monthly Data'!BM102</f>
        <v>56.191666666666634</v>
      </c>
      <c r="I102" s="21">
        <f>'Monthly Data'!Z102</f>
        <v>2</v>
      </c>
      <c r="J102" s="21">
        <f>'Monthly Data'!CF102</f>
        <v>0</v>
      </c>
      <c r="K102" s="21">
        <f>'Monthly Data'!CV102</f>
        <v>0</v>
      </c>
      <c r="L102" s="21">
        <f>'Monthly Data'!CS102</f>
        <v>31</v>
      </c>
      <c r="M102" s="21">
        <f>'Monthly Data'!CM102</f>
        <v>101</v>
      </c>
      <c r="N102" s="21">
        <f>'Monthly Data'!CK102</f>
        <v>1</v>
      </c>
      <c r="P102" s="11"/>
      <c r="Q102" s="11">
        <f ca="1">(E102-G102)*'Large Use Predicted Monthly'!$AB$11</f>
        <v>-5001.9575770708871</v>
      </c>
      <c r="R102" s="11">
        <f ca="1">(F102-H102)*'Large Use Predicted Monthly'!$AB$12</f>
        <v>514812.37606065604</v>
      </c>
      <c r="S102" s="11"/>
      <c r="T102" s="11"/>
      <c r="U102" s="11"/>
      <c r="V102" s="11"/>
      <c r="W102" s="11"/>
      <c r="X102" s="11"/>
      <c r="Y102" s="11">
        <f t="shared" ca="1" si="12"/>
        <v>14893399.512647312</v>
      </c>
      <c r="AB102" s="11"/>
      <c r="AC102" s="22"/>
    </row>
    <row r="103" spans="1:29" x14ac:dyDescent="0.2">
      <c r="A103" s="8">
        <f>'Monthly Data'!A103</f>
        <v>45809</v>
      </c>
      <c r="B103">
        <f t="shared" si="10"/>
        <v>2025</v>
      </c>
      <c r="C103">
        <f t="shared" si="11"/>
        <v>6</v>
      </c>
      <c r="D103" s="18">
        <f>'Monthly Data'!X103</f>
        <v>16220607.002538506</v>
      </c>
      <c r="E103" s="290">
        <f t="shared" ca="1" si="9"/>
        <v>3.0447916666666672</v>
      </c>
      <c r="F103" s="290">
        <f t="shared" ca="1" si="9"/>
        <v>214.81645833333337</v>
      </c>
      <c r="G103" s="21">
        <f>'Monthly Data'!BJ103</f>
        <v>4.3041666666666671</v>
      </c>
      <c r="H103" s="21">
        <f>'Monthly Data'!BM103</f>
        <v>246.54999999999993</v>
      </c>
      <c r="I103" s="21">
        <f>'Monthly Data'!Z103</f>
        <v>2</v>
      </c>
      <c r="J103" s="21">
        <f>'Monthly Data'!CF103</f>
        <v>0</v>
      </c>
      <c r="K103" s="21">
        <f>'Monthly Data'!CV103</f>
        <v>0</v>
      </c>
      <c r="L103" s="21">
        <f>'Monthly Data'!CS103</f>
        <v>30</v>
      </c>
      <c r="M103" s="21">
        <f>'Monthly Data'!CM103</f>
        <v>102</v>
      </c>
      <c r="N103" s="21">
        <f>'Monthly Data'!CK103</f>
        <v>1</v>
      </c>
      <c r="P103" s="11"/>
      <c r="Q103" s="11">
        <f ca="1">(E103-G103)*'Large Use Predicted Monthly'!$AB$11</f>
        <v>-776.73740118663977</v>
      </c>
      <c r="R103" s="11">
        <f ca="1">(F103-H103)*'Large Use Predicted Monthly'!$AB$12</f>
        <v>-433956.10416008061</v>
      </c>
      <c r="S103" s="11"/>
      <c r="T103" s="11"/>
      <c r="U103" s="11"/>
      <c r="V103" s="11"/>
      <c r="W103" s="11"/>
      <c r="X103" s="11"/>
      <c r="Y103" s="11">
        <f t="shared" ca="1" si="12"/>
        <v>15786650.898378426</v>
      </c>
      <c r="AB103" s="11"/>
      <c r="AC103" s="22"/>
    </row>
    <row r="104" spans="1:29" x14ac:dyDescent="0.2">
      <c r="A104" s="8">
        <f>'Monthly Data'!A104</f>
        <v>45839</v>
      </c>
      <c r="B104">
        <f t="shared" si="10"/>
        <v>2025</v>
      </c>
      <c r="C104">
        <f t="shared" si="11"/>
        <v>7</v>
      </c>
      <c r="D104" s="18">
        <f>'Monthly Data'!X104</f>
        <v>18141297.038824454</v>
      </c>
      <c r="E104" s="290">
        <f t="shared" ca="1" si="9"/>
        <v>0</v>
      </c>
      <c r="F104" s="290">
        <f t="shared" ca="1" si="9"/>
        <v>293.27145833333327</v>
      </c>
      <c r="G104" s="21">
        <f>'Monthly Data'!BJ104</f>
        <v>0</v>
      </c>
      <c r="H104" s="21">
        <f>'Monthly Data'!BM104</f>
        <v>317.57916666666665</v>
      </c>
      <c r="I104" s="21">
        <f>'Monthly Data'!Z104</f>
        <v>2</v>
      </c>
      <c r="J104" s="21">
        <f>'Monthly Data'!CF104</f>
        <v>0</v>
      </c>
      <c r="K104" s="21">
        <f>'Monthly Data'!CV104</f>
        <v>0</v>
      </c>
      <c r="L104" s="21">
        <f>'Monthly Data'!CS104</f>
        <v>31</v>
      </c>
      <c r="M104" s="21">
        <f>'Monthly Data'!CM104</f>
        <v>103</v>
      </c>
      <c r="N104" s="21">
        <f>'Monthly Data'!CK104</f>
        <v>1</v>
      </c>
      <c r="P104" s="11"/>
      <c r="Q104" s="11">
        <f ca="1">(E104-G104)*'Large Use Predicted Monthly'!$AB$11</f>
        <v>0</v>
      </c>
      <c r="R104" s="11">
        <f ca="1">(F104-H104)*'Large Use Predicted Monthly'!$AB$12</f>
        <v>-332407.85160999472</v>
      </c>
      <c r="S104" s="11"/>
      <c r="T104" s="11"/>
      <c r="U104" s="11"/>
      <c r="V104" s="11"/>
      <c r="W104" s="11"/>
      <c r="X104" s="11"/>
      <c r="Y104" s="11">
        <f t="shared" ca="1" si="12"/>
        <v>17808889.18721446</v>
      </c>
      <c r="AB104" s="11"/>
      <c r="AC104" s="22"/>
    </row>
    <row r="105" spans="1:29" x14ac:dyDescent="0.2">
      <c r="A105" s="8">
        <f>'Monthly Data'!A105</f>
        <v>45870</v>
      </c>
      <c r="B105">
        <f t="shared" si="10"/>
        <v>2025</v>
      </c>
      <c r="C105">
        <f t="shared" si="11"/>
        <v>8</v>
      </c>
      <c r="D105" s="18">
        <f>'Monthly Data'!X105</f>
        <v>16333866.322163202</v>
      </c>
      <c r="E105" s="290">
        <f t="shared" ca="1" si="9"/>
        <v>0.27875000000000066</v>
      </c>
      <c r="F105" s="290">
        <f t="shared" ca="1" si="9"/>
        <v>257.85749999999996</v>
      </c>
      <c r="G105" s="21">
        <f>'Monthly Data'!BJ105</f>
        <v>2.4833333333333378</v>
      </c>
      <c r="H105" s="21">
        <f>'Monthly Data'!BM105</f>
        <v>238.4291666666667</v>
      </c>
      <c r="I105" s="21">
        <f>'Monthly Data'!Z105</f>
        <v>2</v>
      </c>
      <c r="J105" s="21">
        <f>'Monthly Data'!CF105</f>
        <v>0</v>
      </c>
      <c r="K105" s="21">
        <f>'Monthly Data'!CV105</f>
        <v>0</v>
      </c>
      <c r="L105" s="21">
        <f>'Monthly Data'!CS105</f>
        <v>31</v>
      </c>
      <c r="M105" s="21">
        <f>'Monthly Data'!CM105</f>
        <v>104</v>
      </c>
      <c r="N105" s="21">
        <f>'Monthly Data'!CK105</f>
        <v>1</v>
      </c>
      <c r="P105" s="11"/>
      <c r="Q105" s="11">
        <f ca="1">(E105-G105)*'Large Use Predicted Monthly'!$AB$11</f>
        <v>-1359.7080528299484</v>
      </c>
      <c r="R105" s="11">
        <f ca="1">(F105-H105)*'Large Use Predicted Monthly'!$AB$12</f>
        <v>265682.41049856856</v>
      </c>
      <c r="S105" s="11"/>
      <c r="T105" s="11"/>
      <c r="U105" s="11"/>
      <c r="V105" s="11"/>
      <c r="W105" s="11"/>
      <c r="X105" s="11"/>
      <c r="Y105" s="11">
        <f t="shared" ca="1" si="12"/>
        <v>16599548.732661771</v>
      </c>
      <c r="AB105" s="11"/>
      <c r="AC105" s="22"/>
    </row>
    <row r="106" spans="1:29" x14ac:dyDescent="0.2">
      <c r="A106" s="8">
        <f>'Monthly Data'!A106</f>
        <v>45901</v>
      </c>
      <c r="B106">
        <f t="shared" si="10"/>
        <v>2025</v>
      </c>
      <c r="C106">
        <f t="shared" si="11"/>
        <v>9</v>
      </c>
      <c r="D106" s="18">
        <f>'Monthly Data'!X106</f>
        <v>15806074.315778051</v>
      </c>
      <c r="E106" s="290">
        <f t="shared" ca="1" si="9"/>
        <v>11.319999999999997</v>
      </c>
      <c r="F106" s="290">
        <f t="shared" ca="1" si="9"/>
        <v>155.75020833333332</v>
      </c>
      <c r="G106" s="21">
        <f>'Monthly Data'!BJ106</f>
        <v>3.1125000000000025</v>
      </c>
      <c r="H106" s="21">
        <f>'Monthly Data'!BM106</f>
        <v>158.98333333333338</v>
      </c>
      <c r="I106" s="21">
        <f>'Monthly Data'!Z106</f>
        <v>2</v>
      </c>
      <c r="J106" s="21">
        <f>'Monthly Data'!CF106</f>
        <v>1</v>
      </c>
      <c r="K106" s="21">
        <f>'Monthly Data'!CV106</f>
        <v>0</v>
      </c>
      <c r="L106" s="21">
        <f>'Monthly Data'!CS106</f>
        <v>30</v>
      </c>
      <c r="M106" s="21">
        <f>'Monthly Data'!CM106</f>
        <v>105</v>
      </c>
      <c r="N106" s="21">
        <f>'Monthly Data'!CK106</f>
        <v>0</v>
      </c>
      <c r="P106" s="11"/>
      <c r="Q106" s="11">
        <f ca="1">(E106-G106)*'Large Use Predicted Monthly'!$AB$11</f>
        <v>5062.0920855498498</v>
      </c>
      <c r="R106" s="11">
        <f ca="1">(F106-H106)*'Large Use Predicted Monthly'!$AB$12</f>
        <v>-44212.976414679761</v>
      </c>
      <c r="S106" s="11"/>
      <c r="T106" s="11"/>
      <c r="U106" s="11"/>
      <c r="V106" s="11"/>
      <c r="W106" s="11"/>
      <c r="X106" s="11"/>
      <c r="Y106" s="11">
        <f t="shared" ca="1" si="12"/>
        <v>15761861.33936337</v>
      </c>
      <c r="AB106" s="11"/>
      <c r="AC106" s="22"/>
    </row>
    <row r="107" spans="1:29" x14ac:dyDescent="0.2">
      <c r="A107" s="8">
        <f>'Monthly Data'!A107</f>
        <v>45931</v>
      </c>
      <c r="B107">
        <f t="shared" si="10"/>
        <v>2025</v>
      </c>
      <c r="C107">
        <f t="shared" si="11"/>
        <v>10</v>
      </c>
      <c r="D107" s="18">
        <f>'Monthly Data'!X107</f>
        <v>14876887.0161887</v>
      </c>
      <c r="E107" s="290">
        <f t="shared" ca="1" si="9"/>
        <v>126.12583333333332</v>
      </c>
      <c r="F107" s="290">
        <f t="shared" ca="1" si="9"/>
        <v>45.238541666666677</v>
      </c>
      <c r="G107" s="21">
        <f>'Monthly Data'!BJ107</f>
        <v>119.57916666666667</v>
      </c>
      <c r="H107" s="21">
        <f>'Monthly Data'!BM107</f>
        <v>49.983333333333348</v>
      </c>
      <c r="I107" s="21">
        <f>'Monthly Data'!Z107</f>
        <v>2</v>
      </c>
      <c r="J107" s="21">
        <f>'Monthly Data'!CF107</f>
        <v>1</v>
      </c>
      <c r="K107" s="21">
        <f>'Monthly Data'!CV107</f>
        <v>0</v>
      </c>
      <c r="L107" s="21">
        <f>'Monthly Data'!CS107</f>
        <v>31</v>
      </c>
      <c r="M107" s="21">
        <f>'Monthly Data'!CM107</f>
        <v>106</v>
      </c>
      <c r="N107" s="21">
        <f>'Monthly Data'!CK107</f>
        <v>0</v>
      </c>
      <c r="P107" s="11"/>
      <c r="Q107" s="11">
        <f ca="1">(E107-G107)*'Large Use Predicted Monthly'!$AB$11</f>
        <v>4037.7495607756687</v>
      </c>
      <c r="R107" s="11">
        <f ca="1">(F107-H107)*'Large Use Predicted Monthly'!$AB$12</f>
        <v>-64885.014359450637</v>
      </c>
      <c r="S107" s="11"/>
      <c r="T107" s="11"/>
      <c r="U107" s="11"/>
      <c r="V107" s="11"/>
      <c r="W107" s="11"/>
      <c r="X107" s="11"/>
      <c r="Y107" s="11">
        <f t="shared" ca="1" si="12"/>
        <v>14812002.00182925</v>
      </c>
      <c r="AB107" s="11"/>
      <c r="AC107" s="22"/>
    </row>
    <row r="108" spans="1:29" x14ac:dyDescent="0.2">
      <c r="A108" s="8">
        <f>'Monthly Data'!A108</f>
        <v>45962</v>
      </c>
      <c r="B108">
        <f t="shared" si="10"/>
        <v>2025</v>
      </c>
      <c r="C108">
        <f t="shared" si="11"/>
        <v>11</v>
      </c>
      <c r="D108" s="18">
        <f>'Monthly Data'!X108</f>
        <v>13663366.431718748</v>
      </c>
      <c r="E108" s="290">
        <f t="shared" ca="1" si="9"/>
        <v>312.40687500000001</v>
      </c>
      <c r="F108" s="290">
        <f t="shared" ca="1" si="9"/>
        <v>3.6587500000000004</v>
      </c>
      <c r="G108" s="21">
        <f>'Monthly Data'!BJ108</f>
        <v>326.6229166666667</v>
      </c>
      <c r="H108" s="21">
        <f>'Monthly Data'!BM108</f>
        <v>0</v>
      </c>
      <c r="I108" s="21">
        <f>'Monthly Data'!Z108</f>
        <v>2</v>
      </c>
      <c r="J108" s="21">
        <f>'Monthly Data'!CF108</f>
        <v>1</v>
      </c>
      <c r="K108" s="21">
        <f>'Monthly Data'!CV108</f>
        <v>0</v>
      </c>
      <c r="L108" s="21">
        <f>'Monthly Data'!CS108</f>
        <v>30</v>
      </c>
      <c r="M108" s="21">
        <f>'Monthly Data'!CM108</f>
        <v>107</v>
      </c>
      <c r="N108" s="21">
        <f>'Monthly Data'!CK108</f>
        <v>0</v>
      </c>
      <c r="P108" s="11"/>
      <c r="Q108" s="11">
        <f ca="1">(E108-G108)*'Large Use Predicted Monthly'!$AB$11</f>
        <v>-8767.9454168358643</v>
      </c>
      <c r="R108" s="11">
        <f ca="1">(F108-H108)*'Large Use Predicted Monthly'!$AB$12</f>
        <v>50033.39724174187</v>
      </c>
      <c r="S108" s="11"/>
      <c r="T108" s="11"/>
      <c r="U108" s="11"/>
      <c r="V108" s="11"/>
      <c r="W108" s="11"/>
      <c r="X108" s="11"/>
      <c r="Y108" s="11">
        <f t="shared" ca="1" si="12"/>
        <v>13713399.828960489</v>
      </c>
      <c r="AB108" s="11"/>
      <c r="AC108" s="22"/>
    </row>
    <row r="109" spans="1:29" x14ac:dyDescent="0.2">
      <c r="A109" s="8">
        <f>'Monthly Data'!A109</f>
        <v>45992</v>
      </c>
      <c r="B109">
        <f t="shared" si="10"/>
        <v>2025</v>
      </c>
      <c r="C109">
        <f t="shared" si="11"/>
        <v>12</v>
      </c>
      <c r="D109" s="18">
        <f>'Monthly Data'!X109</f>
        <v>13605458.244193096</v>
      </c>
      <c r="E109" s="290">
        <f t="shared" ca="1" si="9"/>
        <v>473.52499999999998</v>
      </c>
      <c r="F109" s="290">
        <f t="shared" ca="1" si="9"/>
        <v>0</v>
      </c>
      <c r="G109" s="21">
        <f>'Monthly Data'!BJ109</f>
        <v>565.42916666666667</v>
      </c>
      <c r="H109" s="21">
        <f>'Monthly Data'!BM109</f>
        <v>0</v>
      </c>
      <c r="I109" s="21">
        <f>'Monthly Data'!Z109</f>
        <v>2</v>
      </c>
      <c r="J109" s="21">
        <f>'Monthly Data'!CF109</f>
        <v>0</v>
      </c>
      <c r="K109" s="21">
        <f>'Monthly Data'!CV109</f>
        <v>0</v>
      </c>
      <c r="L109" s="21">
        <f>'Monthly Data'!CS109</f>
        <v>31</v>
      </c>
      <c r="M109" s="21">
        <f>'Monthly Data'!CM109</f>
        <v>108</v>
      </c>
      <c r="N109" s="21">
        <f>'Monthly Data'!CK109</f>
        <v>0</v>
      </c>
      <c r="P109" s="11"/>
      <c r="Q109" s="11">
        <f ca="1">(E109-G109)*'Large Use Predicted Monthly'!$AB$11</f>
        <v>-56683.198868399406</v>
      </c>
      <c r="R109" s="11">
        <f ca="1">(F109-H109)*'Large Use Predicted Monthly'!$AB$12</f>
        <v>0</v>
      </c>
      <c r="S109" s="11"/>
      <c r="T109" s="11"/>
      <c r="U109" s="11"/>
      <c r="V109" s="11"/>
      <c r="W109" s="11"/>
      <c r="X109" s="11"/>
      <c r="Y109" s="11">
        <f t="shared" ca="1" si="12"/>
        <v>13605458.244193096</v>
      </c>
      <c r="AA109" s="18"/>
      <c r="AB109" s="11"/>
      <c r="AC109" s="22"/>
    </row>
    <row r="110" spans="1:29" s="59" customFormat="1" x14ac:dyDescent="0.2">
      <c r="A110" s="506">
        <f t="shared" ref="A110:A133" si="13">EOMONTH(A109,0)+1</f>
        <v>46023</v>
      </c>
      <c r="B110" s="59">
        <f t="shared" si="6"/>
        <v>2026</v>
      </c>
      <c r="C110" s="59">
        <f t="shared" si="7"/>
        <v>1</v>
      </c>
      <c r="D110" s="178"/>
      <c r="E110" s="511">
        <f t="shared" ca="1" si="9"/>
        <v>566.30416666666667</v>
      </c>
      <c r="F110" s="511">
        <f t="shared" ca="1" si="9"/>
        <v>0</v>
      </c>
      <c r="G110" s="177"/>
      <c r="H110" s="177"/>
      <c r="I110" s="177">
        <f>'Customer Count'!S48</f>
        <v>2</v>
      </c>
      <c r="J110" s="177">
        <f t="shared" ref="J110:J133" si="14">J98</f>
        <v>0</v>
      </c>
      <c r="K110" s="177">
        <f>'Monthly Data'!CV110</f>
        <v>0</v>
      </c>
      <c r="L110" s="177">
        <f t="shared" ref="L110:L133" si="15">L62</f>
        <v>31</v>
      </c>
      <c r="M110" s="177">
        <f t="shared" ref="M110:M133" si="16">M109+1</f>
        <v>109</v>
      </c>
      <c r="N110" s="177">
        <f t="shared" ref="N110:N133" si="17">N98</f>
        <v>0</v>
      </c>
      <c r="P110" s="188">
        <f>'Large Use Predicted Monthly'!$AB$10</f>
        <v>-5783820.4539120998</v>
      </c>
      <c r="Q110" s="188">
        <f ca="1">E110*'Large Use Predicted Monthly'!$AB$11</f>
        <v>349276.13038041285</v>
      </c>
      <c r="R110" s="188">
        <f ca="1">F110*'Large Use Predicted Monthly'!$AB$12</f>
        <v>0</v>
      </c>
      <c r="S110" s="188">
        <f>I110*'Large Use Predicted Monthly'!$AB$13</f>
        <v>6999999.7151174396</v>
      </c>
      <c r="T110" s="188">
        <f>J110*'Large Use Predicted Monthly'!$AB$14</f>
        <v>0</v>
      </c>
      <c r="U110" s="188">
        <f>K110*'Large Use Predicted Monthly'!$AB$15</f>
        <v>0</v>
      </c>
      <c r="V110" s="188">
        <f>L110*'Large Use Predicted Monthly'!$AB$16</f>
        <v>10482494.861430187</v>
      </c>
      <c r="W110" s="188">
        <f>M110*'Large Use Predicted Monthly'!$AB$17</f>
        <v>1877022.3368747986</v>
      </c>
      <c r="X110" s="188">
        <f>N110*'Large Use Predicted Monthly'!$AB$18</f>
        <v>0</v>
      </c>
      <c r="Y110" s="188">
        <f t="shared" ref="Y110:Y133" ca="1" si="18">SUM(P110:X110)</f>
        <v>13924972.589890737</v>
      </c>
      <c r="AA110" s="178"/>
      <c r="AB110" s="188"/>
      <c r="AC110" s="510"/>
    </row>
    <row r="111" spans="1:29" s="59" customFormat="1" x14ac:dyDescent="0.2">
      <c r="A111" s="506">
        <f t="shared" si="13"/>
        <v>46054</v>
      </c>
      <c r="B111" s="59">
        <f t="shared" si="6"/>
        <v>2026</v>
      </c>
      <c r="C111" s="59">
        <f t="shared" si="7"/>
        <v>2</v>
      </c>
      <c r="D111" s="178"/>
      <c r="E111" s="511">
        <f t="shared" ca="1" si="9"/>
        <v>483.54541666666665</v>
      </c>
      <c r="F111" s="511">
        <f t="shared" ca="1" si="9"/>
        <v>0</v>
      </c>
      <c r="G111" s="177"/>
      <c r="H111" s="177"/>
      <c r="I111" s="177">
        <f>'Customer Count'!S49</f>
        <v>2</v>
      </c>
      <c r="J111" s="177">
        <f t="shared" si="14"/>
        <v>0</v>
      </c>
      <c r="K111" s="177">
        <f>'Monthly Data'!CV111</f>
        <v>0</v>
      </c>
      <c r="L111" s="177">
        <f t="shared" si="15"/>
        <v>28</v>
      </c>
      <c r="M111" s="177">
        <f t="shared" si="16"/>
        <v>110</v>
      </c>
      <c r="N111" s="177">
        <f t="shared" si="17"/>
        <v>0</v>
      </c>
      <c r="P111" s="188">
        <f>'Large Use Predicted Monthly'!$AB$10</f>
        <v>-5783820.4539120998</v>
      </c>
      <c r="Q111" s="188">
        <f ca="1">E111*'Large Use Predicted Monthly'!$AB$11</f>
        <v>298233.49701032462</v>
      </c>
      <c r="R111" s="188">
        <f ca="1">F111*'Large Use Predicted Monthly'!$AB$12</f>
        <v>0</v>
      </c>
      <c r="S111" s="188">
        <f>I111*'Large Use Predicted Monthly'!$AB$13</f>
        <v>6999999.7151174396</v>
      </c>
      <c r="T111" s="188">
        <f>J111*'Large Use Predicted Monthly'!$AB$14</f>
        <v>0</v>
      </c>
      <c r="U111" s="188">
        <f>K111*'Large Use Predicted Monthly'!$AB$15</f>
        <v>0</v>
      </c>
      <c r="V111" s="188">
        <f>L111*'Large Use Predicted Monthly'!$AB$16</f>
        <v>9468059.8748401683</v>
      </c>
      <c r="W111" s="188">
        <f>M111*'Large Use Predicted Monthly'!$AB$17</f>
        <v>1894242.725286494</v>
      </c>
      <c r="X111" s="188">
        <f>N111*'Large Use Predicted Monthly'!$AB$18</f>
        <v>0</v>
      </c>
      <c r="Y111" s="188">
        <f t="shared" ca="1" si="18"/>
        <v>12876715.358342327</v>
      </c>
      <c r="AA111" s="178"/>
      <c r="AB111" s="188"/>
      <c r="AC111" s="510"/>
    </row>
    <row r="112" spans="1:29" s="59" customFormat="1" x14ac:dyDescent="0.2">
      <c r="A112" s="506">
        <f t="shared" si="13"/>
        <v>46082</v>
      </c>
      <c r="B112" s="59">
        <f t="shared" si="6"/>
        <v>2026</v>
      </c>
      <c r="C112" s="59">
        <f t="shared" si="7"/>
        <v>3</v>
      </c>
      <c r="D112" s="178"/>
      <c r="E112" s="511">
        <f t="shared" ca="1" si="9"/>
        <v>393.96333333333331</v>
      </c>
      <c r="F112" s="511">
        <f t="shared" ca="1" si="9"/>
        <v>0.93041666666666656</v>
      </c>
      <c r="G112" s="177"/>
      <c r="H112" s="177"/>
      <c r="I112" s="177">
        <f>'Customer Count'!S50</f>
        <v>2</v>
      </c>
      <c r="J112" s="177">
        <f t="shared" si="14"/>
        <v>0</v>
      </c>
      <c r="K112" s="177">
        <f>'Monthly Data'!CV112</f>
        <v>0</v>
      </c>
      <c r="L112" s="177">
        <f t="shared" si="15"/>
        <v>31</v>
      </c>
      <c r="M112" s="177">
        <f t="shared" si="16"/>
        <v>111</v>
      </c>
      <c r="N112" s="177">
        <f t="shared" si="17"/>
        <v>0</v>
      </c>
      <c r="P112" s="188">
        <f>'Large Use Predicted Monthly'!$AB$10</f>
        <v>-5783820.4539120998</v>
      </c>
      <c r="Q112" s="188">
        <f ca="1">E112*'Large Use Predicted Monthly'!$AB$11</f>
        <v>242982.47598702469</v>
      </c>
      <c r="R112" s="188">
        <f ca="1">F112*'Large Use Predicted Monthly'!$AB$12</f>
        <v>12723.445625875136</v>
      </c>
      <c r="S112" s="188">
        <f>I112*'Large Use Predicted Monthly'!$AB$13</f>
        <v>6999999.7151174396</v>
      </c>
      <c r="T112" s="188">
        <f>J112*'Large Use Predicted Monthly'!$AB$14</f>
        <v>0</v>
      </c>
      <c r="U112" s="188">
        <f>K112*'Large Use Predicted Monthly'!$AB$15</f>
        <v>0</v>
      </c>
      <c r="V112" s="188">
        <f>L112*'Large Use Predicted Monthly'!$AB$16</f>
        <v>10482494.861430187</v>
      </c>
      <c r="W112" s="188">
        <f>M112*'Large Use Predicted Monthly'!$AB$17</f>
        <v>1911463.1136981894</v>
      </c>
      <c r="X112" s="188">
        <f>N112*'Large Use Predicted Monthly'!$AB$18</f>
        <v>0</v>
      </c>
      <c r="Y112" s="188">
        <f t="shared" ca="1" si="18"/>
        <v>13865843.157946616</v>
      </c>
      <c r="AA112" s="178"/>
    </row>
    <row r="113" spans="1:28" s="59" customFormat="1" x14ac:dyDescent="0.2">
      <c r="A113" s="506">
        <f t="shared" si="13"/>
        <v>46113</v>
      </c>
      <c r="B113" s="59">
        <f t="shared" si="6"/>
        <v>2026</v>
      </c>
      <c r="C113" s="59">
        <f t="shared" si="7"/>
        <v>4</v>
      </c>
      <c r="D113" s="178"/>
      <c r="E113" s="511">
        <f t="shared" ca="1" si="9"/>
        <v>226.60145833333337</v>
      </c>
      <c r="F113" s="511">
        <f t="shared" ca="1" si="9"/>
        <v>13.944166666666669</v>
      </c>
      <c r="G113" s="177"/>
      <c r="H113" s="177"/>
      <c r="I113" s="177">
        <f>'Customer Count'!S51</f>
        <v>2</v>
      </c>
      <c r="J113" s="177">
        <f t="shared" si="14"/>
        <v>0</v>
      </c>
      <c r="K113" s="177">
        <f>'Monthly Data'!CV113</f>
        <v>0</v>
      </c>
      <c r="L113" s="177">
        <f t="shared" si="15"/>
        <v>30</v>
      </c>
      <c r="M113" s="177">
        <f t="shared" si="16"/>
        <v>112</v>
      </c>
      <c r="N113" s="177">
        <f t="shared" si="17"/>
        <v>0</v>
      </c>
      <c r="P113" s="188">
        <f>'Large Use Predicted Monthly'!$AB$10</f>
        <v>-5783820.4539120998</v>
      </c>
      <c r="Q113" s="188">
        <f ca="1">E113*'Large Use Predicted Monthly'!$AB$11</f>
        <v>139759.66479478791</v>
      </c>
      <c r="R113" s="188">
        <f ca="1">F113*'Large Use Predicted Monthly'!$AB$12</f>
        <v>190686.44483454432</v>
      </c>
      <c r="S113" s="188">
        <f>I113*'Large Use Predicted Monthly'!$AB$13</f>
        <v>6999999.7151174396</v>
      </c>
      <c r="T113" s="188">
        <f>J113*'Large Use Predicted Monthly'!$AB$14</f>
        <v>0</v>
      </c>
      <c r="U113" s="188">
        <f>K113*'Large Use Predicted Monthly'!$AB$15</f>
        <v>0</v>
      </c>
      <c r="V113" s="188">
        <f>L113*'Large Use Predicted Monthly'!$AB$16</f>
        <v>10144349.865900181</v>
      </c>
      <c r="W113" s="188">
        <f>M113*'Large Use Predicted Monthly'!$AB$17</f>
        <v>1928683.5021098848</v>
      </c>
      <c r="X113" s="188">
        <f>N113*'Large Use Predicted Monthly'!$AB$18</f>
        <v>0</v>
      </c>
      <c r="Y113" s="188">
        <f t="shared" ca="1" si="18"/>
        <v>13619658.738844737</v>
      </c>
      <c r="AA113" s="178"/>
      <c r="AB113" s="188"/>
    </row>
    <row r="114" spans="1:28" s="59" customFormat="1" x14ac:dyDescent="0.2">
      <c r="A114" s="506">
        <f t="shared" si="13"/>
        <v>46143</v>
      </c>
      <c r="B114" s="59">
        <f t="shared" si="6"/>
        <v>2026</v>
      </c>
      <c r="C114" s="59">
        <f t="shared" si="7"/>
        <v>5</v>
      </c>
      <c r="D114" s="178"/>
      <c r="E114" s="511">
        <f t="shared" ca="1" si="9"/>
        <v>65.335833333333326</v>
      </c>
      <c r="F114" s="511">
        <f t="shared" ca="1" si="9"/>
        <v>93.837916666666644</v>
      </c>
      <c r="G114" s="177"/>
      <c r="H114" s="177"/>
      <c r="I114" s="177">
        <f>'Customer Count'!S52</f>
        <v>2</v>
      </c>
      <c r="J114" s="177">
        <f t="shared" si="14"/>
        <v>0</v>
      </c>
      <c r="K114" s="177">
        <f>'Monthly Data'!CV114</f>
        <v>0</v>
      </c>
      <c r="L114" s="177">
        <f t="shared" si="15"/>
        <v>31</v>
      </c>
      <c r="M114" s="177">
        <f t="shared" si="16"/>
        <v>113</v>
      </c>
      <c r="N114" s="177">
        <f t="shared" si="17"/>
        <v>1</v>
      </c>
      <c r="P114" s="188">
        <f>'Large Use Predicted Monthly'!$AB$10</f>
        <v>-5783820.4539120998</v>
      </c>
      <c r="Q114" s="188">
        <f ca="1">E114*'Large Use Predicted Monthly'!$AB$11</f>
        <v>40296.802292960208</v>
      </c>
      <c r="R114" s="188">
        <f ca="1">F114*'Large Use Predicted Monthly'!$AB$12</f>
        <v>1283233.2793770556</v>
      </c>
      <c r="S114" s="188">
        <f>I114*'Large Use Predicted Monthly'!$AB$13</f>
        <v>6999999.7151174396</v>
      </c>
      <c r="T114" s="188">
        <f>J114*'Large Use Predicted Monthly'!$AB$14</f>
        <v>0</v>
      </c>
      <c r="U114" s="188">
        <f>K114*'Large Use Predicted Monthly'!$AB$15</f>
        <v>0</v>
      </c>
      <c r="V114" s="188">
        <f>L114*'Large Use Predicted Monthly'!$AB$16</f>
        <v>10482494.861430187</v>
      </c>
      <c r="W114" s="188">
        <f>M114*'Large Use Predicted Monthly'!$AB$17</f>
        <v>1945903.8905215801</v>
      </c>
      <c r="X114" s="188">
        <f>N114*'Large Use Predicted Monthly'!$AB$18</f>
        <v>-352058.92944720201</v>
      </c>
      <c r="Y114" s="188">
        <f t="shared" ca="1" si="18"/>
        <v>14616049.165379919</v>
      </c>
      <c r="AA114" s="178"/>
      <c r="AB114" s="188"/>
    </row>
    <row r="115" spans="1:28" s="59" customFormat="1" x14ac:dyDescent="0.2">
      <c r="A115" s="506">
        <f t="shared" si="13"/>
        <v>46174</v>
      </c>
      <c r="B115" s="59">
        <f t="shared" si="6"/>
        <v>2026</v>
      </c>
      <c r="C115" s="59">
        <f t="shared" si="7"/>
        <v>6</v>
      </c>
      <c r="D115" s="178"/>
      <c r="E115" s="511">
        <f t="shared" ca="1" si="9"/>
        <v>3.0447916666666672</v>
      </c>
      <c r="F115" s="511">
        <f t="shared" ca="1" si="9"/>
        <v>214.81645833333337</v>
      </c>
      <c r="G115" s="177"/>
      <c r="H115" s="177"/>
      <c r="I115" s="177">
        <f>'Customer Count'!S53</f>
        <v>2</v>
      </c>
      <c r="J115" s="177">
        <f t="shared" si="14"/>
        <v>0</v>
      </c>
      <c r="K115" s="177">
        <f>'Monthly Data'!CV115</f>
        <v>0</v>
      </c>
      <c r="L115" s="177">
        <f t="shared" si="15"/>
        <v>30</v>
      </c>
      <c r="M115" s="177">
        <f t="shared" si="16"/>
        <v>114</v>
      </c>
      <c r="N115" s="177">
        <f t="shared" si="17"/>
        <v>1</v>
      </c>
      <c r="P115" s="188">
        <f>'Large Use Predicted Monthly'!$AB$10</f>
        <v>-5783820.4539120998</v>
      </c>
      <c r="Q115" s="188">
        <f ca="1">E115*'Large Use Predicted Monthly'!$AB$11</f>
        <v>1877.9184645728276</v>
      </c>
      <c r="R115" s="188">
        <f ca="1">F115*'Large Use Predicted Monthly'!$AB$12</f>
        <v>2937614.5388058103</v>
      </c>
      <c r="S115" s="188">
        <f>I115*'Large Use Predicted Monthly'!$AB$13</f>
        <v>6999999.7151174396</v>
      </c>
      <c r="T115" s="188">
        <f>J115*'Large Use Predicted Monthly'!$AB$14</f>
        <v>0</v>
      </c>
      <c r="U115" s="188">
        <f>K115*'Large Use Predicted Monthly'!$AB$15</f>
        <v>0</v>
      </c>
      <c r="V115" s="188">
        <f>L115*'Large Use Predicted Monthly'!$AB$16</f>
        <v>10144349.865900181</v>
      </c>
      <c r="W115" s="188">
        <f>M115*'Large Use Predicted Monthly'!$AB$17</f>
        <v>1963124.2789332755</v>
      </c>
      <c r="X115" s="188">
        <f>N115*'Large Use Predicted Monthly'!$AB$18</f>
        <v>-352058.92944720201</v>
      </c>
      <c r="Y115" s="188">
        <f t="shared" ca="1" si="18"/>
        <v>15911086.933861978</v>
      </c>
      <c r="AA115" s="178"/>
      <c r="AB115" s="188"/>
    </row>
    <row r="116" spans="1:28" s="59" customFormat="1" x14ac:dyDescent="0.2">
      <c r="A116" s="506">
        <f t="shared" si="13"/>
        <v>46204</v>
      </c>
      <c r="B116" s="59">
        <f t="shared" si="6"/>
        <v>2026</v>
      </c>
      <c r="C116" s="59">
        <f t="shared" si="7"/>
        <v>7</v>
      </c>
      <c r="D116" s="178"/>
      <c r="E116" s="511">
        <f t="shared" ca="1" si="9"/>
        <v>0</v>
      </c>
      <c r="F116" s="511">
        <f t="shared" ca="1" si="9"/>
        <v>293.27145833333327</v>
      </c>
      <c r="G116" s="177"/>
      <c r="H116" s="177"/>
      <c r="I116" s="177">
        <f>'Customer Count'!S54</f>
        <v>2</v>
      </c>
      <c r="J116" s="177">
        <f t="shared" si="14"/>
        <v>0</v>
      </c>
      <c r="K116" s="177">
        <f>'Monthly Data'!CV116</f>
        <v>0</v>
      </c>
      <c r="L116" s="177">
        <f t="shared" si="15"/>
        <v>31</v>
      </c>
      <c r="M116" s="177">
        <f t="shared" si="16"/>
        <v>115</v>
      </c>
      <c r="N116" s="177">
        <f t="shared" si="17"/>
        <v>1</v>
      </c>
      <c r="P116" s="188">
        <f>'Large Use Predicted Monthly'!$AB$10</f>
        <v>-5783820.4539120998</v>
      </c>
      <c r="Q116" s="188">
        <f ca="1">E116*'Large Use Predicted Monthly'!$AB$11</f>
        <v>0</v>
      </c>
      <c r="R116" s="188">
        <f ca="1">F116*'Large Use Predicted Monthly'!$AB$12</f>
        <v>4010486.4706406863</v>
      </c>
      <c r="S116" s="188">
        <f>I116*'Large Use Predicted Monthly'!$AB$13</f>
        <v>6999999.7151174396</v>
      </c>
      <c r="T116" s="188">
        <f>J116*'Large Use Predicted Monthly'!$AB$14</f>
        <v>0</v>
      </c>
      <c r="U116" s="188">
        <f>K116*'Large Use Predicted Monthly'!$AB$15</f>
        <v>0</v>
      </c>
      <c r="V116" s="188">
        <f>L116*'Large Use Predicted Monthly'!$AB$16</f>
        <v>10482494.861430187</v>
      </c>
      <c r="W116" s="188">
        <f>M116*'Large Use Predicted Monthly'!$AB$17</f>
        <v>1980344.6673449709</v>
      </c>
      <c r="X116" s="188">
        <f>N116*'Large Use Predicted Monthly'!$AB$18</f>
        <v>-352058.92944720201</v>
      </c>
      <c r="Y116" s="188">
        <f t="shared" ca="1" si="18"/>
        <v>17337446.331173986</v>
      </c>
      <c r="AA116" s="178"/>
      <c r="AB116" s="188"/>
    </row>
    <row r="117" spans="1:28" s="59" customFormat="1" x14ac:dyDescent="0.2">
      <c r="A117" s="506">
        <f t="shared" si="13"/>
        <v>46235</v>
      </c>
      <c r="B117" s="59">
        <f t="shared" si="6"/>
        <v>2026</v>
      </c>
      <c r="C117" s="59">
        <f t="shared" si="7"/>
        <v>8</v>
      </c>
      <c r="D117" s="178"/>
      <c r="E117" s="511">
        <f t="shared" ca="1" si="9"/>
        <v>0.27875000000000066</v>
      </c>
      <c r="F117" s="511">
        <f t="shared" ca="1" si="9"/>
        <v>257.85749999999996</v>
      </c>
      <c r="G117" s="177"/>
      <c r="H117" s="177"/>
      <c r="I117" s="177">
        <f>'Customer Count'!S55</f>
        <v>2</v>
      </c>
      <c r="J117" s="177">
        <f t="shared" si="14"/>
        <v>0</v>
      </c>
      <c r="K117" s="177">
        <f>'Monthly Data'!CV117</f>
        <v>0</v>
      </c>
      <c r="L117" s="177">
        <f t="shared" si="15"/>
        <v>31</v>
      </c>
      <c r="M117" s="177">
        <f t="shared" si="16"/>
        <v>116</v>
      </c>
      <c r="N117" s="177">
        <f t="shared" si="17"/>
        <v>1</v>
      </c>
      <c r="P117" s="188">
        <f>'Large Use Predicted Monthly'!$AB$10</f>
        <v>-5783820.4539120998</v>
      </c>
      <c r="Q117" s="188">
        <f ca="1">E117*'Large Use Predicted Monthly'!$AB$11</f>
        <v>171.92301783088942</v>
      </c>
      <c r="R117" s="188">
        <f ca="1">F117*'Large Use Predicted Monthly'!$AB$12</f>
        <v>3526200.677625542</v>
      </c>
      <c r="S117" s="188">
        <f>I117*'Large Use Predicted Monthly'!$AB$13</f>
        <v>6999999.7151174396</v>
      </c>
      <c r="T117" s="188">
        <f>J117*'Large Use Predicted Monthly'!$AB$14</f>
        <v>0</v>
      </c>
      <c r="U117" s="188">
        <f>K117*'Large Use Predicted Monthly'!$AB$15</f>
        <v>0</v>
      </c>
      <c r="V117" s="188">
        <f>L117*'Large Use Predicted Monthly'!$AB$16</f>
        <v>10482494.861430187</v>
      </c>
      <c r="W117" s="188">
        <f>M117*'Large Use Predicted Monthly'!$AB$17</f>
        <v>1997565.0557566662</v>
      </c>
      <c r="X117" s="188">
        <f>N117*'Large Use Predicted Monthly'!$AB$18</f>
        <v>-352058.92944720201</v>
      </c>
      <c r="Y117" s="188">
        <f t="shared" ca="1" si="18"/>
        <v>16870552.849588364</v>
      </c>
      <c r="AB117" s="188"/>
    </row>
    <row r="118" spans="1:28" s="59" customFormat="1" x14ac:dyDescent="0.2">
      <c r="A118" s="506">
        <f t="shared" si="13"/>
        <v>46266</v>
      </c>
      <c r="B118" s="59">
        <f t="shared" si="6"/>
        <v>2026</v>
      </c>
      <c r="C118" s="59">
        <f t="shared" si="7"/>
        <v>9</v>
      </c>
      <c r="D118" s="178"/>
      <c r="E118" s="511">
        <f t="shared" ca="1" si="9"/>
        <v>11.319999999999997</v>
      </c>
      <c r="F118" s="511">
        <f t="shared" ca="1" si="9"/>
        <v>155.75020833333332</v>
      </c>
      <c r="G118" s="177"/>
      <c r="H118" s="177"/>
      <c r="I118" s="177">
        <f>'Customer Count'!S56</f>
        <v>2</v>
      </c>
      <c r="J118" s="177">
        <f t="shared" si="14"/>
        <v>1</v>
      </c>
      <c r="K118" s="177">
        <f>'Monthly Data'!CV118</f>
        <v>0</v>
      </c>
      <c r="L118" s="177">
        <f t="shared" si="15"/>
        <v>30</v>
      </c>
      <c r="M118" s="177">
        <f t="shared" si="16"/>
        <v>117</v>
      </c>
      <c r="N118" s="177">
        <f t="shared" si="17"/>
        <v>0</v>
      </c>
      <c r="P118" s="188">
        <f>'Large Use Predicted Monthly'!$AB$10</f>
        <v>-5783820.4539120998</v>
      </c>
      <c r="Q118" s="188">
        <f ca="1">E118*'Large Use Predicted Monthly'!$AB$11</f>
        <v>6981.7706254552941</v>
      </c>
      <c r="R118" s="188">
        <f ca="1">F118*'Large Use Predicted Monthly'!$AB$12</f>
        <v>2129883.7154836268</v>
      </c>
      <c r="S118" s="188">
        <f>I118*'Large Use Predicted Monthly'!$AB$13</f>
        <v>6999999.7151174396</v>
      </c>
      <c r="T118" s="188">
        <f>J118*'Large Use Predicted Monthly'!$AB$14</f>
        <v>387000.72715245897</v>
      </c>
      <c r="U118" s="188">
        <f>K118*'Large Use Predicted Monthly'!$AB$15</f>
        <v>0</v>
      </c>
      <c r="V118" s="188">
        <f>L118*'Large Use Predicted Monthly'!$AB$16</f>
        <v>10144349.865900181</v>
      </c>
      <c r="W118" s="188">
        <f>M118*'Large Use Predicted Monthly'!$AB$17</f>
        <v>2014785.4441683618</v>
      </c>
      <c r="X118" s="188">
        <f>N118*'Large Use Predicted Monthly'!$AB$18</f>
        <v>0</v>
      </c>
      <c r="Y118" s="188">
        <f t="shared" ca="1" si="18"/>
        <v>15899180.784535423</v>
      </c>
      <c r="AB118" s="188"/>
    </row>
    <row r="119" spans="1:28" s="59" customFormat="1" x14ac:dyDescent="0.2">
      <c r="A119" s="506">
        <f t="shared" si="13"/>
        <v>46296</v>
      </c>
      <c r="B119" s="59">
        <f t="shared" si="6"/>
        <v>2026</v>
      </c>
      <c r="C119" s="59">
        <f t="shared" si="7"/>
        <v>10</v>
      </c>
      <c r="D119" s="178"/>
      <c r="E119" s="511">
        <f t="shared" ca="1" si="9"/>
        <v>126.12583333333332</v>
      </c>
      <c r="F119" s="511">
        <f t="shared" ca="1" si="9"/>
        <v>45.238541666666677</v>
      </c>
      <c r="G119" s="177"/>
      <c r="H119" s="177"/>
      <c r="I119" s="177">
        <f>'Customer Count'!S57</f>
        <v>2</v>
      </c>
      <c r="J119" s="177">
        <f t="shared" si="14"/>
        <v>1</v>
      </c>
      <c r="K119" s="177">
        <f>'Monthly Data'!CV119</f>
        <v>0</v>
      </c>
      <c r="L119" s="177">
        <f t="shared" si="15"/>
        <v>31</v>
      </c>
      <c r="M119" s="177">
        <f t="shared" si="16"/>
        <v>118</v>
      </c>
      <c r="N119" s="177">
        <f t="shared" si="17"/>
        <v>0</v>
      </c>
      <c r="P119" s="188">
        <f>'Large Use Predicted Monthly'!$AB$10</f>
        <v>-5783820.4539120998</v>
      </c>
      <c r="Q119" s="188">
        <f ca="1">E119*'Large Use Predicted Monthly'!$AB$11</f>
        <v>77789.897374358392</v>
      </c>
      <c r="R119" s="188">
        <f ca="1">F119*'Large Use Predicted Monthly'!$AB$12</f>
        <v>618636.94590923819</v>
      </c>
      <c r="S119" s="188">
        <f>I119*'Large Use Predicted Monthly'!$AB$13</f>
        <v>6999999.7151174396</v>
      </c>
      <c r="T119" s="188">
        <f>J119*'Large Use Predicted Monthly'!$AB$14</f>
        <v>387000.72715245897</v>
      </c>
      <c r="U119" s="188">
        <f>K119*'Large Use Predicted Monthly'!$AB$15</f>
        <v>0</v>
      </c>
      <c r="V119" s="188">
        <f>L119*'Large Use Predicted Monthly'!$AB$16</f>
        <v>10482494.861430187</v>
      </c>
      <c r="W119" s="188">
        <f>M119*'Large Use Predicted Monthly'!$AB$17</f>
        <v>2032005.8325800572</v>
      </c>
      <c r="X119" s="188">
        <f>N119*'Large Use Predicted Monthly'!$AB$18</f>
        <v>0</v>
      </c>
      <c r="Y119" s="188">
        <f t="shared" ca="1" si="18"/>
        <v>14814107.525651639</v>
      </c>
      <c r="AB119" s="188"/>
    </row>
    <row r="120" spans="1:28" s="59" customFormat="1" x14ac:dyDescent="0.2">
      <c r="A120" s="506">
        <f t="shared" si="13"/>
        <v>46327</v>
      </c>
      <c r="B120" s="59">
        <f t="shared" si="6"/>
        <v>2026</v>
      </c>
      <c r="C120" s="59">
        <f t="shared" si="7"/>
        <v>11</v>
      </c>
      <c r="D120" s="178"/>
      <c r="E120" s="511">
        <f t="shared" ca="1" si="9"/>
        <v>312.40687500000001</v>
      </c>
      <c r="F120" s="511">
        <f t="shared" ca="1" si="9"/>
        <v>3.6587500000000004</v>
      </c>
      <c r="G120" s="177"/>
      <c r="H120" s="177"/>
      <c r="I120" s="177">
        <f>'Customer Count'!S58</f>
        <v>2</v>
      </c>
      <c r="J120" s="177">
        <f t="shared" si="14"/>
        <v>1</v>
      </c>
      <c r="K120" s="177">
        <f>'Monthly Data'!CV120</f>
        <v>0</v>
      </c>
      <c r="L120" s="177">
        <f t="shared" si="15"/>
        <v>30</v>
      </c>
      <c r="M120" s="177">
        <f t="shared" si="16"/>
        <v>119</v>
      </c>
      <c r="N120" s="177">
        <f t="shared" si="17"/>
        <v>0</v>
      </c>
      <c r="P120" s="188">
        <f>'Large Use Predicted Monthly'!$AB$10</f>
        <v>-5783820.4539120998</v>
      </c>
      <c r="Q120" s="188">
        <f ca="1">E120*'Large Use Predicted Monthly'!$AB$11</f>
        <v>192681.37306230428</v>
      </c>
      <c r="R120" s="188">
        <f ca="1">F120*'Large Use Predicted Monthly'!$AB$12</f>
        <v>50033.39724174187</v>
      </c>
      <c r="S120" s="188">
        <f>I120*'Large Use Predicted Monthly'!$AB$13</f>
        <v>6999999.7151174396</v>
      </c>
      <c r="T120" s="188">
        <f>J120*'Large Use Predicted Monthly'!$AB$14</f>
        <v>387000.72715245897</v>
      </c>
      <c r="U120" s="188">
        <f>K120*'Large Use Predicted Monthly'!$AB$15</f>
        <v>0</v>
      </c>
      <c r="V120" s="188">
        <f>L120*'Large Use Predicted Monthly'!$AB$16</f>
        <v>10144349.865900181</v>
      </c>
      <c r="W120" s="188">
        <f>M120*'Large Use Predicted Monthly'!$AB$17</f>
        <v>2049226.2209917526</v>
      </c>
      <c r="X120" s="188">
        <f>N120*'Large Use Predicted Monthly'!$AB$18</f>
        <v>0</v>
      </c>
      <c r="Y120" s="188">
        <f t="shared" ca="1" si="18"/>
        <v>14039470.845553778</v>
      </c>
      <c r="AB120" s="188"/>
    </row>
    <row r="121" spans="1:28" s="59" customFormat="1" x14ac:dyDescent="0.2">
      <c r="A121" s="506">
        <f t="shared" si="13"/>
        <v>46357</v>
      </c>
      <c r="B121" s="59">
        <f t="shared" si="6"/>
        <v>2026</v>
      </c>
      <c r="C121" s="59">
        <f t="shared" si="7"/>
        <v>12</v>
      </c>
      <c r="D121" s="178"/>
      <c r="E121" s="511">
        <f t="shared" ca="1" si="9"/>
        <v>473.52499999999998</v>
      </c>
      <c r="F121" s="511">
        <f t="shared" ca="1" si="9"/>
        <v>0</v>
      </c>
      <c r="G121" s="177"/>
      <c r="H121" s="177"/>
      <c r="I121" s="177">
        <f>'Customer Count'!S59</f>
        <v>2</v>
      </c>
      <c r="J121" s="177">
        <f t="shared" si="14"/>
        <v>0</v>
      </c>
      <c r="K121" s="177">
        <f>'Monthly Data'!CV121</f>
        <v>0</v>
      </c>
      <c r="L121" s="177">
        <f t="shared" si="15"/>
        <v>31</v>
      </c>
      <c r="M121" s="177">
        <f t="shared" si="16"/>
        <v>120</v>
      </c>
      <c r="N121" s="177">
        <f t="shared" si="17"/>
        <v>0</v>
      </c>
      <c r="P121" s="188">
        <f>'Large Use Predicted Monthly'!$AB$10</f>
        <v>-5783820.4539120998</v>
      </c>
      <c r="Q121" s="188">
        <f ca="1">E121*'Large Use Predicted Monthly'!$AB$11</f>
        <v>292053.26284617657</v>
      </c>
      <c r="R121" s="188">
        <f ca="1">F121*'Large Use Predicted Monthly'!$AB$12</f>
        <v>0</v>
      </c>
      <c r="S121" s="188">
        <f>I121*'Large Use Predicted Monthly'!$AB$13</f>
        <v>6999999.7151174396</v>
      </c>
      <c r="T121" s="188">
        <f>J121*'Large Use Predicted Monthly'!$AB$14</f>
        <v>0</v>
      </c>
      <c r="U121" s="188">
        <f>K121*'Large Use Predicted Monthly'!$AB$15</f>
        <v>0</v>
      </c>
      <c r="V121" s="188">
        <f>L121*'Large Use Predicted Monthly'!$AB$16</f>
        <v>10482494.861430187</v>
      </c>
      <c r="W121" s="188">
        <f>M121*'Large Use Predicted Monthly'!$AB$17</f>
        <v>2066446.6094034479</v>
      </c>
      <c r="X121" s="188">
        <f>N121*'Large Use Predicted Monthly'!$AB$18</f>
        <v>0</v>
      </c>
      <c r="Y121" s="188">
        <f t="shared" ca="1" si="18"/>
        <v>14057173.994885152</v>
      </c>
      <c r="AB121" s="188"/>
    </row>
    <row r="122" spans="1:28" s="59" customFormat="1" x14ac:dyDescent="0.2">
      <c r="A122" s="506">
        <f t="shared" si="13"/>
        <v>46388</v>
      </c>
      <c r="B122" s="59">
        <f>YEAR(A122)</f>
        <v>2027</v>
      </c>
      <c r="C122" s="59">
        <f>MONTH(A122)</f>
        <v>1</v>
      </c>
      <c r="D122" s="178"/>
      <c r="E122" s="511">
        <f t="shared" ca="1" si="9"/>
        <v>566.30416666666667</v>
      </c>
      <c r="F122" s="511">
        <f t="shared" ca="1" si="9"/>
        <v>0</v>
      </c>
      <c r="G122" s="177"/>
      <c r="H122" s="177"/>
      <c r="I122" s="177">
        <f>'Customer Count'!S60</f>
        <v>2</v>
      </c>
      <c r="J122" s="177">
        <f t="shared" si="14"/>
        <v>0</v>
      </c>
      <c r="K122" s="177">
        <f>'Monthly Data'!CV122</f>
        <v>0</v>
      </c>
      <c r="L122" s="177">
        <f t="shared" si="15"/>
        <v>31</v>
      </c>
      <c r="M122" s="177">
        <f t="shared" si="16"/>
        <v>121</v>
      </c>
      <c r="N122" s="177">
        <f t="shared" si="17"/>
        <v>0</v>
      </c>
      <c r="P122" s="188">
        <f>'Large Use Predicted Monthly'!$AB$10</f>
        <v>-5783820.4539120998</v>
      </c>
      <c r="Q122" s="188">
        <f ca="1">E122*'Large Use Predicted Monthly'!$AB$11</f>
        <v>349276.13038041285</v>
      </c>
      <c r="R122" s="188">
        <f ca="1">F122*'Large Use Predicted Monthly'!$AB$12</f>
        <v>0</v>
      </c>
      <c r="S122" s="188">
        <f>I122*'Large Use Predicted Monthly'!$AB$13</f>
        <v>6999999.7151174396</v>
      </c>
      <c r="T122" s="188">
        <f>J122*'Large Use Predicted Monthly'!$AB$14</f>
        <v>0</v>
      </c>
      <c r="U122" s="188">
        <f>K122*'Large Use Predicted Monthly'!$AB$15</f>
        <v>0</v>
      </c>
      <c r="V122" s="188">
        <f>L122*'Large Use Predicted Monthly'!$AB$16</f>
        <v>10482494.861430187</v>
      </c>
      <c r="W122" s="188">
        <f>M122*'Large Use Predicted Monthly'!$AB$17</f>
        <v>2083666.9978151433</v>
      </c>
      <c r="X122" s="188">
        <f>N122*'Large Use Predicted Monthly'!$AB$18</f>
        <v>0</v>
      </c>
      <c r="Y122" s="188">
        <f t="shared" ca="1" si="18"/>
        <v>14131617.250831082</v>
      </c>
      <c r="AB122" s="188"/>
    </row>
    <row r="123" spans="1:28" s="59" customFormat="1" x14ac:dyDescent="0.2">
      <c r="A123" s="506">
        <f t="shared" si="13"/>
        <v>46419</v>
      </c>
      <c r="B123" s="59">
        <f>YEAR(A123)</f>
        <v>2027</v>
      </c>
      <c r="C123" s="59">
        <f>MONTH(A123)</f>
        <v>2</v>
      </c>
      <c r="D123" s="178"/>
      <c r="E123" s="511">
        <f t="shared" ca="1" si="9"/>
        <v>483.54541666666665</v>
      </c>
      <c r="F123" s="511">
        <f t="shared" ca="1" si="9"/>
        <v>0</v>
      </c>
      <c r="G123" s="177"/>
      <c r="H123" s="177"/>
      <c r="I123" s="177">
        <f>'Customer Count'!S61</f>
        <v>2</v>
      </c>
      <c r="J123" s="177">
        <f t="shared" si="14"/>
        <v>0</v>
      </c>
      <c r="K123" s="177">
        <f>'Monthly Data'!CV123</f>
        <v>0</v>
      </c>
      <c r="L123" s="177">
        <f t="shared" si="15"/>
        <v>28</v>
      </c>
      <c r="M123" s="177">
        <f t="shared" si="16"/>
        <v>122</v>
      </c>
      <c r="N123" s="177">
        <f t="shared" si="17"/>
        <v>0</v>
      </c>
      <c r="P123" s="188">
        <f>'Large Use Predicted Monthly'!$AB$10</f>
        <v>-5783820.4539120998</v>
      </c>
      <c r="Q123" s="188">
        <f ca="1">E123*'Large Use Predicted Monthly'!$AB$11</f>
        <v>298233.49701032462</v>
      </c>
      <c r="R123" s="188">
        <f ca="1">F123*'Large Use Predicted Monthly'!$AB$12</f>
        <v>0</v>
      </c>
      <c r="S123" s="188">
        <f>I123*'Large Use Predicted Monthly'!$AB$13</f>
        <v>6999999.7151174396</v>
      </c>
      <c r="T123" s="188">
        <f>J123*'Large Use Predicted Monthly'!$AB$14</f>
        <v>0</v>
      </c>
      <c r="U123" s="188">
        <f>K123*'Large Use Predicted Monthly'!$AB$15</f>
        <v>0</v>
      </c>
      <c r="V123" s="188">
        <f>L123*'Large Use Predicted Monthly'!$AB$16</f>
        <v>9468059.8748401683</v>
      </c>
      <c r="W123" s="188">
        <f>M123*'Large Use Predicted Monthly'!$AB$17</f>
        <v>2100887.3862268389</v>
      </c>
      <c r="X123" s="188">
        <f>N123*'Large Use Predicted Monthly'!$AB$18</f>
        <v>0</v>
      </c>
      <c r="Y123" s="188">
        <f t="shared" ca="1" si="18"/>
        <v>13083360.019282671</v>
      </c>
      <c r="AB123" s="188"/>
    </row>
    <row r="124" spans="1:28" s="59" customFormat="1" x14ac:dyDescent="0.2">
      <c r="A124" s="506">
        <f t="shared" si="13"/>
        <v>46447</v>
      </c>
      <c r="B124" s="59">
        <f>YEAR(A124)</f>
        <v>2027</v>
      </c>
      <c r="C124" s="59">
        <f>MONTH(A124)</f>
        <v>3</v>
      </c>
      <c r="D124" s="178"/>
      <c r="E124" s="511">
        <f t="shared" ca="1" si="9"/>
        <v>393.96333333333331</v>
      </c>
      <c r="F124" s="511">
        <f t="shared" ca="1" si="9"/>
        <v>0.93041666666666656</v>
      </c>
      <c r="G124" s="177"/>
      <c r="H124" s="177"/>
      <c r="I124" s="177">
        <f>'Customer Count'!S62</f>
        <v>2</v>
      </c>
      <c r="J124" s="177">
        <f t="shared" si="14"/>
        <v>0</v>
      </c>
      <c r="K124" s="177">
        <f>'Monthly Data'!CV124</f>
        <v>0</v>
      </c>
      <c r="L124" s="177">
        <f t="shared" si="15"/>
        <v>31</v>
      </c>
      <c r="M124" s="177">
        <f t="shared" si="16"/>
        <v>123</v>
      </c>
      <c r="N124" s="177">
        <f t="shared" si="17"/>
        <v>0</v>
      </c>
      <c r="P124" s="188">
        <f>'Large Use Predicted Monthly'!$AB$10</f>
        <v>-5783820.4539120998</v>
      </c>
      <c r="Q124" s="188">
        <f ca="1">E124*'Large Use Predicted Monthly'!$AB$11</f>
        <v>242982.47598702469</v>
      </c>
      <c r="R124" s="188">
        <f ca="1">F124*'Large Use Predicted Monthly'!$AB$12</f>
        <v>12723.445625875136</v>
      </c>
      <c r="S124" s="188">
        <f>I124*'Large Use Predicted Monthly'!$AB$13</f>
        <v>6999999.7151174396</v>
      </c>
      <c r="T124" s="188">
        <f>J124*'Large Use Predicted Monthly'!$AB$14</f>
        <v>0</v>
      </c>
      <c r="U124" s="188">
        <f>K124*'Large Use Predicted Monthly'!$AB$15</f>
        <v>0</v>
      </c>
      <c r="V124" s="188">
        <f>L124*'Large Use Predicted Monthly'!$AB$16</f>
        <v>10482494.861430187</v>
      </c>
      <c r="W124" s="188">
        <f>M124*'Large Use Predicted Monthly'!$AB$17</f>
        <v>2118107.7746385341</v>
      </c>
      <c r="X124" s="188">
        <f>N124*'Large Use Predicted Monthly'!$AB$18</f>
        <v>0</v>
      </c>
      <c r="Y124" s="188">
        <f t="shared" ca="1" si="18"/>
        <v>14072487.81888696</v>
      </c>
      <c r="AB124" s="188"/>
    </row>
    <row r="125" spans="1:28" s="59" customFormat="1" x14ac:dyDescent="0.2">
      <c r="A125" s="506">
        <f t="shared" si="13"/>
        <v>46478</v>
      </c>
      <c r="B125" s="59">
        <f>YEAR(A125)</f>
        <v>2027</v>
      </c>
      <c r="C125" s="59">
        <f>MONTH(A125)</f>
        <v>4</v>
      </c>
      <c r="D125" s="178"/>
      <c r="E125" s="511">
        <f t="shared" ca="1" si="9"/>
        <v>226.60145833333337</v>
      </c>
      <c r="F125" s="511">
        <f t="shared" ca="1" si="9"/>
        <v>13.944166666666669</v>
      </c>
      <c r="G125" s="177"/>
      <c r="H125" s="177"/>
      <c r="I125" s="177">
        <f>'Customer Count'!S63</f>
        <v>2</v>
      </c>
      <c r="J125" s="177">
        <f t="shared" si="14"/>
        <v>0</v>
      </c>
      <c r="K125" s="177">
        <f>'Monthly Data'!CV125</f>
        <v>0</v>
      </c>
      <c r="L125" s="177">
        <f t="shared" si="15"/>
        <v>30</v>
      </c>
      <c r="M125" s="177">
        <f t="shared" si="16"/>
        <v>124</v>
      </c>
      <c r="N125" s="177">
        <f t="shared" si="17"/>
        <v>0</v>
      </c>
      <c r="P125" s="188">
        <f>'Large Use Predicted Monthly'!$AB$10</f>
        <v>-5783820.4539120998</v>
      </c>
      <c r="Q125" s="188">
        <f ca="1">E125*'Large Use Predicted Monthly'!$AB$11</f>
        <v>139759.66479478791</v>
      </c>
      <c r="R125" s="188">
        <f ca="1">F125*'Large Use Predicted Monthly'!$AB$12</f>
        <v>190686.44483454432</v>
      </c>
      <c r="S125" s="188">
        <f>I125*'Large Use Predicted Monthly'!$AB$13</f>
        <v>6999999.7151174396</v>
      </c>
      <c r="T125" s="188">
        <f>J125*'Large Use Predicted Monthly'!$AB$14</f>
        <v>0</v>
      </c>
      <c r="U125" s="188">
        <f>K125*'Large Use Predicted Monthly'!$AB$15</f>
        <v>0</v>
      </c>
      <c r="V125" s="188">
        <f>L125*'Large Use Predicted Monthly'!$AB$16</f>
        <v>10144349.865900181</v>
      </c>
      <c r="W125" s="188">
        <f>M125*'Large Use Predicted Monthly'!$AB$17</f>
        <v>2135328.1630502297</v>
      </c>
      <c r="X125" s="188">
        <f>N125*'Large Use Predicted Monthly'!$AB$18</f>
        <v>0</v>
      </c>
      <c r="Y125" s="188">
        <f t="shared" ca="1" si="18"/>
        <v>13826303.399785083</v>
      </c>
    </row>
    <row r="126" spans="1:28" s="59" customFormat="1" x14ac:dyDescent="0.2">
      <c r="A126" s="506">
        <f t="shared" si="13"/>
        <v>46508</v>
      </c>
      <c r="B126" s="59">
        <f>YEAR(A126)</f>
        <v>2027</v>
      </c>
      <c r="C126" s="59">
        <f>MONTH(A126)</f>
        <v>5</v>
      </c>
      <c r="D126" s="178"/>
      <c r="E126" s="511">
        <f t="shared" ca="1" si="9"/>
        <v>65.335833333333326</v>
      </c>
      <c r="F126" s="511">
        <f t="shared" ca="1" si="9"/>
        <v>93.837916666666644</v>
      </c>
      <c r="G126" s="177"/>
      <c r="H126" s="177"/>
      <c r="I126" s="177">
        <f>'Customer Count'!S64</f>
        <v>2</v>
      </c>
      <c r="J126" s="177">
        <f t="shared" si="14"/>
        <v>0</v>
      </c>
      <c r="K126" s="177">
        <f>'Monthly Data'!CV126</f>
        <v>0</v>
      </c>
      <c r="L126" s="177">
        <f t="shared" si="15"/>
        <v>31</v>
      </c>
      <c r="M126" s="177">
        <f t="shared" si="16"/>
        <v>125</v>
      </c>
      <c r="N126" s="177">
        <f t="shared" si="17"/>
        <v>1</v>
      </c>
      <c r="P126" s="188">
        <f>'Large Use Predicted Monthly'!$AB$10</f>
        <v>-5783820.4539120998</v>
      </c>
      <c r="Q126" s="188">
        <f ca="1">E126*'Large Use Predicted Monthly'!$AB$11</f>
        <v>40296.802292960208</v>
      </c>
      <c r="R126" s="188">
        <f ca="1">F126*'Large Use Predicted Monthly'!$AB$12</f>
        <v>1283233.2793770556</v>
      </c>
      <c r="S126" s="188">
        <f>I126*'Large Use Predicted Monthly'!$AB$13</f>
        <v>6999999.7151174396</v>
      </c>
      <c r="T126" s="188">
        <f>J126*'Large Use Predicted Monthly'!$AB$14</f>
        <v>0</v>
      </c>
      <c r="U126" s="188">
        <f>K126*'Large Use Predicted Monthly'!$AB$15</f>
        <v>0</v>
      </c>
      <c r="V126" s="188">
        <f>L126*'Large Use Predicted Monthly'!$AB$16</f>
        <v>10482494.861430187</v>
      </c>
      <c r="W126" s="188">
        <f>M126*'Large Use Predicted Monthly'!$AB$17</f>
        <v>2152548.5514619248</v>
      </c>
      <c r="X126" s="188">
        <f>N126*'Large Use Predicted Monthly'!$AB$18</f>
        <v>-352058.92944720201</v>
      </c>
      <c r="Y126" s="188">
        <f t="shared" ca="1" si="18"/>
        <v>14822693.826320263</v>
      </c>
    </row>
    <row r="127" spans="1:28" s="59" customFormat="1" x14ac:dyDescent="0.2">
      <c r="A127" s="506">
        <f t="shared" si="13"/>
        <v>46539</v>
      </c>
      <c r="B127" s="59">
        <f t="shared" ref="B127:B133" si="19">YEAR(A127)</f>
        <v>2027</v>
      </c>
      <c r="C127" s="59">
        <f t="shared" ref="C127:C133" si="20">MONTH(A127)</f>
        <v>6</v>
      </c>
      <c r="E127" s="511">
        <f t="shared" ca="1" si="9"/>
        <v>3.0447916666666672</v>
      </c>
      <c r="F127" s="511">
        <f t="shared" ca="1" si="9"/>
        <v>214.81645833333337</v>
      </c>
      <c r="G127" s="177"/>
      <c r="H127" s="177"/>
      <c r="I127" s="177">
        <f>'Customer Count'!S65</f>
        <v>2</v>
      </c>
      <c r="J127" s="177">
        <f t="shared" si="14"/>
        <v>0</v>
      </c>
      <c r="K127" s="177">
        <f>'Monthly Data'!CV127</f>
        <v>0</v>
      </c>
      <c r="L127" s="177">
        <f t="shared" si="15"/>
        <v>30</v>
      </c>
      <c r="M127" s="177">
        <f t="shared" si="16"/>
        <v>126</v>
      </c>
      <c r="N127" s="177">
        <f t="shared" si="17"/>
        <v>1</v>
      </c>
      <c r="P127" s="188">
        <f>'Large Use Predicted Monthly'!$AB$10</f>
        <v>-5783820.4539120998</v>
      </c>
      <c r="Q127" s="188">
        <f ca="1">E127*'Large Use Predicted Monthly'!$AB$11</f>
        <v>1877.9184645728276</v>
      </c>
      <c r="R127" s="188">
        <f ca="1">F127*'Large Use Predicted Monthly'!$AB$12</f>
        <v>2937614.5388058103</v>
      </c>
      <c r="S127" s="188">
        <f>I127*'Large Use Predicted Monthly'!$AB$13</f>
        <v>6999999.7151174396</v>
      </c>
      <c r="T127" s="188">
        <f>J127*'Large Use Predicted Monthly'!$AB$14</f>
        <v>0</v>
      </c>
      <c r="U127" s="188">
        <f>K127*'Large Use Predicted Monthly'!$AB$15</f>
        <v>0</v>
      </c>
      <c r="V127" s="188">
        <f>L127*'Large Use Predicted Monthly'!$AB$16</f>
        <v>10144349.865900181</v>
      </c>
      <c r="W127" s="188">
        <f>M127*'Large Use Predicted Monthly'!$AB$17</f>
        <v>2169768.9398736204</v>
      </c>
      <c r="X127" s="188">
        <f>N127*'Large Use Predicted Monthly'!$AB$18</f>
        <v>-352058.92944720201</v>
      </c>
      <c r="Y127" s="188">
        <f t="shared" ca="1" si="18"/>
        <v>16117731.594802324</v>
      </c>
    </row>
    <row r="128" spans="1:28" s="59" customFormat="1" x14ac:dyDescent="0.2">
      <c r="A128" s="506">
        <f t="shared" si="13"/>
        <v>46569</v>
      </c>
      <c r="B128" s="59">
        <f t="shared" si="19"/>
        <v>2027</v>
      </c>
      <c r="C128" s="59">
        <f t="shared" si="20"/>
        <v>7</v>
      </c>
      <c r="E128" s="511">
        <f t="shared" ca="1" si="9"/>
        <v>0</v>
      </c>
      <c r="F128" s="511">
        <f t="shared" ca="1" si="9"/>
        <v>293.27145833333327</v>
      </c>
      <c r="G128" s="177"/>
      <c r="H128" s="177"/>
      <c r="I128" s="177">
        <f>'Customer Count'!S66</f>
        <v>2</v>
      </c>
      <c r="J128" s="177">
        <f t="shared" si="14"/>
        <v>0</v>
      </c>
      <c r="K128" s="177">
        <f>'Monthly Data'!CV128</f>
        <v>0</v>
      </c>
      <c r="L128" s="177">
        <f t="shared" si="15"/>
        <v>31</v>
      </c>
      <c r="M128" s="177">
        <f t="shared" si="16"/>
        <v>127</v>
      </c>
      <c r="N128" s="177">
        <f t="shared" si="17"/>
        <v>1</v>
      </c>
      <c r="P128" s="188">
        <f>'Large Use Predicted Monthly'!$AB$10</f>
        <v>-5783820.4539120998</v>
      </c>
      <c r="Q128" s="188">
        <f ca="1">E128*'Large Use Predicted Monthly'!$AB$11</f>
        <v>0</v>
      </c>
      <c r="R128" s="188">
        <f ca="1">F128*'Large Use Predicted Monthly'!$AB$12</f>
        <v>4010486.4706406863</v>
      </c>
      <c r="S128" s="188">
        <f>I128*'Large Use Predicted Monthly'!$AB$13</f>
        <v>6999999.7151174396</v>
      </c>
      <c r="T128" s="188">
        <f>J128*'Large Use Predicted Monthly'!$AB$14</f>
        <v>0</v>
      </c>
      <c r="U128" s="188">
        <f>K128*'Large Use Predicted Monthly'!$AB$15</f>
        <v>0</v>
      </c>
      <c r="V128" s="188">
        <f>L128*'Large Use Predicted Monthly'!$AB$16</f>
        <v>10482494.861430187</v>
      </c>
      <c r="W128" s="188">
        <f>M128*'Large Use Predicted Monthly'!$AB$17</f>
        <v>2186989.3282853155</v>
      </c>
      <c r="X128" s="188">
        <f>N128*'Large Use Predicted Monthly'!$AB$18</f>
        <v>-352058.92944720201</v>
      </c>
      <c r="Y128" s="188">
        <f t="shared" ca="1" si="18"/>
        <v>17544090.992114328</v>
      </c>
    </row>
    <row r="129" spans="1:25" s="59" customFormat="1" x14ac:dyDescent="0.2">
      <c r="A129" s="506">
        <f t="shared" si="13"/>
        <v>46600</v>
      </c>
      <c r="B129" s="59">
        <f t="shared" si="19"/>
        <v>2027</v>
      </c>
      <c r="C129" s="59">
        <f t="shared" si="20"/>
        <v>8</v>
      </c>
      <c r="E129" s="511">
        <f t="shared" ca="1" si="9"/>
        <v>0.27875000000000066</v>
      </c>
      <c r="F129" s="511">
        <f t="shared" ca="1" si="9"/>
        <v>257.85749999999996</v>
      </c>
      <c r="G129" s="177"/>
      <c r="H129" s="177"/>
      <c r="I129" s="177">
        <f>'Customer Count'!S67</f>
        <v>2</v>
      </c>
      <c r="J129" s="177">
        <f t="shared" si="14"/>
        <v>0</v>
      </c>
      <c r="K129" s="177">
        <f>'Monthly Data'!CV129</f>
        <v>0</v>
      </c>
      <c r="L129" s="177">
        <f t="shared" si="15"/>
        <v>31</v>
      </c>
      <c r="M129" s="177">
        <f t="shared" si="16"/>
        <v>128</v>
      </c>
      <c r="N129" s="177">
        <f t="shared" si="17"/>
        <v>1</v>
      </c>
      <c r="P129" s="188">
        <f>'Large Use Predicted Monthly'!$AB$10</f>
        <v>-5783820.4539120998</v>
      </c>
      <c r="Q129" s="188">
        <f ca="1">E129*'Large Use Predicted Monthly'!$AB$11</f>
        <v>171.92301783088942</v>
      </c>
      <c r="R129" s="188">
        <f ca="1">F129*'Large Use Predicted Monthly'!$AB$12</f>
        <v>3526200.677625542</v>
      </c>
      <c r="S129" s="188">
        <f>I129*'Large Use Predicted Monthly'!$AB$13</f>
        <v>6999999.7151174396</v>
      </c>
      <c r="T129" s="188">
        <f>J129*'Large Use Predicted Monthly'!$AB$14</f>
        <v>0</v>
      </c>
      <c r="U129" s="188">
        <f>K129*'Large Use Predicted Monthly'!$AB$15</f>
        <v>0</v>
      </c>
      <c r="V129" s="188">
        <f>L129*'Large Use Predicted Monthly'!$AB$16</f>
        <v>10482494.861430187</v>
      </c>
      <c r="W129" s="188">
        <f>M129*'Large Use Predicted Monthly'!$AB$17</f>
        <v>2204209.7166970111</v>
      </c>
      <c r="X129" s="188">
        <f>N129*'Large Use Predicted Monthly'!$AB$18</f>
        <v>-352058.92944720201</v>
      </c>
      <c r="Y129" s="188">
        <f t="shared" ca="1" si="18"/>
        <v>17077197.510528706</v>
      </c>
    </row>
    <row r="130" spans="1:25" s="59" customFormat="1" x14ac:dyDescent="0.2">
      <c r="A130" s="506">
        <f t="shared" si="13"/>
        <v>46631</v>
      </c>
      <c r="B130" s="59">
        <f t="shared" si="19"/>
        <v>2027</v>
      </c>
      <c r="C130" s="59">
        <f t="shared" si="20"/>
        <v>9</v>
      </c>
      <c r="E130" s="511">
        <f t="shared" ca="1" si="9"/>
        <v>11.319999999999997</v>
      </c>
      <c r="F130" s="511">
        <f t="shared" ca="1" si="9"/>
        <v>155.75020833333332</v>
      </c>
      <c r="G130" s="177"/>
      <c r="H130" s="177"/>
      <c r="I130" s="177">
        <f>'Customer Count'!S68</f>
        <v>2</v>
      </c>
      <c r="J130" s="177">
        <f t="shared" si="14"/>
        <v>1</v>
      </c>
      <c r="K130" s="177">
        <f>'Monthly Data'!CV130</f>
        <v>0</v>
      </c>
      <c r="L130" s="177">
        <f t="shared" si="15"/>
        <v>30</v>
      </c>
      <c r="M130" s="177">
        <f t="shared" si="16"/>
        <v>129</v>
      </c>
      <c r="N130" s="177">
        <f t="shared" si="17"/>
        <v>0</v>
      </c>
      <c r="P130" s="188">
        <f>'Large Use Predicted Monthly'!$AB$10</f>
        <v>-5783820.4539120998</v>
      </c>
      <c r="Q130" s="188">
        <f ca="1">E130*'Large Use Predicted Monthly'!$AB$11</f>
        <v>6981.7706254552941</v>
      </c>
      <c r="R130" s="188">
        <f ca="1">F130*'Large Use Predicted Monthly'!$AB$12</f>
        <v>2129883.7154836268</v>
      </c>
      <c r="S130" s="188">
        <f>I130*'Large Use Predicted Monthly'!$AB$13</f>
        <v>6999999.7151174396</v>
      </c>
      <c r="T130" s="188">
        <f>J130*'Large Use Predicted Monthly'!$AB$14</f>
        <v>387000.72715245897</v>
      </c>
      <c r="U130" s="188">
        <f>K130*'Large Use Predicted Monthly'!$AB$15</f>
        <v>0</v>
      </c>
      <c r="V130" s="188">
        <f>L130*'Large Use Predicted Monthly'!$AB$16</f>
        <v>10144349.865900181</v>
      </c>
      <c r="W130" s="188">
        <f>M130*'Large Use Predicted Monthly'!$AB$17</f>
        <v>2221430.1051087067</v>
      </c>
      <c r="X130" s="188">
        <f>N130*'Large Use Predicted Monthly'!$AB$18</f>
        <v>0</v>
      </c>
      <c r="Y130" s="188">
        <f t="shared" ca="1" si="18"/>
        <v>16105825.445475768</v>
      </c>
    </row>
    <row r="131" spans="1:25" s="59" customFormat="1" x14ac:dyDescent="0.2">
      <c r="A131" s="506">
        <f t="shared" si="13"/>
        <v>46661</v>
      </c>
      <c r="B131" s="59">
        <f t="shared" si="19"/>
        <v>2027</v>
      </c>
      <c r="C131" s="59">
        <f t="shared" si="20"/>
        <v>10</v>
      </c>
      <c r="E131" s="511">
        <f t="shared" ca="1" si="9"/>
        <v>126.12583333333332</v>
      </c>
      <c r="F131" s="511">
        <f t="shared" ca="1" si="9"/>
        <v>45.238541666666677</v>
      </c>
      <c r="G131" s="177"/>
      <c r="H131" s="177"/>
      <c r="I131" s="177">
        <f>'Customer Count'!S69</f>
        <v>2</v>
      </c>
      <c r="J131" s="177">
        <f t="shared" si="14"/>
        <v>1</v>
      </c>
      <c r="K131" s="177">
        <f>'Monthly Data'!CV131</f>
        <v>0</v>
      </c>
      <c r="L131" s="177">
        <f t="shared" si="15"/>
        <v>31</v>
      </c>
      <c r="M131" s="177">
        <f t="shared" si="16"/>
        <v>130</v>
      </c>
      <c r="N131" s="177">
        <f t="shared" si="17"/>
        <v>0</v>
      </c>
      <c r="P131" s="188">
        <f>'Large Use Predicted Monthly'!$AB$10</f>
        <v>-5783820.4539120998</v>
      </c>
      <c r="Q131" s="188">
        <f ca="1">E131*'Large Use Predicted Monthly'!$AB$11</f>
        <v>77789.897374358392</v>
      </c>
      <c r="R131" s="188">
        <f ca="1">F131*'Large Use Predicted Monthly'!$AB$12</f>
        <v>618636.94590923819</v>
      </c>
      <c r="S131" s="188">
        <f>I131*'Large Use Predicted Monthly'!$AB$13</f>
        <v>6999999.7151174396</v>
      </c>
      <c r="T131" s="188">
        <f>J131*'Large Use Predicted Monthly'!$AB$14</f>
        <v>387000.72715245897</v>
      </c>
      <c r="U131" s="188">
        <f>K131*'Large Use Predicted Monthly'!$AB$15</f>
        <v>0</v>
      </c>
      <c r="V131" s="188">
        <f>L131*'Large Use Predicted Monthly'!$AB$16</f>
        <v>10482494.861430187</v>
      </c>
      <c r="W131" s="188">
        <f>M131*'Large Use Predicted Monthly'!$AB$17</f>
        <v>2238650.4935204019</v>
      </c>
      <c r="X131" s="188">
        <f>N131*'Large Use Predicted Monthly'!$AB$18</f>
        <v>0</v>
      </c>
      <c r="Y131" s="188">
        <f t="shared" ca="1" si="18"/>
        <v>15020752.186591983</v>
      </c>
    </row>
    <row r="132" spans="1:25" s="59" customFormat="1" x14ac:dyDescent="0.2">
      <c r="A132" s="506">
        <f t="shared" si="13"/>
        <v>46692</v>
      </c>
      <c r="B132" s="59">
        <f t="shared" si="19"/>
        <v>2027</v>
      </c>
      <c r="C132" s="59">
        <f t="shared" si="20"/>
        <v>11</v>
      </c>
      <c r="E132" s="511">
        <f t="shared" ca="1" si="9"/>
        <v>312.40687500000001</v>
      </c>
      <c r="F132" s="511">
        <f t="shared" ca="1" si="9"/>
        <v>3.6587500000000004</v>
      </c>
      <c r="G132" s="177"/>
      <c r="H132" s="177"/>
      <c r="I132" s="177">
        <f>'Customer Count'!S70</f>
        <v>2</v>
      </c>
      <c r="J132" s="177">
        <f t="shared" si="14"/>
        <v>1</v>
      </c>
      <c r="K132" s="177">
        <f>'Monthly Data'!CV132</f>
        <v>0</v>
      </c>
      <c r="L132" s="177">
        <f t="shared" si="15"/>
        <v>30</v>
      </c>
      <c r="M132" s="177">
        <f t="shared" si="16"/>
        <v>131</v>
      </c>
      <c r="N132" s="177">
        <f t="shared" si="17"/>
        <v>0</v>
      </c>
      <c r="P132" s="188">
        <f>'Large Use Predicted Monthly'!$AB$10</f>
        <v>-5783820.4539120998</v>
      </c>
      <c r="Q132" s="188">
        <f ca="1">E132*'Large Use Predicted Monthly'!$AB$11</f>
        <v>192681.37306230428</v>
      </c>
      <c r="R132" s="188">
        <f ca="1">F132*'Large Use Predicted Monthly'!$AB$12</f>
        <v>50033.39724174187</v>
      </c>
      <c r="S132" s="188">
        <f>I132*'Large Use Predicted Monthly'!$AB$13</f>
        <v>6999999.7151174396</v>
      </c>
      <c r="T132" s="188">
        <f>J132*'Large Use Predicted Monthly'!$AB$14</f>
        <v>387000.72715245897</v>
      </c>
      <c r="U132" s="188">
        <f>K132*'Large Use Predicted Monthly'!$AB$15</f>
        <v>0</v>
      </c>
      <c r="V132" s="188">
        <f>L132*'Large Use Predicted Monthly'!$AB$16</f>
        <v>10144349.865900181</v>
      </c>
      <c r="W132" s="188">
        <f>M132*'Large Use Predicted Monthly'!$AB$17</f>
        <v>2255870.8819320975</v>
      </c>
      <c r="X132" s="188">
        <f>N132*'Large Use Predicted Monthly'!$AB$18</f>
        <v>0</v>
      </c>
      <c r="Y132" s="188">
        <f t="shared" ca="1" si="18"/>
        <v>14246115.506494123</v>
      </c>
    </row>
    <row r="133" spans="1:25" s="59" customFormat="1" x14ac:dyDescent="0.2">
      <c r="A133" s="506">
        <f t="shared" si="13"/>
        <v>46722</v>
      </c>
      <c r="B133" s="59">
        <f t="shared" si="19"/>
        <v>2027</v>
      </c>
      <c r="C133" s="59">
        <f t="shared" si="20"/>
        <v>12</v>
      </c>
      <c r="E133" s="511">
        <f t="shared" ca="1" si="9"/>
        <v>473.52499999999998</v>
      </c>
      <c r="F133" s="511">
        <f t="shared" ca="1" si="9"/>
        <v>0</v>
      </c>
      <c r="G133" s="177"/>
      <c r="H133" s="177"/>
      <c r="I133" s="177">
        <f>'Customer Count'!S71</f>
        <v>2</v>
      </c>
      <c r="J133" s="177">
        <f t="shared" si="14"/>
        <v>0</v>
      </c>
      <c r="K133" s="177">
        <f>'Monthly Data'!CV133</f>
        <v>0</v>
      </c>
      <c r="L133" s="177">
        <f t="shared" si="15"/>
        <v>31</v>
      </c>
      <c r="M133" s="177">
        <f t="shared" si="16"/>
        <v>132</v>
      </c>
      <c r="N133" s="177">
        <f t="shared" si="17"/>
        <v>0</v>
      </c>
      <c r="P133" s="188">
        <f>'Large Use Predicted Monthly'!$AB$10</f>
        <v>-5783820.4539120998</v>
      </c>
      <c r="Q133" s="188">
        <f ca="1">E133*'Large Use Predicted Monthly'!$AB$11</f>
        <v>292053.26284617657</v>
      </c>
      <c r="R133" s="188">
        <f ca="1">F133*'Large Use Predicted Monthly'!$AB$12</f>
        <v>0</v>
      </c>
      <c r="S133" s="188">
        <f>I133*'Large Use Predicted Monthly'!$AB$13</f>
        <v>6999999.7151174396</v>
      </c>
      <c r="T133" s="188">
        <f>J133*'Large Use Predicted Monthly'!$AB$14</f>
        <v>0</v>
      </c>
      <c r="U133" s="188">
        <f>K133*'Large Use Predicted Monthly'!$AB$15</f>
        <v>0</v>
      </c>
      <c r="V133" s="188">
        <f>L133*'Large Use Predicted Monthly'!$AB$16</f>
        <v>10482494.861430187</v>
      </c>
      <c r="W133" s="188">
        <f>M133*'Large Use Predicted Monthly'!$AB$17</f>
        <v>2273091.2703437926</v>
      </c>
      <c r="X133" s="188">
        <f>N133*'Large Use Predicted Monthly'!$AB$18</f>
        <v>0</v>
      </c>
      <c r="Y133" s="188">
        <f t="shared" ca="1" si="18"/>
        <v>14263818.655825496</v>
      </c>
    </row>
    <row r="183" spans="16:29" x14ac:dyDescent="0.2"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spans="16:29" x14ac:dyDescent="0.2"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spans="16:29" x14ac:dyDescent="0.2"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</row>
    <row r="186" spans="16:29" x14ac:dyDescent="0.2"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</row>
    <row r="187" spans="16:29" x14ac:dyDescent="0.2"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</row>
    <row r="188" spans="16:29" x14ac:dyDescent="0.2"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</row>
    <row r="189" spans="16:29" x14ac:dyDescent="0.2"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</row>
    <row r="190" spans="16:29" x14ac:dyDescent="0.2"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</row>
    <row r="192" spans="16:29" x14ac:dyDescent="0.2"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1">
    <tabColor rgb="FFFF0000"/>
  </sheetPr>
  <dimension ref="B2:BY58"/>
  <sheetViews>
    <sheetView workbookViewId="0">
      <selection activeCell="W17" sqref="W17"/>
    </sheetView>
  </sheetViews>
  <sheetFormatPr defaultRowHeight="12.75" x14ac:dyDescent="0.2"/>
  <cols>
    <col min="3" max="5" width="13" bestFit="1" customWidth="1"/>
    <col min="6" max="6" width="5" customWidth="1"/>
    <col min="7" max="7" width="13.83203125" customWidth="1"/>
    <col min="8" max="8" width="13" customWidth="1"/>
    <col min="9" max="11" width="15.33203125" customWidth="1"/>
    <col min="12" max="12" width="11.1640625" bestFit="1" customWidth="1"/>
    <col min="13" max="13" width="7.6640625" customWidth="1"/>
    <col min="14" max="14" width="14.83203125" customWidth="1"/>
    <col min="15" max="16" width="13" bestFit="1" customWidth="1"/>
    <col min="17" max="17" width="3.83203125" customWidth="1"/>
    <col min="18" max="20" width="13" bestFit="1" customWidth="1"/>
    <col min="21" max="21" width="13" customWidth="1"/>
    <col min="22" max="22" width="17" customWidth="1"/>
    <col min="23" max="23" width="11.33203125" customWidth="1"/>
    <col min="24" max="24" width="5.83203125" bestFit="1" customWidth="1"/>
    <col min="25" max="25" width="14.83203125" customWidth="1"/>
    <col min="26" max="26" width="12.33203125" customWidth="1"/>
    <col min="27" max="27" width="13" bestFit="1" customWidth="1"/>
    <col min="28" max="28" width="3.33203125" customWidth="1"/>
    <col min="29" max="29" width="13" bestFit="1" customWidth="1"/>
    <col min="30" max="30" width="12.33203125" customWidth="1"/>
    <col min="31" max="31" width="13" bestFit="1" customWidth="1"/>
    <col min="32" max="32" width="13.33203125" customWidth="1"/>
    <col min="33" max="33" width="16.33203125" customWidth="1"/>
    <col min="34" max="34" width="11.33203125" customWidth="1"/>
    <col min="35" max="35" width="5.83203125" bestFit="1" customWidth="1"/>
    <col min="36" max="36" width="14.83203125" customWidth="1"/>
    <col min="37" max="37" width="12.33203125" customWidth="1"/>
    <col min="38" max="38" width="13" bestFit="1" customWidth="1"/>
    <col min="39" max="39" width="3.33203125" customWidth="1"/>
    <col min="40" max="40" width="13" bestFit="1" customWidth="1"/>
    <col min="41" max="41" width="12.33203125" customWidth="1"/>
    <col min="42" max="42" width="13" bestFit="1" customWidth="1"/>
    <col min="43" max="43" width="13.33203125" customWidth="1"/>
    <col min="44" max="44" width="16.33203125" customWidth="1"/>
    <col min="45" max="45" width="11.33203125" customWidth="1"/>
    <col min="46" max="46" width="5.83203125" bestFit="1" customWidth="1"/>
    <col min="47" max="47" width="14.83203125" customWidth="1"/>
    <col min="48" max="48" width="12.33203125" customWidth="1"/>
    <col min="49" max="49" width="13" bestFit="1" customWidth="1"/>
    <col min="50" max="50" width="3.33203125" customWidth="1"/>
    <col min="51" max="51" width="13" bestFit="1" customWidth="1"/>
    <col min="52" max="52" width="12.33203125" customWidth="1"/>
    <col min="53" max="53" width="13" bestFit="1" customWidth="1"/>
    <col min="54" max="54" width="13.33203125" customWidth="1"/>
    <col min="55" max="55" width="16.33203125" customWidth="1"/>
    <col min="56" max="56" width="12.1640625" bestFit="1" customWidth="1"/>
    <col min="57" max="57" width="8.33203125" customWidth="1"/>
    <col min="58" max="58" width="11.5" customWidth="1"/>
    <col min="59" max="59" width="9.6640625" customWidth="1"/>
    <col min="60" max="60" width="11.33203125" customWidth="1"/>
    <col min="61" max="61" width="13.33203125" customWidth="1"/>
    <col min="64" max="64" width="9.1640625" bestFit="1" customWidth="1"/>
    <col min="70" max="70" width="14.5" customWidth="1"/>
    <col min="71" max="71" width="13.33203125" bestFit="1" customWidth="1"/>
    <col min="72" max="72" width="12.6640625" customWidth="1"/>
    <col min="73" max="73" width="10.6640625" bestFit="1" customWidth="1"/>
    <col min="75" max="75" width="12.83203125" bestFit="1" customWidth="1"/>
  </cols>
  <sheetData>
    <row r="2" spans="2:77" x14ac:dyDescent="0.2">
      <c r="B2" s="583" t="s">
        <v>97</v>
      </c>
      <c r="C2" s="583"/>
      <c r="D2" s="583"/>
      <c r="E2" s="583"/>
      <c r="F2" s="583"/>
      <c r="G2" s="583"/>
      <c r="H2" s="583"/>
      <c r="I2" s="583"/>
      <c r="J2" s="583"/>
      <c r="K2" s="583"/>
      <c r="M2" s="583" t="s">
        <v>108</v>
      </c>
      <c r="N2" s="583"/>
      <c r="O2" s="583"/>
      <c r="P2" s="583"/>
      <c r="Q2" s="583"/>
      <c r="R2" s="583"/>
      <c r="S2" s="583"/>
      <c r="T2" s="583"/>
      <c r="U2" s="583"/>
      <c r="V2" s="583"/>
      <c r="X2" s="583" t="s">
        <v>109</v>
      </c>
      <c r="Y2" s="583"/>
      <c r="Z2" s="583"/>
      <c r="AA2" s="583"/>
      <c r="AB2" s="583"/>
      <c r="AC2" s="583"/>
      <c r="AD2" s="583"/>
      <c r="AE2" s="583"/>
      <c r="AF2" s="583"/>
      <c r="AG2" s="583"/>
      <c r="AI2" s="583" t="s">
        <v>488</v>
      </c>
      <c r="AJ2" s="583"/>
      <c r="AK2" s="583"/>
      <c r="AL2" s="583"/>
      <c r="AM2" s="583"/>
      <c r="AN2" s="583"/>
      <c r="AO2" s="583"/>
      <c r="AP2" s="583"/>
      <c r="AQ2" s="583"/>
      <c r="AR2" s="583"/>
      <c r="AT2" s="583" t="s">
        <v>487</v>
      </c>
      <c r="AU2" s="583"/>
      <c r="AV2" s="583"/>
      <c r="AW2" s="583"/>
      <c r="AX2" s="583"/>
      <c r="AY2" s="583"/>
      <c r="AZ2" s="583"/>
      <c r="BA2" s="583"/>
      <c r="BB2" s="583"/>
      <c r="BC2" s="583"/>
      <c r="BE2" s="583" t="s">
        <v>122</v>
      </c>
      <c r="BF2" s="583"/>
      <c r="BG2" s="583"/>
      <c r="BH2" s="583"/>
      <c r="BI2" s="583"/>
      <c r="BK2" s="583" t="s">
        <v>486</v>
      </c>
      <c r="BL2" s="583"/>
      <c r="BM2" s="583"/>
      <c r="BN2" s="583"/>
      <c r="BO2" s="583"/>
      <c r="BQ2" s="583" t="s">
        <v>35</v>
      </c>
      <c r="BR2" s="583"/>
      <c r="BS2" s="583"/>
      <c r="BT2" s="583"/>
      <c r="BU2" s="583"/>
    </row>
    <row r="3" spans="2:77" s="173" customFormat="1" ht="38.25" x14ac:dyDescent="0.2">
      <c r="B3" s="172" t="s">
        <v>0</v>
      </c>
      <c r="C3" s="172" t="s">
        <v>98</v>
      </c>
      <c r="D3" s="172" t="s">
        <v>99</v>
      </c>
      <c r="E3" s="172" t="s">
        <v>100</v>
      </c>
      <c r="F3" s="172"/>
      <c r="G3" s="172" t="s">
        <v>121</v>
      </c>
      <c r="H3" s="172" t="s">
        <v>99</v>
      </c>
      <c r="I3" s="172" t="s">
        <v>101</v>
      </c>
      <c r="J3" s="172" t="s">
        <v>325</v>
      </c>
      <c r="K3" s="172" t="s">
        <v>327</v>
      </c>
      <c r="M3" s="172" t="s">
        <v>0</v>
      </c>
      <c r="N3" s="172" t="s">
        <v>98</v>
      </c>
      <c r="O3" s="172" t="s">
        <v>99</v>
      </c>
      <c r="P3" s="172" t="s">
        <v>100</v>
      </c>
      <c r="Q3" s="172"/>
      <c r="R3" s="172" t="s">
        <v>174</v>
      </c>
      <c r="S3" s="172" t="s">
        <v>99</v>
      </c>
      <c r="T3" s="172" t="s">
        <v>101</v>
      </c>
      <c r="U3" s="172" t="s">
        <v>325</v>
      </c>
      <c r="V3" s="172" t="s">
        <v>327</v>
      </c>
      <c r="X3" s="172" t="s">
        <v>0</v>
      </c>
      <c r="Y3" s="172" t="s">
        <v>98</v>
      </c>
      <c r="Z3" s="172" t="s">
        <v>99</v>
      </c>
      <c r="AA3" s="172" t="s">
        <v>100</v>
      </c>
      <c r="AB3" s="172"/>
      <c r="AC3" s="172" t="s">
        <v>121</v>
      </c>
      <c r="AD3" s="172" t="s">
        <v>99</v>
      </c>
      <c r="AE3" s="172" t="s">
        <v>101</v>
      </c>
      <c r="AF3" s="172" t="s">
        <v>376</v>
      </c>
      <c r="AG3" s="172" t="s">
        <v>327</v>
      </c>
      <c r="AI3" s="172" t="s">
        <v>0</v>
      </c>
      <c r="AJ3" s="172" t="s">
        <v>98</v>
      </c>
      <c r="AK3" s="172" t="s">
        <v>99</v>
      </c>
      <c r="AL3" s="172" t="s">
        <v>100</v>
      </c>
      <c r="AM3" s="172"/>
      <c r="AN3" s="172" t="s">
        <v>121</v>
      </c>
      <c r="AO3" s="172" t="s">
        <v>99</v>
      </c>
      <c r="AP3" s="172" t="s">
        <v>101</v>
      </c>
      <c r="AQ3" s="172" t="s">
        <v>376</v>
      </c>
      <c r="AR3" s="172" t="s">
        <v>327</v>
      </c>
      <c r="AT3" s="172" t="s">
        <v>0</v>
      </c>
      <c r="AU3" s="172" t="s">
        <v>98</v>
      </c>
      <c r="AV3" s="172" t="s">
        <v>99</v>
      </c>
      <c r="AW3" s="172" t="s">
        <v>100</v>
      </c>
      <c r="AX3" s="172"/>
      <c r="AY3" s="172" t="s">
        <v>121</v>
      </c>
      <c r="AZ3" s="172" t="s">
        <v>99</v>
      </c>
      <c r="BA3" s="172" t="s">
        <v>101</v>
      </c>
      <c r="BB3" s="172" t="s">
        <v>376</v>
      </c>
      <c r="BC3" s="172" t="s">
        <v>327</v>
      </c>
      <c r="BE3" s="174" t="s">
        <v>0</v>
      </c>
      <c r="BF3" s="175" t="s">
        <v>98</v>
      </c>
      <c r="BG3" s="175" t="s">
        <v>123</v>
      </c>
      <c r="BH3" s="175" t="s">
        <v>124</v>
      </c>
      <c r="BI3" s="175" t="s">
        <v>125</v>
      </c>
      <c r="BK3" s="174" t="s">
        <v>0</v>
      </c>
      <c r="BL3" s="175" t="s">
        <v>98</v>
      </c>
      <c r="BM3" s="175" t="s">
        <v>123</v>
      </c>
      <c r="BN3" s="175" t="s">
        <v>124</v>
      </c>
      <c r="BO3" s="175" t="s">
        <v>125</v>
      </c>
      <c r="BQ3" s="174" t="s">
        <v>0</v>
      </c>
      <c r="BR3" s="174" t="s">
        <v>98</v>
      </c>
      <c r="BS3" s="174" t="s">
        <v>176</v>
      </c>
      <c r="BT3" s="175" t="s">
        <v>124</v>
      </c>
      <c r="BU3" s="175" t="s">
        <v>125</v>
      </c>
    </row>
    <row r="4" spans="2:77" x14ac:dyDescent="0.2">
      <c r="B4" s="168"/>
      <c r="C4" s="168" t="s">
        <v>102</v>
      </c>
      <c r="D4" s="168" t="s">
        <v>103</v>
      </c>
      <c r="E4" s="168" t="s">
        <v>104</v>
      </c>
      <c r="F4" s="168"/>
      <c r="G4" s="168" t="s">
        <v>105</v>
      </c>
      <c r="H4" s="168" t="s">
        <v>106</v>
      </c>
      <c r="I4" s="168" t="s">
        <v>107</v>
      </c>
      <c r="J4" s="168" t="s">
        <v>147</v>
      </c>
      <c r="K4" s="168" t="s">
        <v>326</v>
      </c>
      <c r="M4" s="168"/>
      <c r="N4" s="168" t="s">
        <v>102</v>
      </c>
      <c r="O4" s="168" t="s">
        <v>103</v>
      </c>
      <c r="P4" s="168" t="s">
        <v>104</v>
      </c>
      <c r="Q4" s="168"/>
      <c r="R4" s="168" t="s">
        <v>105</v>
      </c>
      <c r="S4" s="168" t="s">
        <v>106</v>
      </c>
      <c r="T4" s="168" t="s">
        <v>107</v>
      </c>
      <c r="U4" s="168" t="s">
        <v>147</v>
      </c>
      <c r="V4" s="168" t="s">
        <v>326</v>
      </c>
      <c r="X4" s="168"/>
      <c r="Y4" s="168" t="s">
        <v>102</v>
      </c>
      <c r="Z4" s="168" t="s">
        <v>103</v>
      </c>
      <c r="AA4" s="168" t="s">
        <v>104</v>
      </c>
      <c r="AB4" s="168"/>
      <c r="AC4" s="168" t="s">
        <v>105</v>
      </c>
      <c r="AD4" s="168" t="s">
        <v>106</v>
      </c>
      <c r="AE4" s="168" t="s">
        <v>107</v>
      </c>
      <c r="AF4" s="168" t="s">
        <v>147</v>
      </c>
      <c r="AG4" s="168" t="s">
        <v>326</v>
      </c>
      <c r="AI4" s="168"/>
      <c r="AJ4" s="168" t="s">
        <v>102</v>
      </c>
      <c r="AK4" s="168" t="s">
        <v>103</v>
      </c>
      <c r="AL4" s="168" t="s">
        <v>104</v>
      </c>
      <c r="AM4" s="168"/>
      <c r="AN4" s="168" t="s">
        <v>105</v>
      </c>
      <c r="AO4" s="168" t="s">
        <v>106</v>
      </c>
      <c r="AP4" s="168" t="s">
        <v>107</v>
      </c>
      <c r="AQ4" s="168" t="s">
        <v>147</v>
      </c>
      <c r="AR4" s="168" t="s">
        <v>326</v>
      </c>
      <c r="AT4" s="168"/>
      <c r="AU4" s="168" t="s">
        <v>102</v>
      </c>
      <c r="AV4" s="168" t="s">
        <v>103</v>
      </c>
      <c r="AW4" s="168" t="s">
        <v>104</v>
      </c>
      <c r="AX4" s="168"/>
      <c r="AY4" s="168" t="s">
        <v>105</v>
      </c>
      <c r="AZ4" s="168" t="s">
        <v>106</v>
      </c>
      <c r="BA4" s="168" t="s">
        <v>107</v>
      </c>
      <c r="BB4" s="168" t="s">
        <v>147</v>
      </c>
      <c r="BC4" s="168" t="s">
        <v>326</v>
      </c>
      <c r="BE4" s="170"/>
      <c r="BF4" s="170" t="s">
        <v>102</v>
      </c>
      <c r="BG4" s="170" t="s">
        <v>103</v>
      </c>
      <c r="BH4" s="170" t="s">
        <v>255</v>
      </c>
      <c r="BI4" s="170" t="s">
        <v>368</v>
      </c>
      <c r="BK4" s="170"/>
      <c r="BL4" s="170" t="s">
        <v>102</v>
      </c>
      <c r="BM4" s="170" t="s">
        <v>103</v>
      </c>
      <c r="BN4" s="170" t="s">
        <v>255</v>
      </c>
      <c r="BO4" s="170" t="s">
        <v>368</v>
      </c>
      <c r="BQ4" s="170"/>
      <c r="BR4" s="170" t="s">
        <v>102</v>
      </c>
      <c r="BS4" s="170" t="s">
        <v>103</v>
      </c>
      <c r="BT4" s="170" t="s">
        <v>255</v>
      </c>
      <c r="BU4" s="170" t="s">
        <v>368</v>
      </c>
    </row>
    <row r="5" spans="2:77" x14ac:dyDescent="0.2">
      <c r="B5" s="168"/>
      <c r="C5" s="168"/>
      <c r="D5" s="168"/>
      <c r="E5" s="168"/>
      <c r="F5" s="168"/>
      <c r="G5" s="168"/>
      <c r="H5" s="168"/>
      <c r="I5" s="168"/>
      <c r="J5" s="168"/>
      <c r="K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E5" s="170"/>
      <c r="BF5" s="170"/>
      <c r="BG5" s="170"/>
      <c r="BH5" s="170"/>
      <c r="BI5" s="170"/>
      <c r="BK5" s="170"/>
      <c r="BL5" s="170"/>
      <c r="BM5" s="170"/>
      <c r="BN5" s="170"/>
      <c r="BO5" s="170"/>
      <c r="BQ5" s="170"/>
      <c r="BR5" s="170"/>
      <c r="BS5" s="170"/>
      <c r="BT5" s="170"/>
      <c r="BU5" s="170"/>
    </row>
    <row r="6" spans="2:77" x14ac:dyDescent="0.2">
      <c r="B6" s="27">
        <v>2017</v>
      </c>
      <c r="C6" s="28">
        <f>SUMIF('Monthly Data'!$B:$B,B6,'Monthly Data'!D:D)</f>
        <v>1047993667</v>
      </c>
      <c r="D6" s="28">
        <f>SUMIF('Monthly Data'!$B:$B,B6,'Monthly Data'!E:E)</f>
        <v>13614244.573406799</v>
      </c>
      <c r="E6" s="28">
        <f t="shared" ref="E6:E13" si="0">C6+D6</f>
        <v>1061607911.5734068</v>
      </c>
      <c r="F6" s="28"/>
      <c r="G6" s="28">
        <f ca="1">SUMIF('Res Normalized Monthly'!$B:$B,B6,'Res Normalized Monthly'!$W:$W)</f>
        <v>1091421250.9262049</v>
      </c>
      <c r="H6" s="28">
        <f t="shared" ref="H6:H13" si="1">D6</f>
        <v>13614244.573406799</v>
      </c>
      <c r="I6" s="28">
        <f t="shared" ref="I6:I16" ca="1" si="2">G6-H6</f>
        <v>1077807006.3527982</v>
      </c>
      <c r="J6" s="28"/>
      <c r="K6" s="28">
        <f t="shared" ref="K6:K12" ca="1" si="3">I6+J6</f>
        <v>1077807006.3527982</v>
      </c>
      <c r="M6" s="27">
        <v>2017</v>
      </c>
      <c r="N6" s="28">
        <f>SUMIF('Monthly Data'!$B:$B,M6,'Monthly Data'!H:H)</f>
        <v>385223199</v>
      </c>
      <c r="O6" s="28">
        <f>SUMIF('Monthly Data'!$B:$B,M6,'Monthly Data'!I:I)</f>
        <v>2692518.4383375822</v>
      </c>
      <c r="P6" s="28">
        <f t="shared" ref="P6:P13" si="4">N6+O6</f>
        <v>387915717.43833756</v>
      </c>
      <c r="Q6" s="28"/>
      <c r="R6" s="28">
        <f ca="1">SUMIF('GS&lt;50 Normalized Monthly'!$B:$B,M6,'GS&lt;50 Normalized Monthly'!S:$S)</f>
        <v>391574667.88424957</v>
      </c>
      <c r="S6" s="28">
        <f t="shared" ref="S6:S13" si="5">O6</f>
        <v>2692518.4383375822</v>
      </c>
      <c r="T6" s="28">
        <f t="shared" ref="T6:T16" ca="1" si="6">R6-S6</f>
        <v>388882149.445912</v>
      </c>
      <c r="U6" s="28"/>
      <c r="V6" s="28">
        <f t="shared" ref="V6:V12" ca="1" si="7">T6+U6</f>
        <v>388882149.445912</v>
      </c>
      <c r="X6" s="27">
        <v>2017</v>
      </c>
      <c r="Y6" s="28">
        <f>SUMIF('Monthly Data'!$B:$B,X6,'Monthly Data'!L:L)</f>
        <v>1458855316</v>
      </c>
      <c r="Z6" s="28">
        <f>SUMIF('Monthly Data'!$B:$B,X6,'Monthly Data'!M:M)</f>
        <v>19946744.37144316</v>
      </c>
      <c r="AA6" s="28">
        <f t="shared" ref="AA6:AA13" si="8">Y6+Z6</f>
        <v>1478802060.3714433</v>
      </c>
      <c r="AB6" s="28"/>
      <c r="AC6" s="28">
        <f ca="1">SUMIF('GS&gt;50 Normalized Monthly'!$B:$B,X6,'GS&gt;50 Normalized Monthly'!$U:$U)</f>
        <v>1480867901.0142169</v>
      </c>
      <c r="AD6" s="28">
        <f t="shared" ref="AD6:AD13" si="9">Z6</f>
        <v>19946744.37144316</v>
      </c>
      <c r="AE6" s="28">
        <f t="shared" ref="AE6:AE15" ca="1" si="10">AC6-AD6</f>
        <v>1460921156.6427736</v>
      </c>
      <c r="AF6" s="28"/>
      <c r="AG6" s="28">
        <f t="shared" ref="AG6:AG12" ca="1" si="11">AE6+AF6</f>
        <v>1460921156.6427736</v>
      </c>
      <c r="AI6" s="27">
        <v>2017</v>
      </c>
      <c r="AJ6" s="28">
        <f>SUMIF('Monthly Data'!$B:$B,AI6,'Monthly Data'!Q:Q)</f>
        <v>46826076</v>
      </c>
      <c r="AK6" s="28">
        <f>SUMIF('Monthly Data'!$B:$B,AI6,'Monthly Data'!R:R)</f>
        <v>547033.97600574384</v>
      </c>
      <c r="AL6" s="28">
        <f t="shared" ref="AL6:AL13" si="12">AJ6+AK6</f>
        <v>47373109.97600574</v>
      </c>
      <c r="AM6" s="28"/>
      <c r="AN6" s="28">
        <f ca="1">SUMIF('GS Co Gen Normalized Monthly'!$B:$B,AI6,'GS Co Gen Normalized Monthly'!$M:$M)</f>
        <v>40524520.91352424</v>
      </c>
      <c r="AO6" s="28">
        <f t="shared" ref="AO6:AO13" si="13">AK6</f>
        <v>547033.97600574384</v>
      </c>
      <c r="AP6" s="28">
        <f t="shared" ref="AP6:AP16" ca="1" si="14">AN6-AO6</f>
        <v>39977486.9375185</v>
      </c>
      <c r="AQ6" s="28"/>
      <c r="AR6" s="28">
        <f t="shared" ref="AR6:AR12" ca="1" si="15">AP6+AQ6</f>
        <v>39977486.9375185</v>
      </c>
      <c r="AT6" s="27">
        <v>2017</v>
      </c>
      <c r="AU6" s="28">
        <f>SUMIF('Monthly Data'!$B:$B,AI6,'Monthly Data'!V:V)</f>
        <v>117991437</v>
      </c>
      <c r="AV6" s="28">
        <f>SUMIF('Monthly Data'!$B:$B,AT6,'Monthly Data'!W:W)</f>
        <v>33106.991338264612</v>
      </c>
      <c r="AW6" s="28">
        <f t="shared" ref="AW6:AW13" si="16">AU6+AV6</f>
        <v>118024543.99133827</v>
      </c>
      <c r="AX6" s="28"/>
      <c r="AY6" s="28">
        <f ca="1">SUMIF('Large Use Normalized Monthly'!$B:$B,AT6,'Large Use Normalized Monthly'!$W:$W)</f>
        <v>113514636.60339278</v>
      </c>
      <c r="AZ6" s="28">
        <f t="shared" ref="AZ6:AZ13" si="17">AV6</f>
        <v>33106.991338264612</v>
      </c>
      <c r="BA6" s="28">
        <f t="shared" ref="BA6:BA16" ca="1" si="18">AY6-AZ6</f>
        <v>113481529.61205451</v>
      </c>
      <c r="BB6" s="28"/>
      <c r="BC6" s="28">
        <f t="shared" ref="BC6:BC12" ca="1" si="19">BA6+BB6</f>
        <v>113481529.61205451</v>
      </c>
      <c r="BE6" s="27">
        <v>2017</v>
      </c>
      <c r="BF6" s="28">
        <f>SUMIF('Monthly Data'!$B:$B,BE6,'Monthly Data'!AA:AA)</f>
        <v>19787895.879999999</v>
      </c>
      <c r="BG6" s="28">
        <f>'Customer Count'!W5</f>
        <v>36184.083333333336</v>
      </c>
      <c r="BH6" s="28">
        <f t="shared" ref="BH6:BH12" si="20">BF6/BG6</f>
        <v>546.86740845998122</v>
      </c>
      <c r="BI6" s="28">
        <f>BH6*BG6</f>
        <v>19787895.879999999</v>
      </c>
      <c r="BK6" s="27">
        <v>2017</v>
      </c>
      <c r="BL6" s="28">
        <f>SUMIF('Monthly Data'!$B:$B,BE6,'Monthly Data'!AF:AF)</f>
        <v>580140.85</v>
      </c>
      <c r="BM6" s="28">
        <f>'Customer Count'!AA5</f>
        <v>547.91666666666663</v>
      </c>
      <c r="BN6" s="28">
        <f t="shared" ref="BN6:BN12" si="21">BL6/BM6</f>
        <v>1058.8121977186313</v>
      </c>
      <c r="BO6" s="28">
        <f t="shared" ref="BO6:BO15" si="22">BN6*BM6</f>
        <v>580140.85</v>
      </c>
      <c r="BQ6" s="27">
        <v>2017</v>
      </c>
      <c r="BR6" s="28">
        <f>SUMIF('Monthly Data'!$B:$B,BQ6,'Monthly Data'!AD:AD)</f>
        <v>5547493.9300000006</v>
      </c>
      <c r="BS6" s="28">
        <f>'Customer Count'!AE5</f>
        <v>1515.5833333333333</v>
      </c>
      <c r="BT6" s="28">
        <f t="shared" ref="BT6:BT13" si="23">BR6/BS6</f>
        <v>3660.3028074998633</v>
      </c>
      <c r="BU6" s="28">
        <f t="shared" ref="BU6:BU16" si="24">BT6*BS6</f>
        <v>5547493.9300000006</v>
      </c>
    </row>
    <row r="7" spans="2:77" x14ac:dyDescent="0.2">
      <c r="B7" s="27">
        <f t="shared" ref="B7:B14" si="25">B6+1</f>
        <v>2018</v>
      </c>
      <c r="C7" s="28">
        <f>SUMIF('Monthly Data'!$B:$B,B7,'Monthly Data'!D:D)</f>
        <v>1139376021</v>
      </c>
      <c r="D7" s="28">
        <f>SUMIF('Monthly Data'!$B:$B,B7,'Monthly Data'!E:E)</f>
        <v>24443882.154292919</v>
      </c>
      <c r="E7" s="28">
        <f t="shared" si="0"/>
        <v>1163819903.1542928</v>
      </c>
      <c r="F7" s="29"/>
      <c r="G7" s="28">
        <f ca="1">SUMIF('Res Normalized Monthly'!$B:$B,B7,'Res Normalized Monthly'!$W:$W)</f>
        <v>1111795233.6083331</v>
      </c>
      <c r="H7" s="28">
        <f t="shared" si="1"/>
        <v>24443882.154292919</v>
      </c>
      <c r="I7" s="28">
        <f t="shared" ca="1" si="2"/>
        <v>1087351351.4540403</v>
      </c>
      <c r="J7" s="28"/>
      <c r="K7" s="28">
        <f t="shared" ca="1" si="3"/>
        <v>1087351351.4540403</v>
      </c>
      <c r="M7" s="27">
        <f t="shared" ref="M7:M14" si="26">M6+1</f>
        <v>2018</v>
      </c>
      <c r="N7" s="28">
        <f>SUMIF('Monthly Data'!$B:$B,M7,'Monthly Data'!H:H)</f>
        <v>398801024</v>
      </c>
      <c r="O7" s="28">
        <f>SUMIF('Monthly Data'!$B:$B,M7,'Monthly Data'!I:I)</f>
        <v>7262897.1435193364</v>
      </c>
      <c r="P7" s="28">
        <f t="shared" si="4"/>
        <v>406063921.14351934</v>
      </c>
      <c r="Q7" s="29"/>
      <c r="R7" s="28">
        <f ca="1">SUMIF('GS&lt;50 Normalized Monthly'!$B:$B,M7,'GS&lt;50 Normalized Monthly'!S:$S)</f>
        <v>399517451.40740532</v>
      </c>
      <c r="S7" s="28">
        <f t="shared" si="5"/>
        <v>7262897.1435193364</v>
      </c>
      <c r="T7" s="28">
        <f t="shared" ca="1" si="6"/>
        <v>392254554.26388597</v>
      </c>
      <c r="U7" s="28"/>
      <c r="V7" s="28">
        <f t="shared" ca="1" si="7"/>
        <v>392254554.26388597</v>
      </c>
      <c r="X7" s="27">
        <f t="shared" ref="X7:X14" si="27">X6+1</f>
        <v>2018</v>
      </c>
      <c r="Y7" s="28">
        <f>SUMIF('Monthly Data'!$B:$B,X7,'Monthly Data'!L:L)</f>
        <v>1485117370</v>
      </c>
      <c r="Z7" s="28">
        <f>SUMIF('Monthly Data'!$B:$B,X7,'Monthly Data'!M:M)</f>
        <v>46632614.268263906</v>
      </c>
      <c r="AA7" s="28">
        <f t="shared" si="8"/>
        <v>1531749984.2682638</v>
      </c>
      <c r="AB7" s="29"/>
      <c r="AC7" s="28">
        <f ca="1">SUMIF('GS&gt;50 Normalized Monthly'!$B:$B,X7,'GS&gt;50 Normalized Monthly'!$U:$U)</f>
        <v>1494297991.4124696</v>
      </c>
      <c r="AD7" s="28">
        <f t="shared" si="9"/>
        <v>46632614.268263906</v>
      </c>
      <c r="AE7" s="28">
        <f t="shared" ca="1" si="10"/>
        <v>1447665377.1442058</v>
      </c>
      <c r="AF7" s="28"/>
      <c r="AG7" s="28">
        <f t="shared" ca="1" si="11"/>
        <v>1447665377.1442058</v>
      </c>
      <c r="AI7" s="27">
        <f t="shared" ref="AI7:AI14" si="28">AI6+1</f>
        <v>2018</v>
      </c>
      <c r="AJ7" s="28">
        <f>SUMIF('Monthly Data'!$B:$B,AI7,'Monthly Data'!Q:Q)</f>
        <v>47167618</v>
      </c>
      <c r="AK7" s="28">
        <f>SUMIF('Monthly Data'!$B:$B,AI7,'Monthly Data'!R:R)</f>
        <v>1139921.3134877968</v>
      </c>
      <c r="AL7" s="28">
        <f t="shared" si="12"/>
        <v>48307539.313487798</v>
      </c>
      <c r="AM7" s="29"/>
      <c r="AN7" s="28">
        <f ca="1">SUMIF('GS Co Gen Normalized Monthly'!$B:$B,AI7,'GS Co Gen Normalized Monthly'!$M:$M)</f>
        <v>40524520.91352424</v>
      </c>
      <c r="AO7" s="28">
        <f t="shared" si="13"/>
        <v>1139921.3134877968</v>
      </c>
      <c r="AP7" s="28">
        <f t="shared" ca="1" si="14"/>
        <v>39384599.600036442</v>
      </c>
      <c r="AQ7" s="28"/>
      <c r="AR7" s="28">
        <f t="shared" ca="1" si="15"/>
        <v>39384599.600036442</v>
      </c>
      <c r="AT7" s="27">
        <f t="shared" ref="AT7:AT14" si="29">AT6+1</f>
        <v>2018</v>
      </c>
      <c r="AU7" s="28">
        <f>SUMIF('Monthly Data'!$B:$B,AI7,'Monthly Data'!V:V)</f>
        <v>117777486</v>
      </c>
      <c r="AV7" s="28">
        <f>SUMIF('Monthly Data'!$B:$B,AT7,'Monthly Data'!W:W)</f>
        <v>1803127.2327571716</v>
      </c>
      <c r="AW7" s="28">
        <f t="shared" si="16"/>
        <v>119580613.23275717</v>
      </c>
      <c r="AX7" s="29"/>
      <c r="AY7" s="28">
        <f ca="1">SUMIF('Large Use Normalized Monthly'!$B:$B,AT7,'Large Use Normalized Monthly'!$W:$W)</f>
        <v>115994372.53467691</v>
      </c>
      <c r="AZ7" s="28">
        <f t="shared" si="17"/>
        <v>1803127.2327571716</v>
      </c>
      <c r="BA7" s="28">
        <f t="shared" ca="1" si="18"/>
        <v>114191245.30191974</v>
      </c>
      <c r="BB7" s="28"/>
      <c r="BC7" s="28">
        <f t="shared" ca="1" si="19"/>
        <v>114191245.30191974</v>
      </c>
      <c r="BE7" s="27">
        <f t="shared" ref="BE7:BE14" si="30">BE6+1</f>
        <v>2018</v>
      </c>
      <c r="BF7" s="28">
        <f>SUMIF('Monthly Data'!$B:$B,BE7,'Monthly Data'!AA:AA)</f>
        <v>17086178.68</v>
      </c>
      <c r="BG7" s="28">
        <f>'Customer Count'!W6</f>
        <v>36831.416666666664</v>
      </c>
      <c r="BH7" s="28">
        <f t="shared" si="20"/>
        <v>463.90229392027192</v>
      </c>
      <c r="BI7" s="28">
        <f>BH7*BG7</f>
        <v>17086178.68</v>
      </c>
      <c r="BK7" s="27">
        <f t="shared" ref="BK7:BK14" si="31">BK6+1</f>
        <v>2018</v>
      </c>
      <c r="BL7" s="28">
        <f>SUMIF('Monthly Data'!$B:$B,BE7,'Monthly Data'!AF:AF)</f>
        <v>548884.51</v>
      </c>
      <c r="BM7" s="28">
        <f>'Customer Count'!AA6</f>
        <v>530.25</v>
      </c>
      <c r="BN7" s="28">
        <f t="shared" si="21"/>
        <v>1035.142876001886</v>
      </c>
      <c r="BO7" s="28">
        <f t="shared" si="22"/>
        <v>548884.51</v>
      </c>
      <c r="BQ7" s="27">
        <f t="shared" ref="BQ7:BQ14" si="32">BQ6+1</f>
        <v>2018</v>
      </c>
      <c r="BR7" s="28">
        <f>SUMIF('Monthly Data'!$B:$B,BQ7,'Monthly Data'!AD:AD)</f>
        <v>5495625.3000000007</v>
      </c>
      <c r="BS7" s="28">
        <f>'Customer Count'!AE6</f>
        <v>1522.25</v>
      </c>
      <c r="BT7" s="28">
        <f t="shared" si="23"/>
        <v>3610.1989160781741</v>
      </c>
      <c r="BU7" s="28">
        <f t="shared" si="24"/>
        <v>5495625.3000000007</v>
      </c>
      <c r="BY7" s="57"/>
    </row>
    <row r="8" spans="2:77" x14ac:dyDescent="0.2">
      <c r="B8" s="27">
        <f t="shared" si="25"/>
        <v>2019</v>
      </c>
      <c r="C8" s="28">
        <f>SUMIF('Monthly Data'!$B:$B,B8,'Monthly Data'!D:D)</f>
        <v>1101433888.4783466</v>
      </c>
      <c r="D8" s="28">
        <f>SUMIF('Monthly Data'!$B:$B,B8,'Monthly Data'!E:E)</f>
        <v>25899260.352106657</v>
      </c>
      <c r="E8" s="28">
        <f t="shared" si="0"/>
        <v>1127333148.8304532</v>
      </c>
      <c r="F8" s="29"/>
      <c r="G8" s="28">
        <f ca="1">SUMIF('Res Normalized Monthly'!$B:$B,B8,'Res Normalized Monthly'!$W:$W)</f>
        <v>1130596976.0922034</v>
      </c>
      <c r="H8" s="28">
        <f t="shared" si="1"/>
        <v>25899260.352106657</v>
      </c>
      <c r="I8" s="28">
        <f t="shared" ca="1" si="2"/>
        <v>1104697715.7400968</v>
      </c>
      <c r="J8" s="28"/>
      <c r="K8" s="28">
        <f t="shared" ca="1" si="3"/>
        <v>1104697715.7400968</v>
      </c>
      <c r="M8" s="27">
        <f t="shared" si="26"/>
        <v>2019</v>
      </c>
      <c r="N8" s="28">
        <f>SUMIF('Monthly Data'!$B:$B,M8,'Monthly Data'!H:H)</f>
        <v>394237702.73931646</v>
      </c>
      <c r="O8" s="28">
        <f>SUMIF('Monthly Data'!$B:$B,M8,'Monthly Data'!I:I)</f>
        <v>9704631.8478100374</v>
      </c>
      <c r="P8" s="28">
        <f t="shared" si="4"/>
        <v>403942334.58712649</v>
      </c>
      <c r="Q8" s="29"/>
      <c r="R8" s="28">
        <f ca="1">SUMIF('GS&lt;50 Normalized Monthly'!$B:$B,M8,'GS&lt;50 Normalized Monthly'!S:$S)</f>
        <v>405077681.7213915</v>
      </c>
      <c r="S8" s="28">
        <f t="shared" si="5"/>
        <v>9704631.8478100374</v>
      </c>
      <c r="T8" s="28">
        <f t="shared" ca="1" si="6"/>
        <v>395373049.87358147</v>
      </c>
      <c r="U8" s="28"/>
      <c r="V8" s="28">
        <f t="shared" ca="1" si="7"/>
        <v>395373049.87358147</v>
      </c>
      <c r="X8" s="27">
        <f t="shared" si="27"/>
        <v>2019</v>
      </c>
      <c r="Y8" s="28">
        <f>SUMIF('Monthly Data'!$B:$B,X8,'Monthly Data'!L:L)</f>
        <v>1408341173.2980461</v>
      </c>
      <c r="Z8" s="28">
        <f>SUMIF('Monthly Data'!$B:$B,X8,'Monthly Data'!M:M)</f>
        <v>57578697.611699648</v>
      </c>
      <c r="AA8" s="28">
        <f t="shared" si="8"/>
        <v>1465919870.9097457</v>
      </c>
      <c r="AB8" s="29"/>
      <c r="AC8" s="28">
        <f ca="1">SUMIF('GS&gt;50 Normalized Monthly'!$B:$B,X8,'GS&gt;50 Normalized Monthly'!$U:$U)</f>
        <v>1503699531.2547989</v>
      </c>
      <c r="AD8" s="28">
        <f t="shared" si="9"/>
        <v>57578697.611699648</v>
      </c>
      <c r="AE8" s="28">
        <f t="shared" ca="1" si="10"/>
        <v>1446120833.6430993</v>
      </c>
      <c r="AF8" s="28"/>
      <c r="AG8" s="28">
        <f t="shared" ca="1" si="11"/>
        <v>1446120833.6430993</v>
      </c>
      <c r="AI8" s="27">
        <f t="shared" si="28"/>
        <v>2019</v>
      </c>
      <c r="AJ8" s="28">
        <f>SUMIF('Monthly Data'!$B:$B,AI8,'Monthly Data'!Q:Q)</f>
        <v>34966867.902733505</v>
      </c>
      <c r="AK8" s="28">
        <f>SUMIF('Monthly Data'!$B:$B,AI8,'Monthly Data'!R:R)</f>
        <v>1138566.288725503</v>
      </c>
      <c r="AL8" s="28">
        <f t="shared" si="12"/>
        <v>36105434.191459008</v>
      </c>
      <c r="AM8" s="29"/>
      <c r="AN8" s="28">
        <f ca="1">SUMIF('GS Co Gen Normalized Monthly'!$B:$B,AI8,'GS Co Gen Normalized Monthly'!$M:$M)</f>
        <v>40690753.384464033</v>
      </c>
      <c r="AO8" s="28">
        <f t="shared" si="13"/>
        <v>1138566.288725503</v>
      </c>
      <c r="AP8" s="28">
        <f t="shared" ca="1" si="14"/>
        <v>39552187.09573853</v>
      </c>
      <c r="AQ8" s="28"/>
      <c r="AR8" s="28">
        <f t="shared" ca="1" si="15"/>
        <v>39552187.09573853</v>
      </c>
      <c r="AT8" s="27">
        <f t="shared" si="29"/>
        <v>2019</v>
      </c>
      <c r="AU8" s="28">
        <f>SUMIF('Monthly Data'!$B:$B,AI8,'Monthly Data'!V:V)</f>
        <v>110589767.84308411</v>
      </c>
      <c r="AV8" s="28">
        <f>SUMIF('Monthly Data'!$B:$B,AT8,'Monthly Data'!W:W)</f>
        <v>3734992.0361532653</v>
      </c>
      <c r="AW8" s="28">
        <f t="shared" si="16"/>
        <v>114324759.87923738</v>
      </c>
      <c r="AX8" s="29"/>
      <c r="AY8" s="28">
        <f ca="1">SUMIF('Large Use Normalized Monthly'!$B:$B,AT8,'Large Use Normalized Monthly'!$W:$W)</f>
        <v>118474108.46596105</v>
      </c>
      <c r="AZ8" s="28">
        <f t="shared" si="17"/>
        <v>3734992.0361532653</v>
      </c>
      <c r="BA8" s="28">
        <f t="shared" ca="1" si="18"/>
        <v>114739116.42980778</v>
      </c>
      <c r="BB8" s="28"/>
      <c r="BC8" s="28">
        <f t="shared" ca="1" si="19"/>
        <v>114739116.42980778</v>
      </c>
      <c r="BE8" s="27">
        <f t="shared" si="30"/>
        <v>2019</v>
      </c>
      <c r="BF8" s="28">
        <f>SUMIF('Monthly Data'!$B:$B,BE8,'Monthly Data'!AA:AA)</f>
        <v>16623912.16</v>
      </c>
      <c r="BG8" s="28">
        <f>'Customer Count'!W7</f>
        <v>37110.833333333336</v>
      </c>
      <c r="BH8" s="28">
        <f t="shared" si="20"/>
        <v>447.95308180450451</v>
      </c>
      <c r="BI8" s="28">
        <f t="shared" ref="BI8:BI13" si="33">BH8*BG8</f>
        <v>16623912.16</v>
      </c>
      <c r="BK8" s="27">
        <f t="shared" si="31"/>
        <v>2019</v>
      </c>
      <c r="BL8" s="28">
        <f>SUMIF('Monthly Data'!$B:$B,BE8,'Monthly Data'!AF:AF)</f>
        <v>541071.94000000006</v>
      </c>
      <c r="BM8" s="28">
        <f>'Customer Count'!AA7</f>
        <v>525</v>
      </c>
      <c r="BN8" s="28">
        <f t="shared" si="21"/>
        <v>1030.6132190476192</v>
      </c>
      <c r="BO8" s="28">
        <f t="shared" si="22"/>
        <v>541071.94000000006</v>
      </c>
      <c r="BQ8" s="27">
        <f t="shared" si="32"/>
        <v>2019</v>
      </c>
      <c r="BR8" s="28">
        <f>SUMIF('Monthly Data'!$B:$B,BQ8,'Monthly Data'!AD:AD)</f>
        <v>5503096.21</v>
      </c>
      <c r="BS8" s="28">
        <f>'Customer Count'!AE7</f>
        <v>1543.5</v>
      </c>
      <c r="BT8" s="28">
        <f t="shared" si="23"/>
        <v>3565.3360609005508</v>
      </c>
      <c r="BU8" s="28">
        <f t="shared" si="24"/>
        <v>5503096.21</v>
      </c>
      <c r="BY8" s="57"/>
    </row>
    <row r="9" spans="2:77" x14ac:dyDescent="0.2">
      <c r="B9" s="27">
        <f t="shared" si="25"/>
        <v>2020</v>
      </c>
      <c r="C9" s="28">
        <f>SUMIF('Monthly Data'!$B:$B,B9,'Monthly Data'!D:D)</f>
        <v>1174376356.2405562</v>
      </c>
      <c r="D9" s="28">
        <f>SUMIF('Monthly Data'!$B:$B,B9,'Monthly Data'!E:E)</f>
        <v>25899260.352106649</v>
      </c>
      <c r="E9" s="28">
        <f t="shared" si="0"/>
        <v>1200275616.5926628</v>
      </c>
      <c r="F9" s="28"/>
      <c r="G9" s="28">
        <f ca="1">SUMIF('Res Normalized Monthly'!$B:$B,B9,'Res Normalized Monthly'!$W:$W)</f>
        <v>1185491437.7425058</v>
      </c>
      <c r="H9" s="28">
        <f t="shared" si="1"/>
        <v>25899260.352106649</v>
      </c>
      <c r="I9" s="28">
        <f t="shared" ca="1" si="2"/>
        <v>1159592177.3903992</v>
      </c>
      <c r="J9" s="28"/>
      <c r="K9" s="28">
        <f t="shared" ca="1" si="3"/>
        <v>1159592177.3903992</v>
      </c>
      <c r="M9" s="27">
        <f t="shared" si="26"/>
        <v>2020</v>
      </c>
      <c r="N9" s="28">
        <f>SUMIF('Monthly Data'!$B:$B,M9,'Monthly Data'!H:H)</f>
        <v>374506007.7641958</v>
      </c>
      <c r="O9" s="28">
        <f>SUMIF('Monthly Data'!$B:$B,M9,'Monthly Data'!I:I)</f>
        <v>10099398.591308262</v>
      </c>
      <c r="P9" s="28">
        <f t="shared" si="4"/>
        <v>384605406.35550404</v>
      </c>
      <c r="Q9" s="28"/>
      <c r="R9" s="28">
        <f ca="1">SUMIF('GS&lt;50 Normalized Monthly'!$B:$B,M9,'GS&lt;50 Normalized Monthly'!S:$S)</f>
        <v>381635980.88791525</v>
      </c>
      <c r="S9" s="28">
        <f t="shared" si="5"/>
        <v>10099398.591308262</v>
      </c>
      <c r="T9" s="28">
        <f t="shared" ca="1" si="6"/>
        <v>371536582.29660702</v>
      </c>
      <c r="U9" s="28"/>
      <c r="V9" s="28">
        <f t="shared" ca="1" si="7"/>
        <v>371536582.29660702</v>
      </c>
      <c r="W9" s="7"/>
      <c r="X9" s="27">
        <f t="shared" si="27"/>
        <v>2020</v>
      </c>
      <c r="Y9" s="28">
        <f>SUMIF('Monthly Data'!$B:$B,X9,'Monthly Data'!L:L)</f>
        <v>1365678433.9229021</v>
      </c>
      <c r="Z9" s="28">
        <f>SUMIF('Monthly Data'!$B:$B,X9,'Monthly Data'!M:M)</f>
        <v>65099044.526591346</v>
      </c>
      <c r="AA9" s="28">
        <f t="shared" si="8"/>
        <v>1430777478.4494934</v>
      </c>
      <c r="AB9" s="28"/>
      <c r="AC9" s="28">
        <f ca="1">SUMIF('GS&gt;50 Normalized Monthly'!$B:$B,X9,'GS&gt;50 Normalized Monthly'!$U:$U)</f>
        <v>1427522899.7251334</v>
      </c>
      <c r="AD9" s="28">
        <f t="shared" si="9"/>
        <v>65099044.526591346</v>
      </c>
      <c r="AE9" s="28">
        <f t="shared" ca="1" si="10"/>
        <v>1362423855.1985421</v>
      </c>
      <c r="AF9" s="28"/>
      <c r="AG9" s="28">
        <f t="shared" ca="1" si="11"/>
        <v>1362423855.1985421</v>
      </c>
      <c r="AI9" s="27">
        <f t="shared" si="28"/>
        <v>2020</v>
      </c>
      <c r="AJ9" s="28">
        <f>SUMIF('Monthly Data'!$B:$B,AI9,'Monthly Data'!Q:Q)</f>
        <v>36542441.547490597</v>
      </c>
      <c r="AK9" s="28">
        <f>SUMIF('Monthly Data'!$B:$B,AI9,'Monthly Data'!R:R)</f>
        <v>1138566.2887255033</v>
      </c>
      <c r="AL9" s="28">
        <f t="shared" si="12"/>
        <v>37681007.8362161</v>
      </c>
      <c r="AM9" s="28"/>
      <c r="AN9" s="28">
        <f ca="1">SUMIF('GS Co Gen Normalized Monthly'!$B:$B,AI9,'GS Co Gen Normalized Monthly'!$M:$M)</f>
        <v>40690753.384464033</v>
      </c>
      <c r="AO9" s="28">
        <f t="shared" si="13"/>
        <v>1138566.2887255033</v>
      </c>
      <c r="AP9" s="28">
        <f t="shared" ca="1" si="14"/>
        <v>39552187.09573853</v>
      </c>
      <c r="AQ9" s="28"/>
      <c r="AR9" s="28">
        <f t="shared" ca="1" si="15"/>
        <v>39552187.09573853</v>
      </c>
      <c r="AT9" s="27">
        <f t="shared" si="29"/>
        <v>2020</v>
      </c>
      <c r="AU9" s="28">
        <f>SUMIF('Monthly Data'!$B:$B,AI9,'Monthly Data'!V:V)</f>
        <v>101893892.280927</v>
      </c>
      <c r="AV9" s="28">
        <f>SUMIF('Monthly Data'!$B:$B,AT9,'Monthly Data'!W:W)</f>
        <v>3913092.5907073161</v>
      </c>
      <c r="AW9" s="28">
        <f t="shared" si="16"/>
        <v>105806984.87163432</v>
      </c>
      <c r="AX9" s="28"/>
      <c r="AY9" s="28">
        <f ca="1">SUMIF('Large Use Normalized Monthly'!$B:$B,AT9,'Large Use Normalized Monthly'!$W:$W)</f>
        <v>115357265.63537642</v>
      </c>
      <c r="AZ9" s="28">
        <f t="shared" si="17"/>
        <v>3913092.5907073161</v>
      </c>
      <c r="BA9" s="28">
        <f t="shared" ca="1" si="18"/>
        <v>111444173.04466911</v>
      </c>
      <c r="BB9" s="28"/>
      <c r="BC9" s="28">
        <f t="shared" ca="1" si="19"/>
        <v>111444173.04466911</v>
      </c>
      <c r="BE9" s="27">
        <f t="shared" si="30"/>
        <v>2020</v>
      </c>
      <c r="BF9" s="28">
        <f>SUMIF('Monthly Data'!$B:$B,BE9,'Monthly Data'!AA:AA)</f>
        <v>16908317.240000002</v>
      </c>
      <c r="BG9" s="28">
        <f>'Customer Count'!W8</f>
        <v>37806.583333333336</v>
      </c>
      <c r="BH9" s="28">
        <f t="shared" si="20"/>
        <v>447.23208894394497</v>
      </c>
      <c r="BI9" s="28">
        <f t="shared" si="33"/>
        <v>16908317.240000002</v>
      </c>
      <c r="BK9" s="27">
        <f t="shared" si="31"/>
        <v>2020</v>
      </c>
      <c r="BL9" s="28">
        <f>SUMIF('Monthly Data'!$B:$B,BE9,'Monthly Data'!AF:AF)</f>
        <v>535957.61</v>
      </c>
      <c r="BM9" s="28">
        <f>'Customer Count'!AA8</f>
        <v>515.75</v>
      </c>
      <c r="BN9" s="28">
        <f t="shared" si="21"/>
        <v>1039.1810179350459</v>
      </c>
      <c r="BO9" s="28">
        <f t="shared" si="22"/>
        <v>535957.61</v>
      </c>
      <c r="BQ9" s="27">
        <f t="shared" si="32"/>
        <v>2020</v>
      </c>
      <c r="BR9" s="28">
        <f>SUMIF('Monthly Data'!$B:$B,BQ9,'Monthly Data'!AD:AD)</f>
        <v>5418852.5500000007</v>
      </c>
      <c r="BS9" s="28">
        <f>'Customer Count'!AE8</f>
        <v>1533.75</v>
      </c>
      <c r="BT9" s="28">
        <f t="shared" si="23"/>
        <v>3533.0741972290143</v>
      </c>
      <c r="BU9" s="28">
        <f t="shared" si="24"/>
        <v>5418852.5500000007</v>
      </c>
      <c r="BY9" s="57"/>
    </row>
    <row r="10" spans="2:77" x14ac:dyDescent="0.2">
      <c r="B10" s="27">
        <f t="shared" si="25"/>
        <v>2021</v>
      </c>
      <c r="C10" s="28">
        <f>SUMIF('Monthly Data'!$B:$B,B10,'Monthly Data'!D:D)</f>
        <v>1183155978.337724</v>
      </c>
      <c r="D10" s="28">
        <f>SUMIF('Monthly Data'!$B:$B,B10,'Monthly Data'!E:E)</f>
        <v>26064887.781119995</v>
      </c>
      <c r="E10" s="28">
        <f t="shared" si="0"/>
        <v>1209220866.118844</v>
      </c>
      <c r="F10" s="29"/>
      <c r="G10" s="28">
        <f ca="1">SUMIF('Res Normalized Monthly'!$B:$B,B10,'Res Normalized Monthly'!$W:$W)</f>
        <v>1204965822.0268836</v>
      </c>
      <c r="H10" s="28">
        <f t="shared" si="1"/>
        <v>26064887.781119995</v>
      </c>
      <c r="I10" s="28">
        <f t="shared" ca="1" si="2"/>
        <v>1178900934.2457635</v>
      </c>
      <c r="J10" s="28"/>
      <c r="K10" s="28">
        <f t="shared" ca="1" si="3"/>
        <v>1178900934.2457635</v>
      </c>
      <c r="M10" s="27">
        <f t="shared" si="26"/>
        <v>2021</v>
      </c>
      <c r="N10" s="28">
        <f>SUMIF('Monthly Data'!$B:$B,M10,'Monthly Data'!H:H)</f>
        <v>381478906.71076226</v>
      </c>
      <c r="O10" s="28">
        <f>SUMIF('Monthly Data'!$B:$B,M10,'Monthly Data'!I:I)</f>
        <v>10922004.443800231</v>
      </c>
      <c r="P10" s="28">
        <f t="shared" si="4"/>
        <v>392400911.15456247</v>
      </c>
      <c r="Q10" s="29"/>
      <c r="R10" s="28">
        <f ca="1">SUMIF('GS&lt;50 Normalized Monthly'!$B:$B,M10,'GS&lt;50 Normalized Monthly'!S:$S)</f>
        <v>396031275.75918704</v>
      </c>
      <c r="S10" s="28">
        <f t="shared" si="5"/>
        <v>10922004.443800231</v>
      </c>
      <c r="T10" s="28">
        <f t="shared" ca="1" si="6"/>
        <v>385109271.31538683</v>
      </c>
      <c r="U10" s="28"/>
      <c r="V10" s="28">
        <f t="shared" ca="1" si="7"/>
        <v>385109271.31538683</v>
      </c>
      <c r="W10" s="7"/>
      <c r="X10" s="27">
        <f t="shared" si="27"/>
        <v>2021</v>
      </c>
      <c r="Y10" s="28">
        <f>SUMIF('Monthly Data'!$B:$B,X10,'Monthly Data'!L:L)</f>
        <v>1385380121.3308113</v>
      </c>
      <c r="Z10" s="28">
        <f>SUMIF('Monthly Data'!$B:$B,X10,'Monthly Data'!M:M)</f>
        <v>72527918.290805548</v>
      </c>
      <c r="AA10" s="28">
        <f t="shared" si="8"/>
        <v>1457908039.6216168</v>
      </c>
      <c r="AB10" s="29"/>
      <c r="AC10" s="28">
        <f ca="1">SUMIF('GS&gt;50 Normalized Monthly'!$B:$B,X10,'GS&gt;50 Normalized Monthly'!$U:$U)</f>
        <v>1450429882.8195913</v>
      </c>
      <c r="AD10" s="28">
        <f t="shared" si="9"/>
        <v>72527918.290805548</v>
      </c>
      <c r="AE10" s="28">
        <f t="shared" ca="1" si="10"/>
        <v>1377901964.5287857</v>
      </c>
      <c r="AF10" s="28"/>
      <c r="AG10" s="28">
        <f t="shared" ca="1" si="11"/>
        <v>1377901964.5287857</v>
      </c>
      <c r="AI10" s="27">
        <f t="shared" si="28"/>
        <v>2021</v>
      </c>
      <c r="AJ10" s="28">
        <f>SUMIF('Monthly Data'!$B:$B,AI10,'Monthly Data'!Q:Q)</f>
        <v>28072541.583803825</v>
      </c>
      <c r="AK10" s="28">
        <f>SUMIF('Monthly Data'!$B:$B,AI10,'Monthly Data'!R:R)</f>
        <v>1138566.2887255033</v>
      </c>
      <c r="AL10" s="28">
        <f t="shared" si="12"/>
        <v>29211107.872529328</v>
      </c>
      <c r="AM10" s="29"/>
      <c r="AN10" s="28">
        <f ca="1">SUMIF('GS Co Gen Normalized Monthly'!$B:$B,AI10,'GS Co Gen Normalized Monthly'!$M:$M)</f>
        <v>40192055.97164464</v>
      </c>
      <c r="AO10" s="28">
        <f t="shared" si="13"/>
        <v>1138566.2887255033</v>
      </c>
      <c r="AP10" s="28">
        <f t="shared" ca="1" si="14"/>
        <v>39053489.682919137</v>
      </c>
      <c r="AQ10" s="28"/>
      <c r="AR10" s="28">
        <f t="shared" ca="1" si="15"/>
        <v>39053489.682919137</v>
      </c>
      <c r="AT10" s="27">
        <f t="shared" si="29"/>
        <v>2021</v>
      </c>
      <c r="AU10" s="28">
        <f>SUMIF('Monthly Data'!$B:$B,AI10,'Monthly Data'!V:V)</f>
        <v>105654509.1076003</v>
      </c>
      <c r="AV10" s="28">
        <f>SUMIF('Monthly Data'!$B:$B,AT10,'Monthly Data'!W:W)</f>
        <v>10442880.778093325</v>
      </c>
      <c r="AW10" s="28">
        <f t="shared" si="16"/>
        <v>116097389.88569362</v>
      </c>
      <c r="AX10" s="29"/>
      <c r="AY10" s="28">
        <f ca="1">SUMIF('Large Use Normalized Monthly'!$B:$B,AT10,'Large Use Normalized Monthly'!$W:$W)</f>
        <v>117498856.57113056</v>
      </c>
      <c r="AZ10" s="28">
        <f t="shared" si="17"/>
        <v>10442880.778093325</v>
      </c>
      <c r="BA10" s="28">
        <f t="shared" ca="1" si="18"/>
        <v>107055975.79303724</v>
      </c>
      <c r="BB10" s="28"/>
      <c r="BC10" s="28">
        <f t="shared" ca="1" si="19"/>
        <v>107055975.79303724</v>
      </c>
      <c r="BE10" s="27">
        <f t="shared" si="30"/>
        <v>2021</v>
      </c>
      <c r="BF10" s="28">
        <f>SUMIF('Monthly Data'!$B:$B,BE10,'Monthly Data'!AA:AA)</f>
        <v>16882808.740000002</v>
      </c>
      <c r="BG10" s="28">
        <f>'Customer Count'!W9</f>
        <v>38502.416666666664</v>
      </c>
      <c r="BH10" s="28">
        <f t="shared" si="20"/>
        <v>438.48698865222752</v>
      </c>
      <c r="BI10" s="28">
        <f t="shared" si="33"/>
        <v>16882808.740000002</v>
      </c>
      <c r="BK10" s="27">
        <f t="shared" si="31"/>
        <v>2021</v>
      </c>
      <c r="BL10" s="28">
        <f>SUMIF('Monthly Data'!$B:$B,BE10,'Monthly Data'!AF:AF)</f>
        <v>528905.92999999993</v>
      </c>
      <c r="BM10" s="28">
        <f>'Customer Count'!AA9</f>
        <v>510.41666666666669</v>
      </c>
      <c r="BN10" s="28">
        <f t="shared" si="21"/>
        <v>1036.2238628571426</v>
      </c>
      <c r="BO10" s="28">
        <f t="shared" si="22"/>
        <v>528905.92999999993</v>
      </c>
      <c r="BQ10" s="27">
        <f t="shared" si="32"/>
        <v>2021</v>
      </c>
      <c r="BR10" s="28">
        <f>SUMIF('Monthly Data'!$B:$B,BQ10,'Monthly Data'!AD:AD)</f>
        <v>5433333.7500000009</v>
      </c>
      <c r="BS10" s="28">
        <f>'Customer Count'!AE9</f>
        <v>1543</v>
      </c>
      <c r="BT10" s="28">
        <f t="shared" si="23"/>
        <v>3521.2791639663001</v>
      </c>
      <c r="BU10" s="28">
        <f t="shared" si="24"/>
        <v>5433333.7500000009</v>
      </c>
      <c r="BY10" s="57"/>
    </row>
    <row r="11" spans="2:77" x14ac:dyDescent="0.2">
      <c r="B11" s="27">
        <f t="shared" si="25"/>
        <v>2022</v>
      </c>
      <c r="C11" s="28">
        <f>SUMIF('Monthly Data'!$B:$B,B11,'Monthly Data'!D:D)</f>
        <v>1180210179.8745952</v>
      </c>
      <c r="D11" s="28">
        <f>SUMIF('Monthly Data'!$B:$B,B11,'Monthly Data'!E:E)</f>
        <v>26333269.355849251</v>
      </c>
      <c r="E11" s="28">
        <f t="shared" si="0"/>
        <v>1206543449.2304444</v>
      </c>
      <c r="F11" s="29"/>
      <c r="G11" s="28">
        <f ca="1">SUMIF('Res Normalized Monthly'!$B:$B,B11,'Res Normalized Monthly'!$W:$W)</f>
        <v>1208158757.8987234</v>
      </c>
      <c r="H11" s="28">
        <f t="shared" si="1"/>
        <v>26333269.355849251</v>
      </c>
      <c r="I11" s="28">
        <f t="shared" ca="1" si="2"/>
        <v>1181825488.5428741</v>
      </c>
      <c r="J11" s="28"/>
      <c r="K11" s="28">
        <f t="shared" ca="1" si="3"/>
        <v>1181825488.5428741</v>
      </c>
      <c r="M11" s="27">
        <f t="shared" si="26"/>
        <v>2022</v>
      </c>
      <c r="N11" s="28">
        <f>SUMIF('Monthly Data'!$B:$B,M11,'Monthly Data'!H:H)</f>
        <v>404904347.96509457</v>
      </c>
      <c r="O11" s="28">
        <f>SUMIF('Monthly Data'!$B:$B,M11,'Monthly Data'!I:I)</f>
        <v>13820848.650259838</v>
      </c>
      <c r="P11" s="28">
        <f t="shared" si="4"/>
        <v>418725196.61535442</v>
      </c>
      <c r="Q11" s="29"/>
      <c r="R11" s="28">
        <f ca="1">SUMIF('GS&lt;50 Normalized Monthly'!$B:$B,M11,'GS&lt;50 Normalized Monthly'!S:$S)</f>
        <v>413343204.19008034</v>
      </c>
      <c r="S11" s="28">
        <f t="shared" si="5"/>
        <v>13820848.650259838</v>
      </c>
      <c r="T11" s="28">
        <f t="shared" ca="1" si="6"/>
        <v>399522355.53982049</v>
      </c>
      <c r="U11" s="28"/>
      <c r="V11" s="28">
        <f t="shared" ca="1" si="7"/>
        <v>399522355.53982049</v>
      </c>
      <c r="W11" s="7"/>
      <c r="X11" s="27">
        <f t="shared" si="27"/>
        <v>2022</v>
      </c>
      <c r="Y11" s="28">
        <f>SUMIF('Monthly Data'!$B:$B,X11,'Monthly Data'!L:L)</f>
        <v>1424708525.6983182</v>
      </c>
      <c r="Z11" s="28">
        <f>SUMIF('Monthly Data'!$B:$B,X11,'Monthly Data'!M:M)</f>
        <v>84100057.425102517</v>
      </c>
      <c r="AA11" s="28">
        <f t="shared" si="8"/>
        <v>1508808583.1234207</v>
      </c>
      <c r="AB11" s="29"/>
      <c r="AC11" s="28">
        <f ca="1">SUMIF('GS&gt;50 Normalized Monthly'!$B:$B,X11,'GS&gt;50 Normalized Monthly'!$U:$U)</f>
        <v>1498688579.6214619</v>
      </c>
      <c r="AD11" s="28">
        <f t="shared" si="9"/>
        <v>84100057.425102517</v>
      </c>
      <c r="AE11" s="28">
        <f t="shared" ca="1" si="10"/>
        <v>1414588522.1963594</v>
      </c>
      <c r="AF11" s="28"/>
      <c r="AG11" s="28">
        <f t="shared" ca="1" si="11"/>
        <v>1414588522.1963594</v>
      </c>
      <c r="AI11" s="27">
        <f t="shared" si="28"/>
        <v>2022</v>
      </c>
      <c r="AJ11" s="28">
        <f>SUMIF('Monthly Data'!$B:$B,AI11,'Monthly Data'!Q:Q)</f>
        <v>43045721.021658659</v>
      </c>
      <c r="AK11" s="28">
        <f>SUMIF('Monthly Data'!$B:$B,AI11,'Monthly Data'!R:R)</f>
        <v>1288200.7532020796</v>
      </c>
      <c r="AL11" s="28">
        <f t="shared" si="12"/>
        <v>44333921.77486074</v>
      </c>
      <c r="AM11" s="29"/>
      <c r="AN11" s="28">
        <f ca="1">SUMIF('GS Co Gen Normalized Monthly'!$B:$B,AI11,'GS Co Gen Normalized Monthly'!$M:$M)</f>
        <v>40192055.97164464</v>
      </c>
      <c r="AO11" s="28">
        <f t="shared" si="13"/>
        <v>1288200.7532020796</v>
      </c>
      <c r="AP11" s="28">
        <f t="shared" ca="1" si="14"/>
        <v>38903855.218442559</v>
      </c>
      <c r="AQ11" s="28"/>
      <c r="AR11" s="28">
        <f t="shared" ca="1" si="15"/>
        <v>38903855.218442559</v>
      </c>
      <c r="AT11" s="27">
        <f t="shared" si="29"/>
        <v>2022</v>
      </c>
      <c r="AU11" s="28">
        <f>SUMIF('Monthly Data'!$B:$B,AI11,'Monthly Data'!V:V)</f>
        <v>112464987.29709665</v>
      </c>
      <c r="AV11" s="28">
        <f>SUMIF('Monthly Data'!$B:$B,AT11,'Monthly Data'!W:W)</f>
        <v>17373269.393094897</v>
      </c>
      <c r="AW11" s="28">
        <f t="shared" si="16"/>
        <v>129838256.69019155</v>
      </c>
      <c r="AX11" s="29"/>
      <c r="AY11" s="28">
        <f ca="1">SUMIF('Large Use Normalized Monthly'!$B:$B,AT11,'Large Use Normalized Monthly'!$W:$W)</f>
        <v>133445953.95379022</v>
      </c>
      <c r="AZ11" s="28">
        <f t="shared" si="17"/>
        <v>17373269.393094897</v>
      </c>
      <c r="BA11" s="28">
        <f t="shared" ca="1" si="18"/>
        <v>116072684.56069532</v>
      </c>
      <c r="BB11" s="28"/>
      <c r="BC11" s="28">
        <f t="shared" ca="1" si="19"/>
        <v>116072684.56069532</v>
      </c>
      <c r="BE11" s="27">
        <f t="shared" si="30"/>
        <v>2022</v>
      </c>
      <c r="BF11" s="28">
        <f>SUMIF('Monthly Data'!$B:$B,BE11,'Monthly Data'!AA:AA)</f>
        <v>17000378.439999998</v>
      </c>
      <c r="BG11" s="28">
        <f>'Customer Count'!W10</f>
        <v>39231.916666666664</v>
      </c>
      <c r="BH11" s="28">
        <f t="shared" si="20"/>
        <v>433.33030563975331</v>
      </c>
      <c r="BI11" s="28">
        <f t="shared" si="33"/>
        <v>17000378.439999998</v>
      </c>
      <c r="BK11" s="27">
        <f t="shared" si="31"/>
        <v>2022</v>
      </c>
      <c r="BL11" s="28">
        <f>SUMIF('Monthly Data'!$B:$B,BE11,'Monthly Data'!AF:AF)</f>
        <v>527895.42999999993</v>
      </c>
      <c r="BM11" s="28">
        <f>'Customer Count'!AA10</f>
        <v>505.75</v>
      </c>
      <c r="BN11" s="28">
        <f t="shared" si="21"/>
        <v>1043.7873059812159</v>
      </c>
      <c r="BO11" s="28">
        <f t="shared" si="22"/>
        <v>527895.42999999993</v>
      </c>
      <c r="BQ11" s="27">
        <f t="shared" si="32"/>
        <v>2022</v>
      </c>
      <c r="BR11" s="28">
        <f>SUMIF('Monthly Data'!$B:$B,BQ11,'Monthly Data'!AD:AD)</f>
        <v>5441494.0800000001</v>
      </c>
      <c r="BS11" s="28">
        <f>'Customer Count'!AE10</f>
        <v>1549.75</v>
      </c>
      <c r="BT11" s="28">
        <f t="shared" si="23"/>
        <v>3511.2076657525408</v>
      </c>
      <c r="BU11" s="28">
        <f t="shared" si="24"/>
        <v>5441494.0800000001</v>
      </c>
      <c r="BY11" s="57"/>
    </row>
    <row r="12" spans="2:77" x14ac:dyDescent="0.2">
      <c r="B12" s="27">
        <f t="shared" si="25"/>
        <v>2023</v>
      </c>
      <c r="C12" s="28">
        <f>SUMIF('Monthly Data'!$B:$B,B12,'Monthly Data'!D:D)</f>
        <v>1127950490.8539553</v>
      </c>
      <c r="D12" s="28">
        <f>SUMIF('Monthly Data'!$B:$B,B12,'Monthly Data'!E:E)</f>
        <v>26637001.951727659</v>
      </c>
      <c r="E12" s="28">
        <f t="shared" si="0"/>
        <v>1154587492.8056829</v>
      </c>
      <c r="F12" s="28"/>
      <c r="G12" s="28">
        <f ca="1">SUMIF('Res Normalized Monthly'!$B:$B,B12,'Res Normalized Monthly'!$W:$W)</f>
        <v>1205733871.2919185</v>
      </c>
      <c r="H12" s="28">
        <f t="shared" si="1"/>
        <v>26637001.951727659</v>
      </c>
      <c r="I12" s="28">
        <f t="shared" ca="1" si="2"/>
        <v>1179096869.3401909</v>
      </c>
      <c r="J12" s="28"/>
      <c r="K12" s="28">
        <f t="shared" ca="1" si="3"/>
        <v>1179096869.3401909</v>
      </c>
      <c r="M12" s="27">
        <f t="shared" si="26"/>
        <v>2023</v>
      </c>
      <c r="N12" s="28">
        <f>SUMIF('Monthly Data'!$B:$B,M12,'Monthly Data'!H:H)</f>
        <v>399918444.19770122</v>
      </c>
      <c r="O12" s="28">
        <f>SUMIF('Monthly Data'!$B:$B,M12,'Monthly Data'!I:I)</f>
        <v>16730837.627436407</v>
      </c>
      <c r="P12" s="28">
        <f t="shared" si="4"/>
        <v>416649281.82513762</v>
      </c>
      <c r="Q12" s="28"/>
      <c r="R12" s="28">
        <f ca="1">SUMIF('GS&lt;50 Normalized Monthly'!$B:$B,M12,'GS&lt;50 Normalized Monthly'!S:$S)</f>
        <v>426010124.67210293</v>
      </c>
      <c r="S12" s="28">
        <f t="shared" si="5"/>
        <v>16730837.627436407</v>
      </c>
      <c r="T12" s="28">
        <f t="shared" ca="1" si="6"/>
        <v>409279287.04466653</v>
      </c>
      <c r="U12" s="28"/>
      <c r="V12" s="28">
        <f t="shared" ca="1" si="7"/>
        <v>409279287.04466653</v>
      </c>
      <c r="W12" s="7"/>
      <c r="X12" s="27">
        <f t="shared" si="27"/>
        <v>2023</v>
      </c>
      <c r="Y12" s="28">
        <f>SUMIF('Monthly Data'!$B:$B,X12,'Monthly Data'!L:L)</f>
        <v>1400393230.0632451</v>
      </c>
      <c r="Z12" s="28">
        <f>SUMIF('Monthly Data'!$B:$B,X12,'Monthly Data'!M:M)</f>
        <v>90661551.540290728</v>
      </c>
      <c r="AA12" s="28">
        <f t="shared" si="8"/>
        <v>1491054781.6035359</v>
      </c>
      <c r="AB12" s="28"/>
      <c r="AC12" s="28">
        <f ca="1">SUMIF('GS&gt;50 Normalized Monthly'!$B:$B,X12,'GS&gt;50 Normalized Monthly'!$U:$U)</f>
        <v>1539093244.3359575</v>
      </c>
      <c r="AD12" s="28">
        <f t="shared" si="9"/>
        <v>90661551.540290728</v>
      </c>
      <c r="AE12" s="28">
        <f t="shared" ca="1" si="10"/>
        <v>1448431692.7956667</v>
      </c>
      <c r="AF12" s="28"/>
      <c r="AG12" s="28">
        <f t="shared" ca="1" si="11"/>
        <v>1448431692.7956667</v>
      </c>
      <c r="AI12" s="27">
        <f t="shared" si="28"/>
        <v>2023</v>
      </c>
      <c r="AJ12" s="28">
        <f>SUMIF('Monthly Data'!$B:$B,AI12,'Monthly Data'!Q:Q)</f>
        <v>51773685.92783922</v>
      </c>
      <c r="AK12" s="28">
        <f>SUMIF('Monthly Data'!$B:$B,AI12,'Monthly Data'!R:R)</f>
        <v>1539668.2044468194</v>
      </c>
      <c r="AL12" s="28">
        <f t="shared" si="12"/>
        <v>53313354.132286042</v>
      </c>
      <c r="AM12" s="28"/>
      <c r="AN12" s="28">
        <f ca="1">SUMIF('GS Co Gen Normalized Monthly'!$B:$B,AI12,'GS Co Gen Normalized Monthly'!$M:$M)</f>
        <v>40358288.44258444</v>
      </c>
      <c r="AO12" s="28">
        <f t="shared" si="13"/>
        <v>1539668.2044468194</v>
      </c>
      <c r="AP12" s="28">
        <f t="shared" ca="1" si="14"/>
        <v>38818620.238137618</v>
      </c>
      <c r="AQ12" s="28"/>
      <c r="AR12" s="28">
        <f t="shared" ca="1" si="15"/>
        <v>38818620.238137618</v>
      </c>
      <c r="AT12" s="27">
        <f t="shared" si="29"/>
        <v>2023</v>
      </c>
      <c r="AU12" s="28">
        <f>SUMIF('Monthly Data'!$B:$B,AI12,'Monthly Data'!V:V)</f>
        <v>153160749.79471761</v>
      </c>
      <c r="AV12" s="28">
        <f>SUMIF('Monthly Data'!$B:$B,AT12,'Monthly Data'!W:W)</f>
        <v>17805319.228203833</v>
      </c>
      <c r="AW12" s="28">
        <f t="shared" si="16"/>
        <v>170966069.02292144</v>
      </c>
      <c r="AX12" s="28"/>
      <c r="AY12" s="28">
        <f ca="1">SUMIF('Large Use Normalized Monthly'!$B:$B,AT12,'Large Use Normalized Monthly'!$W:$W)</f>
        <v>170393050.48180225</v>
      </c>
      <c r="AZ12" s="28">
        <f t="shared" si="17"/>
        <v>17805319.228203833</v>
      </c>
      <c r="BA12" s="28">
        <f t="shared" ca="1" si="18"/>
        <v>152587731.25359842</v>
      </c>
      <c r="BB12" s="28"/>
      <c r="BC12" s="28">
        <f t="shared" ca="1" si="19"/>
        <v>152587731.25359842</v>
      </c>
      <c r="BE12" s="27">
        <f t="shared" si="30"/>
        <v>2023</v>
      </c>
      <c r="BF12" s="28">
        <f>SUMIF('Monthly Data'!$B:$B,BE12,'Monthly Data'!AA:AA)</f>
        <v>17184523.530000001</v>
      </c>
      <c r="BG12" s="28">
        <f>'Customer Count'!W11</f>
        <v>39733.333333333336</v>
      </c>
      <c r="BH12" s="28">
        <f t="shared" si="20"/>
        <v>432.49639756711412</v>
      </c>
      <c r="BI12" s="28">
        <f t="shared" si="33"/>
        <v>17184523.530000001</v>
      </c>
      <c r="BK12" s="27">
        <f t="shared" si="31"/>
        <v>2023</v>
      </c>
      <c r="BL12" s="28">
        <f>SUMIF('Monthly Data'!$B:$B,BE12,'Monthly Data'!AF:AF)</f>
        <v>522310.94999999995</v>
      </c>
      <c r="BM12" s="28">
        <f>'Customer Count'!AA11</f>
        <v>500.83333333333331</v>
      </c>
      <c r="BN12" s="28">
        <f t="shared" si="21"/>
        <v>1042.8837603993343</v>
      </c>
      <c r="BO12" s="28">
        <f t="shared" si="22"/>
        <v>522310.9499999999</v>
      </c>
      <c r="BQ12" s="27">
        <f t="shared" si="32"/>
        <v>2023</v>
      </c>
      <c r="BR12" s="28">
        <f>SUMIF('Monthly Data'!$B:$B,BQ12,'Monthly Data'!AD:AD)</f>
        <v>5450500.6399999978</v>
      </c>
      <c r="BS12" s="28">
        <f>'Customer Count'!AE11</f>
        <v>1563.8333333333333</v>
      </c>
      <c r="BT12" s="28">
        <f t="shared" si="23"/>
        <v>3485.3462474688254</v>
      </c>
      <c r="BU12" s="28">
        <f t="shared" si="24"/>
        <v>5450500.6399999978</v>
      </c>
      <c r="BY12" s="57"/>
    </row>
    <row r="13" spans="2:77" s="59" customFormat="1" x14ac:dyDescent="0.2">
      <c r="B13" s="27">
        <f t="shared" si="25"/>
        <v>2024</v>
      </c>
      <c r="C13" s="28">
        <f>SUMIF('Monthly Data'!$B:$B,B13,'Monthly Data'!D:D)</f>
        <v>1181706111.5087397</v>
      </c>
      <c r="D13" s="28">
        <f>SUMIF('Monthly Data'!$B:$B,B13,'Monthly Data'!E:E)</f>
        <v>27537298.325586658</v>
      </c>
      <c r="E13" s="28">
        <f t="shared" si="0"/>
        <v>1209243409.8343263</v>
      </c>
      <c r="F13" s="29"/>
      <c r="G13" s="28">
        <f ca="1">SUMIF('Res Normalized Monthly'!$B:$B,B13,'Res Normalized Monthly'!$W:$W)</f>
        <v>1219809663.6812489</v>
      </c>
      <c r="H13" s="28">
        <f t="shared" si="1"/>
        <v>27537298.325586658</v>
      </c>
      <c r="I13" s="28">
        <f t="shared" ca="1" si="2"/>
        <v>1192272365.3556623</v>
      </c>
      <c r="J13" s="28"/>
      <c r="K13" s="28">
        <f ca="1">I13+J13</f>
        <v>1192272365.3556623</v>
      </c>
      <c r="M13" s="27">
        <f t="shared" si="26"/>
        <v>2024</v>
      </c>
      <c r="N13" s="28">
        <f>SUMIF('Monthly Data'!$B:$B,M13,'Monthly Data'!H:H)</f>
        <v>404233973.90292341</v>
      </c>
      <c r="O13" s="28">
        <f>SUMIF('Monthly Data'!$B:$B,M13,'Monthly Data'!I:I)</f>
        <v>19969721.591706239</v>
      </c>
      <c r="P13" s="28">
        <f t="shared" si="4"/>
        <v>424203695.49462962</v>
      </c>
      <c r="Q13" s="28"/>
      <c r="R13" s="28">
        <f ca="1">SUMIF('GS&lt;50 Normalized Monthly'!$B:$B,M13,'GS&lt;50 Normalized Monthly'!S:$S)</f>
        <v>431386059.9098497</v>
      </c>
      <c r="S13" s="28">
        <f t="shared" si="5"/>
        <v>19969721.591706239</v>
      </c>
      <c r="T13" s="28">
        <f t="shared" ca="1" si="6"/>
        <v>411416338.31814349</v>
      </c>
      <c r="U13" s="28"/>
      <c r="V13" s="28">
        <f ca="1">T13+U13</f>
        <v>411416338.31814349</v>
      </c>
      <c r="W13" s="7"/>
      <c r="X13" s="27">
        <f t="shared" si="27"/>
        <v>2024</v>
      </c>
      <c r="Y13" s="28">
        <f>SUMIF('Monthly Data'!$B:$B,X13,'Monthly Data'!L:L)</f>
        <v>1446263151.7577271</v>
      </c>
      <c r="Z13" s="28">
        <f>SUMIF('Monthly Data'!$B:$B,X13,'Monthly Data'!M:M)</f>
        <v>98366211.79033044</v>
      </c>
      <c r="AA13" s="28">
        <f t="shared" si="8"/>
        <v>1544629363.5480576</v>
      </c>
      <c r="AB13" s="28"/>
      <c r="AC13" s="28">
        <f ca="1">SUMIF('GS&gt;50 Normalized Monthly'!$B:$B,X13,'GS&gt;50 Normalized Monthly'!$U:$U)</f>
        <v>1549616532.4901969</v>
      </c>
      <c r="AD13" s="28">
        <f t="shared" si="9"/>
        <v>98366211.79033044</v>
      </c>
      <c r="AE13" s="28">
        <f t="shared" ca="1" si="10"/>
        <v>1451250320.6998665</v>
      </c>
      <c r="AF13" s="28"/>
      <c r="AG13" s="28">
        <f ca="1">AE13+AF13</f>
        <v>1451250320.6998665</v>
      </c>
      <c r="AH13"/>
      <c r="AI13" s="27">
        <f t="shared" si="28"/>
        <v>2024</v>
      </c>
      <c r="AJ13" s="28">
        <f>SUMIF('Monthly Data'!$B:$B,AI13,'Monthly Data'!Q:Q)</f>
        <v>34855427.423796594</v>
      </c>
      <c r="AK13" s="28">
        <f>SUMIF('Monthly Data'!$B:$B,AI13,'Monthly Data'!R:R)</f>
        <v>1779501.8966138866</v>
      </c>
      <c r="AL13" s="28">
        <f t="shared" si="12"/>
        <v>36634929.320410483</v>
      </c>
      <c r="AM13" s="28"/>
      <c r="AN13" s="28">
        <f ca="1">SUMIF('GS Co Gen Normalized Monthly'!$B:$B,AI13,'GS Co Gen Normalized Monthly'!$M:$M)</f>
        <v>40856985.855403818</v>
      </c>
      <c r="AO13" s="28">
        <f t="shared" si="13"/>
        <v>1779501.8966138866</v>
      </c>
      <c r="AP13" s="28">
        <f t="shared" ca="1" si="14"/>
        <v>39077483.95878993</v>
      </c>
      <c r="AQ13" s="28"/>
      <c r="AR13" s="28">
        <f ca="1">AP13+AQ13</f>
        <v>39077483.95878993</v>
      </c>
      <c r="AS13"/>
      <c r="AT13" s="27">
        <f t="shared" si="29"/>
        <v>2024</v>
      </c>
      <c r="AU13" s="28">
        <f>SUMIF('Monthly Data'!$B:$B,AI13,'Monthly Data'!V:V)</f>
        <v>162734021.88019371</v>
      </c>
      <c r="AV13" s="28">
        <f>SUMIF('Monthly Data'!$B:$B,AT13,'Monthly Data'!W:W)</f>
        <v>18039965.979152411</v>
      </c>
      <c r="AW13" s="28">
        <f t="shared" si="16"/>
        <v>180773987.85934612</v>
      </c>
      <c r="AX13" s="28"/>
      <c r="AY13" s="28">
        <f ca="1">SUMIF('Large Use Normalized Monthly'!$B:$B,AT13,'Large Use Normalized Monthly'!$W:$W)</f>
        <v>173210931.40861642</v>
      </c>
      <c r="AZ13" s="28">
        <f t="shared" si="17"/>
        <v>18039965.979152411</v>
      </c>
      <c r="BA13" s="28">
        <f t="shared" ca="1" si="18"/>
        <v>155170965.42946401</v>
      </c>
      <c r="BB13" s="28"/>
      <c r="BC13" s="28">
        <f ca="1">BA13+BB13</f>
        <v>155170965.42946401</v>
      </c>
      <c r="BD13"/>
      <c r="BE13" s="27">
        <f t="shared" si="30"/>
        <v>2024</v>
      </c>
      <c r="BF13" s="28">
        <f>SUMIF('Monthly Data'!$B:$B,BE13,'Monthly Data'!AA:AA)</f>
        <v>17401184.109999996</v>
      </c>
      <c r="BG13" s="28">
        <f>'Customer Count'!W12</f>
        <v>40243.833333333336</v>
      </c>
      <c r="BH13" s="28">
        <f>BF13/BG13</f>
        <v>432.39380219743799</v>
      </c>
      <c r="BI13" s="28">
        <f t="shared" si="33"/>
        <v>17401184.109999996</v>
      </c>
      <c r="BJ13"/>
      <c r="BK13" s="27">
        <f t="shared" si="31"/>
        <v>2024</v>
      </c>
      <c r="BL13" s="28">
        <f>SUMIF('Monthly Data'!$B:$B,BE13,'Monthly Data'!AF:AF)</f>
        <v>512976.02999999985</v>
      </c>
      <c r="BM13" s="28">
        <f>'Customer Count'!AA12</f>
        <v>492.5</v>
      </c>
      <c r="BN13" s="28">
        <f>BL13/BM13</f>
        <v>1041.5756954314718</v>
      </c>
      <c r="BO13" s="28">
        <f t="shared" si="22"/>
        <v>512976.02999999985</v>
      </c>
      <c r="BP13"/>
      <c r="BQ13" s="27">
        <f t="shared" si="32"/>
        <v>2024</v>
      </c>
      <c r="BR13" s="28">
        <f>SUMIF('Monthly Data'!$B:$B,BQ13,'Monthly Data'!AD:AD)</f>
        <v>5428926.6799999997</v>
      </c>
      <c r="BS13" s="28">
        <f>'Customer Count'!AE12</f>
        <v>1565.5833333333333</v>
      </c>
      <c r="BT13" s="28">
        <f t="shared" si="23"/>
        <v>3467.670205993506</v>
      </c>
      <c r="BU13" s="28">
        <f t="shared" si="24"/>
        <v>5428926.6799999997</v>
      </c>
    </row>
    <row r="14" spans="2:77" s="59" customFormat="1" x14ac:dyDescent="0.2">
      <c r="B14" s="27">
        <f t="shared" si="25"/>
        <v>2025</v>
      </c>
      <c r="C14" s="28">
        <f>SUMIF('Monthly Data'!$B:$B,B14,'Monthly Data'!D:D)</f>
        <v>1217191863.2636447</v>
      </c>
      <c r="D14" s="28">
        <f>SUMIF('Monthly Data'!$B:$B,B14,'Monthly Data'!E:E)</f>
        <v>29328020.558354668</v>
      </c>
      <c r="E14" s="28">
        <f>C14+D14</f>
        <v>1246519883.8219993</v>
      </c>
      <c r="F14" s="29"/>
      <c r="G14" s="28">
        <f ca="1">SUMIF('Res Normalized Monthly'!$B:$B,B14,'Res Normalized Monthly'!$W:$W)</f>
        <v>1227232997.6187506</v>
      </c>
      <c r="H14" s="28">
        <f>D14</f>
        <v>29328020.558354668</v>
      </c>
      <c r="I14" s="28">
        <f ca="1">G14-H14</f>
        <v>1197904977.060396</v>
      </c>
      <c r="J14" s="28"/>
      <c r="K14" s="28">
        <f ca="1">I14+J14</f>
        <v>1197904977.060396</v>
      </c>
      <c r="M14" s="27">
        <f t="shared" si="26"/>
        <v>2025</v>
      </c>
      <c r="N14" s="28">
        <f>SUMIF('Monthly Data'!$B:$B,M14,'Monthly Data'!H:H)</f>
        <v>416596865.08434409</v>
      </c>
      <c r="O14" s="28">
        <f>SUMIF('Monthly Data'!$B:$B,M14,'Monthly Data'!I:I)</f>
        <v>23754236.007176153</v>
      </c>
      <c r="P14" s="28">
        <f>N14+O14</f>
        <v>440351101.09152025</v>
      </c>
      <c r="Q14" s="28"/>
      <c r="R14" s="28">
        <f ca="1">SUMIF('GS&lt;50 Normalized Monthly'!$B:$B,M14,'GS&lt;50 Normalized Monthly'!S:$S)</f>
        <v>433695095.77025229</v>
      </c>
      <c r="S14" s="28">
        <f>O14</f>
        <v>23754236.007176153</v>
      </c>
      <c r="T14" s="28">
        <f t="shared" ca="1" si="6"/>
        <v>409940859.76307613</v>
      </c>
      <c r="U14" s="28"/>
      <c r="V14" s="28">
        <f ca="1">T14+U14</f>
        <v>409940859.76307613</v>
      </c>
      <c r="W14" s="7"/>
      <c r="X14" s="27">
        <f t="shared" si="27"/>
        <v>2025</v>
      </c>
      <c r="Y14" s="28">
        <f>SUMIF('Monthly Data'!$B:$B,X14,'Monthly Data'!L:L)</f>
        <v>1470647189.1957462</v>
      </c>
      <c r="Z14" s="28">
        <f>SUMIF('Monthly Data'!$B:$B,X14,'Monthly Data'!M:M)</f>
        <v>108445623.7440249</v>
      </c>
      <c r="AA14" s="28">
        <f>Y14+Z14</f>
        <v>1579092812.9397712</v>
      </c>
      <c r="AB14" s="28"/>
      <c r="AC14" s="28">
        <f ca="1">SUMIF('GS&gt;50 Normalized Monthly'!$B:$B,X14,'GS&gt;50 Normalized Monthly'!$U:$U)</f>
        <v>1552087411.4632895</v>
      </c>
      <c r="AD14" s="28">
        <f>Z14</f>
        <v>108445623.7440249</v>
      </c>
      <c r="AE14" s="28">
        <f ca="1">AC14-AD14</f>
        <v>1443641787.7192645</v>
      </c>
      <c r="AF14" s="28"/>
      <c r="AG14" s="28">
        <f ca="1">AE14+AF14</f>
        <v>1443641787.7192645</v>
      </c>
      <c r="AH14"/>
      <c r="AI14" s="27">
        <f t="shared" si="28"/>
        <v>2025</v>
      </c>
      <c r="AJ14" s="28">
        <f>SUMIF('Monthly Data'!$B:$B,AI14,'Monthly Data'!Q:Q)</f>
        <v>31417818.32771375</v>
      </c>
      <c r="AK14" s="28">
        <f>SUMIF('Monthly Data'!$B:$B,AI14,'Monthly Data'!R:R)</f>
        <v>2093689.4565186007</v>
      </c>
      <c r="AL14" s="28">
        <f>AJ14+AK14</f>
        <v>33511507.784232352</v>
      </c>
      <c r="AM14" s="28"/>
      <c r="AN14" s="28">
        <f ca="1">SUMIF('GS Co Gen Normalized Monthly'!$B:$B,AI14,'GS Co Gen Normalized Monthly'!$M:$M)</f>
        <v>40690753.384464025</v>
      </c>
      <c r="AO14" s="28">
        <f>AK14</f>
        <v>2093689.4565186007</v>
      </c>
      <c r="AP14" s="28">
        <f ca="1">AN14-AO14</f>
        <v>38597063.927945428</v>
      </c>
      <c r="AQ14" s="28"/>
      <c r="AR14" s="28">
        <f ca="1">AP14+AQ14</f>
        <v>38597063.927945428</v>
      </c>
      <c r="AS14"/>
      <c r="AT14" s="27">
        <f t="shared" si="29"/>
        <v>2025</v>
      </c>
      <c r="AU14" s="28">
        <f>SUMIF('Monthly Data'!$B:$B,AI14,'Monthly Data'!V:V)</f>
        <v>160084660.45041481</v>
      </c>
      <c r="AV14" s="28">
        <f>SUMIF('Monthly Data'!$B:$B,AT14,'Monthly Data'!W:W)</f>
        <v>18624224.500551958</v>
      </c>
      <c r="AW14" s="28">
        <f>AU14+AV14</f>
        <v>178708884.95096678</v>
      </c>
      <c r="AX14" s="28"/>
      <c r="AY14" s="28">
        <f ca="1">SUMIF('Large Use Normalized Monthly'!$B:$B,AT14,'Large Use Normalized Monthly'!$W:$W)</f>
        <v>175352522.34437051</v>
      </c>
      <c r="AZ14" s="28">
        <f>AV14</f>
        <v>18624224.500551958</v>
      </c>
      <c r="BA14" s="28">
        <f ca="1">AY14-AZ14</f>
        <v>156728297.84381855</v>
      </c>
      <c r="BB14" s="28"/>
      <c r="BC14" s="28">
        <f ca="1">BA14+BB14</f>
        <v>156728297.84381855</v>
      </c>
      <c r="BD14"/>
      <c r="BE14" s="27">
        <f t="shared" si="30"/>
        <v>2025</v>
      </c>
      <c r="BF14" s="28">
        <f>SUMIF('Monthly Data'!$B:$B,BE14,'Monthly Data'!AA:AA)</f>
        <v>17445300.079999998</v>
      </c>
      <c r="BG14" s="28">
        <f>'Customer Count'!W13</f>
        <v>40503.666666666664</v>
      </c>
      <c r="BH14" s="28">
        <f>BF14/BG14</f>
        <v>430.70915587889158</v>
      </c>
      <c r="BI14" s="28">
        <f>BH14*BG14</f>
        <v>17445300.079999998</v>
      </c>
      <c r="BJ14"/>
      <c r="BK14" s="27">
        <f t="shared" si="31"/>
        <v>2025</v>
      </c>
      <c r="BL14" s="28">
        <f>SUMIF('Monthly Data'!$B:$B,BE14,'Monthly Data'!AF:AF)</f>
        <v>506226.3899999999</v>
      </c>
      <c r="BM14" s="28">
        <f>'Customer Count'!AA13</f>
        <v>480.5</v>
      </c>
      <c r="BN14" s="28">
        <f>BL14/BM14</f>
        <v>1053.54087408949</v>
      </c>
      <c r="BO14" s="28">
        <f>BN14*BM14</f>
        <v>506226.38999999996</v>
      </c>
      <c r="BP14"/>
      <c r="BQ14" s="27">
        <f t="shared" si="32"/>
        <v>2025</v>
      </c>
      <c r="BR14" s="28">
        <f>SUMIF('Monthly Data'!$B:$B,BQ14,'Monthly Data'!AD:AD)</f>
        <v>5436603.9800000004</v>
      </c>
      <c r="BS14" s="28">
        <f>'Customer Count'!AE13</f>
        <v>1571.0833333333333</v>
      </c>
      <c r="BT14" s="28">
        <f>BR14/BS14</f>
        <v>3460.4173213812128</v>
      </c>
      <c r="BU14" s="28">
        <f>BT14*BS14</f>
        <v>5436603.9800000004</v>
      </c>
    </row>
    <row r="15" spans="2:77" s="59" customFormat="1" x14ac:dyDescent="0.2">
      <c r="B15" s="30">
        <f>B14+1</f>
        <v>2026</v>
      </c>
      <c r="C15" s="30"/>
      <c r="D15" s="30"/>
      <c r="E15" s="30"/>
      <c r="F15" s="30"/>
      <c r="G15" s="29">
        <f ca="1">SUMIF('Res Normalized Monthly'!$B:$B,B15,'Res Normalized Monthly'!$W:$W)</f>
        <v>1242585418.6443751</v>
      </c>
      <c r="H15" s="29">
        <f>CDM!M29</f>
        <v>29012629.173568308</v>
      </c>
      <c r="I15" s="29">
        <f t="shared" ca="1" si="2"/>
        <v>1213572789.4708068</v>
      </c>
      <c r="J15" s="29">
        <f ca="1">'Total Additional-Lost Loads'!E22</f>
        <v>10940222.04080811</v>
      </c>
      <c r="K15" s="29">
        <f ca="1">I15+J15</f>
        <v>1224513011.511615</v>
      </c>
      <c r="M15" s="30">
        <f>M14+1</f>
        <v>2026</v>
      </c>
      <c r="N15" s="30"/>
      <c r="O15" s="30"/>
      <c r="P15" s="30"/>
      <c r="Q15" s="30"/>
      <c r="R15" s="29">
        <f ca="1">SUMIF('GS&lt;50 Normalized Monthly'!$B:$B,M15,'GS&lt;50 Normalized Monthly'!S:$S)</f>
        <v>438621758.31306911</v>
      </c>
      <c r="S15" s="29">
        <f>CDM!N29</f>
        <v>23244976.126819007</v>
      </c>
      <c r="T15" s="29">
        <f t="shared" ca="1" si="6"/>
        <v>415376782.18625009</v>
      </c>
      <c r="U15" s="29">
        <f ca="1">'Total Additional-Lost Loads'!E23</f>
        <v>3332180.7675049989</v>
      </c>
      <c r="V15" s="29">
        <f ca="1">T15+U15</f>
        <v>418708962.95375508</v>
      </c>
      <c r="X15" s="30">
        <f>X14+1</f>
        <v>2026</v>
      </c>
      <c r="Y15" s="30"/>
      <c r="Z15" s="30"/>
      <c r="AA15" s="30"/>
      <c r="AB15" s="30"/>
      <c r="AC15" s="29">
        <f ca="1">SUMIF('GS&gt;50 Normalized Monthly'!$B:$B,X15,'GS&gt;50 Normalized Monthly'!$U:$U)</f>
        <v>1560417680.4576321</v>
      </c>
      <c r="AD15" s="29">
        <f>CDM!O29</f>
        <v>106430996.34015176</v>
      </c>
      <c r="AE15" s="29">
        <f t="shared" ca="1" si="10"/>
        <v>1453986684.1174803</v>
      </c>
      <c r="AF15" s="29">
        <f>'Total Additional-Lost Loads'!E24</f>
        <v>304054.08446660248</v>
      </c>
      <c r="AG15" s="29">
        <f ca="1">AE15+AF15</f>
        <v>1454290738.201947</v>
      </c>
      <c r="AI15" s="30">
        <f>AI14+1</f>
        <v>2026</v>
      </c>
      <c r="AJ15" s="30"/>
      <c r="AK15" s="30"/>
      <c r="AL15" s="30"/>
      <c r="AM15" s="30"/>
      <c r="AN15" s="29">
        <f ca="1">SUMIF('GS Co Gen Normalized Monthly'!$B:$B,AI15,'GS Co Gen Normalized Monthly'!$M:$M)</f>
        <v>40690753.384464025</v>
      </c>
      <c r="AO15" s="29">
        <f>CDM!P29</f>
        <v>2083110.6874357122</v>
      </c>
      <c r="AP15" s="29">
        <f t="shared" ca="1" si="14"/>
        <v>38607642.697028317</v>
      </c>
      <c r="AQ15" s="29">
        <f>'Total Additional-Lost Loads'!E25</f>
        <v>0</v>
      </c>
      <c r="AR15" s="29">
        <f ca="1">AP15+AQ15</f>
        <v>38607642.697028317</v>
      </c>
      <c r="AT15" s="30">
        <f>AT14+1</f>
        <v>2026</v>
      </c>
      <c r="AU15" s="30"/>
      <c r="AV15" s="30"/>
      <c r="AW15" s="30"/>
      <c r="AX15" s="30"/>
      <c r="AY15" s="29">
        <f ca="1">SUMIF('Large Use Normalized Monthly'!$B:$B,AT15,'Large Use Normalized Monthly'!$W:$W)</f>
        <v>177832258.27565464</v>
      </c>
      <c r="AZ15" s="29">
        <f>CDM!Q29</f>
        <v>18556243.339118406</v>
      </c>
      <c r="BA15" s="29">
        <f t="shared" ca="1" si="18"/>
        <v>159276014.93653625</v>
      </c>
      <c r="BB15" s="29">
        <f>'Total Additional-Lost Loads'!E26</f>
        <v>18209.952093497843</v>
      </c>
      <c r="BC15" s="29">
        <f ca="1">BA15+BB15</f>
        <v>159294224.88862976</v>
      </c>
      <c r="BE15" s="30">
        <f>BE14+1</f>
        <v>2026</v>
      </c>
      <c r="BF15" s="30"/>
      <c r="BG15" s="29">
        <f>'Customer Count'!W14</f>
        <v>41020.025683716136</v>
      </c>
      <c r="BH15" s="29">
        <f>BH14</f>
        <v>430.70915587889158</v>
      </c>
      <c r="BI15" s="29">
        <f>BH15*BG15</f>
        <v>17667700.63636383</v>
      </c>
      <c r="BK15" s="30">
        <f>BK14+1</f>
        <v>2026</v>
      </c>
      <c r="BL15" s="30"/>
      <c r="BM15" s="29">
        <f>'Customer Count'!AA14</f>
        <v>473.29893611485244</v>
      </c>
      <c r="BN15" s="29">
        <f>AVERAGE(BN14,BN16)</f>
        <v>1054.4915804602551</v>
      </c>
      <c r="BO15" s="29">
        <f t="shared" si="22"/>
        <v>499089.74317390809</v>
      </c>
      <c r="BQ15" s="30">
        <f>BQ14+1</f>
        <v>2026</v>
      </c>
      <c r="BR15" s="30"/>
      <c r="BS15" s="29">
        <f>'Customer Count'!AE14</f>
        <v>1578.1836702052574</v>
      </c>
      <c r="BT15" s="29" cm="1">
        <f t="array" ref="BT15">TREND($BT$12:$BT$14,$BQ$12:$BQ$14,BQ15)</f>
        <v>3446.2156655268991</v>
      </c>
      <c r="BU15" s="29">
        <f t="shared" si="24"/>
        <v>5438761.2873400953</v>
      </c>
      <c r="BW15" s="188"/>
    </row>
    <row r="16" spans="2:77" s="59" customFormat="1" x14ac:dyDescent="0.2">
      <c r="B16" s="30">
        <f>B15+1</f>
        <v>2027</v>
      </c>
      <c r="C16" s="30"/>
      <c r="D16" s="30"/>
      <c r="E16" s="30"/>
      <c r="F16" s="30"/>
      <c r="G16" s="29">
        <f ca="1">SUMIF('Res Normalized Monthly'!$B:$B,B16,'Res Normalized Monthly'!$W:$W)</f>
        <v>1258068572.3785133</v>
      </c>
      <c r="H16" s="29">
        <f>CDM!M30</f>
        <v>28647898.98121253</v>
      </c>
      <c r="I16" s="29">
        <f t="shared" ca="1" si="2"/>
        <v>1229420673.3973007</v>
      </c>
      <c r="J16" s="29">
        <f ca="1">'Total Additional-Lost Loads'!F22</f>
        <v>23387079.042745575</v>
      </c>
      <c r="K16" s="29">
        <f ca="1">I16+J16</f>
        <v>1252807752.4400463</v>
      </c>
      <c r="M16" s="30">
        <f>M15+1</f>
        <v>2027</v>
      </c>
      <c r="N16" s="30"/>
      <c r="O16" s="30"/>
      <c r="P16" s="30"/>
      <c r="Q16" s="30"/>
      <c r="R16" s="29">
        <f ca="1">SUMIF('GS&lt;50 Normalized Monthly'!$B:$B,M16,'GS&lt;50 Normalized Monthly'!S:$S)</f>
        <v>443634637.45038521</v>
      </c>
      <c r="S16" s="29">
        <f>CDM!N30</f>
        <v>22219399.481789052</v>
      </c>
      <c r="T16" s="29">
        <f t="shared" ca="1" si="6"/>
        <v>421415237.96859616</v>
      </c>
      <c r="U16" s="29">
        <f ca="1">'Total Additional-Lost Loads'!F23</f>
        <v>7085206.099149962</v>
      </c>
      <c r="V16" s="29">
        <f ca="1">T16+U16</f>
        <v>428500444.0677461</v>
      </c>
      <c r="X16" s="30">
        <f>X15+1</f>
        <v>2027</v>
      </c>
      <c r="Y16" s="30"/>
      <c r="Z16" s="30"/>
      <c r="AA16" s="30"/>
      <c r="AB16" s="30"/>
      <c r="AC16" s="29">
        <f ca="1">SUMIF('GS&gt;50 Normalized Monthly'!$B:$B,X16,'GS&gt;50 Normalized Monthly'!$U:$U)</f>
        <v>1568893729.1593752</v>
      </c>
      <c r="AD16" s="29">
        <f>CDM!O30</f>
        <v>98970453.156509027</v>
      </c>
      <c r="AE16" s="29">
        <f ca="1">AC16-AD16</f>
        <v>1469923276.0028663</v>
      </c>
      <c r="AF16" s="29">
        <f>'Total Additional-Lost Loads'!F24</f>
        <v>654500.69545312226</v>
      </c>
      <c r="AG16" s="29">
        <f ca="1">AE16+AF16</f>
        <v>1470577776.6983194</v>
      </c>
      <c r="AI16" s="30">
        <f>AI15+1</f>
        <v>2027</v>
      </c>
      <c r="AJ16" s="30"/>
      <c r="AK16" s="30"/>
      <c r="AL16" s="30"/>
      <c r="AM16" s="30"/>
      <c r="AN16" s="29">
        <f ca="1">SUMIF('GS Co Gen Normalized Monthly'!$B:$B,AI16,'GS Co Gen Normalized Monthly'!$M:$M)</f>
        <v>40524520.913524233</v>
      </c>
      <c r="AO16" s="29">
        <f>CDM!P30</f>
        <v>1934101.4795512659</v>
      </c>
      <c r="AP16" s="29">
        <f t="shared" ca="1" si="14"/>
        <v>38590419.43397297</v>
      </c>
      <c r="AQ16" s="29">
        <f>'Total Additional-Lost Loads'!F25</f>
        <v>0</v>
      </c>
      <c r="AR16" s="29">
        <f ca="1">AP16+AQ16</f>
        <v>38590419.43397297</v>
      </c>
      <c r="AT16" s="30">
        <f>AT15+1</f>
        <v>2027</v>
      </c>
      <c r="AU16" s="30"/>
      <c r="AV16" s="30"/>
      <c r="AW16" s="30"/>
      <c r="AX16" s="30"/>
      <c r="AY16" s="29">
        <f ca="1">SUMIF('Large Use Normalized Monthly'!$B:$B,AT16,'Large Use Normalized Monthly'!$W:$W)</f>
        <v>180311994.20693877</v>
      </c>
      <c r="AZ16" s="29">
        <f>CDM!Q30</f>
        <v>17585721.948146097</v>
      </c>
      <c r="BA16" s="29">
        <f t="shared" ca="1" si="18"/>
        <v>162726272.25879267</v>
      </c>
      <c r="BB16" s="29">
        <f>'Total Additional-Lost Loads'!F26</f>
        <v>40354.937245495719</v>
      </c>
      <c r="BC16" s="29">
        <f ca="1">BA16+BB16</f>
        <v>162766627.19603816</v>
      </c>
      <c r="BE16" s="30">
        <f>BE15+1</f>
        <v>2027</v>
      </c>
      <c r="BF16" s="30"/>
      <c r="BG16" s="29">
        <f>'Customer Count'!W15</f>
        <v>41542.967478485029</v>
      </c>
      <c r="BH16" s="29">
        <f>BH15</f>
        <v>430.70915587889158</v>
      </c>
      <c r="BI16" s="29">
        <f>BH16*BG16</f>
        <v>17892936.455362532</v>
      </c>
      <c r="BK16" s="30">
        <f>BK15+1</f>
        <v>2027</v>
      </c>
      <c r="BL16" s="30"/>
      <c r="BM16" s="29">
        <f>'Customer Count'!AA15</f>
        <v>466.20579173246864</v>
      </c>
      <c r="BN16" s="29" cm="1">
        <f t="array" ref="BN16">TREND($BN$8:$BN$14,$BK$8:$BK$14,BK16)</f>
        <v>1055.4422868310203</v>
      </c>
      <c r="BO16" s="29">
        <f>BN16*BM16</f>
        <v>492053.30695998308</v>
      </c>
      <c r="BQ16" s="30">
        <f>BQ15+1</f>
        <v>2027</v>
      </c>
      <c r="BR16" s="30"/>
      <c r="BS16" s="29">
        <f>'Customer Count'!AE15</f>
        <v>1585.3160962621569</v>
      </c>
      <c r="BT16" s="29" cm="1">
        <f t="array" ref="BT16">TREND($BT$12:$BT$14,$BQ$12:$BQ$14,BQ16)</f>
        <v>3433.7512024830939</v>
      </c>
      <c r="BU16" s="29">
        <f t="shared" si="24"/>
        <v>5443581.0518559851</v>
      </c>
      <c r="BW16" s="188"/>
    </row>
    <row r="17" spans="59:59" x14ac:dyDescent="0.2">
      <c r="BG17" s="29"/>
    </row>
    <row r="44" spans="2:56" x14ac:dyDescent="0.2">
      <c r="B44" s="583" t="s">
        <v>97</v>
      </c>
      <c r="C44" s="583"/>
      <c r="D44" s="583"/>
      <c r="E44" s="583"/>
      <c r="F44" s="583"/>
      <c r="G44" s="583"/>
      <c r="H44" s="583"/>
      <c r="I44" s="583"/>
      <c r="J44" s="583"/>
      <c r="K44" s="583"/>
      <c r="M44" s="583" t="s">
        <v>108</v>
      </c>
      <c r="N44" s="583"/>
      <c r="O44" s="583"/>
      <c r="P44" s="583"/>
      <c r="Q44" s="583"/>
      <c r="R44" s="583"/>
      <c r="S44" s="583"/>
      <c r="T44" s="583"/>
      <c r="U44" s="583"/>
      <c r="V44" s="583"/>
      <c r="X44" s="583" t="s">
        <v>109</v>
      </c>
      <c r="Y44" s="583"/>
      <c r="Z44" s="583"/>
      <c r="AA44" s="583"/>
      <c r="AB44" s="583"/>
      <c r="AC44" s="583"/>
      <c r="AD44" s="583"/>
      <c r="AE44" s="583"/>
      <c r="AF44" s="583"/>
      <c r="AG44" s="583"/>
      <c r="AI44" s="583" t="str">
        <f>AI2</f>
        <v>GS&gt;50 Co Gen kWh</v>
      </c>
      <c r="AJ44" s="583"/>
      <c r="AK44" s="583"/>
      <c r="AL44" s="583"/>
      <c r="AM44" s="583"/>
      <c r="AN44" s="583"/>
      <c r="AO44" s="583"/>
      <c r="AP44" s="583"/>
      <c r="AQ44" s="583"/>
      <c r="AR44" s="583"/>
      <c r="AT44" s="583" t="str">
        <f>AT2</f>
        <v>Large Use kWh</v>
      </c>
      <c r="AU44" s="583"/>
      <c r="AV44" s="583"/>
      <c r="AW44" s="583"/>
      <c r="AX44" s="583"/>
      <c r="AY44" s="583"/>
      <c r="AZ44" s="583"/>
      <c r="BA44" s="583"/>
      <c r="BB44" s="583"/>
      <c r="BC44" s="583"/>
    </row>
    <row r="45" spans="2:56" ht="38.25" x14ac:dyDescent="0.2">
      <c r="B45" s="172" t="s">
        <v>0</v>
      </c>
      <c r="C45" s="172" t="s">
        <v>98</v>
      </c>
      <c r="D45" s="172" t="s">
        <v>99</v>
      </c>
      <c r="E45" s="172" t="s">
        <v>100</v>
      </c>
      <c r="F45" s="172"/>
      <c r="G45" s="172" t="s">
        <v>121</v>
      </c>
      <c r="H45" s="172" t="s">
        <v>99</v>
      </c>
      <c r="I45" s="172" t="s">
        <v>101</v>
      </c>
      <c r="J45" s="172" t="s">
        <v>325</v>
      </c>
      <c r="K45" s="172" t="s">
        <v>327</v>
      </c>
      <c r="L45" s="173"/>
      <c r="M45" s="172" t="s">
        <v>0</v>
      </c>
      <c r="N45" s="172" t="s">
        <v>98</v>
      </c>
      <c r="O45" s="172" t="s">
        <v>99</v>
      </c>
      <c r="P45" s="172" t="s">
        <v>100</v>
      </c>
      <c r="Q45" s="172"/>
      <c r="R45" s="172" t="s">
        <v>174</v>
      </c>
      <c r="S45" s="172" t="s">
        <v>99</v>
      </c>
      <c r="T45" s="172" t="s">
        <v>101</v>
      </c>
      <c r="U45" s="172" t="s">
        <v>325</v>
      </c>
      <c r="V45" s="172" t="s">
        <v>327</v>
      </c>
      <c r="W45" s="173"/>
      <c r="X45" s="172" t="s">
        <v>0</v>
      </c>
      <c r="Y45" s="172" t="s">
        <v>98</v>
      </c>
      <c r="Z45" s="172" t="s">
        <v>99</v>
      </c>
      <c r="AA45" s="172" t="s">
        <v>100</v>
      </c>
      <c r="AB45" s="172"/>
      <c r="AC45" s="172" t="s">
        <v>121</v>
      </c>
      <c r="AD45" s="172" t="s">
        <v>99</v>
      </c>
      <c r="AE45" s="172" t="s">
        <v>101</v>
      </c>
      <c r="AF45" s="172" t="s">
        <v>376</v>
      </c>
      <c r="AG45" s="172" t="s">
        <v>327</v>
      </c>
      <c r="AH45" s="173"/>
      <c r="AI45" s="172" t="s">
        <v>0</v>
      </c>
      <c r="AJ45" s="172" t="s">
        <v>98</v>
      </c>
      <c r="AK45" s="172" t="s">
        <v>99</v>
      </c>
      <c r="AL45" s="172" t="s">
        <v>100</v>
      </c>
      <c r="AM45" s="172"/>
      <c r="AN45" s="172" t="s">
        <v>121</v>
      </c>
      <c r="AO45" s="172" t="s">
        <v>99</v>
      </c>
      <c r="AP45" s="172" t="s">
        <v>101</v>
      </c>
      <c r="AQ45" s="172" t="s">
        <v>376</v>
      </c>
      <c r="AR45" s="172" t="s">
        <v>327</v>
      </c>
      <c r="AS45" s="173"/>
      <c r="AT45" s="172" t="s">
        <v>0</v>
      </c>
      <c r="AU45" s="172" t="s">
        <v>98</v>
      </c>
      <c r="AV45" s="172" t="s">
        <v>99</v>
      </c>
      <c r="AW45" s="172" t="s">
        <v>100</v>
      </c>
      <c r="AX45" s="172"/>
      <c r="AY45" s="172" t="s">
        <v>121</v>
      </c>
      <c r="AZ45" s="172" t="s">
        <v>99</v>
      </c>
      <c r="BA45" s="172" t="s">
        <v>101</v>
      </c>
      <c r="BB45" s="172" t="s">
        <v>376</v>
      </c>
      <c r="BC45" s="172" t="s">
        <v>327</v>
      </c>
    </row>
    <row r="46" spans="2:56" s="26" customFormat="1" x14ac:dyDescent="0.2">
      <c r="B46" s="213"/>
      <c r="C46" s="213" t="s">
        <v>102</v>
      </c>
      <c r="D46" s="213" t="s">
        <v>103</v>
      </c>
      <c r="E46" s="213" t="s">
        <v>104</v>
      </c>
      <c r="F46" s="213"/>
      <c r="G46" s="213" t="s">
        <v>105</v>
      </c>
      <c r="H46" s="213" t="s">
        <v>106</v>
      </c>
      <c r="I46" s="213" t="s">
        <v>107</v>
      </c>
      <c r="J46" s="213" t="s">
        <v>147</v>
      </c>
      <c r="K46" s="213" t="s">
        <v>326</v>
      </c>
      <c r="M46" s="213"/>
      <c r="N46" s="213" t="s">
        <v>102</v>
      </c>
      <c r="O46" s="213" t="s">
        <v>103</v>
      </c>
      <c r="P46" s="213" t="s">
        <v>104</v>
      </c>
      <c r="Q46" s="213"/>
      <c r="R46" s="213" t="s">
        <v>105</v>
      </c>
      <c r="S46" s="213" t="s">
        <v>106</v>
      </c>
      <c r="T46" s="213" t="s">
        <v>107</v>
      </c>
      <c r="U46" s="213" t="s">
        <v>147</v>
      </c>
      <c r="V46" s="213" t="s">
        <v>326</v>
      </c>
      <c r="X46" s="213"/>
      <c r="Y46" s="213" t="s">
        <v>102</v>
      </c>
      <c r="Z46" s="213" t="s">
        <v>103</v>
      </c>
      <c r="AA46" s="213" t="s">
        <v>104</v>
      </c>
      <c r="AB46" s="213"/>
      <c r="AC46" s="213" t="s">
        <v>105</v>
      </c>
      <c r="AD46" s="213" t="s">
        <v>106</v>
      </c>
      <c r="AE46" s="213" t="s">
        <v>107</v>
      </c>
      <c r="AF46" s="213" t="s">
        <v>147</v>
      </c>
      <c r="AG46" s="213" t="s">
        <v>326</v>
      </c>
      <c r="AI46" s="213"/>
      <c r="AJ46" s="213" t="s">
        <v>102</v>
      </c>
      <c r="AK46" s="213" t="s">
        <v>103</v>
      </c>
      <c r="AL46" s="213" t="s">
        <v>104</v>
      </c>
      <c r="AM46" s="213"/>
      <c r="AN46" s="213" t="s">
        <v>105</v>
      </c>
      <c r="AO46" s="213" t="s">
        <v>106</v>
      </c>
      <c r="AP46" s="213" t="s">
        <v>107</v>
      </c>
      <c r="AQ46" s="213" t="s">
        <v>147</v>
      </c>
      <c r="AR46" s="213" t="s">
        <v>326</v>
      </c>
      <c r="AT46" s="213"/>
      <c r="AU46" s="213" t="s">
        <v>102</v>
      </c>
      <c r="AV46" s="213" t="s">
        <v>103</v>
      </c>
      <c r="AW46" s="213" t="s">
        <v>104</v>
      </c>
      <c r="AX46" s="213"/>
      <c r="AY46" s="213" t="s">
        <v>105</v>
      </c>
      <c r="AZ46" s="213" t="s">
        <v>106</v>
      </c>
      <c r="BA46" s="213" t="s">
        <v>107</v>
      </c>
      <c r="BB46" s="213" t="s">
        <v>147</v>
      </c>
      <c r="BC46" s="213" t="s">
        <v>326</v>
      </c>
    </row>
    <row r="47" spans="2:56" s="26" customFormat="1" x14ac:dyDescent="0.2"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</row>
    <row r="48" spans="2:56" x14ac:dyDescent="0.2">
      <c r="B48" s="27">
        <v>2017</v>
      </c>
      <c r="C48" s="28">
        <f>SUMIF('Monthly Data'!$B:$B,B48,'Monthly Data'!D:D)</f>
        <v>1047993667</v>
      </c>
      <c r="D48" s="28">
        <f>SUMIF('Monthly Data'!$B:$B,B48,'Monthly Data'!E:E)</f>
        <v>13614244.573406799</v>
      </c>
      <c r="E48" s="28">
        <f t="shared" ref="E48:E54" si="34">C48+D48</f>
        <v>1061607911.5734068</v>
      </c>
      <c r="F48" s="28"/>
      <c r="G48" s="28">
        <f ca="1">SUMIF('Res Normalized Monthly WN'!$B:$B,B48,'Res Normalized Monthly WN'!$Y:$Y)</f>
        <v>1083962657.768652</v>
      </c>
      <c r="H48" s="28">
        <f t="shared" ref="H48:H54" si="35">D48</f>
        <v>13614244.573406799</v>
      </c>
      <c r="I48" s="28">
        <f t="shared" ref="I48:I54" ca="1" si="36">G48-H48</f>
        <v>1070348413.1952451</v>
      </c>
      <c r="J48" s="28"/>
      <c r="K48" s="28">
        <f t="shared" ref="K48:K54" ca="1" si="37">I48+J48</f>
        <v>1070348413.1952451</v>
      </c>
      <c r="L48" s="7"/>
      <c r="M48" s="27">
        <v>2017</v>
      </c>
      <c r="N48" s="28">
        <f>SUMIF('Monthly Data'!$B:$B,M48,'Monthly Data'!H:H)</f>
        <v>385223199</v>
      </c>
      <c r="O48" s="28">
        <f>SUMIF('Monthly Data'!$B:$B,M48,'Monthly Data'!I:I)</f>
        <v>2692518.4383375822</v>
      </c>
      <c r="P48" s="28">
        <f t="shared" ref="P48:P54" si="38">N48+O48</f>
        <v>387915717.43833756</v>
      </c>
      <c r="Q48" s="28"/>
      <c r="R48" s="28">
        <f ca="1">SUMIF('GS&lt;50 Normalized Monthly WN'!$B:$B,M48,'GS&lt;50 Normalized Monthly WN'!U:$U)</f>
        <v>391951511.09657663</v>
      </c>
      <c r="S48" s="28">
        <f t="shared" ref="S48:S54" si="39">O48</f>
        <v>2692518.4383375822</v>
      </c>
      <c r="T48" s="28">
        <f t="shared" ref="T48:T58" ca="1" si="40">R48-S48</f>
        <v>389258992.65823907</v>
      </c>
      <c r="U48" s="28"/>
      <c r="V48" s="28">
        <f t="shared" ref="V48:V54" ca="1" si="41">T48+U48</f>
        <v>389258992.65823907</v>
      </c>
      <c r="W48" s="7"/>
      <c r="X48" s="27">
        <v>2017</v>
      </c>
      <c r="Y48" s="28">
        <f>SUMIF('Monthly Data'!$B:$B,X48,'Monthly Data'!L:L)</f>
        <v>1458855316</v>
      </c>
      <c r="Z48" s="28">
        <f>SUMIF('Monthly Data'!$B:$B,X48,'Monthly Data'!M:M)</f>
        <v>19946744.37144316</v>
      </c>
      <c r="AA48" s="28">
        <f t="shared" ref="AA48:AA54" si="42">Y48+Z48</f>
        <v>1478802060.3714433</v>
      </c>
      <c r="AB48" s="28"/>
      <c r="AC48" s="28">
        <f ca="1">SUMIF('GS&gt;50 Normalized Monthly WN'!$B:$B,X48,'GS&gt;50 Normalized Monthly WN'!$W:$W)</f>
        <v>1489176564.9689202</v>
      </c>
      <c r="AD48" s="28">
        <f t="shared" ref="AD48:AD54" si="43">Z48</f>
        <v>19946744.37144316</v>
      </c>
      <c r="AE48" s="28">
        <f t="shared" ref="AE48:AE54" ca="1" si="44">AC48-AD48</f>
        <v>1469229820.597477</v>
      </c>
      <c r="AF48" s="28"/>
      <c r="AG48" s="28">
        <f t="shared" ref="AG48:AG54" ca="1" si="45">AE48+AF48</f>
        <v>1469229820.597477</v>
      </c>
      <c r="AH48" s="7"/>
      <c r="AI48" s="27">
        <v>2017</v>
      </c>
      <c r="AJ48" s="28">
        <f>SUMIF('Monthly Data'!$B:$B,AI48,'Monthly Data'!Q:Q)</f>
        <v>46826076</v>
      </c>
      <c r="AK48" s="28">
        <f>SUMIF('Monthly Data'!$B:$B,AI48,'Monthly Data'!R:R)</f>
        <v>547033.97600574384</v>
      </c>
      <c r="AL48" s="28">
        <f t="shared" ref="AL48:AL54" si="46">AJ48+AK48</f>
        <v>47373109.97600574</v>
      </c>
      <c r="AM48" s="28"/>
      <c r="AN48" s="28">
        <f ca="1">SUMIF('GS Co Gen Normalized Monthly WN'!$B:$B,AI48,'GS Co Gen Normalized Monthly WN'!$N:$N)</f>
        <v>48728004.62261761</v>
      </c>
      <c r="AO48" s="28">
        <f t="shared" ref="AO48:AO54" si="47">AK48</f>
        <v>547033.97600574384</v>
      </c>
      <c r="AP48" s="28">
        <f t="shared" ref="AP48:AP54" ca="1" si="48">AN48-AO48</f>
        <v>48180970.646611869</v>
      </c>
      <c r="AQ48" s="28"/>
      <c r="AR48" s="28">
        <f t="shared" ref="AR48:AR54" ca="1" si="49">AP48+AQ48</f>
        <v>48180970.646611869</v>
      </c>
      <c r="AS48" s="7"/>
      <c r="AT48" s="27">
        <v>2017</v>
      </c>
      <c r="AU48" s="28">
        <f>SUMIF('Monthly Data'!$B:$B,AI48,'Monthly Data'!V:V)</f>
        <v>117991437</v>
      </c>
      <c r="AV48" s="28">
        <f>SUMIF('Monthly Data'!$B:$B,AT48,'Monthly Data'!W:W)</f>
        <v>33106.991338264612</v>
      </c>
      <c r="AW48" s="28">
        <f t="shared" ref="AW48:AW54" si="50">AU48+AV48</f>
        <v>118024543.99133827</v>
      </c>
      <c r="AX48" s="28"/>
      <c r="AY48" s="28">
        <f ca="1">SUMIF('Large Use Normalized Monthly WN'!$B:$B,AT48,'Large Use Normalized Monthly WN'!$Y:$Y)</f>
        <v>119152150.10081854</v>
      </c>
      <c r="AZ48" s="28">
        <f t="shared" ref="AZ48:AZ54" si="51">AV48</f>
        <v>33106.991338264612</v>
      </c>
      <c r="BA48" s="28">
        <f t="shared" ref="BA48:BA54" ca="1" si="52">AY48-AZ48</f>
        <v>119119043.10948028</v>
      </c>
      <c r="BB48" s="28"/>
      <c r="BC48" s="28">
        <f t="shared" ref="BC48:BC54" ca="1" si="53">BA48+BB48</f>
        <v>119119043.10948028</v>
      </c>
      <c r="BD48" s="7"/>
    </row>
    <row r="49" spans="2:56" x14ac:dyDescent="0.2">
      <c r="B49" s="27">
        <f t="shared" ref="B49:B57" si="54">B48+1</f>
        <v>2018</v>
      </c>
      <c r="C49" s="28">
        <f>SUMIF('Monthly Data'!$B:$B,B49,'Monthly Data'!D:D)</f>
        <v>1139376021</v>
      </c>
      <c r="D49" s="28">
        <f>SUMIF('Monthly Data'!$B:$B,B49,'Monthly Data'!E:E)</f>
        <v>24443882.154292919</v>
      </c>
      <c r="E49" s="28">
        <f t="shared" si="34"/>
        <v>1163819903.1542928</v>
      </c>
      <c r="F49" s="28"/>
      <c r="G49" s="28">
        <f ca="1">SUMIF('Res Normalized Monthly WN'!$B:$B,B49,'Res Normalized Monthly WN'!$Y:$Y)</f>
        <v>1119445235.8283153</v>
      </c>
      <c r="H49" s="28">
        <f t="shared" si="35"/>
        <v>24443882.154292919</v>
      </c>
      <c r="I49" s="28">
        <f t="shared" ca="1" si="36"/>
        <v>1095001353.6740224</v>
      </c>
      <c r="J49" s="28"/>
      <c r="K49" s="28">
        <f t="shared" ca="1" si="37"/>
        <v>1095001353.6740224</v>
      </c>
      <c r="L49" s="7"/>
      <c r="M49" s="27">
        <f t="shared" ref="M49:M57" si="55">M48+1</f>
        <v>2018</v>
      </c>
      <c r="N49" s="28">
        <f>SUMIF('Monthly Data'!$B:$B,M49,'Monthly Data'!H:H)</f>
        <v>398801024</v>
      </c>
      <c r="O49" s="28">
        <f>SUMIF('Monthly Data'!$B:$B,M49,'Monthly Data'!I:I)</f>
        <v>7262897.1435193364</v>
      </c>
      <c r="P49" s="28">
        <f t="shared" si="38"/>
        <v>406063921.14351934</v>
      </c>
      <c r="Q49" s="28"/>
      <c r="R49" s="28">
        <f ca="1">SUMIF('GS&lt;50 Normalized Monthly WN'!$B:$B,M49,'GS&lt;50 Normalized Monthly WN'!U:$U)</f>
        <v>397920660.44675744</v>
      </c>
      <c r="S49" s="28">
        <f t="shared" si="39"/>
        <v>7262897.1435193364</v>
      </c>
      <c r="T49" s="28">
        <f t="shared" ca="1" si="40"/>
        <v>390657763.30323809</v>
      </c>
      <c r="U49" s="28"/>
      <c r="V49" s="28">
        <f t="shared" ca="1" si="41"/>
        <v>390657763.30323809</v>
      </c>
      <c r="W49" s="7"/>
      <c r="X49" s="27">
        <f t="shared" ref="X49:X57" si="56">X48+1</f>
        <v>2018</v>
      </c>
      <c r="Y49" s="28">
        <f>SUMIF('Monthly Data'!$B:$B,X49,'Monthly Data'!L:L)</f>
        <v>1485117370</v>
      </c>
      <c r="Z49" s="28">
        <f>SUMIF('Monthly Data'!$B:$B,X49,'Monthly Data'!M:M)</f>
        <v>46632614.268263906</v>
      </c>
      <c r="AA49" s="28">
        <f t="shared" si="42"/>
        <v>1531749984.2682638</v>
      </c>
      <c r="AB49" s="28"/>
      <c r="AC49" s="28">
        <f ca="1">SUMIF('GS&gt;50 Normalized Monthly WN'!$B:$B,X49,'GS&gt;50 Normalized Monthly WN'!$W:$W)</f>
        <v>1514488714.9754746</v>
      </c>
      <c r="AD49" s="28">
        <f t="shared" si="43"/>
        <v>46632614.268263906</v>
      </c>
      <c r="AE49" s="28">
        <f t="shared" ca="1" si="44"/>
        <v>1467856100.7072108</v>
      </c>
      <c r="AF49" s="28"/>
      <c r="AG49" s="28">
        <f t="shared" ca="1" si="45"/>
        <v>1467856100.7072108</v>
      </c>
      <c r="AH49" s="7"/>
      <c r="AI49" s="27">
        <f t="shared" ref="AI49:AI57" si="57">AI48+1</f>
        <v>2018</v>
      </c>
      <c r="AJ49" s="28">
        <f>SUMIF('Monthly Data'!$B:$B,AI49,'Monthly Data'!Q:Q)</f>
        <v>47167618</v>
      </c>
      <c r="AK49" s="28">
        <f>SUMIF('Monthly Data'!$B:$B,AI49,'Monthly Data'!R:R)</f>
        <v>1139921.3134877968</v>
      </c>
      <c r="AL49" s="28">
        <f t="shared" si="46"/>
        <v>48307539.313487798</v>
      </c>
      <c r="AM49" s="28"/>
      <c r="AN49" s="28">
        <f ca="1">SUMIF('GS Co Gen Normalized Monthly WN'!$B:$B,AI49,'GS Co Gen Normalized Monthly WN'!$N:$N)</f>
        <v>46774617.313718021</v>
      </c>
      <c r="AO49" s="28">
        <f t="shared" si="47"/>
        <v>1139921.3134877968</v>
      </c>
      <c r="AP49" s="28">
        <f t="shared" ca="1" si="48"/>
        <v>45634696.000230223</v>
      </c>
      <c r="AQ49" s="28"/>
      <c r="AR49" s="28">
        <f t="shared" ca="1" si="49"/>
        <v>45634696.000230223</v>
      </c>
      <c r="AS49" s="7"/>
      <c r="AT49" s="27">
        <f t="shared" ref="AT49:AT57" si="58">AT48+1</f>
        <v>2018</v>
      </c>
      <c r="AU49" s="28">
        <f>SUMIF('Monthly Data'!$B:$B,AI49,'Monthly Data'!V:V)</f>
        <v>117777486</v>
      </c>
      <c r="AV49" s="28">
        <f>SUMIF('Monthly Data'!$B:$B,AT49,'Monthly Data'!W:W)</f>
        <v>1803127.2327571716</v>
      </c>
      <c r="AW49" s="28">
        <f t="shared" si="50"/>
        <v>119580613.23275717</v>
      </c>
      <c r="AX49" s="29"/>
      <c r="AY49" s="28">
        <f ca="1">SUMIF('Large Use Normalized Monthly WN'!$B:$B,AT49,'Large Use Normalized Monthly WN'!$Y:$Y)</f>
        <v>118351390.49573912</v>
      </c>
      <c r="AZ49" s="28">
        <f t="shared" si="51"/>
        <v>1803127.2327571716</v>
      </c>
      <c r="BA49" s="28">
        <f t="shared" ca="1" si="52"/>
        <v>116548263.26298195</v>
      </c>
      <c r="BB49" s="28"/>
      <c r="BC49" s="28">
        <f t="shared" ca="1" si="53"/>
        <v>116548263.26298195</v>
      </c>
      <c r="BD49" s="7"/>
    </row>
    <row r="50" spans="2:56" x14ac:dyDescent="0.2">
      <c r="B50" s="27">
        <f t="shared" si="54"/>
        <v>2019</v>
      </c>
      <c r="C50" s="28">
        <f>SUMIF('Monthly Data'!$B:$B,B50,'Monthly Data'!D:D)</f>
        <v>1101433888.4783466</v>
      </c>
      <c r="D50" s="28">
        <f>SUMIF('Monthly Data'!$B:$B,B50,'Monthly Data'!E:E)</f>
        <v>25899260.352106657</v>
      </c>
      <c r="E50" s="28">
        <f t="shared" si="34"/>
        <v>1127333148.8304532</v>
      </c>
      <c r="F50" s="28"/>
      <c r="G50" s="28">
        <f ca="1">SUMIF('Res Normalized Monthly WN'!$B:$B,B50,'Res Normalized Monthly WN'!$Y:$Y)</f>
        <v>1129203797.2539682</v>
      </c>
      <c r="H50" s="28">
        <f t="shared" si="35"/>
        <v>25899260.352106657</v>
      </c>
      <c r="I50" s="28">
        <f t="shared" ca="1" si="36"/>
        <v>1103304536.9018617</v>
      </c>
      <c r="J50" s="28"/>
      <c r="K50" s="28">
        <f t="shared" ca="1" si="37"/>
        <v>1103304536.9018617</v>
      </c>
      <c r="L50" s="7"/>
      <c r="M50" s="27">
        <f t="shared" si="55"/>
        <v>2019</v>
      </c>
      <c r="N50" s="28">
        <f>SUMIF('Monthly Data'!$B:$B,M50,'Monthly Data'!H:H)</f>
        <v>394237702.73931646</v>
      </c>
      <c r="O50" s="28">
        <f>SUMIF('Monthly Data'!$B:$B,M50,'Monthly Data'!I:I)</f>
        <v>9704631.8478100374</v>
      </c>
      <c r="P50" s="28">
        <f t="shared" si="38"/>
        <v>403942334.58712649</v>
      </c>
      <c r="Q50" s="28"/>
      <c r="R50" s="28">
        <f ca="1">SUMIF('GS&lt;50 Normalized Monthly WN'!$B:$B,M50,'GS&lt;50 Normalized Monthly WN'!U:$U)</f>
        <v>403409603.53003615</v>
      </c>
      <c r="S50" s="28">
        <f t="shared" si="39"/>
        <v>9704631.8478100374</v>
      </c>
      <c r="T50" s="28">
        <f t="shared" ca="1" si="40"/>
        <v>393704971.68222612</v>
      </c>
      <c r="U50" s="28"/>
      <c r="V50" s="28">
        <f t="shared" ca="1" si="41"/>
        <v>393704971.68222612</v>
      </c>
      <c r="W50" s="7"/>
      <c r="X50" s="27">
        <f t="shared" si="56"/>
        <v>2019</v>
      </c>
      <c r="Y50" s="28">
        <f>SUMIF('Monthly Data'!$B:$B,X50,'Monthly Data'!L:L)</f>
        <v>1408341173.2980461</v>
      </c>
      <c r="Z50" s="28">
        <f>SUMIF('Monthly Data'!$B:$B,X50,'Monthly Data'!M:M)</f>
        <v>57578697.611699648</v>
      </c>
      <c r="AA50" s="28">
        <f t="shared" si="42"/>
        <v>1465919870.9097457</v>
      </c>
      <c r="AB50" s="28"/>
      <c r="AC50" s="28">
        <f ca="1">SUMIF('GS&gt;50 Normalized Monthly WN'!$B:$B,X50,'GS&gt;50 Normalized Monthly WN'!$W:$W)</f>
        <v>1469477779.4057667</v>
      </c>
      <c r="AD50" s="28">
        <f t="shared" si="43"/>
        <v>57578697.611699648</v>
      </c>
      <c r="AE50" s="28">
        <f t="shared" ca="1" si="44"/>
        <v>1411899081.7940671</v>
      </c>
      <c r="AF50" s="28"/>
      <c r="AG50" s="28">
        <f t="shared" ca="1" si="45"/>
        <v>1411899081.7940671</v>
      </c>
      <c r="AH50" s="7"/>
      <c r="AI50" s="27">
        <f t="shared" si="57"/>
        <v>2019</v>
      </c>
      <c r="AJ50" s="28">
        <f>SUMIF('Monthly Data'!$B:$B,AI50,'Monthly Data'!Q:Q)</f>
        <v>34966867.902733505</v>
      </c>
      <c r="AK50" s="28">
        <f>SUMIF('Monthly Data'!$B:$B,AI50,'Monthly Data'!R:R)</f>
        <v>1138566.288725503</v>
      </c>
      <c r="AL50" s="28">
        <f t="shared" si="46"/>
        <v>36105434.191459008</v>
      </c>
      <c r="AM50" s="28"/>
      <c r="AN50" s="28">
        <f ca="1">SUMIF('GS Co Gen Normalized Monthly WN'!$B:$B,AI50,'GS Co Gen Normalized Monthly WN'!$N:$N)</f>
        <v>37538087.830426037</v>
      </c>
      <c r="AO50" s="28">
        <f t="shared" si="47"/>
        <v>1138566.288725503</v>
      </c>
      <c r="AP50" s="28">
        <f t="shared" ca="1" si="48"/>
        <v>36399521.541700535</v>
      </c>
      <c r="AQ50" s="28"/>
      <c r="AR50" s="28">
        <f t="shared" ca="1" si="49"/>
        <v>36399521.541700535</v>
      </c>
      <c r="AS50" s="7"/>
      <c r="AT50" s="27">
        <f t="shared" si="58"/>
        <v>2019</v>
      </c>
      <c r="AU50" s="28">
        <f>SUMIF('Monthly Data'!$B:$B,AI50,'Monthly Data'!V:V)</f>
        <v>110589767.84308411</v>
      </c>
      <c r="AV50" s="28">
        <f>SUMIF('Monthly Data'!$B:$B,AT50,'Monthly Data'!W:W)</f>
        <v>3734992.0361532653</v>
      </c>
      <c r="AW50" s="28">
        <f t="shared" si="50"/>
        <v>114324759.87923738</v>
      </c>
      <c r="AX50" s="29"/>
      <c r="AY50" s="28">
        <f ca="1">SUMIF('Large Use Normalized Monthly WN'!$B:$B,AT50,'Large Use Normalized Monthly WN'!$Y:$Y)</f>
        <v>115780651.39836152</v>
      </c>
      <c r="AZ50" s="28">
        <f t="shared" si="51"/>
        <v>3734992.0361532653</v>
      </c>
      <c r="BA50" s="28">
        <f t="shared" ca="1" si="52"/>
        <v>112045659.36220825</v>
      </c>
      <c r="BB50" s="28"/>
      <c r="BC50" s="28">
        <f t="shared" ca="1" si="53"/>
        <v>112045659.36220825</v>
      </c>
      <c r="BD50" s="7"/>
    </row>
    <row r="51" spans="2:56" x14ac:dyDescent="0.2">
      <c r="B51" s="27">
        <f t="shared" si="54"/>
        <v>2020</v>
      </c>
      <c r="C51" s="28">
        <f>SUMIF('Monthly Data'!$B:$B,B51,'Monthly Data'!D:D)</f>
        <v>1174376356.2405562</v>
      </c>
      <c r="D51" s="28">
        <f>SUMIF('Monthly Data'!$B:$B,B51,'Monthly Data'!E:E)</f>
        <v>25899260.352106649</v>
      </c>
      <c r="E51" s="28">
        <f t="shared" si="34"/>
        <v>1200275616.5926628</v>
      </c>
      <c r="F51" s="29"/>
      <c r="G51" s="28">
        <f ca="1">SUMIF('Res Normalized Monthly WN'!$B:$B,B51,'Res Normalized Monthly WN'!$Y:$Y)</f>
        <v>1198923370.507874</v>
      </c>
      <c r="H51" s="28">
        <f t="shared" si="35"/>
        <v>25899260.352106649</v>
      </c>
      <c r="I51" s="28">
        <f t="shared" ca="1" si="36"/>
        <v>1173024110.1557674</v>
      </c>
      <c r="J51" s="28"/>
      <c r="K51" s="28">
        <f t="shared" ca="1" si="37"/>
        <v>1173024110.1557674</v>
      </c>
      <c r="L51" s="7"/>
      <c r="M51" s="27">
        <f t="shared" si="55"/>
        <v>2020</v>
      </c>
      <c r="N51" s="28">
        <f>SUMIF('Monthly Data'!$B:$B,M51,'Monthly Data'!H:H)</f>
        <v>374506007.7641958</v>
      </c>
      <c r="O51" s="28">
        <f>SUMIF('Monthly Data'!$B:$B,M51,'Monthly Data'!I:I)</f>
        <v>10099398.591308262</v>
      </c>
      <c r="P51" s="28">
        <f t="shared" si="38"/>
        <v>384605406.35550404</v>
      </c>
      <c r="Q51" s="29"/>
      <c r="R51" s="28">
        <f ca="1">SUMIF('GS&lt;50 Normalized Monthly WN'!$B:$B,M51,'GS&lt;50 Normalized Monthly WN'!U:$U)</f>
        <v>385304332.70885134</v>
      </c>
      <c r="S51" s="28">
        <f t="shared" si="39"/>
        <v>10099398.591308262</v>
      </c>
      <c r="T51" s="28">
        <f t="shared" ca="1" si="40"/>
        <v>375204934.1175431</v>
      </c>
      <c r="U51" s="28"/>
      <c r="V51" s="28">
        <f t="shared" ca="1" si="41"/>
        <v>375204934.1175431</v>
      </c>
      <c r="W51" s="7"/>
      <c r="X51" s="27">
        <f t="shared" si="56"/>
        <v>2020</v>
      </c>
      <c r="Y51" s="28">
        <f>SUMIF('Monthly Data'!$B:$B,X51,'Monthly Data'!L:L)</f>
        <v>1365678433.9229021</v>
      </c>
      <c r="Z51" s="28">
        <f>SUMIF('Monthly Data'!$B:$B,X51,'Monthly Data'!M:M)</f>
        <v>65099044.526591346</v>
      </c>
      <c r="AA51" s="28">
        <f t="shared" si="42"/>
        <v>1430777478.4494934</v>
      </c>
      <c r="AB51" s="29"/>
      <c r="AC51" s="28">
        <f ca="1">SUMIF('GS&gt;50 Normalized Monthly WN'!$B:$B,X51,'GS&gt;50 Normalized Monthly WN'!$W:$W)</f>
        <v>1431542399.5501702</v>
      </c>
      <c r="AD51" s="28">
        <f t="shared" si="43"/>
        <v>65099044.526591346</v>
      </c>
      <c r="AE51" s="28">
        <f t="shared" ca="1" si="44"/>
        <v>1366443355.0235789</v>
      </c>
      <c r="AF51" s="28"/>
      <c r="AG51" s="28">
        <f t="shared" ca="1" si="45"/>
        <v>1366443355.0235789</v>
      </c>
      <c r="AH51" s="7"/>
      <c r="AI51" s="27">
        <f t="shared" si="57"/>
        <v>2020</v>
      </c>
      <c r="AJ51" s="28">
        <f>SUMIF('Monthly Data'!$B:$B,AI51,'Monthly Data'!Q:Q)</f>
        <v>36542441.547490597</v>
      </c>
      <c r="AK51" s="28">
        <f>SUMIF('Monthly Data'!$B:$B,AI51,'Monthly Data'!R:R)</f>
        <v>1138566.2887255033</v>
      </c>
      <c r="AL51" s="28">
        <f t="shared" si="46"/>
        <v>37681007.8362161</v>
      </c>
      <c r="AM51" s="29"/>
      <c r="AN51" s="28">
        <f ca="1">SUMIF('GS Co Gen Normalized Monthly WN'!$B:$B,AI51,'GS Co Gen Normalized Monthly WN'!$N:$N)</f>
        <v>37578213.636618391</v>
      </c>
      <c r="AO51" s="28">
        <f t="shared" si="47"/>
        <v>1138566.2887255033</v>
      </c>
      <c r="AP51" s="28">
        <f t="shared" ca="1" si="48"/>
        <v>36439647.347892888</v>
      </c>
      <c r="AQ51" s="28"/>
      <c r="AR51" s="28">
        <f t="shared" ca="1" si="49"/>
        <v>36439647.347892888</v>
      </c>
      <c r="AS51" s="7"/>
      <c r="AT51" s="27">
        <f t="shared" si="58"/>
        <v>2020</v>
      </c>
      <c r="AU51" s="28">
        <f>SUMIF('Monthly Data'!$B:$B,AI51,'Monthly Data'!V:V)</f>
        <v>101893892.280927</v>
      </c>
      <c r="AV51" s="28">
        <f>SUMIF('Monthly Data'!$B:$B,AT51,'Monthly Data'!W:W)</f>
        <v>3913092.5907073161</v>
      </c>
      <c r="AW51" s="28">
        <f t="shared" si="50"/>
        <v>105806984.87163432</v>
      </c>
      <c r="AX51" s="28"/>
      <c r="AY51" s="28">
        <f ca="1">SUMIF('Large Use Normalized Monthly WN'!$B:$B,AT51,'Large Use Normalized Monthly WN'!$Y:$Y)</f>
        <v>106176198.40932594</v>
      </c>
      <c r="AZ51" s="28">
        <f t="shared" si="51"/>
        <v>3913092.5907073161</v>
      </c>
      <c r="BA51" s="28">
        <f t="shared" ca="1" si="52"/>
        <v>102263105.81861863</v>
      </c>
      <c r="BB51" s="28"/>
      <c r="BC51" s="28">
        <f t="shared" ca="1" si="53"/>
        <v>102263105.81861863</v>
      </c>
      <c r="BD51" s="7"/>
    </row>
    <row r="52" spans="2:56" x14ac:dyDescent="0.2">
      <c r="B52" s="27">
        <f t="shared" si="54"/>
        <v>2021</v>
      </c>
      <c r="C52" s="28">
        <f>SUMIF('Monthly Data'!$B:$B,B52,'Monthly Data'!D:D)</f>
        <v>1183155978.337724</v>
      </c>
      <c r="D52" s="28">
        <f>SUMIF('Monthly Data'!$B:$B,B52,'Monthly Data'!E:E)</f>
        <v>26064887.781119995</v>
      </c>
      <c r="E52" s="28">
        <f t="shared" si="34"/>
        <v>1209220866.118844</v>
      </c>
      <c r="F52" s="29"/>
      <c r="G52" s="28">
        <f ca="1">SUMIF('Res Normalized Monthly WN'!$B:$B,B52,'Res Normalized Monthly WN'!$Y:$Y)</f>
        <v>1201624267.8855934</v>
      </c>
      <c r="H52" s="28">
        <f t="shared" si="35"/>
        <v>26064887.781119995</v>
      </c>
      <c r="I52" s="28">
        <f t="shared" ca="1" si="36"/>
        <v>1175559380.1044734</v>
      </c>
      <c r="J52" s="28"/>
      <c r="K52" s="28">
        <f t="shared" ca="1" si="37"/>
        <v>1175559380.1044734</v>
      </c>
      <c r="L52" s="7"/>
      <c r="M52" s="27">
        <f t="shared" si="55"/>
        <v>2021</v>
      </c>
      <c r="N52" s="28">
        <f>SUMIF('Monthly Data'!$B:$B,M52,'Monthly Data'!H:H)</f>
        <v>381478906.71076226</v>
      </c>
      <c r="O52" s="28">
        <f>SUMIF('Monthly Data'!$B:$B,M52,'Monthly Data'!I:I)</f>
        <v>10922004.443800231</v>
      </c>
      <c r="P52" s="28">
        <f t="shared" si="38"/>
        <v>392400911.15456247</v>
      </c>
      <c r="Q52" s="29"/>
      <c r="R52" s="28">
        <f ca="1">SUMIF('GS&lt;50 Normalized Monthly WN'!$B:$B,M52,'GS&lt;50 Normalized Monthly WN'!U:$U)</f>
        <v>391752416.7593298</v>
      </c>
      <c r="S52" s="28">
        <f t="shared" si="39"/>
        <v>10922004.443800231</v>
      </c>
      <c r="T52" s="28">
        <f t="shared" ca="1" si="40"/>
        <v>380830412.31552958</v>
      </c>
      <c r="U52" s="28"/>
      <c r="V52" s="28">
        <f t="shared" ca="1" si="41"/>
        <v>380830412.31552958</v>
      </c>
      <c r="W52" s="7"/>
      <c r="X52" s="27">
        <f t="shared" si="56"/>
        <v>2021</v>
      </c>
      <c r="Y52" s="28">
        <f>SUMIF('Monthly Data'!$B:$B,X52,'Monthly Data'!L:L)</f>
        <v>1385380121.3308113</v>
      </c>
      <c r="Z52" s="28">
        <f>SUMIF('Monthly Data'!$B:$B,X52,'Monthly Data'!M:M)</f>
        <v>72527918.290805548</v>
      </c>
      <c r="AA52" s="28">
        <f t="shared" si="42"/>
        <v>1457908039.6216168</v>
      </c>
      <c r="AB52" s="29"/>
      <c r="AC52" s="28">
        <f ca="1">SUMIF('GS&gt;50 Normalized Monthly WN'!$B:$B,X52,'GS&gt;50 Normalized Monthly WN'!$W:$W)</f>
        <v>1453922998.5047975</v>
      </c>
      <c r="AD52" s="28">
        <f t="shared" si="43"/>
        <v>72527918.290805548</v>
      </c>
      <c r="AE52" s="28">
        <f t="shared" ca="1" si="44"/>
        <v>1381395080.2139919</v>
      </c>
      <c r="AF52" s="28"/>
      <c r="AG52" s="28">
        <f t="shared" ca="1" si="45"/>
        <v>1381395080.2139919</v>
      </c>
      <c r="AH52" s="7"/>
      <c r="AI52" s="27">
        <f t="shared" si="57"/>
        <v>2021</v>
      </c>
      <c r="AJ52" s="28">
        <f>SUMIF('Monthly Data'!$B:$B,AI52,'Monthly Data'!Q:Q)</f>
        <v>28072541.583803825</v>
      </c>
      <c r="AK52" s="28">
        <f>SUMIF('Monthly Data'!$B:$B,AI52,'Monthly Data'!R:R)</f>
        <v>1138566.2887255033</v>
      </c>
      <c r="AL52" s="28">
        <f t="shared" si="46"/>
        <v>29211107.872529328</v>
      </c>
      <c r="AM52" s="29"/>
      <c r="AN52" s="28">
        <f ca="1">SUMIF('GS Co Gen Normalized Monthly WN'!$B:$B,AI52,'GS Co Gen Normalized Monthly WN'!$N:$N)</f>
        <v>28235287.428011123</v>
      </c>
      <c r="AO52" s="28">
        <f t="shared" si="47"/>
        <v>1138566.2887255033</v>
      </c>
      <c r="AP52" s="28">
        <f t="shared" ca="1" si="48"/>
        <v>27096721.13928562</v>
      </c>
      <c r="AQ52" s="28"/>
      <c r="AR52" s="28">
        <f t="shared" ca="1" si="49"/>
        <v>27096721.13928562</v>
      </c>
      <c r="AS52" s="7"/>
      <c r="AT52" s="27">
        <f t="shared" si="58"/>
        <v>2021</v>
      </c>
      <c r="AU52" s="28">
        <f>SUMIF('Monthly Data'!$B:$B,AI52,'Monthly Data'!V:V)</f>
        <v>105654509.1076003</v>
      </c>
      <c r="AV52" s="28">
        <f>SUMIF('Monthly Data'!$B:$B,AT52,'Monthly Data'!W:W)</f>
        <v>10442880.778093325</v>
      </c>
      <c r="AW52" s="28">
        <f t="shared" si="50"/>
        <v>116097389.88569362</v>
      </c>
      <c r="AX52" s="29"/>
      <c r="AY52" s="28">
        <f ca="1">SUMIF('Large Use Normalized Monthly WN'!$B:$B,AT52,'Large Use Normalized Monthly WN'!$Y:$Y)</f>
        <v>115075571.27800018</v>
      </c>
      <c r="AZ52" s="28">
        <f t="shared" si="51"/>
        <v>10442880.778093325</v>
      </c>
      <c r="BA52" s="28">
        <f t="shared" ca="1" si="52"/>
        <v>104632690.49990685</v>
      </c>
      <c r="BB52" s="28"/>
      <c r="BC52" s="28">
        <f t="shared" ca="1" si="53"/>
        <v>104632690.49990685</v>
      </c>
      <c r="BD52" s="7"/>
    </row>
    <row r="53" spans="2:56" x14ac:dyDescent="0.2">
      <c r="B53" s="27">
        <f t="shared" si="54"/>
        <v>2022</v>
      </c>
      <c r="C53" s="28">
        <f>SUMIF('Monthly Data'!$B:$B,B53,'Monthly Data'!D:D)</f>
        <v>1180210179.8745952</v>
      </c>
      <c r="D53" s="28">
        <f>SUMIF('Monthly Data'!$B:$B,B53,'Monthly Data'!E:E)</f>
        <v>26333269.355849251</v>
      </c>
      <c r="E53" s="28">
        <f t="shared" si="34"/>
        <v>1206543449.2304444</v>
      </c>
      <c r="F53" s="28"/>
      <c r="G53" s="28">
        <f ca="1">SUMIF('Res Normalized Monthly WN'!$B:$B,B53,'Res Normalized Monthly WN'!$Y:$Y)</f>
        <v>1197317984.1964169</v>
      </c>
      <c r="H53" s="28">
        <f t="shared" si="35"/>
        <v>26333269.355849251</v>
      </c>
      <c r="I53" s="28">
        <f t="shared" ca="1" si="36"/>
        <v>1170984714.8405676</v>
      </c>
      <c r="J53" s="28"/>
      <c r="K53" s="28">
        <f t="shared" ca="1" si="37"/>
        <v>1170984714.8405676</v>
      </c>
      <c r="L53" s="7"/>
      <c r="M53" s="27">
        <f t="shared" si="55"/>
        <v>2022</v>
      </c>
      <c r="N53" s="28">
        <f>SUMIF('Monthly Data'!$B:$B,M53,'Monthly Data'!H:H)</f>
        <v>404904347.96509457</v>
      </c>
      <c r="O53" s="28">
        <f>SUMIF('Monthly Data'!$B:$B,M53,'Monthly Data'!I:I)</f>
        <v>13820848.650259838</v>
      </c>
      <c r="P53" s="28">
        <f t="shared" si="38"/>
        <v>418725196.61535442</v>
      </c>
      <c r="Q53" s="28"/>
      <c r="R53" s="28">
        <f ca="1">SUMIF('GS&lt;50 Normalized Monthly WN'!$B:$B,M53,'GS&lt;50 Normalized Monthly WN'!U:$U)</f>
        <v>416833966.34634781</v>
      </c>
      <c r="S53" s="28">
        <f t="shared" si="39"/>
        <v>13820848.650259838</v>
      </c>
      <c r="T53" s="28">
        <f t="shared" ca="1" si="40"/>
        <v>403013117.69608796</v>
      </c>
      <c r="U53" s="28"/>
      <c r="V53" s="28">
        <f t="shared" ca="1" si="41"/>
        <v>403013117.69608796</v>
      </c>
      <c r="W53" s="7"/>
      <c r="X53" s="27">
        <f t="shared" si="56"/>
        <v>2022</v>
      </c>
      <c r="Y53" s="28">
        <f>SUMIF('Monthly Data'!$B:$B,X53,'Monthly Data'!L:L)</f>
        <v>1424708525.6983182</v>
      </c>
      <c r="Z53" s="28">
        <f>SUMIF('Monthly Data'!$B:$B,X53,'Monthly Data'!M:M)</f>
        <v>84100057.425102517</v>
      </c>
      <c r="AA53" s="28">
        <f t="shared" si="42"/>
        <v>1508808583.1234207</v>
      </c>
      <c r="AB53" s="28"/>
      <c r="AC53" s="28">
        <f ca="1">SUMIF('GS&gt;50 Normalized Monthly WN'!$B:$B,X53,'GS&gt;50 Normalized Monthly WN'!$W:$W)</f>
        <v>1506476493.0810237</v>
      </c>
      <c r="AD53" s="28">
        <f t="shared" si="43"/>
        <v>84100057.425102517</v>
      </c>
      <c r="AE53" s="28">
        <f t="shared" ca="1" si="44"/>
        <v>1422376435.6559212</v>
      </c>
      <c r="AF53" s="28"/>
      <c r="AG53" s="28">
        <f t="shared" ca="1" si="45"/>
        <v>1422376435.6559212</v>
      </c>
      <c r="AH53" s="7"/>
      <c r="AI53" s="27">
        <f t="shared" si="57"/>
        <v>2022</v>
      </c>
      <c r="AJ53" s="28">
        <f>SUMIF('Monthly Data'!$B:$B,AI53,'Monthly Data'!Q:Q)</f>
        <v>43045721.021658659</v>
      </c>
      <c r="AK53" s="28">
        <f>SUMIF('Monthly Data'!$B:$B,AI53,'Monthly Data'!R:R)</f>
        <v>1288200.7532020796</v>
      </c>
      <c r="AL53" s="28">
        <f t="shared" si="46"/>
        <v>44333921.77486074</v>
      </c>
      <c r="AM53" s="28"/>
      <c r="AN53" s="28">
        <f ca="1">SUMIF('GS Co Gen Normalized Monthly WN'!$B:$B,AI53,'GS Co Gen Normalized Monthly WN'!$N:$N)</f>
        <v>44526292.916631222</v>
      </c>
      <c r="AO53" s="28">
        <f t="shared" si="47"/>
        <v>1288200.7532020796</v>
      </c>
      <c r="AP53" s="28">
        <f t="shared" ca="1" si="48"/>
        <v>43238092.163429141</v>
      </c>
      <c r="AQ53" s="28"/>
      <c r="AR53" s="28">
        <f t="shared" ca="1" si="49"/>
        <v>43238092.163429141</v>
      </c>
      <c r="AS53" s="7"/>
      <c r="AT53" s="27">
        <f t="shared" si="58"/>
        <v>2022</v>
      </c>
      <c r="AU53" s="28">
        <f>SUMIF('Monthly Data'!$B:$B,AI53,'Monthly Data'!V:V)</f>
        <v>112464987.29709665</v>
      </c>
      <c r="AV53" s="28">
        <f>SUMIF('Monthly Data'!$B:$B,AT53,'Monthly Data'!W:W)</f>
        <v>17373269.393094897</v>
      </c>
      <c r="AW53" s="28">
        <f t="shared" si="50"/>
        <v>129838256.69019155</v>
      </c>
      <c r="AX53" s="29"/>
      <c r="AY53" s="28">
        <f ca="1">SUMIF('Large Use Normalized Monthly WN'!$B:$B,AT53,'Large Use Normalized Monthly WN'!$Y:$Y)</f>
        <v>130088184.36394335</v>
      </c>
      <c r="AZ53" s="28">
        <f t="shared" si="51"/>
        <v>17373269.393094897</v>
      </c>
      <c r="BA53" s="28">
        <f t="shared" ca="1" si="52"/>
        <v>112714914.97084846</v>
      </c>
      <c r="BB53" s="28"/>
      <c r="BC53" s="28">
        <f t="shared" ca="1" si="53"/>
        <v>112714914.97084846</v>
      </c>
      <c r="BD53" s="7"/>
    </row>
    <row r="54" spans="2:56" x14ac:dyDescent="0.2">
      <c r="B54" s="27">
        <f t="shared" si="54"/>
        <v>2023</v>
      </c>
      <c r="C54" s="28">
        <f>SUMIF('Monthly Data'!$B:$B,B54,'Monthly Data'!D:D)</f>
        <v>1127950490.8539553</v>
      </c>
      <c r="D54" s="28">
        <f>SUMIF('Monthly Data'!$B:$B,B54,'Monthly Data'!E:E)</f>
        <v>26637001.951727659</v>
      </c>
      <c r="E54" s="28">
        <f t="shared" si="34"/>
        <v>1154587492.8056829</v>
      </c>
      <c r="F54" s="29"/>
      <c r="G54" s="28">
        <f ca="1">SUMIF('Res Normalized Monthly WN'!$B:$B,B54,'Res Normalized Monthly WN'!$Y:$Y)</f>
        <v>1198303834.9296346</v>
      </c>
      <c r="H54" s="28">
        <f t="shared" si="35"/>
        <v>26637001.951727659</v>
      </c>
      <c r="I54" s="28">
        <f t="shared" ca="1" si="36"/>
        <v>1171666832.9779069</v>
      </c>
      <c r="J54" s="28"/>
      <c r="K54" s="28">
        <f t="shared" ca="1" si="37"/>
        <v>1171666832.9779069</v>
      </c>
      <c r="L54" s="7"/>
      <c r="M54" s="27">
        <f t="shared" si="55"/>
        <v>2023</v>
      </c>
      <c r="N54" s="28">
        <f>SUMIF('Monthly Data'!$B:$B,M54,'Monthly Data'!H:H)</f>
        <v>399918444.19770122</v>
      </c>
      <c r="O54" s="28">
        <f>SUMIF('Monthly Data'!$B:$B,M54,'Monthly Data'!I:I)</f>
        <v>16730837.627436407</v>
      </c>
      <c r="P54" s="28">
        <f t="shared" si="38"/>
        <v>416649281.82513762</v>
      </c>
      <c r="Q54" s="29"/>
      <c r="R54" s="28">
        <f ca="1">SUMIF('GS&lt;50 Normalized Monthly WN'!$B:$B,M54,'GS&lt;50 Normalized Monthly WN'!U:$U)</f>
        <v>424788257.47808665</v>
      </c>
      <c r="S54" s="28">
        <f t="shared" si="39"/>
        <v>16730837.627436407</v>
      </c>
      <c r="T54" s="28">
        <f t="shared" ca="1" si="40"/>
        <v>408057419.85065025</v>
      </c>
      <c r="U54" s="28"/>
      <c r="V54" s="28">
        <f t="shared" ca="1" si="41"/>
        <v>408057419.85065025</v>
      </c>
      <c r="W54" s="7"/>
      <c r="X54" s="27">
        <f t="shared" si="56"/>
        <v>2023</v>
      </c>
      <c r="Y54" s="28">
        <f>SUMIF('Monthly Data'!$B:$B,X54,'Monthly Data'!L:L)</f>
        <v>1400393230.0632451</v>
      </c>
      <c r="Z54" s="28">
        <f>SUMIF('Monthly Data'!$B:$B,X54,'Monthly Data'!M:M)</f>
        <v>90661551.540290728</v>
      </c>
      <c r="AA54" s="28">
        <f t="shared" si="42"/>
        <v>1491054781.6035359</v>
      </c>
      <c r="AB54" s="29"/>
      <c r="AC54" s="28">
        <f ca="1">SUMIF('GS&gt;50 Normalized Monthly WN'!$B:$B,X54,'GS&gt;50 Normalized Monthly WN'!$W:$W)</f>
        <v>1508976628.1194479</v>
      </c>
      <c r="AD54" s="28">
        <f t="shared" si="43"/>
        <v>90661551.540290728</v>
      </c>
      <c r="AE54" s="28">
        <f t="shared" ca="1" si="44"/>
        <v>1418315076.5791571</v>
      </c>
      <c r="AF54" s="28"/>
      <c r="AG54" s="28">
        <f t="shared" ca="1" si="45"/>
        <v>1418315076.5791571</v>
      </c>
      <c r="AH54" s="7"/>
      <c r="AI54" s="27">
        <f t="shared" si="57"/>
        <v>2023</v>
      </c>
      <c r="AJ54" s="28">
        <f>SUMIF('Monthly Data'!$B:$B,AI54,'Monthly Data'!Q:Q)</f>
        <v>51773685.92783922</v>
      </c>
      <c r="AK54" s="28">
        <f>SUMIF('Monthly Data'!$B:$B,AI54,'Monthly Data'!R:R)</f>
        <v>1539668.2044468194</v>
      </c>
      <c r="AL54" s="28">
        <f t="shared" si="46"/>
        <v>53313354.132286042</v>
      </c>
      <c r="AM54" s="29"/>
      <c r="AN54" s="28">
        <f ca="1">SUMIF('GS Co Gen Normalized Monthly WN'!$B:$B,AI54,'GS Co Gen Normalized Monthly WN'!$N:$N)</f>
        <v>55064483.097573288</v>
      </c>
      <c r="AO54" s="28">
        <f t="shared" si="47"/>
        <v>1539668.2044468194</v>
      </c>
      <c r="AP54" s="28">
        <f t="shared" ca="1" si="48"/>
        <v>53524814.893126465</v>
      </c>
      <c r="AQ54" s="28"/>
      <c r="AR54" s="28">
        <f t="shared" ca="1" si="49"/>
        <v>53524814.893126465</v>
      </c>
      <c r="AS54" s="7"/>
      <c r="AT54" s="27">
        <f t="shared" si="58"/>
        <v>2023</v>
      </c>
      <c r="AU54" s="28">
        <f>SUMIF('Monthly Data'!$B:$B,AI54,'Monthly Data'!V:V)</f>
        <v>153160749.79471761</v>
      </c>
      <c r="AV54" s="28">
        <f>SUMIF('Monthly Data'!$B:$B,AT54,'Monthly Data'!W:W)</f>
        <v>17805319.228203833</v>
      </c>
      <c r="AW54" s="28">
        <f t="shared" si="50"/>
        <v>170966069.02292144</v>
      </c>
      <c r="AX54" s="28"/>
      <c r="AY54" s="28">
        <f ca="1">SUMIF('Large Use Normalized Monthly WN'!$B:$B,AT54,'Large Use Normalized Monthly WN'!$Y:$Y)</f>
        <v>172224926.61918721</v>
      </c>
      <c r="AZ54" s="28">
        <f t="shared" si="51"/>
        <v>17805319.228203833</v>
      </c>
      <c r="BA54" s="28">
        <f t="shared" ca="1" si="52"/>
        <v>154419607.39098337</v>
      </c>
      <c r="BB54" s="28"/>
      <c r="BC54" s="28">
        <f t="shared" ca="1" si="53"/>
        <v>154419607.39098337</v>
      </c>
      <c r="BD54" s="7"/>
    </row>
    <row r="55" spans="2:56" x14ac:dyDescent="0.2">
      <c r="B55" s="27">
        <f t="shared" si="54"/>
        <v>2024</v>
      </c>
      <c r="C55" s="28">
        <f>SUMIF('Monthly Data'!$B:$B,B55,'Monthly Data'!D:D)</f>
        <v>1181706111.5087397</v>
      </c>
      <c r="D55" s="28">
        <f>SUMIF('Monthly Data'!$B:$B,B55,'Monthly Data'!E:E)</f>
        <v>27537298.325586658</v>
      </c>
      <c r="E55" s="28">
        <f>C55+D55</f>
        <v>1209243409.8343263</v>
      </c>
      <c r="F55" s="29"/>
      <c r="G55" s="28">
        <f ca="1">SUMIF('Res Normalized Monthly WN'!$B:$B,B55,'Res Normalized Monthly WN'!$Y:$Y)</f>
        <v>1227075330.4065332</v>
      </c>
      <c r="H55" s="28">
        <f>D55</f>
        <v>27537298.325586658</v>
      </c>
      <c r="I55" s="28">
        <f ca="1">G55-H55</f>
        <v>1199538032.0809467</v>
      </c>
      <c r="J55" s="28"/>
      <c r="K55" s="28">
        <f ca="1">I55+J55</f>
        <v>1199538032.0809467</v>
      </c>
      <c r="L55" s="7"/>
      <c r="M55" s="27">
        <f t="shared" si="55"/>
        <v>2024</v>
      </c>
      <c r="N55" s="28">
        <f>SUMIF('Monthly Data'!$B:$B,M55,'Monthly Data'!H:H)</f>
        <v>404233973.90292341</v>
      </c>
      <c r="O55" s="28">
        <f>SUMIF('Monthly Data'!$B:$B,M55,'Monthly Data'!I:I)</f>
        <v>19969721.591706239</v>
      </c>
      <c r="P55" s="28">
        <f>N55+O55</f>
        <v>424203695.49462962</v>
      </c>
      <c r="Q55" s="29"/>
      <c r="R55" s="28">
        <f ca="1">SUMIF('GS&lt;50 Normalized Monthly WN'!$B:$B,M55,'GS&lt;50 Normalized Monthly WN'!U:$U)</f>
        <v>428513411.08140922</v>
      </c>
      <c r="S55" s="28">
        <f>O55</f>
        <v>19969721.591706239</v>
      </c>
      <c r="T55" s="28">
        <f ca="1">R55-S55</f>
        <v>408543689.489703</v>
      </c>
      <c r="U55" s="28"/>
      <c r="V55" s="28">
        <f ca="1">T55+U55</f>
        <v>408543689.489703</v>
      </c>
      <c r="W55" s="7"/>
      <c r="X55" s="27">
        <f t="shared" si="56"/>
        <v>2024</v>
      </c>
      <c r="Y55" s="28">
        <f>SUMIF('Monthly Data'!$B:$B,X55,'Monthly Data'!L:L)</f>
        <v>1446263151.7577271</v>
      </c>
      <c r="Z55" s="28">
        <f>SUMIF('Monthly Data'!$B:$B,X55,'Monthly Data'!M:M)</f>
        <v>98366211.79033044</v>
      </c>
      <c r="AA55" s="28">
        <f>Y55+Z55</f>
        <v>1544629363.5480576</v>
      </c>
      <c r="AB55" s="29"/>
      <c r="AC55" s="28">
        <f ca="1">SUMIF('GS&gt;50 Normalized Monthly WN'!$B:$B,X55,'GS&gt;50 Normalized Monthly WN'!$W:$W)</f>
        <v>1550184042.2219794</v>
      </c>
      <c r="AD55" s="28">
        <f>Z55</f>
        <v>98366211.79033044</v>
      </c>
      <c r="AE55" s="28">
        <f ca="1">AC55-AD55</f>
        <v>1451817830.431649</v>
      </c>
      <c r="AF55" s="28"/>
      <c r="AG55" s="28">
        <f ca="1">AE55+AF55</f>
        <v>1451817830.431649</v>
      </c>
      <c r="AH55" s="7"/>
      <c r="AI55" s="27">
        <f t="shared" si="57"/>
        <v>2024</v>
      </c>
      <c r="AJ55" s="28">
        <f>SUMIF('Monthly Data'!$B:$B,AI55,'Monthly Data'!Q:Q)</f>
        <v>34855427.423796594</v>
      </c>
      <c r="AK55" s="28">
        <f>SUMIF('Monthly Data'!$B:$B,AI55,'Monthly Data'!R:R)</f>
        <v>1779501.8966138866</v>
      </c>
      <c r="AL55" s="28">
        <f>AJ55+AK55</f>
        <v>36634929.320410483</v>
      </c>
      <c r="AM55" s="29"/>
      <c r="AN55" s="28">
        <f ca="1">SUMIF('GS Co Gen Normalized Monthly WN'!$B:$B,AI55,'GS Co Gen Normalized Monthly WN'!$N:$N)</f>
        <v>36275158.478195772</v>
      </c>
      <c r="AO55" s="28">
        <f>AK55</f>
        <v>1779501.8966138866</v>
      </c>
      <c r="AP55" s="28">
        <f ca="1">AN55-AO55</f>
        <v>34495656.581581883</v>
      </c>
      <c r="AQ55" s="28"/>
      <c r="AR55" s="28">
        <f ca="1">AP55+AQ55</f>
        <v>34495656.581581883</v>
      </c>
      <c r="AS55" s="7"/>
      <c r="AT55" s="27">
        <f t="shared" si="58"/>
        <v>2024</v>
      </c>
      <c r="AU55" s="28">
        <f>SUMIF('Monthly Data'!$B:$B,AI55,'Monthly Data'!V:V)</f>
        <v>162734021.88019371</v>
      </c>
      <c r="AV55" s="28">
        <f>SUMIF('Monthly Data'!$B:$B,AT55,'Monthly Data'!W:W)</f>
        <v>18039965.979152411</v>
      </c>
      <c r="AW55" s="28">
        <f>AU55+AV55</f>
        <v>180773987.85934612</v>
      </c>
      <c r="AX55" s="28"/>
      <c r="AY55" s="28">
        <f ca="1">SUMIF('Large Use Normalized Monthly WN'!$B:$B,AT55,'Large Use Normalized Monthly WN'!$Y:$Y)</f>
        <v>180078033.04714924</v>
      </c>
      <c r="AZ55" s="28">
        <f>AV55</f>
        <v>18039965.979152411</v>
      </c>
      <c r="BA55" s="28">
        <f ca="1">AY55-AZ55</f>
        <v>162038067.06799683</v>
      </c>
      <c r="BB55" s="28"/>
      <c r="BC55" s="28">
        <f ca="1">BA55+BB55</f>
        <v>162038067.06799683</v>
      </c>
      <c r="BD55" s="7"/>
    </row>
    <row r="56" spans="2:56" s="59" customFormat="1" x14ac:dyDescent="0.2">
      <c r="B56" s="27">
        <f t="shared" si="54"/>
        <v>2025</v>
      </c>
      <c r="C56" s="28">
        <f>SUMIF('Monthly Data'!$B:$B,B56,'Monthly Data'!D:D)</f>
        <v>1217191863.2636447</v>
      </c>
      <c r="D56" s="28">
        <f>SUMIF('Monthly Data'!$B:$B,B56,'Monthly Data'!E:E)</f>
        <v>29328020.558354668</v>
      </c>
      <c r="E56" s="28">
        <f>C56+D56</f>
        <v>1246519883.8219993</v>
      </c>
      <c r="F56" s="29"/>
      <c r="G56" s="28">
        <f ca="1">SUMIF('Res Normalized Monthly WN'!$B:$B,B56,'Res Normalized Monthly WN'!$Y:$Y)</f>
        <v>1231001820.5992644</v>
      </c>
      <c r="H56" s="28">
        <f>D56</f>
        <v>29328020.558354668</v>
      </c>
      <c r="I56" s="28">
        <f ca="1">G56-H56</f>
        <v>1201673800.0409098</v>
      </c>
      <c r="J56" s="28"/>
      <c r="K56" s="28">
        <f ca="1">I56+J56</f>
        <v>1201673800.0409098</v>
      </c>
      <c r="L56" s="7"/>
      <c r="M56" s="27">
        <f t="shared" si="55"/>
        <v>2025</v>
      </c>
      <c r="N56" s="28">
        <f>SUMIF('Monthly Data'!$B:$B,M56,'Monthly Data'!H:H)</f>
        <v>416596865.08434409</v>
      </c>
      <c r="O56" s="28">
        <f>SUMIF('Monthly Data'!$B:$B,M56,'Monthly Data'!I:I)</f>
        <v>23754236.007176153</v>
      </c>
      <c r="P56" s="28">
        <f>N56+O56</f>
        <v>440351101.09152025</v>
      </c>
      <c r="Q56" s="29"/>
      <c r="R56" s="28">
        <f ca="1">SUMIF('GS&lt;50 Normalized Monthly WN'!$B:$B,M56,'GS&lt;50 Normalized Monthly WN'!U:$U)</f>
        <v>437424588.26920497</v>
      </c>
      <c r="S56" s="28">
        <f>O56</f>
        <v>23754236.007176153</v>
      </c>
      <c r="T56" s="28">
        <f ca="1">R56-S56</f>
        <v>413670352.26202881</v>
      </c>
      <c r="U56" s="28"/>
      <c r="V56" s="28">
        <f ca="1">T56+U56</f>
        <v>413670352.26202881</v>
      </c>
      <c r="W56" s="7"/>
      <c r="X56" s="27">
        <f t="shared" si="56"/>
        <v>2025</v>
      </c>
      <c r="Y56" s="28">
        <f>SUMIF('Monthly Data'!$B:$B,X56,'Monthly Data'!L:L)</f>
        <v>1470647189.1957462</v>
      </c>
      <c r="Z56" s="28">
        <f>SUMIF('Monthly Data'!$B:$B,X56,'Monthly Data'!M:M)</f>
        <v>108445623.7440249</v>
      </c>
      <c r="AA56" s="28">
        <f>Y56+Z56</f>
        <v>1579092812.9397712</v>
      </c>
      <c r="AB56" s="29"/>
      <c r="AC56" s="28">
        <f ca="1">SUMIF('GS&gt;50 Normalized Monthly WN'!$B:$B,X56,'GS&gt;50 Normalized Monthly WN'!$W:$W)</f>
        <v>1573897079.0046186</v>
      </c>
      <c r="AD56" s="28">
        <f>Z56</f>
        <v>108445623.7440249</v>
      </c>
      <c r="AE56" s="28">
        <f ca="1">AC56-AD56</f>
        <v>1465451455.2605937</v>
      </c>
      <c r="AF56" s="28"/>
      <c r="AG56" s="28">
        <f ca="1">AE56+AF56</f>
        <v>1465451455.2605937</v>
      </c>
      <c r="AH56" s="7"/>
      <c r="AI56" s="27">
        <f t="shared" si="57"/>
        <v>2025</v>
      </c>
      <c r="AJ56" s="28">
        <f>SUMIF('Monthly Data'!$B:$B,AI56,'Monthly Data'!Q:Q)</f>
        <v>31417818.32771375</v>
      </c>
      <c r="AK56" s="28">
        <f>SUMIF('Monthly Data'!$B:$B,AI56,'Monthly Data'!R:R)</f>
        <v>2093689.4565186007</v>
      </c>
      <c r="AL56" s="28">
        <f>AJ56+AK56</f>
        <v>33511507.784232352</v>
      </c>
      <c r="AM56" s="29"/>
      <c r="AN56" s="28">
        <f ca="1">SUMIF('GS Co Gen Normalized Monthly WN'!$B:$B,AI56,'GS Co Gen Normalized Monthly WN'!$N:$N)</f>
        <v>33290144.405858919</v>
      </c>
      <c r="AO56" s="28">
        <f>AK56</f>
        <v>2093689.4565186007</v>
      </c>
      <c r="AP56" s="28">
        <f ca="1">AN56-AO56</f>
        <v>31196454.949340317</v>
      </c>
      <c r="AQ56" s="28"/>
      <c r="AR56" s="28">
        <f ca="1">AP56+AQ56</f>
        <v>31196454.949340317</v>
      </c>
      <c r="AS56" s="7"/>
      <c r="AT56" s="27">
        <f t="shared" si="58"/>
        <v>2025</v>
      </c>
      <c r="AU56" s="28">
        <f>SUMIF('Monthly Data'!$B:$B,AI56,'Monthly Data'!V:V)</f>
        <v>160084660.45041481</v>
      </c>
      <c r="AV56" s="28">
        <f>SUMIF('Monthly Data'!$B:$B,AT56,'Monthly Data'!W:W)</f>
        <v>18624224.500551958</v>
      </c>
      <c r="AW56" s="28">
        <f>AU56+AV56</f>
        <v>178708884.95096678</v>
      </c>
      <c r="AX56" s="28"/>
      <c r="AY56" s="28">
        <f ca="1">SUMIF('Large Use Normalized Monthly WN'!$B:$B,AT56,'Large Use Normalized Monthly WN'!$Y:$Y)</f>
        <v>178536255.20079786</v>
      </c>
      <c r="AZ56" s="28">
        <f>AV56</f>
        <v>18624224.500551958</v>
      </c>
      <c r="BA56" s="28">
        <f ca="1">AY56-AZ56</f>
        <v>159912030.70024589</v>
      </c>
      <c r="BB56" s="28"/>
      <c r="BC56" s="28">
        <f ca="1">BA56+BB56</f>
        <v>159912030.70024589</v>
      </c>
      <c r="BD56" s="176"/>
    </row>
    <row r="57" spans="2:56" s="59" customFormat="1" x14ac:dyDescent="0.2">
      <c r="B57" s="30">
        <f t="shared" si="54"/>
        <v>2026</v>
      </c>
      <c r="C57" s="29"/>
      <c r="D57" s="29"/>
      <c r="E57" s="29"/>
      <c r="F57" s="29"/>
      <c r="G57" s="29">
        <f ca="1">SUMIF('Res Normalized Monthly WN'!$B:$B,B57,'Res Normalized Monthly WN'!$Y:$Y)</f>
        <v>1242585418.6443751</v>
      </c>
      <c r="H57" s="29">
        <f>H15</f>
        <v>29012629.173568308</v>
      </c>
      <c r="I57" s="29">
        <f ca="1">G57-H57</f>
        <v>1213572789.4708068</v>
      </c>
      <c r="J57" s="29">
        <f ca="1">J15</f>
        <v>10940222.04080811</v>
      </c>
      <c r="K57" s="29">
        <f ca="1">I57+J57</f>
        <v>1224513011.511615</v>
      </c>
      <c r="L57" s="176"/>
      <c r="M57" s="30">
        <f t="shared" si="55"/>
        <v>2026</v>
      </c>
      <c r="N57" s="29"/>
      <c r="O57" s="29"/>
      <c r="P57" s="29"/>
      <c r="Q57" s="29"/>
      <c r="R57" s="29">
        <f ca="1">SUMIF('GS&lt;50 Normalized Monthly WN'!$B:$B,M57,'GS&lt;50 Normalized Monthly WN'!U:$U)</f>
        <v>438621758.31306911</v>
      </c>
      <c r="S57" s="29">
        <f>S15</f>
        <v>23244976.126819007</v>
      </c>
      <c r="T57" s="29">
        <f ca="1">R57-S57</f>
        <v>415376782.18625009</v>
      </c>
      <c r="U57" s="29">
        <f ca="1">U15</f>
        <v>3332180.7675049989</v>
      </c>
      <c r="V57" s="29">
        <f ca="1">T57+U57</f>
        <v>418708962.95375508</v>
      </c>
      <c r="W57" s="176"/>
      <c r="X57" s="30">
        <f t="shared" si="56"/>
        <v>2026</v>
      </c>
      <c r="Y57" s="29"/>
      <c r="Z57" s="29"/>
      <c r="AA57" s="29"/>
      <c r="AB57" s="29"/>
      <c r="AC57" s="29">
        <f ca="1">SUMIF('GS&gt;50 Normalized Monthly WN'!$B:$B,X57,'GS&gt;50 Normalized Monthly WN'!$W:$W)</f>
        <v>1560417680.4576321</v>
      </c>
      <c r="AD57" s="29">
        <f>AD15</f>
        <v>106430996.34015176</v>
      </c>
      <c r="AE57" s="29">
        <f ca="1">AC57-AD57</f>
        <v>1453986684.1174803</v>
      </c>
      <c r="AF57" s="29">
        <f>AF15</f>
        <v>304054.08446660248</v>
      </c>
      <c r="AG57" s="29">
        <f ca="1">AE57+AF57</f>
        <v>1454290738.201947</v>
      </c>
      <c r="AH57" s="176"/>
      <c r="AI57" s="30">
        <f t="shared" si="57"/>
        <v>2026</v>
      </c>
      <c r="AJ57" s="29"/>
      <c r="AK57" s="29"/>
      <c r="AL57" s="29"/>
      <c r="AM57" s="29"/>
      <c r="AN57" s="29">
        <f ca="1">SUMIF('GS Co Gen Normalized Monthly WN'!$B:$B,AI57,'GS Co Gen Normalized Monthly WN'!$N:$N)</f>
        <v>40690753.384464025</v>
      </c>
      <c r="AO57" s="29">
        <f>AO15</f>
        <v>2083110.6874357122</v>
      </c>
      <c r="AP57" s="29">
        <f ca="1">AN57-AO57</f>
        <v>38607642.697028317</v>
      </c>
      <c r="AQ57" s="29">
        <f>AQ15</f>
        <v>0</v>
      </c>
      <c r="AR57" s="29">
        <f ca="1">AP57+AQ57</f>
        <v>38607642.697028317</v>
      </c>
      <c r="AS57" s="176"/>
      <c r="AT57" s="30">
        <f t="shared" si="58"/>
        <v>2026</v>
      </c>
      <c r="AU57" s="29"/>
      <c r="AV57" s="29"/>
      <c r="AW57" s="29"/>
      <c r="AX57" s="29"/>
      <c r="AY57" s="29">
        <f ca="1">SUMIF('Large Use Normalized Monthly WN'!$B:$B,AT57,'Large Use Normalized Monthly WN'!$Y:$Y)</f>
        <v>177832258.27565464</v>
      </c>
      <c r="AZ57" s="29">
        <f>AZ15</f>
        <v>18556243.339118406</v>
      </c>
      <c r="BA57" s="29">
        <f ca="1">AY57-AZ57</f>
        <v>159276014.93653625</v>
      </c>
      <c r="BB57" s="29">
        <f>BB15</f>
        <v>18209.952093497843</v>
      </c>
      <c r="BC57" s="29">
        <f ca="1">BA57+BB57</f>
        <v>159294224.88862976</v>
      </c>
      <c r="BD57" s="176"/>
    </row>
    <row r="58" spans="2:56" s="59" customFormat="1" x14ac:dyDescent="0.2">
      <c r="B58" s="30">
        <f>B57+1</f>
        <v>2027</v>
      </c>
      <c r="C58" s="30"/>
      <c r="D58" s="30"/>
      <c r="E58" s="30"/>
      <c r="F58" s="30"/>
      <c r="G58" s="29">
        <f ca="1">SUMIF('Res Normalized Monthly WN'!$B:$B,B58,'Res Normalized Monthly WN'!$Y:$Y)</f>
        <v>1258068572.3785133</v>
      </c>
      <c r="H58" s="29">
        <f>H16</f>
        <v>28647898.98121253</v>
      </c>
      <c r="I58" s="29">
        <f ca="1">G58-H58</f>
        <v>1229420673.3973007</v>
      </c>
      <c r="J58" s="29">
        <f ca="1">J16</f>
        <v>23387079.042745575</v>
      </c>
      <c r="K58" s="29">
        <f ca="1">I58+J58</f>
        <v>1252807752.4400463</v>
      </c>
      <c r="L58" s="176"/>
      <c r="M58" s="30">
        <f>M57+1</f>
        <v>2027</v>
      </c>
      <c r="N58" s="30"/>
      <c r="O58" s="30"/>
      <c r="P58" s="30"/>
      <c r="Q58" s="30"/>
      <c r="R58" s="29">
        <f ca="1">SUMIF('GS&lt;50 Normalized Monthly WN'!$B:$B,M58,'GS&lt;50 Normalized Monthly WN'!U:$U)</f>
        <v>443634637.45038521</v>
      </c>
      <c r="S58" s="29">
        <f>S16</f>
        <v>22219399.481789052</v>
      </c>
      <c r="T58" s="29">
        <f t="shared" ca="1" si="40"/>
        <v>421415237.96859616</v>
      </c>
      <c r="U58" s="29">
        <f ca="1">U16</f>
        <v>7085206.099149962</v>
      </c>
      <c r="V58" s="29">
        <f ca="1">T58+U58</f>
        <v>428500444.0677461</v>
      </c>
      <c r="W58" s="176"/>
      <c r="X58" s="30">
        <f>X57+1</f>
        <v>2027</v>
      </c>
      <c r="Y58" s="30"/>
      <c r="Z58" s="30"/>
      <c r="AA58" s="30"/>
      <c r="AB58" s="30"/>
      <c r="AC58" s="29">
        <f ca="1">SUMIF('GS&gt;50 Normalized Monthly WN'!$B:$B,X58,'GS&gt;50 Normalized Monthly WN'!$W:$W)</f>
        <v>1568893729.1593752</v>
      </c>
      <c r="AD58" s="29">
        <f>AD16</f>
        <v>98970453.156509027</v>
      </c>
      <c r="AE58" s="29">
        <f ca="1">AC58-AD58</f>
        <v>1469923276.0028663</v>
      </c>
      <c r="AF58" s="29">
        <f>AF16</f>
        <v>654500.69545312226</v>
      </c>
      <c r="AG58" s="29">
        <f ca="1">AE58+AF58</f>
        <v>1470577776.6983194</v>
      </c>
      <c r="AH58" s="176"/>
      <c r="AI58" s="30">
        <f>AI57+1</f>
        <v>2027</v>
      </c>
      <c r="AJ58" s="30"/>
      <c r="AK58" s="30"/>
      <c r="AL58" s="30"/>
      <c r="AM58" s="30"/>
      <c r="AN58" s="29">
        <f ca="1">SUMIF('GS Co Gen Normalized Monthly WN'!$B:$B,AI58,'GS Co Gen Normalized Monthly WN'!$N:$N)</f>
        <v>40524520.913524233</v>
      </c>
      <c r="AO58" s="29">
        <f>AO16</f>
        <v>1934101.4795512659</v>
      </c>
      <c r="AP58" s="29">
        <f ca="1">AN58-AO58</f>
        <v>38590419.43397297</v>
      </c>
      <c r="AQ58" s="29">
        <f>AQ16</f>
        <v>0</v>
      </c>
      <c r="AR58" s="29">
        <f ca="1">AP58+AQ58</f>
        <v>38590419.43397297</v>
      </c>
      <c r="AS58" s="176"/>
      <c r="AT58" s="30">
        <f>AT57+1</f>
        <v>2027</v>
      </c>
      <c r="AU58" s="30"/>
      <c r="AV58" s="30"/>
      <c r="AW58" s="30"/>
      <c r="AX58" s="30"/>
      <c r="AY58" s="29">
        <f ca="1">SUMIF('Large Use Normalized Monthly WN'!$B:$B,AT58,'Large Use Normalized Monthly WN'!$Y:$Y)</f>
        <v>180311994.20693877</v>
      </c>
      <c r="AZ58" s="29">
        <f>AZ16</f>
        <v>17585721.948146097</v>
      </c>
      <c r="BA58" s="29">
        <f ca="1">AY58-AZ58</f>
        <v>162726272.25879267</v>
      </c>
      <c r="BB58" s="29">
        <f>BB16</f>
        <v>40354.937245495719</v>
      </c>
      <c r="BC58" s="29">
        <f ca="1">BA58+BB58</f>
        <v>162766627.19603816</v>
      </c>
      <c r="BD58" s="176"/>
    </row>
  </sheetData>
  <mergeCells count="13">
    <mergeCell ref="B44:K44"/>
    <mergeCell ref="M44:V44"/>
    <mergeCell ref="X44:AG44"/>
    <mergeCell ref="BE2:BI2"/>
    <mergeCell ref="BQ2:BU2"/>
    <mergeCell ref="B2:K2"/>
    <mergeCell ref="M2:V2"/>
    <mergeCell ref="X2:AG2"/>
    <mergeCell ref="AI2:AR2"/>
    <mergeCell ref="AI44:AR44"/>
    <mergeCell ref="AT2:BC2"/>
    <mergeCell ref="AT44:BC44"/>
    <mergeCell ref="BK2:BO2"/>
  </mergeCells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2"/>
  <dimension ref="A2:BE95"/>
  <sheetViews>
    <sheetView workbookViewId="0">
      <selection activeCell="D14" sqref="D14"/>
    </sheetView>
  </sheetViews>
  <sheetFormatPr defaultRowHeight="12.75" x14ac:dyDescent="0.2"/>
  <cols>
    <col min="1" max="1" width="7" customWidth="1"/>
    <col min="2" max="2" width="5.83203125" bestFit="1" customWidth="1"/>
    <col min="3" max="3" width="11.6640625" bestFit="1" customWidth="1"/>
    <col min="4" max="4" width="11.5" customWidth="1"/>
    <col min="5" max="6" width="6.1640625" customWidth="1"/>
    <col min="7" max="7" width="11.6640625" bestFit="1" customWidth="1"/>
    <col min="8" max="8" width="10.83203125" bestFit="1" customWidth="1"/>
    <col min="9" max="9" width="6.6640625" customWidth="1"/>
    <col min="10" max="10" width="5.83203125" bestFit="1" customWidth="1"/>
    <col min="11" max="11" width="11.6640625" bestFit="1" customWidth="1"/>
    <col min="12" max="12" width="12.83203125" customWidth="1"/>
    <col min="13" max="15" width="7.6640625" customWidth="1"/>
    <col min="16" max="16" width="9.1640625" customWidth="1"/>
    <col min="17" max="19" width="7.6640625" customWidth="1"/>
    <col min="20" max="20" width="8.83203125" customWidth="1"/>
    <col min="21" max="21" width="7.6640625" customWidth="1"/>
    <col min="22" max="22" width="5.83203125" bestFit="1" customWidth="1"/>
    <col min="23" max="23" width="11.6640625" bestFit="1" customWidth="1"/>
    <col min="24" max="24" width="10.83203125" bestFit="1" customWidth="1"/>
    <col min="25" max="29" width="8.33203125" customWidth="1"/>
    <col min="30" max="30" width="5.83203125" bestFit="1" customWidth="1"/>
    <col min="31" max="31" width="11.6640625" bestFit="1" customWidth="1"/>
    <col min="32" max="32" width="9.6640625" bestFit="1" customWidth="1"/>
  </cols>
  <sheetData>
    <row r="2" spans="1:33" ht="13.15" customHeight="1" x14ac:dyDescent="0.2">
      <c r="B2" s="583" t="s">
        <v>24</v>
      </c>
      <c r="C2" s="583"/>
      <c r="D2" s="584" t="s">
        <v>110</v>
      </c>
      <c r="E2" s="9"/>
      <c r="F2" s="583" t="s">
        <v>111</v>
      </c>
      <c r="G2" s="583"/>
      <c r="H2" s="584" t="s">
        <v>110</v>
      </c>
      <c r="I2" s="9"/>
      <c r="J2" s="583" t="s">
        <v>112</v>
      </c>
      <c r="K2" s="583"/>
      <c r="L2" s="584" t="s">
        <v>110</v>
      </c>
      <c r="M2" s="9"/>
      <c r="N2" s="583" t="s">
        <v>481</v>
      </c>
      <c r="O2" s="583"/>
      <c r="P2" s="584" t="s">
        <v>110</v>
      </c>
      <c r="Q2" s="9"/>
      <c r="R2" s="583" t="s">
        <v>444</v>
      </c>
      <c r="S2" s="583"/>
      <c r="T2" s="584" t="s">
        <v>110</v>
      </c>
      <c r="U2" s="9"/>
      <c r="V2" s="583" t="s">
        <v>113</v>
      </c>
      <c r="W2" s="583"/>
      <c r="X2" s="584" t="s">
        <v>110</v>
      </c>
      <c r="Y2" s="9"/>
      <c r="Z2" s="583" t="s">
        <v>486</v>
      </c>
      <c r="AA2" s="583"/>
      <c r="AB2" s="584" t="s">
        <v>110</v>
      </c>
      <c r="AC2" s="9"/>
      <c r="AD2" s="583" t="s">
        <v>35</v>
      </c>
      <c r="AE2" s="583"/>
      <c r="AF2" s="584" t="s">
        <v>110</v>
      </c>
      <c r="AG2" s="9"/>
    </row>
    <row r="3" spans="1:33" x14ac:dyDescent="0.2">
      <c r="B3" s="170" t="s">
        <v>0</v>
      </c>
      <c r="C3" s="170" t="s">
        <v>114</v>
      </c>
      <c r="D3" s="584"/>
      <c r="E3" s="9"/>
      <c r="F3" s="170" t="s">
        <v>0</v>
      </c>
      <c r="G3" s="170" t="s">
        <v>114</v>
      </c>
      <c r="H3" s="584"/>
      <c r="I3" s="9"/>
      <c r="J3" s="170" t="s">
        <v>0</v>
      </c>
      <c r="K3" s="170" t="s">
        <v>114</v>
      </c>
      <c r="L3" s="584"/>
      <c r="M3" s="9"/>
      <c r="N3" s="170" t="s">
        <v>0</v>
      </c>
      <c r="O3" s="170" t="s">
        <v>114</v>
      </c>
      <c r="P3" s="584"/>
      <c r="Q3" s="9"/>
      <c r="R3" s="170" t="s">
        <v>0</v>
      </c>
      <c r="S3" s="170" t="s">
        <v>114</v>
      </c>
      <c r="T3" s="584"/>
      <c r="U3" s="9"/>
      <c r="V3" s="170" t="s">
        <v>0</v>
      </c>
      <c r="W3" s="170" t="s">
        <v>176</v>
      </c>
      <c r="X3" s="584"/>
      <c r="Y3" s="9"/>
      <c r="Z3" s="170" t="s">
        <v>0</v>
      </c>
      <c r="AA3" s="170" t="s">
        <v>176</v>
      </c>
      <c r="AB3" s="584"/>
      <c r="AC3" s="9"/>
      <c r="AD3" s="170" t="s">
        <v>0</v>
      </c>
      <c r="AE3" s="170" t="s">
        <v>176</v>
      </c>
      <c r="AF3" s="584"/>
      <c r="AG3" s="9"/>
    </row>
    <row r="4" spans="1:33" x14ac:dyDescent="0.2">
      <c r="B4" s="170"/>
      <c r="C4" s="170"/>
      <c r="D4" s="219"/>
      <c r="E4" s="9"/>
      <c r="F4" s="170"/>
      <c r="G4" s="170"/>
      <c r="H4" s="219"/>
      <c r="I4" s="9"/>
      <c r="J4" s="170"/>
      <c r="K4" s="170"/>
      <c r="L4" s="219"/>
      <c r="M4" s="9"/>
      <c r="N4" s="170"/>
      <c r="O4" s="170"/>
      <c r="P4" s="219"/>
      <c r="Q4" s="9"/>
      <c r="R4" s="170"/>
      <c r="S4" s="170"/>
      <c r="T4" s="219"/>
      <c r="U4" s="9"/>
      <c r="V4" s="170"/>
      <c r="W4" s="170"/>
      <c r="X4" s="219"/>
      <c r="Y4" s="9"/>
      <c r="Z4" s="170"/>
      <c r="AA4" s="170"/>
      <c r="AB4" s="219"/>
      <c r="AC4" s="9"/>
      <c r="AD4" s="170"/>
      <c r="AE4" s="170"/>
      <c r="AF4" s="219"/>
      <c r="AG4" s="9"/>
    </row>
    <row r="5" spans="1:33" x14ac:dyDescent="0.2">
      <c r="B5" s="9">
        <v>2017</v>
      </c>
      <c r="C5" s="31">
        <f>AVERAGEIF('Monthly Data'!B:B,B5,'Monthly Data'!G:G)</f>
        <v>142206.66666666666</v>
      </c>
      <c r="D5" s="32"/>
      <c r="E5" s="33"/>
      <c r="F5" s="9">
        <v>2017</v>
      </c>
      <c r="G5" s="31">
        <f>AVERAGEIF('Monthly Data'!B:B,B5,'Monthly Data'!K:K)</f>
        <v>12575.25</v>
      </c>
      <c r="H5" s="32"/>
      <c r="I5" s="33"/>
      <c r="J5" s="9">
        <v>2017</v>
      </c>
      <c r="K5" s="31">
        <f>AVERAGEIF('Monthly Data'!B:B,B5,'Monthly Data'!P:P)</f>
        <v>1604.5833333333333</v>
      </c>
      <c r="L5" s="32"/>
      <c r="M5" s="33"/>
      <c r="N5" s="9">
        <v>2017</v>
      </c>
      <c r="O5" s="31">
        <f>AVERAGEIF('Monthly Data'!B:B,N5,'Monthly Data'!U:U)</f>
        <v>4</v>
      </c>
      <c r="P5" s="32"/>
      <c r="Q5" s="33"/>
      <c r="R5" s="9">
        <v>2017</v>
      </c>
      <c r="S5" s="31">
        <f>AVERAGEIF('Monthly Data'!B:B,R5,'Monthly Data'!Z:Z)</f>
        <v>1</v>
      </c>
      <c r="T5" s="32"/>
      <c r="U5" s="33"/>
      <c r="V5" s="9">
        <v>2017</v>
      </c>
      <c r="W5" s="31">
        <f>AVERAGEIF('Monthly Data'!B:B,B5,'Monthly Data'!AC:AC)</f>
        <v>36184.083333333336</v>
      </c>
      <c r="X5" s="32"/>
      <c r="Y5" s="33"/>
      <c r="Z5" s="9">
        <v>2017</v>
      </c>
      <c r="AA5" s="31">
        <f>AVERAGEIF('Monthly Data'!B:B,Z5,'Monthly Data'!AH:AH)</f>
        <v>547.91666666666663</v>
      </c>
      <c r="AB5" s="32"/>
      <c r="AC5" s="33"/>
      <c r="AD5" s="9">
        <v>2017</v>
      </c>
      <c r="AE5" s="31">
        <f>AVERAGEIF('Monthly Data'!B:B,B5,'Monthly Data'!AE:AE)</f>
        <v>1515.5833333333333</v>
      </c>
      <c r="AF5" s="32"/>
      <c r="AG5" s="33"/>
    </row>
    <row r="6" spans="1:33" x14ac:dyDescent="0.2">
      <c r="A6" s="7"/>
      <c r="B6" s="9">
        <f t="shared" ref="B6:B15" si="0">B5+1</f>
        <v>2018</v>
      </c>
      <c r="C6" s="31">
        <f>AVERAGEIF('Monthly Data'!B:B,B6,'Monthly Data'!G:G)</f>
        <v>143926.91666666666</v>
      </c>
      <c r="D6" s="32">
        <f t="shared" ref="D6:D12" si="1">C6/C5</f>
        <v>1.01209683090338</v>
      </c>
      <c r="E6" s="33"/>
      <c r="F6" s="9">
        <f t="shared" ref="F6:F14" si="2">F5+1</f>
        <v>2018</v>
      </c>
      <c r="G6" s="31">
        <f>AVERAGEIF('Monthly Data'!B:B,B6,'Monthly Data'!K:K)</f>
        <v>12635.833333333334</v>
      </c>
      <c r="H6" s="32">
        <f t="shared" ref="H6:H12" si="3">G6/G5</f>
        <v>1.0048176643274156</v>
      </c>
      <c r="I6" s="33"/>
      <c r="J6" s="9">
        <f t="shared" ref="J6:J14" si="4">J5+1</f>
        <v>2018</v>
      </c>
      <c r="K6" s="31">
        <f>AVERAGEIF('Monthly Data'!B:B,B6,'Monthly Data'!P:P)</f>
        <v>1622</v>
      </c>
      <c r="L6" s="32">
        <f t="shared" ref="L6:L12" si="5">K6/K5</f>
        <v>1.0108543235523242</v>
      </c>
      <c r="M6" s="33"/>
      <c r="N6" s="9">
        <f t="shared" ref="N6:N14" si="6">N5+1</f>
        <v>2018</v>
      </c>
      <c r="O6" s="31">
        <f>AVERAGEIF('Monthly Data'!B:B,N6,'Monthly Data'!U:U)</f>
        <v>5</v>
      </c>
      <c r="P6" s="32">
        <f t="shared" ref="P6:P12" si="7">O6/O5</f>
        <v>1.25</v>
      </c>
      <c r="Q6" s="33"/>
      <c r="R6" s="9">
        <f t="shared" ref="R6:R14" si="8">R5+1</f>
        <v>2018</v>
      </c>
      <c r="S6" s="31">
        <f>AVERAGEIF('Monthly Data'!B:B,R6,'Monthly Data'!Z:Z)</f>
        <v>1</v>
      </c>
      <c r="T6" s="32">
        <f t="shared" ref="T6:T12" si="9">S6/S5</f>
        <v>1</v>
      </c>
      <c r="U6" s="33"/>
      <c r="V6" s="9">
        <f t="shared" ref="V6:V14" si="10">V5+1</f>
        <v>2018</v>
      </c>
      <c r="W6" s="31">
        <f>AVERAGEIF('Monthly Data'!B:B,B6,'Monthly Data'!AC:AC)</f>
        <v>36831.416666666664</v>
      </c>
      <c r="X6" s="32">
        <f t="shared" ref="X6:X12" si="11">W6/W5</f>
        <v>1.0178900022800079</v>
      </c>
      <c r="Y6" s="33"/>
      <c r="Z6" s="9">
        <f t="shared" ref="Z6:Z14" si="12">Z5+1</f>
        <v>2018</v>
      </c>
      <c r="AA6" s="31">
        <f>AVERAGEIF('Monthly Data'!B:B,Z6,'Monthly Data'!AH:AH)</f>
        <v>530.25</v>
      </c>
      <c r="AB6" s="32">
        <f t="shared" ref="AB6:AB12" si="13">AA6/AA5</f>
        <v>0.96775665399239552</v>
      </c>
      <c r="AC6" s="33"/>
      <c r="AD6" s="9">
        <f t="shared" ref="AD6:AD14" si="14">AD5+1</f>
        <v>2018</v>
      </c>
      <c r="AE6" s="31">
        <f>AVERAGEIF('Monthly Data'!B:B,B6,'Monthly Data'!AE:AE)</f>
        <v>1522.25</v>
      </c>
      <c r="AF6" s="32">
        <f t="shared" ref="AF6:AF12" si="15">AE6/AE5</f>
        <v>1.0043987463572883</v>
      </c>
      <c r="AG6" s="33"/>
    </row>
    <row r="7" spans="1:33" x14ac:dyDescent="0.2">
      <c r="A7" s="7"/>
      <c r="B7" s="9">
        <f t="shared" si="0"/>
        <v>2019</v>
      </c>
      <c r="C7" s="31">
        <f>AVERAGEIF('Monthly Data'!B:B,B7,'Monthly Data'!G:G)</f>
        <v>145514.41666666666</v>
      </c>
      <c r="D7" s="32">
        <f t="shared" si="1"/>
        <v>1.011029903486897</v>
      </c>
      <c r="E7" s="33"/>
      <c r="F7" s="9">
        <f t="shared" si="2"/>
        <v>2019</v>
      </c>
      <c r="G7" s="31">
        <f>AVERAGEIF('Monthly Data'!B:B,B7,'Monthly Data'!K:K)</f>
        <v>12771.833333333334</v>
      </c>
      <c r="H7" s="32">
        <f t="shared" si="3"/>
        <v>1.0107630416144562</v>
      </c>
      <c r="I7" s="33"/>
      <c r="J7" s="9">
        <f t="shared" si="4"/>
        <v>2019</v>
      </c>
      <c r="K7" s="31">
        <f>AVERAGEIF('Monthly Data'!B:B,B7,'Monthly Data'!P:P)</f>
        <v>1578.75</v>
      </c>
      <c r="L7" s="32">
        <f t="shared" si="5"/>
        <v>0.97333538840937117</v>
      </c>
      <c r="M7" s="33"/>
      <c r="N7" s="9">
        <f t="shared" si="6"/>
        <v>2019</v>
      </c>
      <c r="O7" s="31">
        <f>AVERAGEIF('Monthly Data'!B:B,N7,'Monthly Data'!U:U)</f>
        <v>5</v>
      </c>
      <c r="P7" s="32">
        <f t="shared" si="7"/>
        <v>1</v>
      </c>
      <c r="Q7" s="33"/>
      <c r="R7" s="9">
        <f t="shared" si="8"/>
        <v>2019</v>
      </c>
      <c r="S7" s="31">
        <f>AVERAGEIF('Monthly Data'!B:B,R7,'Monthly Data'!Z:Z)</f>
        <v>1</v>
      </c>
      <c r="T7" s="32">
        <f t="shared" si="9"/>
        <v>1</v>
      </c>
      <c r="U7" s="33"/>
      <c r="V7" s="9">
        <f t="shared" si="10"/>
        <v>2019</v>
      </c>
      <c r="W7" s="31">
        <f>AVERAGEIF('Monthly Data'!B:B,B7,'Monthly Data'!AC:AC)</f>
        <v>37110.833333333336</v>
      </c>
      <c r="X7" s="32">
        <f t="shared" si="11"/>
        <v>1.0075863676164145</v>
      </c>
      <c r="Y7" s="33"/>
      <c r="Z7" s="9">
        <f t="shared" si="12"/>
        <v>2019</v>
      </c>
      <c r="AA7" s="31">
        <f>AVERAGEIF('Monthly Data'!B:B,Z7,'Monthly Data'!AH:AH)</f>
        <v>525</v>
      </c>
      <c r="AB7" s="32">
        <f t="shared" si="13"/>
        <v>0.99009900990099009</v>
      </c>
      <c r="AC7" s="33"/>
      <c r="AD7" s="9">
        <f t="shared" si="14"/>
        <v>2019</v>
      </c>
      <c r="AE7" s="31">
        <f>AVERAGEIF('Monthly Data'!B:B,B7,'Monthly Data'!AE:AE)</f>
        <v>1543.5</v>
      </c>
      <c r="AF7" s="32">
        <f t="shared" si="15"/>
        <v>1.0139595992773855</v>
      </c>
      <c r="AG7" s="33"/>
    </row>
    <row r="8" spans="1:33" x14ac:dyDescent="0.2">
      <c r="A8" s="7"/>
      <c r="B8" s="9">
        <f t="shared" si="0"/>
        <v>2020</v>
      </c>
      <c r="C8" s="31">
        <f>AVERAGEIF('Monthly Data'!B:B,B8,'Monthly Data'!G:G)</f>
        <v>146977.5</v>
      </c>
      <c r="D8" s="32">
        <f t="shared" si="1"/>
        <v>1.0100545593134242</v>
      </c>
      <c r="E8" s="33"/>
      <c r="F8" s="9">
        <f t="shared" si="2"/>
        <v>2020</v>
      </c>
      <c r="G8" s="31">
        <f>AVERAGEIF('Monthly Data'!B:B,B8,'Monthly Data'!K:K)</f>
        <v>12891.583333333334</v>
      </c>
      <c r="H8" s="32">
        <f t="shared" si="3"/>
        <v>1.0093761010557085</v>
      </c>
      <c r="I8" s="33"/>
      <c r="J8" s="9">
        <f t="shared" si="4"/>
        <v>2020</v>
      </c>
      <c r="K8" s="31">
        <f>AVERAGEIF('Monthly Data'!B:B,B8,'Monthly Data'!P:P)</f>
        <v>1540.9166666666667</v>
      </c>
      <c r="L8" s="32">
        <f t="shared" si="5"/>
        <v>0.97603589337556085</v>
      </c>
      <c r="M8" s="33"/>
      <c r="N8" s="9">
        <f t="shared" si="6"/>
        <v>2020</v>
      </c>
      <c r="O8" s="31">
        <f>AVERAGEIF('Monthly Data'!B:B,N8,'Monthly Data'!U:U)</f>
        <v>5.166666666666667</v>
      </c>
      <c r="P8" s="32">
        <f t="shared" si="7"/>
        <v>1.0333333333333334</v>
      </c>
      <c r="Q8" s="33"/>
      <c r="R8" s="9">
        <f t="shared" si="8"/>
        <v>2020</v>
      </c>
      <c r="S8" s="31">
        <f>AVERAGEIF('Monthly Data'!B:B,R8,'Monthly Data'!Z:Z)</f>
        <v>1</v>
      </c>
      <c r="T8" s="32">
        <f t="shared" si="9"/>
        <v>1</v>
      </c>
      <c r="U8" s="33"/>
      <c r="V8" s="9">
        <f t="shared" si="10"/>
        <v>2020</v>
      </c>
      <c r="W8" s="31">
        <f>AVERAGEIF('Monthly Data'!B:B,B8,'Monthly Data'!AC:AC)</f>
        <v>37806.583333333336</v>
      </c>
      <c r="X8" s="32">
        <f t="shared" si="11"/>
        <v>1.0187478948195721</v>
      </c>
      <c r="Y8" s="33"/>
      <c r="Z8" s="9">
        <f t="shared" si="12"/>
        <v>2020</v>
      </c>
      <c r="AA8" s="31">
        <f>AVERAGEIF('Monthly Data'!B:B,Z8,'Monthly Data'!AH:AH)</f>
        <v>515.75</v>
      </c>
      <c r="AB8" s="32">
        <f t="shared" si="13"/>
        <v>0.98238095238095235</v>
      </c>
      <c r="AC8" s="33"/>
      <c r="AD8" s="9">
        <f t="shared" si="14"/>
        <v>2020</v>
      </c>
      <c r="AE8" s="31">
        <f>AVERAGEIF('Monthly Data'!B:B,B8,'Monthly Data'!AE:AE)</f>
        <v>1533.75</v>
      </c>
      <c r="AF8" s="32">
        <f t="shared" si="15"/>
        <v>0.99368318756073859</v>
      </c>
      <c r="AG8" s="33"/>
    </row>
    <row r="9" spans="1:33" s="25" customFormat="1" ht="15" x14ac:dyDescent="0.25">
      <c r="A9" s="7"/>
      <c r="B9" s="9">
        <f t="shared" si="0"/>
        <v>2021</v>
      </c>
      <c r="C9" s="31">
        <f>AVERAGEIF('Monthly Data'!B:B,B9,'Monthly Data'!G:G)</f>
        <v>148595.83333333334</v>
      </c>
      <c r="D9" s="32">
        <f t="shared" si="1"/>
        <v>1.0110107556145216</v>
      </c>
      <c r="E9" s="33"/>
      <c r="F9" s="9">
        <f t="shared" si="2"/>
        <v>2021</v>
      </c>
      <c r="G9" s="31">
        <f>AVERAGEIF('Monthly Data'!B:B,B9,'Monthly Data'!K:K)</f>
        <v>12991.75</v>
      </c>
      <c r="H9" s="32">
        <f t="shared" si="3"/>
        <v>1.007769927407417</v>
      </c>
      <c r="I9" s="33"/>
      <c r="J9" s="9">
        <f t="shared" si="4"/>
        <v>2021</v>
      </c>
      <c r="K9" s="31">
        <f>AVERAGEIF('Monthly Data'!B:B,B9,'Monthly Data'!P:P)</f>
        <v>1521.8333333333333</v>
      </c>
      <c r="L9" s="32">
        <f t="shared" si="5"/>
        <v>0.98761559677681021</v>
      </c>
      <c r="M9" s="33"/>
      <c r="N9" s="9">
        <f t="shared" si="6"/>
        <v>2021</v>
      </c>
      <c r="O9" s="31">
        <f>AVERAGEIF('Monthly Data'!B:B,N9,'Monthly Data'!U:U)</f>
        <v>7</v>
      </c>
      <c r="P9" s="32">
        <f t="shared" si="7"/>
        <v>1.3548387096774193</v>
      </c>
      <c r="Q9" s="33"/>
      <c r="R9" s="9">
        <f t="shared" si="8"/>
        <v>2021</v>
      </c>
      <c r="S9" s="31">
        <f>AVERAGEIF('Monthly Data'!B:B,R9,'Monthly Data'!Z:Z)</f>
        <v>1</v>
      </c>
      <c r="T9" s="32">
        <f t="shared" si="9"/>
        <v>1</v>
      </c>
      <c r="U9" s="33"/>
      <c r="V9" s="9">
        <f t="shared" si="10"/>
        <v>2021</v>
      </c>
      <c r="W9" s="31">
        <f>AVERAGEIF('Monthly Data'!B:B,B9,'Monthly Data'!AC:AC)</f>
        <v>38502.416666666664</v>
      </c>
      <c r="X9" s="32">
        <f t="shared" si="11"/>
        <v>1.0184050837706835</v>
      </c>
      <c r="Y9" s="33"/>
      <c r="Z9" s="9">
        <f t="shared" si="12"/>
        <v>2021</v>
      </c>
      <c r="AA9" s="31">
        <f>AVERAGEIF('Monthly Data'!B:B,Z9,'Monthly Data'!AH:AH)</f>
        <v>510.41666666666669</v>
      </c>
      <c r="AB9" s="32">
        <f t="shared" si="13"/>
        <v>0.98965907254806917</v>
      </c>
      <c r="AC9" s="33"/>
      <c r="AD9" s="9">
        <f t="shared" si="14"/>
        <v>2021</v>
      </c>
      <c r="AE9" s="31">
        <f>AVERAGEIF('Monthly Data'!B:B,B9,'Monthly Data'!AE:AE)</f>
        <v>1543</v>
      </c>
      <c r="AF9" s="32">
        <f t="shared" si="15"/>
        <v>1.0060309698451508</v>
      </c>
      <c r="AG9" s="33"/>
    </row>
    <row r="10" spans="1:33" s="25" customFormat="1" ht="15" x14ac:dyDescent="0.25">
      <c r="A10" s="7"/>
      <c r="B10" s="9">
        <f t="shared" si="0"/>
        <v>2022</v>
      </c>
      <c r="C10" s="31">
        <f>AVERAGEIF('Monthly Data'!B:B,B10,'Monthly Data'!G:G)</f>
        <v>150464.33333333334</v>
      </c>
      <c r="D10" s="32">
        <f t="shared" si="1"/>
        <v>1.0125743768050921</v>
      </c>
      <c r="E10" s="33"/>
      <c r="F10" s="9">
        <f t="shared" si="2"/>
        <v>2022</v>
      </c>
      <c r="G10" s="31">
        <f>AVERAGEIF('Monthly Data'!B:B,B10,'Monthly Data'!K:K)</f>
        <v>13153.666666666666</v>
      </c>
      <c r="H10" s="32">
        <f t="shared" si="3"/>
        <v>1.0124630374404269</v>
      </c>
      <c r="I10" s="33"/>
      <c r="J10" s="9">
        <f t="shared" si="4"/>
        <v>2022</v>
      </c>
      <c r="K10" s="31">
        <f>AVERAGEIF('Monthly Data'!B:B,B10,'Monthly Data'!P:P)</f>
        <v>1467.6666666666667</v>
      </c>
      <c r="L10" s="32">
        <f t="shared" si="5"/>
        <v>0.96440696528310166</v>
      </c>
      <c r="M10" s="33"/>
      <c r="N10" s="9">
        <f t="shared" si="6"/>
        <v>2022</v>
      </c>
      <c r="O10" s="31">
        <f>AVERAGEIF('Monthly Data'!B:B,N10,'Monthly Data'!U:U)</f>
        <v>7.25</v>
      </c>
      <c r="P10" s="32">
        <f t="shared" si="7"/>
        <v>1.0357142857142858</v>
      </c>
      <c r="Q10" s="33"/>
      <c r="R10" s="9">
        <f t="shared" si="8"/>
        <v>2022</v>
      </c>
      <c r="S10" s="31">
        <f>AVERAGEIF('Monthly Data'!B:B,R10,'Monthly Data'!Z:Z)</f>
        <v>1.25</v>
      </c>
      <c r="T10" s="32">
        <f t="shared" si="9"/>
        <v>1.25</v>
      </c>
      <c r="U10" s="33"/>
      <c r="V10" s="9">
        <f t="shared" si="10"/>
        <v>2022</v>
      </c>
      <c r="W10" s="31">
        <f>AVERAGEIF('Monthly Data'!B:B,B10,'Monthly Data'!AC:AC)</f>
        <v>39231.916666666664</v>
      </c>
      <c r="X10" s="32">
        <f t="shared" si="11"/>
        <v>1.0189468626428211</v>
      </c>
      <c r="Y10" s="33"/>
      <c r="Z10" s="9">
        <f t="shared" si="12"/>
        <v>2022</v>
      </c>
      <c r="AA10" s="31">
        <f>AVERAGEIF('Monthly Data'!B:B,Z10,'Monthly Data'!AH:AH)</f>
        <v>505.75</v>
      </c>
      <c r="AB10" s="32">
        <f t="shared" si="13"/>
        <v>0.99085714285714277</v>
      </c>
      <c r="AC10" s="33"/>
      <c r="AD10" s="9">
        <f t="shared" si="14"/>
        <v>2022</v>
      </c>
      <c r="AE10" s="31">
        <f>AVERAGEIF('Monthly Data'!B:B,B10,'Monthly Data'!AE:AE)</f>
        <v>1549.75</v>
      </c>
      <c r="AF10" s="32">
        <f>AE10/AE9</f>
        <v>1.0043745949449125</v>
      </c>
      <c r="AG10" s="33"/>
    </row>
    <row r="11" spans="1:33" s="25" customFormat="1" ht="15" x14ac:dyDescent="0.25">
      <c r="A11" s="7"/>
      <c r="B11" s="9">
        <f t="shared" si="0"/>
        <v>2023</v>
      </c>
      <c r="C11" s="31">
        <f>AVERAGEIF('Monthly Data'!B:B,B11,'Monthly Data'!G:G)</f>
        <v>151858.5</v>
      </c>
      <c r="D11" s="32">
        <f t="shared" si="1"/>
        <v>1.009265761764139</v>
      </c>
      <c r="E11" s="33"/>
      <c r="F11" s="9">
        <f t="shared" si="2"/>
        <v>2023</v>
      </c>
      <c r="G11" s="31">
        <f>AVERAGEIF('Monthly Data'!B:B,B11,'Monthly Data'!K:K)</f>
        <v>13233</v>
      </c>
      <c r="H11" s="32">
        <f t="shared" si="3"/>
        <v>1.0060312713818707</v>
      </c>
      <c r="I11" s="33"/>
      <c r="J11" s="9">
        <f t="shared" si="4"/>
        <v>2023</v>
      </c>
      <c r="K11" s="31">
        <f>AVERAGEIF('Monthly Data'!B:B,B11,'Monthly Data'!P:P)</f>
        <v>1464.0833333333333</v>
      </c>
      <c r="L11" s="32">
        <f t="shared" si="5"/>
        <v>0.9975584828526004</v>
      </c>
      <c r="M11" s="33"/>
      <c r="N11" s="9">
        <f t="shared" si="6"/>
        <v>2023</v>
      </c>
      <c r="O11" s="31">
        <f>AVERAGEIF('Monthly Data'!B:B,N11,'Monthly Data'!U:U)</f>
        <v>7</v>
      </c>
      <c r="P11" s="32">
        <f t="shared" si="7"/>
        <v>0.96551724137931039</v>
      </c>
      <c r="Q11" s="33"/>
      <c r="R11" s="9">
        <f t="shared" si="8"/>
        <v>2023</v>
      </c>
      <c r="S11" s="31">
        <f>AVERAGEIF('Monthly Data'!B:B,R11,'Monthly Data'!Z:Z)</f>
        <v>2</v>
      </c>
      <c r="T11" s="32">
        <f t="shared" si="9"/>
        <v>1.6</v>
      </c>
      <c r="U11" s="33"/>
      <c r="V11" s="9">
        <f t="shared" si="10"/>
        <v>2023</v>
      </c>
      <c r="W11" s="31">
        <f>AVERAGEIF('Monthly Data'!B:B,B11,'Monthly Data'!AC:AC)</f>
        <v>39733.333333333336</v>
      </c>
      <c r="X11" s="32">
        <f t="shared" si="11"/>
        <v>1.0127808353317771</v>
      </c>
      <c r="Y11" s="33"/>
      <c r="Z11" s="9">
        <f t="shared" si="12"/>
        <v>2023</v>
      </c>
      <c r="AA11" s="31">
        <f>AVERAGEIF('Monthly Data'!B:B,Z11,'Monthly Data'!AH:AH)</f>
        <v>500.83333333333331</v>
      </c>
      <c r="AB11" s="32">
        <f t="shared" si="13"/>
        <v>0.99027846432690725</v>
      </c>
      <c r="AC11" s="33"/>
      <c r="AD11" s="9">
        <f t="shared" si="14"/>
        <v>2023</v>
      </c>
      <c r="AE11" s="31">
        <f>AVERAGEIF('Monthly Data'!B:B,B11,'Monthly Data'!AE:AE)</f>
        <v>1563.8333333333333</v>
      </c>
      <c r="AF11" s="32">
        <f t="shared" si="15"/>
        <v>1.0090874872291229</v>
      </c>
      <c r="AG11" s="33"/>
    </row>
    <row r="12" spans="1:33" s="25" customFormat="1" ht="15" x14ac:dyDescent="0.25">
      <c r="A12" s="7"/>
      <c r="B12" s="9">
        <f t="shared" si="0"/>
        <v>2024</v>
      </c>
      <c r="C12" s="31">
        <f>AVERAGEIF('Monthly Data'!B:B,B12,'Monthly Data'!G:G)</f>
        <v>152856.16666666666</v>
      </c>
      <c r="D12" s="32">
        <f t="shared" si="1"/>
        <v>1.0065697123747874</v>
      </c>
      <c r="E12" s="33"/>
      <c r="F12" s="9">
        <f t="shared" si="2"/>
        <v>2024</v>
      </c>
      <c r="G12" s="31">
        <f>AVERAGEIF('Monthly Data'!B:B,B12,'Monthly Data'!K:K)</f>
        <v>13363.583333333334</v>
      </c>
      <c r="H12" s="32">
        <f t="shared" si="3"/>
        <v>1.0098680067507999</v>
      </c>
      <c r="I12" s="33"/>
      <c r="J12" s="9">
        <f t="shared" si="4"/>
        <v>2024</v>
      </c>
      <c r="K12" s="31">
        <f>AVERAGEIF('Monthly Data'!B:B,B12,'Monthly Data'!P:P)</f>
        <v>1496.75</v>
      </c>
      <c r="L12" s="32">
        <f t="shared" si="5"/>
        <v>1.0223120268655017</v>
      </c>
      <c r="M12" s="33"/>
      <c r="N12" s="9">
        <f t="shared" si="6"/>
        <v>2024</v>
      </c>
      <c r="O12" s="31">
        <f>AVERAGEIF('Monthly Data'!B:B,N12,'Monthly Data'!U:U)</f>
        <v>7</v>
      </c>
      <c r="P12" s="32">
        <f t="shared" si="7"/>
        <v>1</v>
      </c>
      <c r="Q12" s="33"/>
      <c r="R12" s="9">
        <f t="shared" si="8"/>
        <v>2024</v>
      </c>
      <c r="S12" s="31">
        <f>AVERAGEIF('Monthly Data'!B:B,R12,'Monthly Data'!Z:Z)</f>
        <v>2</v>
      </c>
      <c r="T12" s="32">
        <f t="shared" si="9"/>
        <v>1</v>
      </c>
      <c r="U12" s="33"/>
      <c r="V12" s="9">
        <f t="shared" si="10"/>
        <v>2024</v>
      </c>
      <c r="W12" s="31">
        <f>AVERAGEIF('Monthly Data'!B:B,B12,'Monthly Data'!AC:AC)</f>
        <v>40243.833333333336</v>
      </c>
      <c r="X12" s="32">
        <f t="shared" si="11"/>
        <v>1.0128481543624162</v>
      </c>
      <c r="Y12" s="33"/>
      <c r="Z12" s="9">
        <f t="shared" si="12"/>
        <v>2024</v>
      </c>
      <c r="AA12" s="31">
        <f>AVERAGEIF('Monthly Data'!B:B,Z12,'Monthly Data'!AH:AH)</f>
        <v>492.5</v>
      </c>
      <c r="AB12" s="32">
        <f t="shared" si="13"/>
        <v>0.98336106489184694</v>
      </c>
      <c r="AC12" s="33"/>
      <c r="AD12" s="9">
        <f t="shared" si="14"/>
        <v>2024</v>
      </c>
      <c r="AE12" s="31">
        <f>AVERAGEIF('Monthly Data'!B:B,B12,'Monthly Data'!AE:AE)</f>
        <v>1565.5833333333333</v>
      </c>
      <c r="AF12" s="32">
        <f t="shared" si="15"/>
        <v>1.0011190450815304</v>
      </c>
      <c r="AG12" s="33"/>
    </row>
    <row r="13" spans="1:33" s="25" customFormat="1" ht="15" x14ac:dyDescent="0.25">
      <c r="A13" s="7"/>
      <c r="B13" s="9">
        <f t="shared" si="0"/>
        <v>2025</v>
      </c>
      <c r="C13" s="31">
        <f>AVERAGEIF('Monthly Data'!B:B,B13,'Monthly Data'!G:G)</f>
        <v>153673.75</v>
      </c>
      <c r="D13" s="32">
        <f>C13/C12</f>
        <v>1.0053487101708907</v>
      </c>
      <c r="E13" s="33"/>
      <c r="F13" s="9">
        <f t="shared" si="2"/>
        <v>2025</v>
      </c>
      <c r="G13" s="31">
        <f>AVERAGEIF('Monthly Data'!B:B,B13,'Monthly Data'!K:K)</f>
        <v>13501.583333333334</v>
      </c>
      <c r="H13" s="32">
        <f>G13/G12</f>
        <v>1.0103265715907035</v>
      </c>
      <c r="I13" s="33"/>
      <c r="J13" s="9">
        <f t="shared" si="4"/>
        <v>2025</v>
      </c>
      <c r="K13" s="31">
        <f>AVERAGEIF('Monthly Data'!B:B,B13,'Monthly Data'!P:P)</f>
        <v>1519.8333333333333</v>
      </c>
      <c r="L13" s="32">
        <f>K13/K12</f>
        <v>1.0154223038806303</v>
      </c>
      <c r="M13" s="33"/>
      <c r="N13" s="9">
        <f t="shared" si="6"/>
        <v>2025</v>
      </c>
      <c r="O13" s="31">
        <f>AVERAGEIF('Monthly Data'!B:B,N13,'Monthly Data'!U:U)</f>
        <v>7</v>
      </c>
      <c r="P13" s="32">
        <f>O13/O12</f>
        <v>1</v>
      </c>
      <c r="Q13" s="33"/>
      <c r="R13" s="9">
        <f t="shared" si="8"/>
        <v>2025</v>
      </c>
      <c r="S13" s="31">
        <f>AVERAGEIF('Monthly Data'!B:B,R13,'Monthly Data'!Z:Z)</f>
        <v>2</v>
      </c>
      <c r="T13" s="32">
        <f>S13/S12</f>
        <v>1</v>
      </c>
      <c r="U13" s="33"/>
      <c r="V13" s="9">
        <f t="shared" si="10"/>
        <v>2025</v>
      </c>
      <c r="W13" s="31">
        <f>AVERAGEIF('Monthly Data'!B:B,B13,'Monthly Data'!AC:AC)</f>
        <v>40503.666666666664</v>
      </c>
      <c r="X13" s="32">
        <f>W13/W12</f>
        <v>1.0064564757333421</v>
      </c>
      <c r="Y13" s="33"/>
      <c r="Z13" s="9">
        <f t="shared" si="12"/>
        <v>2025</v>
      </c>
      <c r="AA13" s="31">
        <f>AVERAGEIF('Monthly Data'!B:B,Z13,'Monthly Data'!AH:AH)</f>
        <v>480.5</v>
      </c>
      <c r="AB13" s="32">
        <f>AA13/AA12</f>
        <v>0.97563451776649746</v>
      </c>
      <c r="AC13" s="33"/>
      <c r="AD13" s="9">
        <f t="shared" si="14"/>
        <v>2025</v>
      </c>
      <c r="AE13" s="31">
        <f>AVERAGEIF('Monthly Data'!B:B,B13,'Monthly Data'!AE:AE)</f>
        <v>1571.0833333333333</v>
      </c>
      <c r="AF13" s="32">
        <f>AE13/AE12</f>
        <v>1.0035130675467079</v>
      </c>
      <c r="AG13" s="33"/>
    </row>
    <row r="14" spans="1:33" x14ac:dyDescent="0.2">
      <c r="A14" s="7"/>
      <c r="B14" s="33">
        <f t="shared" si="0"/>
        <v>2026</v>
      </c>
      <c r="C14" s="34">
        <f>C13*D14</f>
        <v>154970.11436582473</v>
      </c>
      <c r="D14" s="35">
        <f>GEOMEAN(D10:D13)</f>
        <v>1.0084358217706324</v>
      </c>
      <c r="E14" s="33"/>
      <c r="F14" s="33">
        <f t="shared" si="2"/>
        <v>2026</v>
      </c>
      <c r="G14" s="34">
        <f>G13*H14</f>
        <v>13632.13765532813</v>
      </c>
      <c r="H14" s="35">
        <f>GEOMEAN(H10:H13)</f>
        <v>1.0096695564343536</v>
      </c>
      <c r="I14" s="33"/>
      <c r="J14" s="33">
        <f t="shared" si="4"/>
        <v>2026</v>
      </c>
      <c r="K14" s="34">
        <f>K13*L14</f>
        <v>1519.3337441572053</v>
      </c>
      <c r="L14" s="35">
        <f>GEOMEAN(L10:L13)</f>
        <v>0.99967128686733553</v>
      </c>
      <c r="M14" s="33"/>
      <c r="N14" s="33">
        <f t="shared" si="6"/>
        <v>2026</v>
      </c>
      <c r="O14" s="34">
        <f>O13*P14</f>
        <v>7</v>
      </c>
      <c r="P14" s="346">
        <v>1</v>
      </c>
      <c r="Q14" s="33"/>
      <c r="R14" s="33">
        <f t="shared" si="8"/>
        <v>2026</v>
      </c>
      <c r="S14" s="34">
        <f>S13*T14</f>
        <v>2</v>
      </c>
      <c r="T14" s="346">
        <v>1</v>
      </c>
      <c r="U14" s="33"/>
      <c r="V14" s="33">
        <f t="shared" si="10"/>
        <v>2026</v>
      </c>
      <c r="W14" s="34">
        <f>W13*X14</f>
        <v>41020.025683716136</v>
      </c>
      <c r="X14" s="35">
        <f>GEOMEAN(X10:X13)</f>
        <v>1.012748451178481</v>
      </c>
      <c r="Y14" s="33"/>
      <c r="Z14" s="33">
        <f t="shared" si="12"/>
        <v>2026</v>
      </c>
      <c r="AA14" s="34">
        <f>AA13*AB14</f>
        <v>473.29893611485244</v>
      </c>
      <c r="AB14" s="35">
        <f>GEOMEAN(AB10:AB13)</f>
        <v>0.98501339461988024</v>
      </c>
      <c r="AC14" s="33"/>
      <c r="AD14" s="33">
        <f t="shared" si="14"/>
        <v>2026</v>
      </c>
      <c r="AE14" s="34">
        <f>AE13*AF14</f>
        <v>1578.1836702052574</v>
      </c>
      <c r="AF14" s="35">
        <f>GEOMEAN(AF10:AF13)</f>
        <v>1.0045193890873119</v>
      </c>
      <c r="AG14" s="33"/>
    </row>
    <row r="15" spans="1:33" x14ac:dyDescent="0.2">
      <c r="A15" s="7"/>
      <c r="B15" s="33">
        <f t="shared" si="0"/>
        <v>2027</v>
      </c>
      <c r="C15" s="34">
        <f>C14*D15</f>
        <v>156277.41463038934</v>
      </c>
      <c r="D15" s="35">
        <f>D14</f>
        <v>1.0084358217706324</v>
      </c>
      <c r="E15" s="33"/>
      <c r="F15" s="33">
        <f>F14+1</f>
        <v>2027</v>
      </c>
      <c r="G15" s="34">
        <f>G14*H15</f>
        <v>13763.954379707202</v>
      </c>
      <c r="H15" s="35">
        <f>H14</f>
        <v>1.0096695564343536</v>
      </c>
      <c r="I15" s="33"/>
      <c r="J15" s="33">
        <f>J14+1</f>
        <v>2027</v>
      </c>
      <c r="K15" s="34">
        <f>K14*L15</f>
        <v>1518.8343192026005</v>
      </c>
      <c r="L15" s="35">
        <f>L14</f>
        <v>0.99967128686733553</v>
      </c>
      <c r="M15" s="33"/>
      <c r="N15" s="33">
        <f>N14+1</f>
        <v>2027</v>
      </c>
      <c r="O15" s="34">
        <f>O14*P15</f>
        <v>7</v>
      </c>
      <c r="P15" s="346">
        <f>P14</f>
        <v>1</v>
      </c>
      <c r="Q15" s="33"/>
      <c r="R15" s="33">
        <f>R14+1</f>
        <v>2027</v>
      </c>
      <c r="S15" s="34">
        <f>S14*T15</f>
        <v>2</v>
      </c>
      <c r="T15" s="346">
        <f>T14</f>
        <v>1</v>
      </c>
      <c r="U15" s="33"/>
      <c r="V15" s="33">
        <f>V14+1</f>
        <v>2027</v>
      </c>
      <c r="W15" s="34">
        <f>W14*X15</f>
        <v>41542.967478485029</v>
      </c>
      <c r="X15" s="35">
        <f>X14</f>
        <v>1.012748451178481</v>
      </c>
      <c r="Y15" s="33"/>
      <c r="Z15" s="33">
        <f>Z14+1</f>
        <v>2027</v>
      </c>
      <c r="AA15" s="34">
        <f>AA14*AB15</f>
        <v>466.20579173246864</v>
      </c>
      <c r="AB15" s="35">
        <f>AB14</f>
        <v>0.98501339461988024</v>
      </c>
      <c r="AC15" s="33"/>
      <c r="AD15" s="33">
        <f>AD14+1</f>
        <v>2027</v>
      </c>
      <c r="AE15" s="34">
        <f>AE14*AF15</f>
        <v>1585.3160962621569</v>
      </c>
      <c r="AF15" s="35">
        <f>AF14</f>
        <v>1.0045193890873119</v>
      </c>
    </row>
    <row r="16" spans="1:33" x14ac:dyDescent="0.2">
      <c r="B16" s="33"/>
      <c r="C16" s="34"/>
      <c r="D16" s="35"/>
      <c r="E16" s="33"/>
      <c r="F16" s="33"/>
      <c r="G16" s="34"/>
      <c r="H16" s="35"/>
      <c r="I16" s="33"/>
      <c r="J16" s="33"/>
      <c r="K16" s="34"/>
      <c r="L16" s="35"/>
      <c r="M16" s="33"/>
      <c r="N16" s="33"/>
      <c r="O16" s="34"/>
      <c r="P16" s="35"/>
      <c r="Q16" s="33"/>
      <c r="R16" s="33"/>
      <c r="S16" s="34"/>
      <c r="T16" s="35"/>
      <c r="U16" s="33"/>
      <c r="V16" s="33"/>
      <c r="W16" s="34"/>
      <c r="X16" s="35"/>
      <c r="Y16" s="33"/>
      <c r="Z16" s="33"/>
      <c r="AA16" s="34"/>
      <c r="AB16" s="35"/>
      <c r="AC16" s="33"/>
      <c r="AD16" s="33"/>
      <c r="AE16" s="34"/>
      <c r="AF16" s="35"/>
    </row>
    <row r="18" spans="1:57" x14ac:dyDescent="0.2">
      <c r="B18" s="33">
        <v>2025</v>
      </c>
      <c r="C18" s="34">
        <f>AVERAGE(C36:C47)</f>
        <v>153673.75</v>
      </c>
      <c r="D18" s="35">
        <f>C18/C12</f>
        <v>1.0053487101708907</v>
      </c>
      <c r="E18" s="33"/>
      <c r="F18" s="33">
        <v>2025</v>
      </c>
      <c r="G18" s="34">
        <f>AVERAGE(G36:G47)</f>
        <v>13501.583333333334</v>
      </c>
      <c r="H18" s="35">
        <f>G18/G12</f>
        <v>1.0103265715907035</v>
      </c>
      <c r="I18" s="33"/>
      <c r="J18" s="33">
        <v>2025</v>
      </c>
      <c r="K18" s="34">
        <f>AVERAGE(K36:K47)</f>
        <v>1519.8333333333333</v>
      </c>
      <c r="L18" s="35">
        <f>K18/K12</f>
        <v>1.0154223038806303</v>
      </c>
      <c r="M18" s="33"/>
      <c r="N18" s="33">
        <v>2025</v>
      </c>
      <c r="O18" s="34">
        <f>AVERAGE(O36:O47)</f>
        <v>7</v>
      </c>
      <c r="P18" s="35">
        <f>O18/O12</f>
        <v>1</v>
      </c>
      <c r="Q18" s="33"/>
      <c r="R18" s="33">
        <v>2025</v>
      </c>
      <c r="S18" s="34">
        <f>AVERAGE(S36:S47)</f>
        <v>2</v>
      </c>
      <c r="T18" s="35">
        <f>S18/S12</f>
        <v>1</v>
      </c>
      <c r="U18" s="33"/>
      <c r="V18" s="33">
        <v>2025</v>
      </c>
      <c r="W18" s="34">
        <f>AVERAGE(W36:W47)</f>
        <v>40503.666666666664</v>
      </c>
      <c r="X18" s="35">
        <f>W18/W12</f>
        <v>1.0064564757333421</v>
      </c>
      <c r="Y18" s="33"/>
      <c r="Z18" s="33">
        <v>2025</v>
      </c>
      <c r="AA18" s="34">
        <f>AVERAGE(AA36:AA47)</f>
        <v>480.5</v>
      </c>
      <c r="AB18" s="35">
        <f>AA18/AA12</f>
        <v>0.97563451776649746</v>
      </c>
      <c r="AC18" s="33"/>
      <c r="AD18" s="33">
        <v>2025</v>
      </c>
      <c r="AE18" s="34">
        <f>AVERAGE(AE36:AE47)</f>
        <v>1571.0833333333333</v>
      </c>
      <c r="AF18" s="35">
        <f>AE18/AE12</f>
        <v>1.0035130675467079</v>
      </c>
      <c r="AH18" s="22"/>
      <c r="AI18" s="23"/>
      <c r="AJ18" s="23"/>
    </row>
    <row r="19" spans="1:57" x14ac:dyDescent="0.2">
      <c r="B19" s="33">
        <v>2026</v>
      </c>
      <c r="C19" s="34">
        <f>AVERAGE(C48:C59)</f>
        <v>154970.01115234193</v>
      </c>
      <c r="D19" s="35">
        <f>C19/C18</f>
        <v>1.0084351501303375</v>
      </c>
      <c r="E19" s="33"/>
      <c r="F19" s="33">
        <v>2026</v>
      </c>
      <c r="G19" s="34">
        <f>AVERAGE(G48:G59)</f>
        <v>13632.133891195359</v>
      </c>
      <c r="H19" s="35">
        <f>G19/G18</f>
        <v>1.0096692776424019</v>
      </c>
      <c r="I19" s="33"/>
      <c r="J19" s="33">
        <v>2026</v>
      </c>
      <c r="K19" s="34">
        <f>AVERAGE(K48:K59)</f>
        <v>1519.3339641776456</v>
      </c>
      <c r="L19" s="35">
        <f>K19/K18</f>
        <v>0.9996714316334987</v>
      </c>
      <c r="M19" s="33"/>
      <c r="N19" s="33">
        <v>2026</v>
      </c>
      <c r="O19" s="34">
        <f>AVERAGE(O48:O59)</f>
        <v>7</v>
      </c>
      <c r="P19" s="35">
        <f>O19/O18</f>
        <v>1</v>
      </c>
      <c r="Q19" s="33"/>
      <c r="R19" s="33">
        <v>2026</v>
      </c>
      <c r="S19" s="34">
        <f>AVERAGE(S48:S59)</f>
        <v>2</v>
      </c>
      <c r="T19" s="35">
        <f>S19/S18</f>
        <v>1</v>
      </c>
      <c r="U19" s="33"/>
      <c r="V19" s="33">
        <v>2026</v>
      </c>
      <c r="W19" s="34">
        <f>AVERAGE(W48:W59)</f>
        <v>41020.076239334361</v>
      </c>
      <c r="X19" s="35">
        <f>W19/W18</f>
        <v>1.0127496993523475</v>
      </c>
      <c r="Y19" s="33"/>
      <c r="Z19" s="33">
        <v>2026</v>
      </c>
      <c r="AA19" s="34">
        <f>AVERAGE(AA48:AA59)</f>
        <v>473.30645228025463</v>
      </c>
      <c r="AB19" s="35">
        <f>AA19/AA18</f>
        <v>0.98502903700365163</v>
      </c>
      <c r="AC19" s="33"/>
      <c r="AD19" s="33">
        <v>2026</v>
      </c>
      <c r="AE19" s="34">
        <f>AVERAGE(AE48:AE59)</f>
        <v>1578.1819601971365</v>
      </c>
      <c r="AF19" s="35">
        <f>AE19/AE18</f>
        <v>1.004518300661202</v>
      </c>
      <c r="AH19" s="22"/>
      <c r="AI19" s="23"/>
      <c r="AJ19" s="23"/>
    </row>
    <row r="20" spans="1:57" x14ac:dyDescent="0.2">
      <c r="B20" s="33">
        <v>2027</v>
      </c>
      <c r="C20" s="34">
        <f>AVERAGE(C60:C71)</f>
        <v>156277.31054621629</v>
      </c>
      <c r="D20" s="35">
        <f>C20/C19</f>
        <v>1.0084358217706342</v>
      </c>
      <c r="E20" s="33"/>
      <c r="F20" s="33">
        <v>2027</v>
      </c>
      <c r="G20" s="34">
        <f>AVERAGE(G60:G71)</f>
        <v>13763.950579176928</v>
      </c>
      <c r="H20" s="35">
        <f>G20/G19</f>
        <v>1.009669556434353</v>
      </c>
      <c r="I20" s="33"/>
      <c r="J20" s="33">
        <v>2027</v>
      </c>
      <c r="K20" s="34">
        <f>AVERAGE(K60:K71)</f>
        <v>1518.834539150718</v>
      </c>
      <c r="L20" s="35">
        <f>K20/K19</f>
        <v>0.99967128686733597</v>
      </c>
      <c r="M20" s="33"/>
      <c r="N20" s="33">
        <v>2027</v>
      </c>
      <c r="O20" s="34">
        <f>AVERAGE(O60:O71)</f>
        <v>7</v>
      </c>
      <c r="P20" s="35">
        <f>O20/O19</f>
        <v>1</v>
      </c>
      <c r="Q20" s="33"/>
      <c r="R20" s="33">
        <v>2027</v>
      </c>
      <c r="S20" s="34">
        <f>AVERAGE(S60:S71)</f>
        <v>2</v>
      </c>
      <c r="T20" s="35">
        <f>S20/S19</f>
        <v>1</v>
      </c>
      <c r="U20" s="33"/>
      <c r="V20" s="33">
        <v>2027</v>
      </c>
      <c r="W20" s="34">
        <f>AVERAGE(W60:W71)</f>
        <v>41543.018678609114</v>
      </c>
      <c r="X20" s="35">
        <f>W20/W19</f>
        <v>1.0127484511784817</v>
      </c>
      <c r="Y20" s="33"/>
      <c r="Z20" s="33">
        <v>2027</v>
      </c>
      <c r="AA20" s="34">
        <f>AVERAGE(AA60:AA71)</f>
        <v>466.21319525606583</v>
      </c>
      <c r="AB20" s="35">
        <f>AA20/AA19</f>
        <v>0.98501339461987991</v>
      </c>
      <c r="AC20" s="33"/>
      <c r="AD20" s="33">
        <v>2027</v>
      </c>
      <c r="AE20" s="34">
        <f>AVERAGE(AE60:AE71)</f>
        <v>1585.3143785258426</v>
      </c>
      <c r="AF20" s="35">
        <f>AE20/AE19</f>
        <v>1.004519389087311</v>
      </c>
      <c r="AH20" s="22"/>
      <c r="AI20" s="23"/>
      <c r="AJ20" s="23"/>
    </row>
    <row r="22" spans="1:57" ht="15" x14ac:dyDescent="0.25">
      <c r="A22" s="70" t="s">
        <v>190</v>
      </c>
      <c r="C22" s="71" t="str">
        <f>IF(ROUND(C19,0)=ROUND(C14,0),IF(ROUND(C20,0)=ROUND(C15,0),"Match","Check"),"Check")</f>
        <v>Match</v>
      </c>
      <c r="G22" s="71" t="str">
        <f>IF(ROUND(G19,0)=ROUND(G14,0),IF(ROUND(G20,0)=ROUND(G15,0),"Match","Check"),"Check")</f>
        <v>Match</v>
      </c>
      <c r="K22" s="71" t="str">
        <f>IF(ROUND(K19,0)=ROUND(K14,0),IF(ROUND(K20,0)=ROUND(K15,0),"Match","Check"),"Check")</f>
        <v>Match</v>
      </c>
      <c r="O22" s="71" t="str">
        <f>IF(ROUND(O19,0)=ROUND(O14,0),IF(ROUND(O20,0)=ROUND(O15,0),"Match","Check"),"Check")</f>
        <v>Match</v>
      </c>
      <c r="S22" s="71" t="str">
        <f>IF(ROUND(S19,0)=ROUND(S14,0),IF(ROUND(S20,0)=ROUND(S15,0),"Match","Check"),"Check")</f>
        <v>Match</v>
      </c>
      <c r="W22" s="71" t="str">
        <f>IF(ROUND(W19,0)=ROUND(W14,0),IF(ROUND(W20,0)=ROUND(W15,0),"Match","Check"),"Check")</f>
        <v>Match</v>
      </c>
      <c r="AA22" s="71" t="str">
        <f>IF(ROUND(AA19,0)=ROUND(AA14,0),IF(ROUND(AA20,0)=ROUND(AA15,0),"Match","Check"),"Check")</f>
        <v>Match</v>
      </c>
      <c r="AE22" s="71" t="str">
        <f>IF(ROUND(AE19,0)=ROUND(AE14,0),IF(ROUND(AE20,0)=ROUND(AE15,0),"Match","Check"),"Check")</f>
        <v>Match</v>
      </c>
    </row>
    <row r="23" spans="1:57" ht="15" x14ac:dyDescent="0.25">
      <c r="A23" s="25"/>
      <c r="C23" s="71"/>
      <c r="G23" s="71"/>
      <c r="H23" s="23"/>
      <c r="K23" s="71"/>
      <c r="O23" s="71"/>
      <c r="S23" s="71"/>
      <c r="W23" s="71"/>
      <c r="AA23" s="71"/>
      <c r="AE23" s="71"/>
      <c r="AI23" s="71"/>
      <c r="AM23" s="25"/>
      <c r="AO23" s="71"/>
      <c r="AS23" s="71"/>
      <c r="AW23" s="71"/>
      <c r="AX23" s="71"/>
      <c r="BA23" s="71"/>
      <c r="BE23" s="71"/>
    </row>
    <row r="24" spans="1:57" x14ac:dyDescent="0.2">
      <c r="A24">
        <v>2024</v>
      </c>
      <c r="B24" t="s">
        <v>43</v>
      </c>
      <c r="C24" s="13">
        <f>'Monthly Data'!G86</f>
        <v>152450</v>
      </c>
      <c r="D24" s="57"/>
      <c r="E24" s="63"/>
      <c r="F24" s="63"/>
      <c r="G24" s="13">
        <f>'Monthly Data'!K86</f>
        <v>13260</v>
      </c>
      <c r="H24" s="57"/>
      <c r="I24" s="63"/>
      <c r="J24" s="63"/>
      <c r="K24" s="13">
        <f>'Monthly Data'!P86</f>
        <v>1481</v>
      </c>
      <c r="L24" s="57"/>
      <c r="M24" s="63"/>
      <c r="N24" s="63"/>
      <c r="O24" s="13">
        <f>'Monthly Data'!U86</f>
        <v>7</v>
      </c>
      <c r="P24" s="57"/>
      <c r="Q24" s="63"/>
      <c r="R24" s="63"/>
      <c r="S24" s="13">
        <f>'Monthly Data'!Z86</f>
        <v>2</v>
      </c>
      <c r="T24" s="57"/>
      <c r="U24" s="63"/>
      <c r="V24" s="63"/>
      <c r="W24" s="13">
        <f>'Monthly Data'!AC86</f>
        <v>40063</v>
      </c>
      <c r="X24" s="23"/>
      <c r="Y24" s="63"/>
      <c r="Z24" s="63"/>
      <c r="AA24" s="13">
        <f>'Monthly Data'!AH86</f>
        <v>496</v>
      </c>
      <c r="AB24" s="23"/>
      <c r="AC24" s="63"/>
      <c r="AD24" s="63"/>
      <c r="AE24" s="13">
        <f>'Monthly Data'!AE86</f>
        <v>1564</v>
      </c>
      <c r="AF24" s="23"/>
    </row>
    <row r="25" spans="1:57" x14ac:dyDescent="0.2">
      <c r="B25" t="s">
        <v>44</v>
      </c>
      <c r="C25" s="13">
        <f>'Monthly Data'!G87</f>
        <v>152507</v>
      </c>
      <c r="D25" s="57">
        <f>C25/C24</f>
        <v>1.0003738930796982</v>
      </c>
      <c r="E25" s="63"/>
      <c r="F25" s="63"/>
      <c r="G25" s="13">
        <f>'Monthly Data'!K87</f>
        <v>13273</v>
      </c>
      <c r="H25" s="57">
        <f>G25/G24</f>
        <v>1.0009803921568627</v>
      </c>
      <c r="I25" s="63"/>
      <c r="J25" s="63"/>
      <c r="K25" s="13">
        <f>'Monthly Data'!P87</f>
        <v>1482</v>
      </c>
      <c r="L25" s="57">
        <f>K25/K24</f>
        <v>1.00067521944632</v>
      </c>
      <c r="M25" s="63"/>
      <c r="N25" s="63"/>
      <c r="O25" s="13">
        <f>'Monthly Data'!U87</f>
        <v>7</v>
      </c>
      <c r="P25" s="57">
        <f>O25/O24</f>
        <v>1</v>
      </c>
      <c r="Q25" s="63"/>
      <c r="R25" s="63"/>
      <c r="S25" s="13">
        <f>'Monthly Data'!Z87</f>
        <v>2</v>
      </c>
      <c r="T25" s="57">
        <f>S25/S24</f>
        <v>1</v>
      </c>
      <c r="U25" s="63"/>
      <c r="V25" s="63"/>
      <c r="W25" s="13">
        <f>'Monthly Data'!AC87</f>
        <v>40049</v>
      </c>
      <c r="X25" s="23">
        <f>W25/W24</f>
        <v>0.99965055038314654</v>
      </c>
      <c r="Y25" s="63"/>
      <c r="Z25" s="63"/>
      <c r="AA25" s="13">
        <f>'Monthly Data'!AH87</f>
        <v>496</v>
      </c>
      <c r="AB25" s="23">
        <f>AA25/AA24</f>
        <v>1</v>
      </c>
      <c r="AC25" s="63"/>
      <c r="AD25" s="63"/>
      <c r="AE25" s="13">
        <f>'Monthly Data'!AE87</f>
        <v>1568</v>
      </c>
      <c r="AF25" s="23">
        <f>AE25/AE24</f>
        <v>1.0025575447570332</v>
      </c>
    </row>
    <row r="26" spans="1:57" x14ac:dyDescent="0.2">
      <c r="B26" t="s">
        <v>45</v>
      </c>
      <c r="C26" s="13">
        <f>'Monthly Data'!G88</f>
        <v>152573</v>
      </c>
      <c r="D26" s="57">
        <f>C26/C25</f>
        <v>1.0004327670205302</v>
      </c>
      <c r="E26" s="63"/>
      <c r="F26" s="63"/>
      <c r="G26" s="13">
        <f>'Monthly Data'!K88</f>
        <v>13289</v>
      </c>
      <c r="H26" s="57">
        <f>G26/G25</f>
        <v>1.001205454682438</v>
      </c>
      <c r="I26" s="63"/>
      <c r="J26" s="63"/>
      <c r="K26" s="13">
        <f>'Monthly Data'!P88</f>
        <v>1485</v>
      </c>
      <c r="L26" s="57">
        <f>K26/K25</f>
        <v>1.0020242914979758</v>
      </c>
      <c r="M26" s="63"/>
      <c r="N26" s="63"/>
      <c r="O26" s="13">
        <f>'Monthly Data'!U88</f>
        <v>7</v>
      </c>
      <c r="P26" s="57">
        <f>O26/O25</f>
        <v>1</v>
      </c>
      <c r="Q26" s="63"/>
      <c r="R26" s="63"/>
      <c r="S26" s="13">
        <f>'Monthly Data'!Z88</f>
        <v>2</v>
      </c>
      <c r="T26" s="57">
        <f>S26/S25</f>
        <v>1</v>
      </c>
      <c r="U26" s="63"/>
      <c r="V26" s="63"/>
      <c r="W26" s="13">
        <f>'Monthly Data'!AC88</f>
        <v>40116</v>
      </c>
      <c r="X26" s="23">
        <f>W26/W25</f>
        <v>1.0016729506354716</v>
      </c>
      <c r="Y26" s="63"/>
      <c r="Z26" s="63"/>
      <c r="AA26" s="13">
        <f>'Monthly Data'!AH88</f>
        <v>496</v>
      </c>
      <c r="AB26" s="23">
        <f>AA26/AA25</f>
        <v>1</v>
      </c>
      <c r="AC26" s="63"/>
      <c r="AD26" s="63"/>
      <c r="AE26" s="13">
        <f>'Monthly Data'!AE88</f>
        <v>1568</v>
      </c>
      <c r="AF26" s="23">
        <f>AE26/AE25</f>
        <v>1</v>
      </c>
    </row>
    <row r="27" spans="1:57" x14ac:dyDescent="0.2">
      <c r="B27" t="s">
        <v>46</v>
      </c>
      <c r="C27" s="13">
        <f>'Monthly Data'!G89</f>
        <v>152751</v>
      </c>
      <c r="D27" s="57">
        <f>C27/C26</f>
        <v>1.0011666546505607</v>
      </c>
      <c r="E27" s="63"/>
      <c r="F27" s="63"/>
      <c r="G27" s="13">
        <f>'Monthly Data'!K89</f>
        <v>13304</v>
      </c>
      <c r="H27" s="57">
        <f>G27/G26</f>
        <v>1.0011287531040711</v>
      </c>
      <c r="I27" s="63"/>
      <c r="J27" s="63"/>
      <c r="K27" s="13">
        <f>'Monthly Data'!P89</f>
        <v>1487</v>
      </c>
      <c r="L27" s="57">
        <f>K27/K26</f>
        <v>1.0013468013468014</v>
      </c>
      <c r="M27" s="63"/>
      <c r="N27" s="63"/>
      <c r="O27" s="13">
        <f>'Monthly Data'!U89</f>
        <v>7</v>
      </c>
      <c r="P27" s="57">
        <f>O27/O26</f>
        <v>1</v>
      </c>
      <c r="Q27" s="63"/>
      <c r="R27" s="63"/>
      <c r="S27" s="13">
        <f>'Monthly Data'!Z89</f>
        <v>2</v>
      </c>
      <c r="T27" s="57">
        <f>S27/S26</f>
        <v>1</v>
      </c>
      <c r="U27" s="63"/>
      <c r="V27" s="63"/>
      <c r="W27" s="13">
        <f>'Monthly Data'!AC89</f>
        <v>40178</v>
      </c>
      <c r="X27" s="23">
        <f>W27/W26</f>
        <v>1.0015455179978063</v>
      </c>
      <c r="Y27" s="63"/>
      <c r="Z27" s="63"/>
      <c r="AA27" s="13">
        <f>'Monthly Data'!AH89</f>
        <v>494</v>
      </c>
      <c r="AB27" s="23">
        <f>AA27/AA26</f>
        <v>0.99596774193548387</v>
      </c>
      <c r="AC27" s="63"/>
      <c r="AD27" s="63"/>
      <c r="AE27" s="13">
        <f>'Monthly Data'!AE89</f>
        <v>1565</v>
      </c>
      <c r="AF27" s="23">
        <f>AE27/AE26</f>
        <v>0.99808673469387754</v>
      </c>
    </row>
    <row r="28" spans="1:57" x14ac:dyDescent="0.2">
      <c r="B28" t="s">
        <v>47</v>
      </c>
      <c r="C28" s="13">
        <f>'Monthly Data'!G90</f>
        <v>152743</v>
      </c>
      <c r="D28" s="57">
        <f>C28/C27</f>
        <v>0.99994762718411012</v>
      </c>
      <c r="E28" s="63"/>
      <c r="F28" s="63"/>
      <c r="G28" s="13">
        <f>'Monthly Data'!K90</f>
        <v>13362</v>
      </c>
      <c r="H28" s="57">
        <f>G28/G27</f>
        <v>1.0043595911004208</v>
      </c>
      <c r="I28" s="63"/>
      <c r="J28" s="63"/>
      <c r="K28" s="13">
        <f>'Monthly Data'!P90</f>
        <v>1493</v>
      </c>
      <c r="L28" s="57">
        <f>K28/K27</f>
        <v>1.0040349697377269</v>
      </c>
      <c r="M28" s="63"/>
      <c r="N28" s="63"/>
      <c r="O28" s="13">
        <f>'Monthly Data'!U90</f>
        <v>7</v>
      </c>
      <c r="P28" s="57">
        <f>O28/O27</f>
        <v>1</v>
      </c>
      <c r="Q28" s="63"/>
      <c r="R28" s="63"/>
      <c r="S28" s="13">
        <f>'Monthly Data'!Z90</f>
        <v>2</v>
      </c>
      <c r="T28" s="57">
        <f>S28/S27</f>
        <v>1</v>
      </c>
      <c r="U28" s="63"/>
      <c r="V28" s="63"/>
      <c r="W28" s="13">
        <f>'Monthly Data'!AC90</f>
        <v>40178</v>
      </c>
      <c r="X28" s="23">
        <f>W28/W27</f>
        <v>1</v>
      </c>
      <c r="Y28" s="63"/>
      <c r="Z28" s="63"/>
      <c r="AA28" s="13">
        <f>'Monthly Data'!AH90</f>
        <v>494</v>
      </c>
      <c r="AB28" s="23">
        <f>AA28/AA27</f>
        <v>1</v>
      </c>
      <c r="AC28" s="63"/>
      <c r="AD28" s="63"/>
      <c r="AE28" s="13">
        <f>'Monthly Data'!AE90</f>
        <v>1566</v>
      </c>
      <c r="AF28" s="23">
        <f>AE28/AE27</f>
        <v>1.0006389776357827</v>
      </c>
    </row>
    <row r="29" spans="1:57" x14ac:dyDescent="0.2">
      <c r="B29" t="s">
        <v>48</v>
      </c>
      <c r="C29" s="13">
        <f>'Monthly Data'!G91</f>
        <v>152735</v>
      </c>
      <c r="D29" s="57">
        <f>C29/C28</f>
        <v>0.99994762444105456</v>
      </c>
      <c r="E29" s="63"/>
      <c r="F29" s="63"/>
      <c r="G29" s="13">
        <f>'Monthly Data'!K91</f>
        <v>13372</v>
      </c>
      <c r="H29" s="57">
        <f>G29/G28</f>
        <v>1.0007483909594372</v>
      </c>
      <c r="I29" s="63"/>
      <c r="J29" s="63"/>
      <c r="K29" s="13">
        <f>'Monthly Data'!P91</f>
        <v>1494</v>
      </c>
      <c r="L29" s="57">
        <f>K29/K28</f>
        <v>1.000669792364367</v>
      </c>
      <c r="M29" s="63"/>
      <c r="N29" s="63"/>
      <c r="O29" s="13">
        <f>'Monthly Data'!U91</f>
        <v>7</v>
      </c>
      <c r="P29" s="57">
        <f>O29/O28</f>
        <v>1</v>
      </c>
      <c r="Q29" s="63"/>
      <c r="R29" s="63"/>
      <c r="S29" s="13">
        <f>'Monthly Data'!Z91</f>
        <v>2</v>
      </c>
      <c r="T29" s="57">
        <f>S29/S28</f>
        <v>1</v>
      </c>
      <c r="U29" s="63"/>
      <c r="V29" s="63"/>
      <c r="W29" s="13">
        <f>'Monthly Data'!AC91</f>
        <v>40247</v>
      </c>
      <c r="X29" s="23">
        <f>W29/W28</f>
        <v>1.001717357757977</v>
      </c>
      <c r="Y29" s="63"/>
      <c r="Z29" s="63"/>
      <c r="AA29" s="13">
        <f>'Monthly Data'!AH91</f>
        <v>494</v>
      </c>
      <c r="AB29" s="23">
        <f>AA29/AA28</f>
        <v>1</v>
      </c>
      <c r="AC29" s="63"/>
      <c r="AD29" s="63"/>
      <c r="AE29" s="13">
        <f>'Monthly Data'!AE91</f>
        <v>1566</v>
      </c>
      <c r="AF29" s="23">
        <f>AE29/AE28</f>
        <v>1</v>
      </c>
    </row>
    <row r="30" spans="1:57" x14ac:dyDescent="0.2">
      <c r="B30" t="s">
        <v>49</v>
      </c>
      <c r="C30" s="13">
        <f>'Monthly Data'!G92</f>
        <v>152859</v>
      </c>
      <c r="D30" s="57">
        <f t="shared" ref="D30:D35" si="16">C30/C29</f>
        <v>1.0008118636854684</v>
      </c>
      <c r="E30" s="63"/>
      <c r="F30" s="63"/>
      <c r="G30" s="13">
        <f>'Monthly Data'!K92</f>
        <v>13392</v>
      </c>
      <c r="H30" s="57">
        <f t="shared" ref="H30:H54" si="17">G30/G29</f>
        <v>1.0014956625785223</v>
      </c>
      <c r="I30" s="63"/>
      <c r="J30" s="63"/>
      <c r="K30" s="13">
        <f>'Monthly Data'!P92</f>
        <v>1496</v>
      </c>
      <c r="L30" s="57">
        <f t="shared" ref="L30:L54" si="18">K30/K29</f>
        <v>1.0013386880856761</v>
      </c>
      <c r="M30" s="63"/>
      <c r="N30" s="63"/>
      <c r="O30" s="13">
        <f>'Monthly Data'!U92</f>
        <v>7</v>
      </c>
      <c r="P30" s="57">
        <f t="shared" ref="P30:P54" si="19">O30/O29</f>
        <v>1</v>
      </c>
      <c r="Q30" s="63"/>
      <c r="R30" s="63"/>
      <c r="S30" s="13">
        <f>'Monthly Data'!Z92</f>
        <v>2</v>
      </c>
      <c r="T30" s="57">
        <f t="shared" ref="T30:T54" si="20">S30/S29</f>
        <v>1</v>
      </c>
      <c r="U30" s="63"/>
      <c r="V30" s="63"/>
      <c r="W30" s="13">
        <f>'Monthly Data'!AC92</f>
        <v>40308</v>
      </c>
      <c r="X30" s="23">
        <f t="shared" ref="X30:X54" si="21">W30/W29</f>
        <v>1.0015156409173354</v>
      </c>
      <c r="Y30" s="63"/>
      <c r="Z30" s="63"/>
      <c r="AA30" s="13">
        <f>'Monthly Data'!AH92</f>
        <v>494</v>
      </c>
      <c r="AB30" s="23">
        <f t="shared" ref="AB30:AB54" si="22">AA30/AA29</f>
        <v>1</v>
      </c>
      <c r="AC30" s="63"/>
      <c r="AD30" s="63"/>
      <c r="AE30" s="13">
        <f>'Monthly Data'!AE92</f>
        <v>1566</v>
      </c>
      <c r="AF30" s="23">
        <f t="shared" ref="AF30:AF54" si="23">AE30/AE29</f>
        <v>1</v>
      </c>
    </row>
    <row r="31" spans="1:57" x14ac:dyDescent="0.2">
      <c r="B31" t="s">
        <v>50</v>
      </c>
      <c r="C31" s="13">
        <f>'Monthly Data'!G93</f>
        <v>152895</v>
      </c>
      <c r="D31" s="57">
        <f t="shared" si="16"/>
        <v>1.0002355111573411</v>
      </c>
      <c r="E31" s="63"/>
      <c r="F31" s="63"/>
      <c r="G31" s="13">
        <f>'Monthly Data'!K93</f>
        <v>13425</v>
      </c>
      <c r="H31" s="57">
        <f t="shared" si="17"/>
        <v>1.0024641577060931</v>
      </c>
      <c r="I31" s="63"/>
      <c r="J31" s="63"/>
      <c r="K31" s="13">
        <f>'Monthly Data'!P93</f>
        <v>1503</v>
      </c>
      <c r="L31" s="57">
        <f t="shared" si="18"/>
        <v>1.0046791443850267</v>
      </c>
      <c r="M31" s="63"/>
      <c r="N31" s="63"/>
      <c r="O31" s="13">
        <f>'Monthly Data'!U93</f>
        <v>7</v>
      </c>
      <c r="P31" s="57">
        <f t="shared" si="19"/>
        <v>1</v>
      </c>
      <c r="Q31" s="63"/>
      <c r="R31" s="63"/>
      <c r="S31" s="13">
        <f>'Monthly Data'!Z93</f>
        <v>2</v>
      </c>
      <c r="T31" s="57">
        <f t="shared" si="20"/>
        <v>1</v>
      </c>
      <c r="U31" s="63"/>
      <c r="V31" s="63"/>
      <c r="W31" s="13">
        <f>'Monthly Data'!AC93</f>
        <v>40354</v>
      </c>
      <c r="X31" s="23">
        <f t="shared" si="21"/>
        <v>1.0011412126624988</v>
      </c>
      <c r="Y31" s="63"/>
      <c r="Z31" s="63"/>
      <c r="AA31" s="13">
        <f>'Monthly Data'!AH93</f>
        <v>494</v>
      </c>
      <c r="AB31" s="23">
        <f t="shared" si="22"/>
        <v>1</v>
      </c>
      <c r="AC31" s="63"/>
      <c r="AD31" s="63"/>
      <c r="AE31" s="13">
        <f>'Monthly Data'!AE93</f>
        <v>1564</v>
      </c>
      <c r="AF31" s="23">
        <f t="shared" si="23"/>
        <v>0.99872286079182626</v>
      </c>
    </row>
    <row r="32" spans="1:57" x14ac:dyDescent="0.2">
      <c r="B32" t="s">
        <v>164</v>
      </c>
      <c r="C32" s="13">
        <f>'Monthly Data'!G94</f>
        <v>153070</v>
      </c>
      <c r="D32" s="57">
        <f t="shared" si="16"/>
        <v>1.0011445763432421</v>
      </c>
      <c r="E32" s="63"/>
      <c r="F32" s="63"/>
      <c r="G32" s="13">
        <f>'Monthly Data'!K94</f>
        <v>13423</v>
      </c>
      <c r="H32" s="57">
        <f t="shared" si="17"/>
        <v>0.99985102420856609</v>
      </c>
      <c r="I32" s="63"/>
      <c r="J32" s="63"/>
      <c r="K32" s="13">
        <f>'Monthly Data'!P94</f>
        <v>1506</v>
      </c>
      <c r="L32" s="57">
        <f t="shared" si="18"/>
        <v>1.001996007984032</v>
      </c>
      <c r="M32" s="63"/>
      <c r="N32" s="63"/>
      <c r="O32" s="13">
        <f>'Monthly Data'!U94</f>
        <v>7</v>
      </c>
      <c r="P32" s="57">
        <f t="shared" si="19"/>
        <v>1</v>
      </c>
      <c r="Q32" s="63"/>
      <c r="R32" s="63"/>
      <c r="S32" s="13">
        <f>'Monthly Data'!Z94</f>
        <v>2</v>
      </c>
      <c r="T32" s="57">
        <f t="shared" si="20"/>
        <v>1</v>
      </c>
      <c r="U32" s="63"/>
      <c r="V32" s="63"/>
      <c r="W32" s="13">
        <f>'Monthly Data'!AC94</f>
        <v>40354</v>
      </c>
      <c r="X32" s="23">
        <f t="shared" si="21"/>
        <v>1</v>
      </c>
      <c r="Y32" s="63"/>
      <c r="Z32" s="63"/>
      <c r="AA32" s="13">
        <f>'Monthly Data'!AH94</f>
        <v>488</v>
      </c>
      <c r="AB32" s="23">
        <f t="shared" si="22"/>
        <v>0.98785425101214575</v>
      </c>
      <c r="AC32" s="63"/>
      <c r="AD32" s="63"/>
      <c r="AE32" s="13">
        <f>'Monthly Data'!AE94</f>
        <v>1565</v>
      </c>
      <c r="AF32" s="23">
        <f t="shared" si="23"/>
        <v>1.0006393861892584</v>
      </c>
    </row>
    <row r="33" spans="1:32" x14ac:dyDescent="0.2">
      <c r="B33" t="s">
        <v>52</v>
      </c>
      <c r="C33" s="13">
        <f>'Monthly Data'!G95</f>
        <v>153181</v>
      </c>
      <c r="D33" s="57">
        <f t="shared" si="16"/>
        <v>1.0007251584242502</v>
      </c>
      <c r="E33" s="63"/>
      <c r="F33" s="63"/>
      <c r="G33" s="13">
        <f>'Monthly Data'!K95</f>
        <v>13416</v>
      </c>
      <c r="H33" s="57">
        <f t="shared" si="17"/>
        <v>0.99947850704015495</v>
      </c>
      <c r="I33" s="63"/>
      <c r="J33" s="63"/>
      <c r="K33" s="13">
        <f>'Monthly Data'!P95</f>
        <v>1508</v>
      </c>
      <c r="L33" s="57">
        <f t="shared" si="18"/>
        <v>1.00132802124834</v>
      </c>
      <c r="M33" s="63"/>
      <c r="N33" s="63"/>
      <c r="O33" s="13">
        <f>'Monthly Data'!U95</f>
        <v>7</v>
      </c>
      <c r="P33" s="57">
        <f t="shared" si="19"/>
        <v>1</v>
      </c>
      <c r="Q33" s="63"/>
      <c r="R33" s="63"/>
      <c r="S33" s="13">
        <f>'Monthly Data'!Z95</f>
        <v>2</v>
      </c>
      <c r="T33" s="57">
        <f t="shared" si="20"/>
        <v>1</v>
      </c>
      <c r="U33" s="63"/>
      <c r="V33" s="63"/>
      <c r="W33" s="13">
        <f>'Monthly Data'!AC95</f>
        <v>40354</v>
      </c>
      <c r="X33" s="23">
        <f t="shared" si="21"/>
        <v>1</v>
      </c>
      <c r="Y33" s="63"/>
      <c r="Z33" s="63"/>
      <c r="AA33" s="13">
        <f>'Monthly Data'!AH95</f>
        <v>488</v>
      </c>
      <c r="AB33" s="23">
        <f t="shared" si="22"/>
        <v>1</v>
      </c>
      <c r="AC33" s="63"/>
      <c r="AD33" s="63"/>
      <c r="AE33" s="13">
        <f>'Monthly Data'!AE95</f>
        <v>1565</v>
      </c>
      <c r="AF33" s="23">
        <f t="shared" si="23"/>
        <v>1</v>
      </c>
    </row>
    <row r="34" spans="1:32" x14ac:dyDescent="0.2">
      <c r="B34" t="s">
        <v>53</v>
      </c>
      <c r="C34" s="13">
        <f>'Monthly Data'!G96</f>
        <v>153239</v>
      </c>
      <c r="D34" s="57">
        <f t="shared" si="16"/>
        <v>1.0003786370372305</v>
      </c>
      <c r="E34" s="63"/>
      <c r="F34" s="63"/>
      <c r="G34" s="13">
        <f>'Monthly Data'!K96</f>
        <v>13418</v>
      </c>
      <c r="H34" s="57">
        <f t="shared" si="17"/>
        <v>1.0001490757304712</v>
      </c>
      <c r="I34" s="63"/>
      <c r="J34" s="63"/>
      <c r="K34" s="13">
        <f>'Monthly Data'!P96</f>
        <v>1511</v>
      </c>
      <c r="L34" s="57">
        <f t="shared" si="18"/>
        <v>1.0019893899204244</v>
      </c>
      <c r="M34" s="63"/>
      <c r="N34" s="63"/>
      <c r="O34" s="13">
        <f>'Monthly Data'!U96</f>
        <v>7</v>
      </c>
      <c r="P34" s="57">
        <f t="shared" si="19"/>
        <v>1</v>
      </c>
      <c r="Q34" s="63"/>
      <c r="R34" s="63"/>
      <c r="S34" s="13">
        <f>'Monthly Data'!Z96</f>
        <v>2</v>
      </c>
      <c r="T34" s="57">
        <f t="shared" si="20"/>
        <v>1</v>
      </c>
      <c r="U34" s="63"/>
      <c r="V34" s="63"/>
      <c r="W34" s="13">
        <f>'Monthly Data'!AC96</f>
        <v>40354</v>
      </c>
      <c r="X34" s="23">
        <f t="shared" si="21"/>
        <v>1</v>
      </c>
      <c r="Y34" s="63"/>
      <c r="Z34" s="63"/>
      <c r="AA34" s="13">
        <f>'Monthly Data'!AH96</f>
        <v>488</v>
      </c>
      <c r="AB34" s="23">
        <f t="shared" si="22"/>
        <v>1</v>
      </c>
      <c r="AC34" s="63"/>
      <c r="AD34" s="63"/>
      <c r="AE34" s="13">
        <f>'Monthly Data'!AE96</f>
        <v>1565</v>
      </c>
      <c r="AF34" s="23">
        <f t="shared" si="23"/>
        <v>1</v>
      </c>
    </row>
    <row r="35" spans="1:32" x14ac:dyDescent="0.2">
      <c r="B35" t="s">
        <v>54</v>
      </c>
      <c r="C35" s="13">
        <f>'Monthly Data'!G97</f>
        <v>153271</v>
      </c>
      <c r="D35" s="57">
        <f t="shared" si="16"/>
        <v>1.0002088241244069</v>
      </c>
      <c r="E35" s="63"/>
      <c r="F35" s="63"/>
      <c r="G35" s="13">
        <f>'Monthly Data'!K97</f>
        <v>13429</v>
      </c>
      <c r="H35" s="57">
        <f t="shared" si="17"/>
        <v>1.0008197943061559</v>
      </c>
      <c r="I35" s="63"/>
      <c r="J35" s="63"/>
      <c r="K35" s="13">
        <f>'Monthly Data'!P97</f>
        <v>1515</v>
      </c>
      <c r="L35" s="57">
        <f t="shared" si="18"/>
        <v>1.0026472534745201</v>
      </c>
      <c r="M35" s="63"/>
      <c r="N35" s="63"/>
      <c r="O35" s="13">
        <f>'Monthly Data'!U97</f>
        <v>7</v>
      </c>
      <c r="P35" s="57">
        <f t="shared" si="19"/>
        <v>1</v>
      </c>
      <c r="Q35" s="63"/>
      <c r="R35" s="63"/>
      <c r="S35" s="13">
        <f>'Monthly Data'!Z97</f>
        <v>2</v>
      </c>
      <c r="T35" s="57">
        <f t="shared" si="20"/>
        <v>1</v>
      </c>
      <c r="U35" s="63"/>
      <c r="V35" s="63"/>
      <c r="W35" s="13">
        <f>'Monthly Data'!AC97</f>
        <v>40371</v>
      </c>
      <c r="X35" s="23">
        <f t="shared" si="21"/>
        <v>1.0004212717450562</v>
      </c>
      <c r="Y35" s="63"/>
      <c r="Z35" s="63"/>
      <c r="AA35" s="13">
        <f>'Monthly Data'!AH97</f>
        <v>488</v>
      </c>
      <c r="AB35" s="23">
        <f t="shared" si="22"/>
        <v>1</v>
      </c>
      <c r="AC35" s="63"/>
      <c r="AD35" s="63"/>
      <c r="AE35" s="13">
        <f>'Monthly Data'!AE97</f>
        <v>1565</v>
      </c>
      <c r="AF35" s="23">
        <f t="shared" si="23"/>
        <v>1</v>
      </c>
    </row>
    <row r="36" spans="1:32" x14ac:dyDescent="0.2">
      <c r="A36">
        <v>2025</v>
      </c>
      <c r="B36" t="s">
        <v>43</v>
      </c>
      <c r="C36" s="13">
        <f>'Monthly Data'!G98</f>
        <v>153385</v>
      </c>
      <c r="D36" s="57">
        <f t="shared" ref="D36:D47" si="24">C36/C35</f>
        <v>1.0007437806238624</v>
      </c>
      <c r="E36" s="63"/>
      <c r="F36" s="63"/>
      <c r="G36" s="13">
        <f>'Monthly Data'!K98</f>
        <v>13466</v>
      </c>
      <c r="H36" s="57">
        <f t="shared" ref="H36:H47" si="25">G36/G35</f>
        <v>1.0027552312160251</v>
      </c>
      <c r="I36" s="63"/>
      <c r="J36" s="63"/>
      <c r="K36" s="13">
        <f>'Monthly Data'!P98</f>
        <v>1508</v>
      </c>
      <c r="L36" s="57">
        <f t="shared" ref="L36:L47" si="26">K36/K35</f>
        <v>0.99537953795379541</v>
      </c>
      <c r="M36" s="63"/>
      <c r="N36" s="63"/>
      <c r="O36" s="13">
        <f>'Monthly Data'!U98</f>
        <v>7</v>
      </c>
      <c r="P36" s="57">
        <f t="shared" ref="P36:P47" si="27">O36/O35</f>
        <v>1</v>
      </c>
      <c r="Q36" s="63"/>
      <c r="R36" s="63"/>
      <c r="S36" s="13">
        <f>'Monthly Data'!Z98</f>
        <v>2</v>
      </c>
      <c r="T36" s="57">
        <f t="shared" ref="T36:T47" si="28">S36/S35</f>
        <v>1</v>
      </c>
      <c r="U36" s="63"/>
      <c r="V36" s="63"/>
      <c r="W36" s="13">
        <f>'Monthly Data'!AC98</f>
        <v>40437</v>
      </c>
      <c r="X36" s="23">
        <f t="shared" ref="X36:X47" si="29">W36/W35</f>
        <v>1.0016348368878651</v>
      </c>
      <c r="Y36" s="63"/>
      <c r="Z36" s="63"/>
      <c r="AA36" s="13">
        <f>'Monthly Data'!AH98</f>
        <v>488</v>
      </c>
      <c r="AB36" s="23">
        <f t="shared" ref="AB36:AB47" si="30">AA36/AA35</f>
        <v>1</v>
      </c>
      <c r="AC36" s="63"/>
      <c r="AD36" s="63"/>
      <c r="AE36" s="13">
        <f>'Monthly Data'!AE98</f>
        <v>1565</v>
      </c>
      <c r="AF36" s="23">
        <f t="shared" ref="AF36:AF47" si="31">AE36/AE35</f>
        <v>1</v>
      </c>
    </row>
    <row r="37" spans="1:32" x14ac:dyDescent="0.2">
      <c r="B37" t="s">
        <v>44</v>
      </c>
      <c r="C37" s="13">
        <f>'Monthly Data'!G99</f>
        <v>153441</v>
      </c>
      <c r="D37" s="57">
        <f t="shared" si="24"/>
        <v>1.0003650943703752</v>
      </c>
      <c r="E37" s="63"/>
      <c r="F37" s="63"/>
      <c r="G37" s="13">
        <f>'Monthly Data'!K99</f>
        <v>13475</v>
      </c>
      <c r="H37" s="57">
        <f t="shared" si="25"/>
        <v>1.0006683499183129</v>
      </c>
      <c r="I37" s="63"/>
      <c r="J37" s="63"/>
      <c r="K37" s="13">
        <f>'Monthly Data'!P99</f>
        <v>1509</v>
      </c>
      <c r="L37" s="57">
        <f t="shared" si="26"/>
        <v>1.0006631299734747</v>
      </c>
      <c r="M37" s="63"/>
      <c r="N37" s="63"/>
      <c r="O37" s="13">
        <f>'Monthly Data'!U99</f>
        <v>7</v>
      </c>
      <c r="P37" s="57">
        <f t="shared" si="27"/>
        <v>1</v>
      </c>
      <c r="Q37" s="63"/>
      <c r="R37" s="63"/>
      <c r="S37" s="13">
        <f>'Monthly Data'!Z99</f>
        <v>2</v>
      </c>
      <c r="T37" s="57">
        <f t="shared" si="28"/>
        <v>1</v>
      </c>
      <c r="U37" s="63"/>
      <c r="V37" s="63"/>
      <c r="W37" s="13">
        <f>'Monthly Data'!AC99</f>
        <v>40437</v>
      </c>
      <c r="X37" s="23">
        <f t="shared" si="29"/>
        <v>1</v>
      </c>
      <c r="Y37" s="63"/>
      <c r="Z37" s="63"/>
      <c r="AA37" s="13">
        <f>'Monthly Data'!AH99</f>
        <v>487</v>
      </c>
      <c r="AB37" s="23">
        <f t="shared" si="30"/>
        <v>0.99795081967213117</v>
      </c>
      <c r="AC37" s="63"/>
      <c r="AD37" s="63"/>
      <c r="AE37" s="13">
        <f>'Monthly Data'!AE99</f>
        <v>1565</v>
      </c>
      <c r="AF37" s="23">
        <f t="shared" si="31"/>
        <v>1</v>
      </c>
    </row>
    <row r="38" spans="1:32" x14ac:dyDescent="0.2">
      <c r="B38" t="s">
        <v>45</v>
      </c>
      <c r="C38" s="13">
        <f>'Monthly Data'!G100</f>
        <v>153484</v>
      </c>
      <c r="D38" s="57">
        <f t="shared" si="24"/>
        <v>1.0002802380067908</v>
      </c>
      <c r="E38" s="63"/>
      <c r="F38" s="63"/>
      <c r="G38" s="13">
        <f>'Monthly Data'!K100</f>
        <v>13482</v>
      </c>
      <c r="H38" s="57">
        <f t="shared" si="25"/>
        <v>1.0005194805194806</v>
      </c>
      <c r="I38" s="63"/>
      <c r="J38" s="63"/>
      <c r="K38" s="13">
        <f>'Monthly Data'!P100</f>
        <v>1509</v>
      </c>
      <c r="L38" s="57">
        <f t="shared" si="26"/>
        <v>1</v>
      </c>
      <c r="M38" s="63"/>
      <c r="N38" s="63"/>
      <c r="O38" s="13">
        <f>'Monthly Data'!U100</f>
        <v>7</v>
      </c>
      <c r="P38" s="57">
        <f t="shared" si="27"/>
        <v>1</v>
      </c>
      <c r="Q38" s="63"/>
      <c r="R38" s="63"/>
      <c r="S38" s="13">
        <f>'Monthly Data'!Z100</f>
        <v>2</v>
      </c>
      <c r="T38" s="57">
        <f t="shared" si="28"/>
        <v>1</v>
      </c>
      <c r="U38" s="63"/>
      <c r="V38" s="63"/>
      <c r="W38" s="13">
        <f>'Monthly Data'!AC100</f>
        <v>40459</v>
      </c>
      <c r="X38" s="23">
        <f t="shared" si="29"/>
        <v>1.000544056186166</v>
      </c>
      <c r="Y38" s="63"/>
      <c r="Z38" s="63"/>
      <c r="AA38" s="13">
        <f>'Monthly Data'!AH100</f>
        <v>484</v>
      </c>
      <c r="AB38" s="23">
        <f t="shared" si="30"/>
        <v>0.99383983572895274</v>
      </c>
      <c r="AC38" s="63"/>
      <c r="AD38" s="63"/>
      <c r="AE38" s="13">
        <f>'Monthly Data'!AE100</f>
        <v>1566</v>
      </c>
      <c r="AF38" s="23">
        <f t="shared" si="31"/>
        <v>1.0006389776357827</v>
      </c>
    </row>
    <row r="39" spans="1:32" x14ac:dyDescent="0.2">
      <c r="B39" t="s">
        <v>46</v>
      </c>
      <c r="C39" s="13">
        <f>'Monthly Data'!G101</f>
        <v>153534</v>
      </c>
      <c r="D39" s="57">
        <f t="shared" si="24"/>
        <v>1.000325766855177</v>
      </c>
      <c r="E39" s="63"/>
      <c r="F39" s="63"/>
      <c r="G39" s="13">
        <f>'Monthly Data'!K101</f>
        <v>13480</v>
      </c>
      <c r="H39" s="57">
        <f t="shared" si="25"/>
        <v>0.99985165405726151</v>
      </c>
      <c r="I39" s="63"/>
      <c r="J39" s="63"/>
      <c r="K39" s="13">
        <f>'Monthly Data'!P101</f>
        <v>1509</v>
      </c>
      <c r="L39" s="57">
        <f t="shared" si="26"/>
        <v>1</v>
      </c>
      <c r="M39" s="63"/>
      <c r="N39" s="63"/>
      <c r="O39" s="13">
        <f>'Monthly Data'!U101</f>
        <v>7</v>
      </c>
      <c r="P39" s="57">
        <f t="shared" si="27"/>
        <v>1</v>
      </c>
      <c r="Q39" s="63"/>
      <c r="R39" s="63"/>
      <c r="S39" s="13">
        <f>'Monthly Data'!Z101</f>
        <v>2</v>
      </c>
      <c r="T39" s="57">
        <f t="shared" si="28"/>
        <v>1</v>
      </c>
      <c r="U39" s="63"/>
      <c r="V39" s="63"/>
      <c r="W39" s="13">
        <f>'Monthly Data'!AC101</f>
        <v>40459</v>
      </c>
      <c r="X39" s="23">
        <f t="shared" si="29"/>
        <v>1</v>
      </c>
      <c r="Y39" s="63"/>
      <c r="Z39" s="63"/>
      <c r="AA39" s="13">
        <f>'Monthly Data'!AH101</f>
        <v>484</v>
      </c>
      <c r="AB39" s="23">
        <f t="shared" si="30"/>
        <v>1</v>
      </c>
      <c r="AC39" s="63"/>
      <c r="AD39" s="63"/>
      <c r="AE39" s="13">
        <f>'Monthly Data'!AE101</f>
        <v>1567</v>
      </c>
      <c r="AF39" s="23">
        <f t="shared" si="31"/>
        <v>1.0006385696040869</v>
      </c>
    </row>
    <row r="40" spans="1:32" x14ac:dyDescent="0.2">
      <c r="B40" t="s">
        <v>47</v>
      </c>
      <c r="C40" s="13">
        <f>'Monthly Data'!G102</f>
        <v>153566</v>
      </c>
      <c r="D40" s="57">
        <f t="shared" si="24"/>
        <v>1.0002084228900439</v>
      </c>
      <c r="E40" s="63"/>
      <c r="F40" s="63"/>
      <c r="G40" s="13">
        <f>'Monthly Data'!K102</f>
        <v>13483</v>
      </c>
      <c r="H40" s="57">
        <f t="shared" si="25"/>
        <v>1.0002225519287833</v>
      </c>
      <c r="I40" s="63"/>
      <c r="J40" s="63"/>
      <c r="K40" s="13">
        <f>'Monthly Data'!P102</f>
        <v>1510</v>
      </c>
      <c r="L40" s="57">
        <f t="shared" si="26"/>
        <v>1.0006626905235254</v>
      </c>
      <c r="M40" s="63"/>
      <c r="N40" s="63"/>
      <c r="O40" s="13">
        <f>'Monthly Data'!U102</f>
        <v>7</v>
      </c>
      <c r="P40" s="57">
        <f t="shared" si="27"/>
        <v>1</v>
      </c>
      <c r="Q40" s="63"/>
      <c r="R40" s="63"/>
      <c r="S40" s="13">
        <f>'Monthly Data'!Z102</f>
        <v>2</v>
      </c>
      <c r="T40" s="57">
        <f t="shared" si="28"/>
        <v>1</v>
      </c>
      <c r="U40" s="63"/>
      <c r="V40" s="63"/>
      <c r="W40" s="13">
        <f>'Monthly Data'!AC102</f>
        <v>40485</v>
      </c>
      <c r="X40" s="23">
        <f t="shared" si="29"/>
        <v>1.0006426258681629</v>
      </c>
      <c r="Y40" s="63"/>
      <c r="Z40" s="63"/>
      <c r="AA40" s="13">
        <f>'Monthly Data'!AH102</f>
        <v>474</v>
      </c>
      <c r="AB40" s="23">
        <f t="shared" si="30"/>
        <v>0.97933884297520657</v>
      </c>
      <c r="AC40" s="63"/>
      <c r="AD40" s="63"/>
      <c r="AE40" s="13">
        <f>'Monthly Data'!AE102</f>
        <v>1567</v>
      </c>
      <c r="AF40" s="23">
        <f t="shared" si="31"/>
        <v>1</v>
      </c>
    </row>
    <row r="41" spans="1:32" x14ac:dyDescent="0.2">
      <c r="B41" t="s">
        <v>48</v>
      </c>
      <c r="C41" s="13">
        <f>'Monthly Data'!G103</f>
        <v>153633</v>
      </c>
      <c r="D41" s="57">
        <f t="shared" si="24"/>
        <v>1.0004362944922705</v>
      </c>
      <c r="E41" s="63"/>
      <c r="F41" s="63"/>
      <c r="G41" s="13">
        <f>'Monthly Data'!K103</f>
        <v>13503</v>
      </c>
      <c r="H41" s="57">
        <f t="shared" si="25"/>
        <v>1.0014833494029518</v>
      </c>
      <c r="I41" s="63"/>
      <c r="J41" s="63"/>
      <c r="K41" s="13">
        <f>'Monthly Data'!P103</f>
        <v>1514</v>
      </c>
      <c r="L41" s="57">
        <f t="shared" si="26"/>
        <v>1.0026490066225167</v>
      </c>
      <c r="M41" s="63"/>
      <c r="N41" s="63"/>
      <c r="O41" s="13">
        <f>'Monthly Data'!U103</f>
        <v>7</v>
      </c>
      <c r="P41" s="57">
        <f t="shared" si="27"/>
        <v>1</v>
      </c>
      <c r="Q41" s="63"/>
      <c r="R41" s="63"/>
      <c r="S41" s="13">
        <f>'Monthly Data'!Z103</f>
        <v>2</v>
      </c>
      <c r="T41" s="57">
        <f t="shared" si="28"/>
        <v>1</v>
      </c>
      <c r="U41" s="63"/>
      <c r="V41" s="63"/>
      <c r="W41" s="13">
        <f>'Monthly Data'!AC103</f>
        <v>40497</v>
      </c>
      <c r="X41" s="23">
        <f t="shared" si="29"/>
        <v>1.0002964060763246</v>
      </c>
      <c r="Y41" s="63"/>
      <c r="Z41" s="63"/>
      <c r="AA41" s="13">
        <f>'Monthly Data'!AH103</f>
        <v>470</v>
      </c>
      <c r="AB41" s="23">
        <f t="shared" si="30"/>
        <v>0.99156118143459915</v>
      </c>
      <c r="AC41" s="63"/>
      <c r="AD41" s="63"/>
      <c r="AE41" s="13">
        <f>'Monthly Data'!AE103</f>
        <v>1567</v>
      </c>
      <c r="AF41" s="23">
        <f t="shared" si="31"/>
        <v>1</v>
      </c>
    </row>
    <row r="42" spans="1:32" x14ac:dyDescent="0.2">
      <c r="B42" t="s">
        <v>49</v>
      </c>
      <c r="C42" s="13">
        <f>'Monthly Data'!G104</f>
        <v>153644</v>
      </c>
      <c r="D42" s="57">
        <f t="shared" si="24"/>
        <v>1.0000715992006926</v>
      </c>
      <c r="E42" s="63"/>
      <c r="F42" s="63"/>
      <c r="G42" s="13">
        <f>'Monthly Data'!K104</f>
        <v>13515</v>
      </c>
      <c r="H42" s="57">
        <f t="shared" si="25"/>
        <v>1.0008886914019106</v>
      </c>
      <c r="I42" s="63"/>
      <c r="J42" s="63"/>
      <c r="K42" s="13">
        <f>'Monthly Data'!P104</f>
        <v>1515</v>
      </c>
      <c r="L42" s="57">
        <f t="shared" si="26"/>
        <v>1.000660501981506</v>
      </c>
      <c r="M42" s="63"/>
      <c r="N42" s="63"/>
      <c r="O42" s="13">
        <f>'Monthly Data'!U104</f>
        <v>7</v>
      </c>
      <c r="P42" s="57">
        <f t="shared" si="27"/>
        <v>1</v>
      </c>
      <c r="Q42" s="63"/>
      <c r="R42" s="63"/>
      <c r="S42" s="13">
        <f>'Monthly Data'!Z104</f>
        <v>2</v>
      </c>
      <c r="T42" s="57">
        <f t="shared" si="28"/>
        <v>1</v>
      </c>
      <c r="U42" s="63"/>
      <c r="V42" s="63"/>
      <c r="W42" s="13">
        <f>'Monthly Data'!AC104</f>
        <v>40497</v>
      </c>
      <c r="X42" s="23">
        <f t="shared" si="29"/>
        <v>1</v>
      </c>
      <c r="Y42" s="63"/>
      <c r="Z42" s="63"/>
      <c r="AA42" s="13">
        <f>'Monthly Data'!AH104</f>
        <v>480</v>
      </c>
      <c r="AB42" s="23">
        <f t="shared" si="30"/>
        <v>1.0212765957446808</v>
      </c>
      <c r="AC42" s="63"/>
      <c r="AD42" s="63"/>
      <c r="AE42" s="13">
        <f>'Monthly Data'!AE104</f>
        <v>1571</v>
      </c>
      <c r="AF42" s="23">
        <f t="shared" si="31"/>
        <v>1.0025526483726868</v>
      </c>
    </row>
    <row r="43" spans="1:32" x14ac:dyDescent="0.2">
      <c r="B43" t="s">
        <v>50</v>
      </c>
      <c r="C43" s="13">
        <f>'Monthly Data'!G105</f>
        <v>153658</v>
      </c>
      <c r="D43" s="57">
        <f t="shared" si="24"/>
        <v>1.0000911197313269</v>
      </c>
      <c r="E43" s="63"/>
      <c r="F43" s="63"/>
      <c r="G43" s="13">
        <f>'Monthly Data'!K105</f>
        <v>13512</v>
      </c>
      <c r="H43" s="57">
        <f t="shared" si="25"/>
        <v>0.99977802441731412</v>
      </c>
      <c r="I43" s="63"/>
      <c r="J43" s="63"/>
      <c r="K43" s="13">
        <f>'Monthly Data'!P105</f>
        <v>1521</v>
      </c>
      <c r="L43" s="57">
        <f t="shared" si="26"/>
        <v>1.003960396039604</v>
      </c>
      <c r="M43" s="63"/>
      <c r="N43" s="63"/>
      <c r="O43" s="13">
        <f>'Monthly Data'!U105</f>
        <v>7</v>
      </c>
      <c r="P43" s="57">
        <f t="shared" si="27"/>
        <v>1</v>
      </c>
      <c r="Q43" s="63"/>
      <c r="R43" s="63"/>
      <c r="S43" s="13">
        <f>'Monthly Data'!Z105</f>
        <v>2</v>
      </c>
      <c r="T43" s="57">
        <f t="shared" si="28"/>
        <v>1</v>
      </c>
      <c r="U43" s="63"/>
      <c r="V43" s="63"/>
      <c r="W43" s="13">
        <f>'Monthly Data'!AC105</f>
        <v>40497</v>
      </c>
      <c r="X43" s="23">
        <f t="shared" si="29"/>
        <v>1</v>
      </c>
      <c r="Y43" s="63"/>
      <c r="Z43" s="63"/>
      <c r="AA43" s="13">
        <f>'Monthly Data'!AH105</f>
        <v>481</v>
      </c>
      <c r="AB43" s="23">
        <f t="shared" si="30"/>
        <v>1.0020833333333334</v>
      </c>
      <c r="AC43" s="63"/>
      <c r="AD43" s="63"/>
      <c r="AE43" s="13">
        <f>'Monthly Data'!AE105</f>
        <v>1571</v>
      </c>
      <c r="AF43" s="23">
        <f t="shared" si="31"/>
        <v>1</v>
      </c>
    </row>
    <row r="44" spans="1:32" x14ac:dyDescent="0.2">
      <c r="B44" t="s">
        <v>164</v>
      </c>
      <c r="C44" s="13">
        <f>'Monthly Data'!G106</f>
        <v>153829</v>
      </c>
      <c r="D44" s="57">
        <f t="shared" si="24"/>
        <v>1.0011128610290385</v>
      </c>
      <c r="E44" s="63"/>
      <c r="F44" s="63"/>
      <c r="G44" s="13">
        <f>'Monthly Data'!K106</f>
        <v>13530</v>
      </c>
      <c r="H44" s="57">
        <f t="shared" si="25"/>
        <v>1.0013321492007106</v>
      </c>
      <c r="I44" s="63"/>
      <c r="J44" s="63"/>
      <c r="K44" s="13">
        <f>'Monthly Data'!P106</f>
        <v>1532</v>
      </c>
      <c r="L44" s="57">
        <f t="shared" si="26"/>
        <v>1.0072320841551612</v>
      </c>
      <c r="M44" s="63"/>
      <c r="N44" s="63"/>
      <c r="O44" s="13">
        <f>'Monthly Data'!U106</f>
        <v>7</v>
      </c>
      <c r="P44" s="57">
        <f t="shared" si="27"/>
        <v>1</v>
      </c>
      <c r="Q44" s="63"/>
      <c r="R44" s="63"/>
      <c r="S44" s="13">
        <f>'Monthly Data'!Z106</f>
        <v>2</v>
      </c>
      <c r="T44" s="57">
        <f t="shared" si="28"/>
        <v>1</v>
      </c>
      <c r="U44" s="63"/>
      <c r="V44" s="63"/>
      <c r="W44" s="13">
        <f>'Monthly Data'!AC106</f>
        <v>40548</v>
      </c>
      <c r="X44" s="23">
        <f t="shared" si="29"/>
        <v>1.0012593525446329</v>
      </c>
      <c r="Y44" s="63"/>
      <c r="Z44" s="63"/>
      <c r="AA44" s="13">
        <f>'Monthly Data'!AH106</f>
        <v>480</v>
      </c>
      <c r="AB44" s="23">
        <f t="shared" si="30"/>
        <v>0.99792099792099798</v>
      </c>
      <c r="AC44" s="63"/>
      <c r="AD44" s="63"/>
      <c r="AE44" s="13">
        <f>'Monthly Data'!AE106</f>
        <v>1574</v>
      </c>
      <c r="AF44" s="23">
        <f t="shared" si="31"/>
        <v>1.0019096117122852</v>
      </c>
    </row>
    <row r="45" spans="1:32" x14ac:dyDescent="0.2">
      <c r="B45" t="s">
        <v>52</v>
      </c>
      <c r="C45" s="13">
        <f>'Monthly Data'!G107</f>
        <v>153848</v>
      </c>
      <c r="D45" s="57">
        <f t="shared" si="24"/>
        <v>1.0001235137717857</v>
      </c>
      <c r="E45" s="63"/>
      <c r="F45" s="63"/>
      <c r="G45" s="13">
        <f>'Monthly Data'!K107</f>
        <v>13523</v>
      </c>
      <c r="H45" s="57">
        <f t="shared" si="25"/>
        <v>0.99948263118994829</v>
      </c>
      <c r="I45" s="63"/>
      <c r="J45" s="63"/>
      <c r="K45" s="13">
        <f>'Monthly Data'!P107</f>
        <v>1532</v>
      </c>
      <c r="L45" s="57">
        <f t="shared" si="26"/>
        <v>1</v>
      </c>
      <c r="M45" s="63"/>
      <c r="N45" s="63"/>
      <c r="O45" s="13">
        <f>'Monthly Data'!U107</f>
        <v>7</v>
      </c>
      <c r="P45" s="57">
        <f t="shared" si="27"/>
        <v>1</v>
      </c>
      <c r="Q45" s="63"/>
      <c r="R45" s="63"/>
      <c r="S45" s="13">
        <f>'Monthly Data'!Z107</f>
        <v>2</v>
      </c>
      <c r="T45" s="57">
        <f t="shared" si="28"/>
        <v>1</v>
      </c>
      <c r="U45" s="63"/>
      <c r="V45" s="63"/>
      <c r="W45" s="13">
        <f>'Monthly Data'!AC107</f>
        <v>40548</v>
      </c>
      <c r="X45" s="23">
        <f t="shared" si="29"/>
        <v>1</v>
      </c>
      <c r="Y45" s="63"/>
      <c r="Z45" s="63"/>
      <c r="AA45" s="13">
        <f>'Monthly Data'!AH107</f>
        <v>480</v>
      </c>
      <c r="AB45" s="23">
        <f t="shared" si="30"/>
        <v>1</v>
      </c>
      <c r="AC45" s="63"/>
      <c r="AD45" s="63"/>
      <c r="AE45" s="13">
        <f>'Monthly Data'!AE107</f>
        <v>1578</v>
      </c>
      <c r="AF45" s="23">
        <f t="shared" si="31"/>
        <v>1.0025412960609912</v>
      </c>
    </row>
    <row r="46" spans="1:32" x14ac:dyDescent="0.2">
      <c r="B46" t="s">
        <v>53</v>
      </c>
      <c r="C46" s="13">
        <f>'Monthly Data'!G108</f>
        <v>153992</v>
      </c>
      <c r="D46" s="57">
        <f t="shared" si="24"/>
        <v>1.0009359887681348</v>
      </c>
      <c r="E46" s="63"/>
      <c r="F46" s="63"/>
      <c r="G46" s="13">
        <f>'Monthly Data'!K108</f>
        <v>13526</v>
      </c>
      <c r="H46" s="57">
        <f t="shared" si="25"/>
        <v>1.0002218442653257</v>
      </c>
      <c r="I46" s="63"/>
      <c r="J46" s="63"/>
      <c r="K46" s="13">
        <f>'Monthly Data'!P108</f>
        <v>1539</v>
      </c>
      <c r="L46" s="57">
        <f t="shared" si="26"/>
        <v>1.0045691906005223</v>
      </c>
      <c r="M46" s="63"/>
      <c r="N46" s="63"/>
      <c r="O46" s="13">
        <f>'Monthly Data'!U108</f>
        <v>7</v>
      </c>
      <c r="P46" s="57">
        <f t="shared" si="27"/>
        <v>1</v>
      </c>
      <c r="Q46" s="63"/>
      <c r="R46" s="63"/>
      <c r="S46" s="13">
        <f>'Monthly Data'!Z108</f>
        <v>2</v>
      </c>
      <c r="T46" s="57">
        <f t="shared" si="28"/>
        <v>1</v>
      </c>
      <c r="U46" s="63"/>
      <c r="V46" s="63"/>
      <c r="W46" s="13">
        <f>'Monthly Data'!AC108</f>
        <v>40590</v>
      </c>
      <c r="X46" s="23">
        <f t="shared" si="29"/>
        <v>1.0010358094110683</v>
      </c>
      <c r="Y46" s="63"/>
      <c r="Z46" s="63"/>
      <c r="AA46" s="13">
        <f>'Monthly Data'!AH108</f>
        <v>479</v>
      </c>
      <c r="AB46" s="23">
        <f t="shared" si="30"/>
        <v>0.99791666666666667</v>
      </c>
      <c r="AC46" s="63"/>
      <c r="AD46" s="63"/>
      <c r="AE46" s="13">
        <f>'Monthly Data'!AE108</f>
        <v>1579</v>
      </c>
      <c r="AF46" s="23">
        <f t="shared" si="31"/>
        <v>1.0006337135614702</v>
      </c>
    </row>
    <row r="47" spans="1:32" x14ac:dyDescent="0.2">
      <c r="B47" t="s">
        <v>54</v>
      </c>
      <c r="C47" s="13">
        <f>'Monthly Data'!G109</f>
        <v>154071</v>
      </c>
      <c r="D47" s="57">
        <f t="shared" si="24"/>
        <v>1.0005130136630473</v>
      </c>
      <c r="E47" s="63"/>
      <c r="F47" s="63"/>
      <c r="G47" s="13">
        <f>'Monthly Data'!K109</f>
        <v>13524</v>
      </c>
      <c r="H47" s="57">
        <f t="shared" si="25"/>
        <v>0.99985213662575778</v>
      </c>
      <c r="I47" s="63"/>
      <c r="J47" s="63"/>
      <c r="K47" s="13">
        <f>'Monthly Data'!P109</f>
        <v>1540</v>
      </c>
      <c r="L47" s="57">
        <f t="shared" si="26"/>
        <v>1.0006497725795971</v>
      </c>
      <c r="M47" s="63"/>
      <c r="N47" s="63"/>
      <c r="O47" s="13">
        <f>'Monthly Data'!U109</f>
        <v>7</v>
      </c>
      <c r="P47" s="57">
        <f t="shared" si="27"/>
        <v>1</v>
      </c>
      <c r="Q47" s="63"/>
      <c r="R47" s="63"/>
      <c r="S47" s="13">
        <f>'Monthly Data'!Z109</f>
        <v>2</v>
      </c>
      <c r="T47" s="57">
        <f t="shared" si="28"/>
        <v>1</v>
      </c>
      <c r="U47" s="63"/>
      <c r="V47" s="63"/>
      <c r="W47" s="13">
        <f>'Monthly Data'!AC109</f>
        <v>40590</v>
      </c>
      <c r="X47" s="23">
        <f t="shared" si="29"/>
        <v>1</v>
      </c>
      <c r="Y47" s="63"/>
      <c r="Z47" s="63"/>
      <c r="AA47" s="13">
        <f>'Monthly Data'!AH109</f>
        <v>479</v>
      </c>
      <c r="AB47" s="23">
        <f t="shared" si="30"/>
        <v>1</v>
      </c>
      <c r="AC47" s="63"/>
      <c r="AD47" s="63"/>
      <c r="AE47" s="13">
        <f>'Monthly Data'!AE109</f>
        <v>1583</v>
      </c>
      <c r="AF47" s="23">
        <f t="shared" si="31"/>
        <v>1.0025332488917036</v>
      </c>
    </row>
    <row r="48" spans="1:32" x14ac:dyDescent="0.2">
      <c r="A48">
        <v>2026</v>
      </c>
      <c r="B48" t="s">
        <v>43</v>
      </c>
      <c r="C48" s="61">
        <f>C14/D14^(5.50512245925349/12)</f>
        <v>154374.04183624993</v>
      </c>
      <c r="D48" s="62">
        <f t="shared" ref="D48:D54" si="32">C48/C47</f>
        <v>1.0019668973151985</v>
      </c>
      <c r="E48" s="63"/>
      <c r="F48" s="63"/>
      <c r="G48" s="61">
        <f>G14/H14^(5.50512245925349/12)</f>
        <v>13572.088533568905</v>
      </c>
      <c r="H48" s="62">
        <f t="shared" si="17"/>
        <v>1.0035557921893601</v>
      </c>
      <c r="I48" s="63"/>
      <c r="J48" s="63"/>
      <c r="K48" s="61">
        <f>K14/L14^(5.50512245925349/12)</f>
        <v>1519.5629153987279</v>
      </c>
      <c r="L48" s="62">
        <f t="shared" si="18"/>
        <v>0.98672916584332981</v>
      </c>
      <c r="M48" s="63"/>
      <c r="N48" s="63"/>
      <c r="O48" s="61">
        <f>O14/P14^(5.50512245925349/12)</f>
        <v>7</v>
      </c>
      <c r="P48" s="62">
        <f t="shared" si="19"/>
        <v>1</v>
      </c>
      <c r="Q48" s="63"/>
      <c r="R48" s="63"/>
      <c r="S48" s="61">
        <f>S14/T14^(5.50512245925349/12)</f>
        <v>2</v>
      </c>
      <c r="T48" s="62">
        <f t="shared" si="20"/>
        <v>1</v>
      </c>
      <c r="U48" s="63"/>
      <c r="V48" s="63"/>
      <c r="W48" s="61">
        <f>W14/X14^(5.50512245925349/12)</f>
        <v>40782.328492509645</v>
      </c>
      <c r="X48" s="62">
        <f t="shared" si="21"/>
        <v>1.0047383220623218</v>
      </c>
      <c r="Y48" s="63"/>
      <c r="Z48" s="63"/>
      <c r="AA48" s="61">
        <f>AA14/AB14^(5.50512245925349/12)</f>
        <v>476.58900094602444</v>
      </c>
      <c r="AB48" s="62">
        <f t="shared" si="22"/>
        <v>0.99496659905224305</v>
      </c>
      <c r="AC48" s="63"/>
      <c r="AD48" s="63"/>
      <c r="AE48" s="61">
        <f>AE14/AF14^(5.50512245925349/12)</f>
        <v>1574.9223430765755</v>
      </c>
      <c r="AF48" s="62">
        <f t="shared" si="23"/>
        <v>0.99489724767945387</v>
      </c>
    </row>
    <row r="49" spans="1:32" x14ac:dyDescent="0.2">
      <c r="B49" t="s">
        <v>44</v>
      </c>
      <c r="C49" s="61">
        <f t="shared" ref="C49:C64" si="33">C48*D$15^(1/12)</f>
        <v>154482.14714843917</v>
      </c>
      <c r="D49" s="62">
        <f t="shared" si="32"/>
        <v>1.0007002816723805</v>
      </c>
      <c r="E49" s="63"/>
      <c r="F49" s="63"/>
      <c r="G49" s="61">
        <f t="shared" ref="G49:G71" si="34">G48*H$15^(1/12)</f>
        <v>13582.976702023105</v>
      </c>
      <c r="H49" s="62">
        <f t="shared" si="17"/>
        <v>1.0008022470843208</v>
      </c>
      <c r="I49" s="63"/>
      <c r="J49" s="63"/>
      <c r="K49" s="61">
        <f t="shared" ref="K49:K71" si="35">K48*L$15^(1/12)</f>
        <v>1519.5212841023267</v>
      </c>
      <c r="L49" s="62">
        <f t="shared" si="18"/>
        <v>0.99997260311107927</v>
      </c>
      <c r="M49" s="63"/>
      <c r="N49" s="63"/>
      <c r="O49" s="61">
        <f t="shared" ref="O49:O71" si="36">O48*P$15^(1/12)</f>
        <v>7</v>
      </c>
      <c r="P49" s="62">
        <f t="shared" si="19"/>
        <v>1</v>
      </c>
      <c r="Q49" s="63"/>
      <c r="R49" s="63"/>
      <c r="S49" s="61">
        <f t="shared" ref="S49:S71" si="37">S48*T$15^(1/12)</f>
        <v>2</v>
      </c>
      <c r="T49" s="62">
        <f t="shared" si="20"/>
        <v>1</v>
      </c>
      <c r="U49" s="63"/>
      <c r="V49" s="63"/>
      <c r="W49" s="61">
        <f t="shared" ref="W49:W71" si="38">W48*X$15^(1/12)</f>
        <v>40825.403340429133</v>
      </c>
      <c r="X49" s="62">
        <f t="shared" si="21"/>
        <v>1.0010562135491454</v>
      </c>
      <c r="Y49" s="63"/>
      <c r="Z49" s="63"/>
      <c r="AA49" s="61">
        <f t="shared" ref="AA49:AA71" si="39">AA48*AB$15^(1/12)</f>
        <v>475.98966871878383</v>
      </c>
      <c r="AB49" s="62">
        <f t="shared" si="22"/>
        <v>0.99874245476490031</v>
      </c>
      <c r="AC49" s="63"/>
      <c r="AD49" s="63"/>
      <c r="AE49" s="61">
        <f t="shared" ref="AE49:AE71" si="40">AE48*AF$15^(1/12)</f>
        <v>1575.5142585598578</v>
      </c>
      <c r="AF49" s="62">
        <f t="shared" si="23"/>
        <v>1.0003758378855214</v>
      </c>
    </row>
    <row r="50" spans="1:32" x14ac:dyDescent="0.2">
      <c r="B50" t="s">
        <v>45</v>
      </c>
      <c r="C50" s="61">
        <f t="shared" si="33"/>
        <v>154590.32816479719</v>
      </c>
      <c r="D50" s="62">
        <f t="shared" si="32"/>
        <v>1.0007002816723805</v>
      </c>
      <c r="E50" s="63"/>
      <c r="F50" s="63"/>
      <c r="G50" s="61">
        <f t="shared" si="34"/>
        <v>13593.873605478699</v>
      </c>
      <c r="H50" s="62">
        <f t="shared" si="17"/>
        <v>1.0008022470843208</v>
      </c>
      <c r="I50" s="63"/>
      <c r="J50" s="63"/>
      <c r="K50" s="61">
        <f t="shared" si="35"/>
        <v>1519.4796539464935</v>
      </c>
      <c r="L50" s="62">
        <f t="shared" si="18"/>
        <v>0.99997260311107927</v>
      </c>
      <c r="M50" s="63"/>
      <c r="N50" s="63"/>
      <c r="O50" s="61">
        <f t="shared" si="36"/>
        <v>7</v>
      </c>
      <c r="P50" s="62">
        <f t="shared" si="19"/>
        <v>1</v>
      </c>
      <c r="Q50" s="63"/>
      <c r="R50" s="63"/>
      <c r="S50" s="61">
        <f t="shared" si="37"/>
        <v>2</v>
      </c>
      <c r="T50" s="62">
        <f t="shared" si="20"/>
        <v>1</v>
      </c>
      <c r="U50" s="63"/>
      <c r="V50" s="63"/>
      <c r="W50" s="61">
        <f t="shared" si="38"/>
        <v>40868.523684586624</v>
      </c>
      <c r="X50" s="62">
        <f t="shared" si="21"/>
        <v>1.0010562135491454</v>
      </c>
      <c r="Y50" s="63"/>
      <c r="Z50" s="63"/>
      <c r="AA50" s="61">
        <f t="shared" si="39"/>
        <v>475.39109017892986</v>
      </c>
      <c r="AB50" s="62">
        <f t="shared" si="22"/>
        <v>0.99874245476490031</v>
      </c>
      <c r="AC50" s="63"/>
      <c r="AD50" s="63"/>
      <c r="AE50" s="61">
        <f t="shared" si="40"/>
        <v>1576.1063965074038</v>
      </c>
      <c r="AF50" s="62">
        <f t="shared" si="23"/>
        <v>1.0003758378855214</v>
      </c>
    </row>
    <row r="51" spans="1:32" x14ac:dyDescent="0.2">
      <c r="B51" t="s">
        <v>46</v>
      </c>
      <c r="C51" s="61">
        <f t="shared" si="33"/>
        <v>154698.58493833829</v>
      </c>
      <c r="D51" s="62">
        <f t="shared" si="32"/>
        <v>1.0007002816723805</v>
      </c>
      <c r="E51" s="63"/>
      <c r="F51" s="63"/>
      <c r="G51" s="61">
        <f t="shared" si="34"/>
        <v>13604.779250943318</v>
      </c>
      <c r="H51" s="62">
        <f t="shared" si="17"/>
        <v>1.0008022470843208</v>
      </c>
      <c r="I51" s="63"/>
      <c r="J51" s="63"/>
      <c r="K51" s="61">
        <f t="shared" si="35"/>
        <v>1519.4380249311971</v>
      </c>
      <c r="L51" s="62">
        <f t="shared" si="18"/>
        <v>0.99997260311107927</v>
      </c>
      <c r="M51" s="63"/>
      <c r="N51" s="63"/>
      <c r="O51" s="61">
        <f t="shared" si="36"/>
        <v>7</v>
      </c>
      <c r="P51" s="62">
        <f t="shared" si="19"/>
        <v>1</v>
      </c>
      <c r="Q51" s="63"/>
      <c r="R51" s="63"/>
      <c r="S51" s="61">
        <f t="shared" si="37"/>
        <v>2</v>
      </c>
      <c r="T51" s="62">
        <f t="shared" si="20"/>
        <v>1</v>
      </c>
      <c r="U51" s="63"/>
      <c r="V51" s="63"/>
      <c r="W51" s="61">
        <f t="shared" si="38"/>
        <v>40911.689573035852</v>
      </c>
      <c r="X51" s="62">
        <f t="shared" si="21"/>
        <v>1.0010562135491454</v>
      </c>
      <c r="Y51" s="63"/>
      <c r="Z51" s="63"/>
      <c r="AA51" s="61">
        <f t="shared" si="39"/>
        <v>474.79326437866649</v>
      </c>
      <c r="AB51" s="62">
        <f t="shared" si="22"/>
        <v>0.99874245476490031</v>
      </c>
      <c r="AC51" s="63"/>
      <c r="AD51" s="63"/>
      <c r="AE51" s="61">
        <f t="shared" si="40"/>
        <v>1576.6987570028239</v>
      </c>
      <c r="AF51" s="62">
        <f t="shared" si="23"/>
        <v>1.0003758378855214</v>
      </c>
    </row>
    <row r="52" spans="1:32" x14ac:dyDescent="0.2">
      <c r="B52" t="s">
        <v>47</v>
      </c>
      <c r="C52" s="61">
        <f t="shared" si="33"/>
        <v>154806.9175221138</v>
      </c>
      <c r="D52" s="62">
        <f t="shared" si="32"/>
        <v>1.0007002816723805</v>
      </c>
      <c r="E52" s="63"/>
      <c r="F52" s="63"/>
      <c r="G52" s="61">
        <f t="shared" si="34"/>
        <v>13615.693645430216</v>
      </c>
      <c r="H52" s="62">
        <f t="shared" si="17"/>
        <v>1.0008022470843208</v>
      </c>
      <c r="I52" s="63"/>
      <c r="J52" s="63"/>
      <c r="K52" s="61">
        <f t="shared" si="35"/>
        <v>1519.3963970564062</v>
      </c>
      <c r="L52" s="62">
        <f t="shared" si="18"/>
        <v>0.99997260311107927</v>
      </c>
      <c r="M52" s="63"/>
      <c r="N52" s="63"/>
      <c r="O52" s="61">
        <f t="shared" si="36"/>
        <v>7</v>
      </c>
      <c r="P52" s="62">
        <f t="shared" si="19"/>
        <v>1</v>
      </c>
      <c r="Q52" s="63"/>
      <c r="R52" s="63"/>
      <c r="S52" s="61">
        <f t="shared" si="37"/>
        <v>2</v>
      </c>
      <c r="T52" s="62">
        <f t="shared" si="20"/>
        <v>1</v>
      </c>
      <c r="U52" s="63"/>
      <c r="V52" s="63"/>
      <c r="W52" s="61">
        <f t="shared" si="38"/>
        <v>40954.901053881324</v>
      </c>
      <c r="X52" s="62">
        <f t="shared" si="21"/>
        <v>1.0010562135491454</v>
      </c>
      <c r="Y52" s="63"/>
      <c r="Z52" s="63"/>
      <c r="AA52" s="61">
        <f t="shared" si="39"/>
        <v>474.19619037138966</v>
      </c>
      <c r="AB52" s="62">
        <f t="shared" si="22"/>
        <v>0.99874245476490031</v>
      </c>
      <c r="AC52" s="63"/>
      <c r="AD52" s="63"/>
      <c r="AE52" s="61">
        <f t="shared" si="40"/>
        <v>1577.2913401297601</v>
      </c>
      <c r="AF52" s="62">
        <f t="shared" si="23"/>
        <v>1.0003758378855214</v>
      </c>
    </row>
    <row r="53" spans="1:32" x14ac:dyDescent="0.2">
      <c r="B53" t="s">
        <v>48</v>
      </c>
      <c r="C53" s="61">
        <f t="shared" si="33"/>
        <v>154915.32596921225</v>
      </c>
      <c r="D53" s="62">
        <f t="shared" si="32"/>
        <v>1.0007002816723805</v>
      </c>
      <c r="E53" s="63"/>
      <c r="F53" s="63"/>
      <c r="G53" s="61">
        <f t="shared" si="34"/>
        <v>13626.616795958267</v>
      </c>
      <c r="H53" s="62">
        <f t="shared" si="17"/>
        <v>1.0008022470843208</v>
      </c>
      <c r="I53" s="63"/>
      <c r="J53" s="63"/>
      <c r="K53" s="61">
        <f t="shared" si="35"/>
        <v>1519.3547703220895</v>
      </c>
      <c r="L53" s="62">
        <f t="shared" si="18"/>
        <v>0.99997260311107927</v>
      </c>
      <c r="M53" s="63"/>
      <c r="N53" s="63"/>
      <c r="O53" s="61">
        <f t="shared" si="36"/>
        <v>7</v>
      </c>
      <c r="P53" s="62">
        <f t="shared" si="19"/>
        <v>1</v>
      </c>
      <c r="Q53" s="63"/>
      <c r="R53" s="63"/>
      <c r="S53" s="61">
        <f t="shared" si="37"/>
        <v>2</v>
      </c>
      <c r="T53" s="62">
        <f t="shared" si="20"/>
        <v>1</v>
      </c>
      <c r="U53" s="63"/>
      <c r="V53" s="63"/>
      <c r="W53" s="61">
        <f t="shared" si="38"/>
        <v>40998.158175278346</v>
      </c>
      <c r="X53" s="62">
        <f t="shared" si="21"/>
        <v>1.0010562135491454</v>
      </c>
      <c r="Y53" s="63"/>
      <c r="Z53" s="63"/>
      <c r="AA53" s="61">
        <f t="shared" si="39"/>
        <v>473.59986721168571</v>
      </c>
      <c r="AB53" s="62">
        <f t="shared" si="22"/>
        <v>0.99874245476490031</v>
      </c>
      <c r="AC53" s="63"/>
      <c r="AD53" s="63"/>
      <c r="AE53" s="61">
        <f t="shared" si="40"/>
        <v>1577.8841459718858</v>
      </c>
      <c r="AF53" s="62">
        <f t="shared" si="23"/>
        <v>1.0003758378855214</v>
      </c>
    </row>
    <row r="54" spans="1:32" x14ac:dyDescent="0.2">
      <c r="B54" t="s">
        <v>49</v>
      </c>
      <c r="C54" s="61">
        <f t="shared" si="33"/>
        <v>155023.81033275934</v>
      </c>
      <c r="D54" s="62">
        <f t="shared" si="32"/>
        <v>1.0007002816723805</v>
      </c>
      <c r="E54" s="63"/>
      <c r="F54" s="63"/>
      <c r="G54" s="61">
        <f t="shared" si="34"/>
        <v>13637.54870955198</v>
      </c>
      <c r="H54" s="62">
        <f t="shared" si="17"/>
        <v>1.0008022470843208</v>
      </c>
      <c r="I54" s="63"/>
      <c r="J54" s="63"/>
      <c r="K54" s="61">
        <f t="shared" si="35"/>
        <v>1519.3131447282158</v>
      </c>
      <c r="L54" s="62">
        <f t="shared" si="18"/>
        <v>0.99997260311107927</v>
      </c>
      <c r="M54" s="63"/>
      <c r="N54" s="63"/>
      <c r="O54" s="61">
        <f t="shared" si="36"/>
        <v>7</v>
      </c>
      <c r="P54" s="62">
        <f t="shared" si="19"/>
        <v>1</v>
      </c>
      <c r="Q54" s="63"/>
      <c r="R54" s="63"/>
      <c r="S54" s="61">
        <f t="shared" si="37"/>
        <v>2</v>
      </c>
      <c r="T54" s="62">
        <f t="shared" si="20"/>
        <v>1</v>
      </c>
      <c r="U54" s="63"/>
      <c r="V54" s="63"/>
      <c r="W54" s="61">
        <f t="shared" si="38"/>
        <v>41041.460985433085</v>
      </c>
      <c r="X54" s="62">
        <f t="shared" si="21"/>
        <v>1.0010562135491454</v>
      </c>
      <c r="Y54" s="63"/>
      <c r="Z54" s="63"/>
      <c r="AA54" s="61">
        <f t="shared" si="39"/>
        <v>473.00429395532979</v>
      </c>
      <c r="AB54" s="62">
        <f t="shared" si="22"/>
        <v>0.99874245476490031</v>
      </c>
      <c r="AC54" s="63"/>
      <c r="AD54" s="63"/>
      <c r="AE54" s="61">
        <f t="shared" si="40"/>
        <v>1578.4771746129056</v>
      </c>
      <c r="AF54" s="62">
        <f t="shared" si="23"/>
        <v>1.0003758378855214</v>
      </c>
    </row>
    <row r="55" spans="1:32" x14ac:dyDescent="0.2">
      <c r="B55" t="s">
        <v>50</v>
      </c>
      <c r="C55" s="61">
        <f t="shared" si="33"/>
        <v>155132.37066591796</v>
      </c>
      <c r="D55" s="62">
        <f>C55/C54</f>
        <v>1.0007002816723805</v>
      </c>
      <c r="E55" s="63"/>
      <c r="F55" s="63"/>
      <c r="G55" s="61">
        <f t="shared" si="34"/>
        <v>13648.4893932415</v>
      </c>
      <c r="H55" s="62">
        <f>G55/G54</f>
        <v>1.0008022470843208</v>
      </c>
      <c r="I55" s="63"/>
      <c r="J55" s="63"/>
      <c r="K55" s="61">
        <f t="shared" si="35"/>
        <v>1519.2715202747538</v>
      </c>
      <c r="L55" s="62">
        <f>K55/K54</f>
        <v>0.99997260311107927</v>
      </c>
      <c r="M55" s="63"/>
      <c r="N55" s="63"/>
      <c r="O55" s="61">
        <f t="shared" si="36"/>
        <v>7</v>
      </c>
      <c r="P55" s="62">
        <f>O55/O54</f>
        <v>1</v>
      </c>
      <c r="Q55" s="63"/>
      <c r="R55" s="63"/>
      <c r="S55" s="61">
        <f t="shared" si="37"/>
        <v>2</v>
      </c>
      <c r="T55" s="62">
        <f>S55/S54</f>
        <v>1</v>
      </c>
      <c r="U55" s="63"/>
      <c r="V55" s="63"/>
      <c r="W55" s="61">
        <f t="shared" si="38"/>
        <v>41084.809532602623</v>
      </c>
      <c r="X55" s="62">
        <f>W55/W54</f>
        <v>1.0010562135491454</v>
      </c>
      <c r="Y55" s="63"/>
      <c r="Z55" s="63"/>
      <c r="AA55" s="61">
        <f t="shared" si="39"/>
        <v>472.40946965928458</v>
      </c>
      <c r="AB55" s="62">
        <f>AA55/AA54</f>
        <v>0.99874245476490031</v>
      </c>
      <c r="AC55" s="63"/>
      <c r="AD55" s="63"/>
      <c r="AE55" s="61">
        <f t="shared" si="40"/>
        <v>1579.0704261365561</v>
      </c>
      <c r="AF55" s="62">
        <f>AE55/AE54</f>
        <v>1.0003758378855214</v>
      </c>
    </row>
    <row r="56" spans="1:32" x14ac:dyDescent="0.2">
      <c r="B56" t="s">
        <v>164</v>
      </c>
      <c r="C56" s="61">
        <f t="shared" si="33"/>
        <v>155241.00702188825</v>
      </c>
      <c r="D56" s="62">
        <f>C56/C55</f>
        <v>1.0007002816723805</v>
      </c>
      <c r="E56" s="63"/>
      <c r="F56" s="63"/>
      <c r="G56" s="61">
        <f t="shared" si="34"/>
        <v>13659.43885406261</v>
      </c>
      <c r="H56" s="62">
        <f>G56/G55</f>
        <v>1.0008022470843208</v>
      </c>
      <c r="I56" s="63"/>
      <c r="J56" s="63"/>
      <c r="K56" s="61">
        <f t="shared" si="35"/>
        <v>1519.2298969616725</v>
      </c>
      <c r="L56" s="62">
        <f>K56/K55</f>
        <v>0.99997260311107927</v>
      </c>
      <c r="M56" s="63"/>
      <c r="N56" s="63"/>
      <c r="O56" s="61">
        <f t="shared" si="36"/>
        <v>7</v>
      </c>
      <c r="P56" s="62">
        <f>O56/O55</f>
        <v>1</v>
      </c>
      <c r="Q56" s="63"/>
      <c r="R56" s="63"/>
      <c r="S56" s="61">
        <f t="shared" si="37"/>
        <v>2</v>
      </c>
      <c r="T56" s="62">
        <f>S56/S55</f>
        <v>1</v>
      </c>
      <c r="U56" s="63"/>
      <c r="V56" s="63"/>
      <c r="W56" s="61">
        <f t="shared" si="38"/>
        <v>41128.20386509502</v>
      </c>
      <c r="X56" s="62">
        <f>W56/W55</f>
        <v>1.0010562135491454</v>
      </c>
      <c r="Y56" s="63"/>
      <c r="Z56" s="63"/>
      <c r="AA56" s="61">
        <f t="shared" si="39"/>
        <v>471.81539338169858</v>
      </c>
      <c r="AB56" s="62">
        <f>AA56/AA55</f>
        <v>0.99874245476490031</v>
      </c>
      <c r="AC56" s="63"/>
      <c r="AD56" s="63"/>
      <c r="AE56" s="61">
        <f t="shared" si="40"/>
        <v>1579.6639006266046</v>
      </c>
      <c r="AF56" s="62">
        <f>AE56/AE55</f>
        <v>1.0003758378855214</v>
      </c>
    </row>
    <row r="57" spans="1:32" x14ac:dyDescent="0.2">
      <c r="B57" t="s">
        <v>52</v>
      </c>
      <c r="C57" s="61">
        <f t="shared" si="33"/>
        <v>155349.71945390757</v>
      </c>
      <c r="D57" s="62">
        <f>C57/C56</f>
        <v>1.0007002816723805</v>
      </c>
      <c r="E57" s="63"/>
      <c r="F57" s="63"/>
      <c r="G57" s="61">
        <f t="shared" si="34"/>
        <v>13670.39709905674</v>
      </c>
      <c r="H57" s="62">
        <f>G57/G56</f>
        <v>1.0008022470843208</v>
      </c>
      <c r="I57" s="63"/>
      <c r="J57" s="63"/>
      <c r="K57" s="61">
        <f t="shared" si="35"/>
        <v>1519.1882747889404</v>
      </c>
      <c r="L57" s="62">
        <f>K57/K56</f>
        <v>0.99997260311107927</v>
      </c>
      <c r="M57" s="63"/>
      <c r="N57" s="63"/>
      <c r="O57" s="61">
        <f t="shared" si="36"/>
        <v>7</v>
      </c>
      <c r="P57" s="62">
        <f>O57/O56</f>
        <v>1</v>
      </c>
      <c r="Q57" s="63"/>
      <c r="R57" s="63"/>
      <c r="S57" s="61">
        <f t="shared" si="37"/>
        <v>2</v>
      </c>
      <c r="T57" s="62">
        <f>S57/S56</f>
        <v>1</v>
      </c>
      <c r="U57" s="63"/>
      <c r="V57" s="63"/>
      <c r="W57" s="61">
        <f t="shared" si="38"/>
        <v>41171.644031269345</v>
      </c>
      <c r="X57" s="62">
        <f>W57/W56</f>
        <v>1.0010562135491454</v>
      </c>
      <c r="Y57" s="63"/>
      <c r="Z57" s="63"/>
      <c r="AA57" s="61">
        <f t="shared" si="39"/>
        <v>471.22206418190473</v>
      </c>
      <c r="AB57" s="62">
        <f>AA57/AA56</f>
        <v>0.99874245476490031</v>
      </c>
      <c r="AC57" s="63"/>
      <c r="AD57" s="63"/>
      <c r="AE57" s="61">
        <f t="shared" si="40"/>
        <v>1580.2575981668506</v>
      </c>
      <c r="AF57" s="62">
        <f>AE57/AE56</f>
        <v>1.0003758378855214</v>
      </c>
    </row>
    <row r="58" spans="1:32" x14ac:dyDescent="0.2">
      <c r="B58" t="s">
        <v>53</v>
      </c>
      <c r="C58" s="61">
        <f t="shared" si="33"/>
        <v>155458.50801525058</v>
      </c>
      <c r="D58" s="62">
        <f>C58/C57</f>
        <v>1.0007002816723805</v>
      </c>
      <c r="E58" s="63"/>
      <c r="F58" s="63"/>
      <c r="G58" s="61">
        <f t="shared" si="34"/>
        <v>13681.364135270966</v>
      </c>
      <c r="H58" s="62">
        <f>G58/G57</f>
        <v>1.0008022470843208</v>
      </c>
      <c r="I58" s="63"/>
      <c r="J58" s="63"/>
      <c r="K58" s="61">
        <f t="shared" si="35"/>
        <v>1519.1466537565263</v>
      </c>
      <c r="L58" s="62">
        <f>K58/K57</f>
        <v>0.99997260311107927</v>
      </c>
      <c r="M58" s="63"/>
      <c r="N58" s="63"/>
      <c r="O58" s="61">
        <f t="shared" si="36"/>
        <v>7</v>
      </c>
      <c r="P58" s="62">
        <f>O58/O57</f>
        <v>1</v>
      </c>
      <c r="Q58" s="63"/>
      <c r="R58" s="63"/>
      <c r="S58" s="61">
        <f t="shared" si="37"/>
        <v>2</v>
      </c>
      <c r="T58" s="62">
        <f>S58/S57</f>
        <v>1</v>
      </c>
      <c r="U58" s="63"/>
      <c r="V58" s="63"/>
      <c r="W58" s="61">
        <f t="shared" si="38"/>
        <v>41215.130079535767</v>
      </c>
      <c r="X58" s="62">
        <f>W58/W57</f>
        <v>1.0010562135491454</v>
      </c>
      <c r="Y58" s="63"/>
      <c r="Z58" s="63"/>
      <c r="AA58" s="61">
        <f t="shared" si="39"/>
        <v>470.62948112041892</v>
      </c>
      <c r="AB58" s="62">
        <f>AA58/AA57</f>
        <v>0.99874245476490031</v>
      </c>
      <c r="AC58" s="63"/>
      <c r="AD58" s="63"/>
      <c r="AE58" s="61">
        <f t="shared" si="40"/>
        <v>1580.8515188411247</v>
      </c>
      <c r="AF58" s="62">
        <f>AE58/AE57</f>
        <v>1.0003758378855214</v>
      </c>
    </row>
    <row r="59" spans="1:32" x14ac:dyDescent="0.2">
      <c r="B59" t="s">
        <v>54</v>
      </c>
      <c r="C59" s="61">
        <f t="shared" si="33"/>
        <v>155567.37275922927</v>
      </c>
      <c r="D59" s="62">
        <f>C59/C58</f>
        <v>1.0007002816723805</v>
      </c>
      <c r="E59" s="63"/>
      <c r="F59" s="63"/>
      <c r="G59" s="61">
        <f t="shared" si="34"/>
        <v>13692.339969758017</v>
      </c>
      <c r="H59" s="62">
        <f>G59/G58</f>
        <v>1.0008022470843208</v>
      </c>
      <c r="I59" s="63"/>
      <c r="J59" s="63"/>
      <c r="K59" s="61">
        <f t="shared" si="35"/>
        <v>1519.105033864399</v>
      </c>
      <c r="L59" s="62">
        <f>K59/K58</f>
        <v>0.99997260311107927</v>
      </c>
      <c r="M59" s="63"/>
      <c r="N59" s="63"/>
      <c r="O59" s="61">
        <f t="shared" si="36"/>
        <v>7</v>
      </c>
      <c r="P59" s="62">
        <f>O59/O58</f>
        <v>1</v>
      </c>
      <c r="Q59" s="63"/>
      <c r="R59" s="63"/>
      <c r="S59" s="61">
        <f t="shared" si="37"/>
        <v>2</v>
      </c>
      <c r="T59" s="62">
        <f>S59/S58</f>
        <v>1</v>
      </c>
      <c r="U59" s="63"/>
      <c r="V59" s="63"/>
      <c r="W59" s="61">
        <f t="shared" si="38"/>
        <v>41258.662058355563</v>
      </c>
      <c r="X59" s="62">
        <f>W59/W58</f>
        <v>1.0010562135491454</v>
      </c>
      <c r="Y59" s="63"/>
      <c r="Z59" s="63"/>
      <c r="AA59" s="61">
        <f t="shared" si="39"/>
        <v>470.03764325893849</v>
      </c>
      <c r="AB59" s="62">
        <f>AA59/AA58</f>
        <v>0.99874245476490031</v>
      </c>
      <c r="AC59" s="63"/>
      <c r="AD59" s="63"/>
      <c r="AE59" s="61">
        <f t="shared" si="40"/>
        <v>1581.4456627332893</v>
      </c>
      <c r="AF59" s="62">
        <f>AE59/AE58</f>
        <v>1.0003758378855214</v>
      </c>
    </row>
    <row r="60" spans="1:32" x14ac:dyDescent="0.2">
      <c r="A60">
        <v>2027</v>
      </c>
      <c r="B60" t="s">
        <v>43</v>
      </c>
      <c r="C60" s="61">
        <f t="shared" si="33"/>
        <v>155676.31373919293</v>
      </c>
      <c r="D60" s="62">
        <f t="shared" ref="D60:D71" si="41">C60/C59</f>
        <v>1.0007002816723805</v>
      </c>
      <c r="G60" s="61">
        <f>G59*H$15^(1/12)</f>
        <v>13703.324609576284</v>
      </c>
      <c r="H60" s="62">
        <f t="shared" ref="H60:H71" si="42">G60/G59</f>
        <v>1.0008022470843208</v>
      </c>
      <c r="K60" s="61">
        <f t="shared" si="35"/>
        <v>1519.0634151125273</v>
      </c>
      <c r="L60" s="62">
        <f t="shared" ref="L60:L71" si="43">K60/K59</f>
        <v>0.99997260311107927</v>
      </c>
      <c r="O60" s="61">
        <f t="shared" si="36"/>
        <v>7</v>
      </c>
      <c r="P60" s="62">
        <f t="shared" ref="P60:P71" si="44">O60/O59</f>
        <v>1</v>
      </c>
      <c r="S60" s="61">
        <f t="shared" si="37"/>
        <v>2</v>
      </c>
      <c r="T60" s="62">
        <f t="shared" ref="T60:T71" si="45">S60/S59</f>
        <v>1</v>
      </c>
      <c r="W60" s="61">
        <f t="shared" si="38"/>
        <v>41302.240016241209</v>
      </c>
      <c r="X60" s="62">
        <f t="shared" ref="X60:X71" si="46">W60/W59</f>
        <v>1.0010562135491454</v>
      </c>
      <c r="AA60" s="61">
        <f t="shared" si="39"/>
        <v>469.44654966034074</v>
      </c>
      <c r="AB60" s="62">
        <f t="shared" ref="AB60:AB71" si="47">AA60/AA59</f>
        <v>0.99874245476490031</v>
      </c>
      <c r="AE60" s="61">
        <f t="shared" si="40"/>
        <v>1582.040029927238</v>
      </c>
      <c r="AF60" s="62">
        <f t="shared" ref="AF60:AF71" si="48">AE60/AE59</f>
        <v>1.0003758378855214</v>
      </c>
    </row>
    <row r="61" spans="1:32" x14ac:dyDescent="0.2">
      <c r="B61" t="s">
        <v>44</v>
      </c>
      <c r="C61" s="61">
        <f t="shared" si="33"/>
        <v>155785.33100852824</v>
      </c>
      <c r="D61" s="62">
        <f t="shared" si="41"/>
        <v>1.0007002816723805</v>
      </c>
      <c r="G61" s="61">
        <f t="shared" si="34"/>
        <v>13714.318061789818</v>
      </c>
      <c r="H61" s="62">
        <f t="shared" si="42"/>
        <v>1.0008022470843208</v>
      </c>
      <c r="K61" s="61">
        <f t="shared" si="35"/>
        <v>1519.02179750088</v>
      </c>
      <c r="L61" s="62">
        <f t="shared" si="43"/>
        <v>0.99997260311107927</v>
      </c>
      <c r="O61" s="61">
        <f t="shared" si="36"/>
        <v>7</v>
      </c>
      <c r="P61" s="62">
        <f t="shared" si="44"/>
        <v>1</v>
      </c>
      <c r="S61" s="61">
        <f t="shared" si="37"/>
        <v>2</v>
      </c>
      <c r="T61" s="62">
        <f t="shared" si="45"/>
        <v>1</v>
      </c>
      <c r="W61" s="61">
        <f t="shared" si="38"/>
        <v>41345.864001756418</v>
      </c>
      <c r="X61" s="62">
        <f t="shared" si="46"/>
        <v>1.0010562135491454</v>
      </c>
      <c r="AA61" s="61">
        <f t="shared" si="39"/>
        <v>468.85619938868138</v>
      </c>
      <c r="AB61" s="62">
        <f t="shared" si="47"/>
        <v>0.99874245476490031</v>
      </c>
      <c r="AE61" s="61">
        <f t="shared" si="40"/>
        <v>1582.6346205068962</v>
      </c>
      <c r="AF61" s="62">
        <f t="shared" si="48"/>
        <v>1.0003758378855214</v>
      </c>
    </row>
    <row r="62" spans="1:32" x14ac:dyDescent="0.2">
      <c r="B62" t="s">
        <v>45</v>
      </c>
      <c r="C62" s="61">
        <f t="shared" si="33"/>
        <v>155894.42462065924</v>
      </c>
      <c r="D62" s="62">
        <f t="shared" si="41"/>
        <v>1.0007002816723805</v>
      </c>
      <c r="G62" s="61">
        <f t="shared" si="34"/>
        <v>13725.320333468337</v>
      </c>
      <c r="H62" s="62">
        <f t="shared" si="42"/>
        <v>1.0008022470843208</v>
      </c>
      <c r="K62" s="61">
        <f t="shared" si="35"/>
        <v>1518.9801810294257</v>
      </c>
      <c r="L62" s="62">
        <f t="shared" si="43"/>
        <v>0.99997260311107927</v>
      </c>
      <c r="O62" s="61">
        <f t="shared" si="36"/>
        <v>7</v>
      </c>
      <c r="P62" s="62">
        <f t="shared" si="44"/>
        <v>1</v>
      </c>
      <c r="S62" s="61">
        <f t="shared" si="37"/>
        <v>2</v>
      </c>
      <c r="T62" s="62">
        <f t="shared" si="45"/>
        <v>1</v>
      </c>
      <c r="W62" s="61">
        <f t="shared" si="38"/>
        <v>41389.534063516199</v>
      </c>
      <c r="X62" s="62">
        <f t="shared" si="46"/>
        <v>1.0010562135491454</v>
      </c>
      <c r="AA62" s="61">
        <f t="shared" si="39"/>
        <v>468.26659150919318</v>
      </c>
      <c r="AB62" s="62">
        <f t="shared" si="47"/>
        <v>0.99874245476490031</v>
      </c>
      <c r="AE62" s="61">
        <f t="shared" si="40"/>
        <v>1583.2294345562204</v>
      </c>
      <c r="AF62" s="62">
        <f t="shared" si="48"/>
        <v>1.0003758378855214</v>
      </c>
    </row>
    <row r="63" spans="1:32" x14ac:dyDescent="0.2">
      <c r="B63" t="s">
        <v>46</v>
      </c>
      <c r="C63" s="61">
        <f t="shared" si="33"/>
        <v>156003.59462904738</v>
      </c>
      <c r="D63" s="62">
        <f t="shared" si="41"/>
        <v>1.0007002816723805</v>
      </c>
      <c r="G63" s="61">
        <f t="shared" si="34"/>
        <v>13736.331431687229</v>
      </c>
      <c r="H63" s="62">
        <f t="shared" si="42"/>
        <v>1.0008022470843208</v>
      </c>
      <c r="K63" s="61">
        <f t="shared" si="35"/>
        <v>1518.9385656981333</v>
      </c>
      <c r="L63" s="62">
        <f t="shared" si="43"/>
        <v>0.99997260311107927</v>
      </c>
      <c r="O63" s="61">
        <f t="shared" si="36"/>
        <v>7</v>
      </c>
      <c r="P63" s="62">
        <f t="shared" si="44"/>
        <v>1</v>
      </c>
      <c r="S63" s="61">
        <f t="shared" si="37"/>
        <v>2</v>
      </c>
      <c r="T63" s="62">
        <f t="shared" si="45"/>
        <v>1</v>
      </c>
      <c r="W63" s="61">
        <f t="shared" si="38"/>
        <v>41433.250250186902</v>
      </c>
      <c r="X63" s="62">
        <f t="shared" si="46"/>
        <v>1.0010562135491454</v>
      </c>
      <c r="AA63" s="61">
        <f t="shared" si="39"/>
        <v>467.67772508828443</v>
      </c>
      <c r="AB63" s="62">
        <f t="shared" si="47"/>
        <v>0.99874245476490031</v>
      </c>
      <c r="AE63" s="61">
        <f t="shared" si="40"/>
        <v>1583.8244721591993</v>
      </c>
      <c r="AF63" s="62">
        <f t="shared" si="48"/>
        <v>1.0003758378855214</v>
      </c>
    </row>
    <row r="64" spans="1:32" x14ac:dyDescent="0.2">
      <c r="B64" t="s">
        <v>47</v>
      </c>
      <c r="C64" s="61">
        <f t="shared" si="33"/>
        <v>156112.84108719157</v>
      </c>
      <c r="D64" s="62">
        <f t="shared" si="41"/>
        <v>1.0007002816723805</v>
      </c>
      <c r="G64" s="61">
        <f t="shared" si="34"/>
        <v>13747.351363527563</v>
      </c>
      <c r="H64" s="62">
        <f t="shared" si="42"/>
        <v>1.0008022470843208</v>
      </c>
      <c r="K64" s="61">
        <f t="shared" si="35"/>
        <v>1518.8969515069714</v>
      </c>
      <c r="L64" s="62">
        <f t="shared" si="43"/>
        <v>0.99997260311107927</v>
      </c>
      <c r="O64" s="61">
        <f t="shared" si="36"/>
        <v>7</v>
      </c>
      <c r="P64" s="62">
        <f t="shared" si="44"/>
        <v>1</v>
      </c>
      <c r="S64" s="61">
        <f t="shared" si="37"/>
        <v>2</v>
      </c>
      <c r="T64" s="62">
        <f t="shared" si="45"/>
        <v>1</v>
      </c>
      <c r="W64" s="61">
        <f t="shared" si="38"/>
        <v>41477.012610486279</v>
      </c>
      <c r="X64" s="62">
        <f t="shared" si="46"/>
        <v>1.0010562135491454</v>
      </c>
      <c r="AA64" s="61">
        <f t="shared" si="39"/>
        <v>467.08959919353742</v>
      </c>
      <c r="AB64" s="62">
        <f t="shared" si="47"/>
        <v>0.99874245476490031</v>
      </c>
      <c r="AE64" s="61">
        <f t="shared" si="40"/>
        <v>1584.4197333998527</v>
      </c>
      <c r="AF64" s="62">
        <f t="shared" si="48"/>
        <v>1.0003758378855214</v>
      </c>
    </row>
    <row r="65" spans="2:32" x14ac:dyDescent="0.2">
      <c r="B65" t="s">
        <v>48</v>
      </c>
      <c r="C65" s="61">
        <f t="shared" ref="C65:C71" si="49">C64*D$15^(1/12)</f>
        <v>156222.16404862818</v>
      </c>
      <c r="D65" s="62">
        <f t="shared" si="41"/>
        <v>1.0007002816723805</v>
      </c>
      <c r="G65" s="61">
        <f t="shared" si="34"/>
        <v>13758.380136076086</v>
      </c>
      <c r="H65" s="62">
        <f t="shared" si="42"/>
        <v>1.0008022470843208</v>
      </c>
      <c r="K65" s="61">
        <f t="shared" si="35"/>
        <v>1518.8553384559088</v>
      </c>
      <c r="L65" s="62">
        <f t="shared" si="43"/>
        <v>0.99997260311107927</v>
      </c>
      <c r="O65" s="61">
        <f t="shared" si="36"/>
        <v>7</v>
      </c>
      <c r="P65" s="62">
        <f t="shared" si="44"/>
        <v>1</v>
      </c>
      <c r="S65" s="61">
        <f t="shared" si="37"/>
        <v>2</v>
      </c>
      <c r="T65" s="62">
        <f t="shared" si="45"/>
        <v>1</v>
      </c>
      <c r="W65" s="61">
        <f t="shared" si="38"/>
        <v>41520.821193183554</v>
      </c>
      <c r="X65" s="62">
        <f t="shared" si="46"/>
        <v>1.0010562135491454</v>
      </c>
      <c r="AA65" s="61">
        <f t="shared" si="39"/>
        <v>466.50221289370694</v>
      </c>
      <c r="AB65" s="62">
        <f t="shared" si="47"/>
        <v>0.9987424547649002</v>
      </c>
      <c r="AE65" s="61">
        <f t="shared" si="40"/>
        <v>1585.0152183622322</v>
      </c>
      <c r="AF65" s="62">
        <f t="shared" si="48"/>
        <v>1.0003758378855214</v>
      </c>
    </row>
    <row r="66" spans="2:32" x14ac:dyDescent="0.2">
      <c r="B66" t="s">
        <v>49</v>
      </c>
      <c r="C66" s="61">
        <f t="shared" si="49"/>
        <v>156331.56356693106</v>
      </c>
      <c r="D66" s="62">
        <f t="shared" si="41"/>
        <v>1.0007002816723805</v>
      </c>
      <c r="G66" s="61">
        <f t="shared" si="34"/>
        <v>13769.41775642523</v>
      </c>
      <c r="H66" s="62">
        <f t="shared" si="42"/>
        <v>1.0008022470843208</v>
      </c>
      <c r="K66" s="61">
        <f t="shared" si="35"/>
        <v>1518.8137265449145</v>
      </c>
      <c r="L66" s="62">
        <f t="shared" si="43"/>
        <v>0.99997260311107927</v>
      </c>
      <c r="O66" s="61">
        <f t="shared" si="36"/>
        <v>7</v>
      </c>
      <c r="P66" s="62">
        <f t="shared" si="44"/>
        <v>1</v>
      </c>
      <c r="S66" s="61">
        <f t="shared" si="37"/>
        <v>2</v>
      </c>
      <c r="T66" s="62">
        <f t="shared" si="45"/>
        <v>1</v>
      </c>
      <c r="W66" s="61">
        <f t="shared" si="38"/>
        <v>41564.676047099441</v>
      </c>
      <c r="X66" s="62">
        <f t="shared" si="46"/>
        <v>1.0010562135491454</v>
      </c>
      <c r="AA66" s="61">
        <f t="shared" si="39"/>
        <v>465.91556525871897</v>
      </c>
      <c r="AB66" s="62">
        <f t="shared" si="47"/>
        <v>0.9987424547649002</v>
      </c>
      <c r="AE66" s="61">
        <f t="shared" si="40"/>
        <v>1585.6109271304208</v>
      </c>
      <c r="AF66" s="62">
        <f t="shared" si="48"/>
        <v>1.0003758378855214</v>
      </c>
    </row>
    <row r="67" spans="2:32" x14ac:dyDescent="0.2">
      <c r="B67" t="s">
        <v>50</v>
      </c>
      <c r="C67" s="61">
        <f t="shared" si="49"/>
        <v>156441.03969571157</v>
      </c>
      <c r="D67" s="62">
        <f t="shared" si="41"/>
        <v>1.0007002816723805</v>
      </c>
      <c r="G67" s="61">
        <f t="shared" si="34"/>
        <v>13780.464231673115</v>
      </c>
      <c r="H67" s="62">
        <f t="shared" si="42"/>
        <v>1.0008022470843208</v>
      </c>
      <c r="K67" s="61">
        <f t="shared" si="35"/>
        <v>1518.772115773957</v>
      </c>
      <c r="L67" s="62">
        <f t="shared" si="43"/>
        <v>0.99997260311107927</v>
      </c>
      <c r="O67" s="61">
        <f t="shared" si="36"/>
        <v>7</v>
      </c>
      <c r="P67" s="62">
        <f t="shared" si="44"/>
        <v>1</v>
      </c>
      <c r="S67" s="61">
        <f t="shared" si="37"/>
        <v>2</v>
      </c>
      <c r="T67" s="62">
        <f t="shared" si="45"/>
        <v>1</v>
      </c>
      <c r="W67" s="61">
        <f t="shared" si="38"/>
        <v>41608.577221106229</v>
      </c>
      <c r="X67" s="62">
        <f t="shared" si="46"/>
        <v>1.0010562135491454</v>
      </c>
      <c r="AA67" s="61">
        <f t="shared" si="39"/>
        <v>465.32965535966912</v>
      </c>
      <c r="AB67" s="62">
        <f t="shared" si="47"/>
        <v>0.99874245476490042</v>
      </c>
      <c r="AE67" s="61">
        <f t="shared" si="40"/>
        <v>1586.2068597885332</v>
      </c>
      <c r="AF67" s="62">
        <f t="shared" si="48"/>
        <v>1.0003758378855214</v>
      </c>
    </row>
    <row r="68" spans="2:32" x14ac:dyDescent="0.2">
      <c r="B68" t="s">
        <v>164</v>
      </c>
      <c r="C68" s="61">
        <f t="shared" si="49"/>
        <v>156550.59248861863</v>
      </c>
      <c r="D68" s="62">
        <f t="shared" si="41"/>
        <v>1.0007002816723805</v>
      </c>
      <c r="G68" s="61">
        <f t="shared" si="34"/>
        <v>13791.519568923561</v>
      </c>
      <c r="H68" s="62">
        <f t="shared" si="42"/>
        <v>1.0008022470843208</v>
      </c>
      <c r="K68" s="61">
        <f t="shared" si="35"/>
        <v>1518.7305061430052</v>
      </c>
      <c r="L68" s="62">
        <f t="shared" si="43"/>
        <v>0.99997260311107927</v>
      </c>
      <c r="O68" s="61">
        <f t="shared" si="36"/>
        <v>7</v>
      </c>
      <c r="P68" s="62">
        <f t="shared" si="44"/>
        <v>1</v>
      </c>
      <c r="S68" s="61">
        <f t="shared" si="37"/>
        <v>2</v>
      </c>
      <c r="T68" s="62">
        <f t="shared" si="45"/>
        <v>1</v>
      </c>
      <c r="W68" s="61">
        <f t="shared" si="38"/>
        <v>41652.524764127826</v>
      </c>
      <c r="X68" s="62">
        <f t="shared" si="46"/>
        <v>1.0010562135491454</v>
      </c>
      <c r="AA68" s="61">
        <f t="shared" si="39"/>
        <v>464.744482268821</v>
      </c>
      <c r="AB68" s="62">
        <f t="shared" si="47"/>
        <v>0.99874245476490031</v>
      </c>
      <c r="AE68" s="61">
        <f t="shared" si="40"/>
        <v>1586.8030164207157</v>
      </c>
      <c r="AF68" s="62">
        <f t="shared" si="48"/>
        <v>1.0003758378855214</v>
      </c>
    </row>
    <row r="69" spans="2:32" x14ac:dyDescent="0.2">
      <c r="B69" t="s">
        <v>52</v>
      </c>
      <c r="C69" s="61">
        <f t="shared" si="49"/>
        <v>156660.22199933871</v>
      </c>
      <c r="D69" s="62">
        <f t="shared" si="41"/>
        <v>1.0007002816723805</v>
      </c>
      <c r="G69" s="61">
        <f t="shared" si="34"/>
        <v>13802.583775286083</v>
      </c>
      <c r="H69" s="62">
        <f t="shared" si="42"/>
        <v>1.0008022470843208</v>
      </c>
      <c r="K69" s="61">
        <f t="shared" si="35"/>
        <v>1518.6888976520279</v>
      </c>
      <c r="L69" s="62">
        <f t="shared" si="43"/>
        <v>0.99997260311107927</v>
      </c>
      <c r="O69" s="61">
        <f t="shared" si="36"/>
        <v>7</v>
      </c>
      <c r="P69" s="62">
        <f t="shared" si="44"/>
        <v>1</v>
      </c>
      <c r="S69" s="61">
        <f t="shared" si="37"/>
        <v>2</v>
      </c>
      <c r="T69" s="62">
        <f t="shared" si="45"/>
        <v>1</v>
      </c>
      <c r="W69" s="61">
        <f t="shared" si="38"/>
        <v>41696.518725139809</v>
      </c>
      <c r="X69" s="62">
        <f t="shared" si="46"/>
        <v>1.0010562135491454</v>
      </c>
      <c r="AA69" s="61">
        <f t="shared" si="39"/>
        <v>464.16004505960495</v>
      </c>
      <c r="AB69" s="62">
        <f t="shared" si="47"/>
        <v>0.99874245476490031</v>
      </c>
      <c r="AE69" s="61">
        <f t="shared" si="40"/>
        <v>1587.3993971111463</v>
      </c>
      <c r="AF69" s="62">
        <f t="shared" si="48"/>
        <v>1.0003758378855214</v>
      </c>
    </row>
    <row r="70" spans="2:32" x14ac:dyDescent="0.2">
      <c r="B70" t="s">
        <v>53</v>
      </c>
      <c r="C70" s="61">
        <f t="shared" si="49"/>
        <v>156769.9282815959</v>
      </c>
      <c r="D70" s="62">
        <f t="shared" si="41"/>
        <v>1.0007002816723805</v>
      </c>
      <c r="G70" s="61">
        <f t="shared" si="34"/>
        <v>13813.656857875898</v>
      </c>
      <c r="H70" s="62">
        <f t="shared" si="42"/>
        <v>1.0008022470843208</v>
      </c>
      <c r="K70" s="61">
        <f t="shared" si="35"/>
        <v>1518.6472903009937</v>
      </c>
      <c r="L70" s="62">
        <f t="shared" si="43"/>
        <v>0.99997260311107927</v>
      </c>
      <c r="O70" s="61">
        <f t="shared" si="36"/>
        <v>7</v>
      </c>
      <c r="P70" s="62">
        <f t="shared" si="44"/>
        <v>1</v>
      </c>
      <c r="S70" s="61">
        <f t="shared" si="37"/>
        <v>2</v>
      </c>
      <c r="T70" s="62">
        <f t="shared" si="45"/>
        <v>1</v>
      </c>
      <c r="W70" s="61">
        <f t="shared" si="38"/>
        <v>41740.559153169495</v>
      </c>
      <c r="X70" s="62">
        <f t="shared" si="46"/>
        <v>1.0010562135491454</v>
      </c>
      <c r="AA70" s="61">
        <f t="shared" si="39"/>
        <v>463.57634280661659</v>
      </c>
      <c r="AB70" s="62">
        <f t="shared" si="47"/>
        <v>0.99874245476490031</v>
      </c>
      <c r="AE70" s="61">
        <f t="shared" si="40"/>
        <v>1587.9960019440346</v>
      </c>
      <c r="AF70" s="62">
        <f t="shared" si="48"/>
        <v>1.0003758378855214</v>
      </c>
    </row>
    <row r="71" spans="2:32" x14ac:dyDescent="0.2">
      <c r="B71" t="s">
        <v>54</v>
      </c>
      <c r="C71" s="61">
        <f t="shared" si="49"/>
        <v>156879.7113891519</v>
      </c>
      <c r="D71" s="62">
        <f t="shared" si="41"/>
        <v>1.0007002816723805</v>
      </c>
      <c r="G71" s="61">
        <f t="shared" si="34"/>
        <v>13824.738823813936</v>
      </c>
      <c r="H71" s="62">
        <f t="shared" si="42"/>
        <v>1.0008022470843208</v>
      </c>
      <c r="K71" s="61">
        <f t="shared" si="35"/>
        <v>1518.6056840898716</v>
      </c>
      <c r="L71" s="62">
        <f t="shared" si="43"/>
        <v>0.99997260311107927</v>
      </c>
      <c r="O71" s="61">
        <f t="shared" si="36"/>
        <v>7</v>
      </c>
      <c r="P71" s="62">
        <f t="shared" si="44"/>
        <v>1</v>
      </c>
      <c r="S71" s="61">
        <f t="shared" si="37"/>
        <v>2</v>
      </c>
      <c r="T71" s="62">
        <f t="shared" si="45"/>
        <v>1</v>
      </c>
      <c r="W71" s="61">
        <f t="shared" si="38"/>
        <v>41784.646097295976</v>
      </c>
      <c r="X71" s="62">
        <f t="shared" si="46"/>
        <v>1.0010562135491454</v>
      </c>
      <c r="AA71" s="61">
        <f t="shared" si="39"/>
        <v>462.99337458561519</v>
      </c>
      <c r="AB71" s="62">
        <f t="shared" si="47"/>
        <v>0.99874245476490031</v>
      </c>
      <c r="AE71" s="61">
        <f t="shared" si="40"/>
        <v>1588.5928310036218</v>
      </c>
      <c r="AF71" s="62">
        <f t="shared" si="48"/>
        <v>1.0003758378855214</v>
      </c>
    </row>
    <row r="88" spans="2:5" x14ac:dyDescent="0.2">
      <c r="C88" t="s">
        <v>520</v>
      </c>
    </row>
    <row r="90" spans="2:5" x14ac:dyDescent="0.2">
      <c r="B90">
        <v>2025</v>
      </c>
      <c r="C90" s="11">
        <v>197880</v>
      </c>
    </row>
    <row r="91" spans="2:5" x14ac:dyDescent="0.2">
      <c r="B91">
        <f>B90+1</f>
        <v>2026</v>
      </c>
      <c r="C91" s="11">
        <f>C90*(1+D91)</f>
        <v>199859.97839521119</v>
      </c>
      <c r="D91" s="57">
        <f>(1+E95)^(1/5)-1</f>
        <v>1.0005955100117259E-2</v>
      </c>
    </row>
    <row r="92" spans="2:5" x14ac:dyDescent="0.2">
      <c r="B92">
        <f>B91+1</f>
        <v>2027</v>
      </c>
      <c r="C92" s="11">
        <f>C91*(1+D92)</f>
        <v>201859.76836534409</v>
      </c>
      <c r="D92" s="57">
        <f>D91</f>
        <v>1.0005955100117259E-2</v>
      </c>
    </row>
    <row r="93" spans="2:5" x14ac:dyDescent="0.2">
      <c r="B93">
        <f>B92+1</f>
        <v>2028</v>
      </c>
      <c r="C93" s="11">
        <f>C92*(1+D93)</f>
        <v>203879.56814412778</v>
      </c>
      <c r="D93" s="57">
        <f>D92</f>
        <v>1.0005955100117259E-2</v>
      </c>
    </row>
    <row r="94" spans="2:5" x14ac:dyDescent="0.2">
      <c r="B94">
        <f>B93+1</f>
        <v>2029</v>
      </c>
      <c r="C94" s="11">
        <f>C93*(1+D94)</f>
        <v>205919.57794880922</v>
      </c>
      <c r="D94" s="57">
        <f>D93</f>
        <v>1.0005955100117259E-2</v>
      </c>
    </row>
    <row r="95" spans="2:5" x14ac:dyDescent="0.2">
      <c r="B95">
        <v>2030</v>
      </c>
      <c r="C95" s="11">
        <v>207980</v>
      </c>
      <c r="D95" s="13"/>
      <c r="E95" s="23">
        <f>C95/C90-1</f>
        <v>5.1041034970689347E-2</v>
      </c>
    </row>
  </sheetData>
  <mergeCells count="16">
    <mergeCell ref="AD2:AE2"/>
    <mergeCell ref="AF2:AF3"/>
    <mergeCell ref="V2:W2"/>
    <mergeCell ref="X2:X3"/>
    <mergeCell ref="B2:C2"/>
    <mergeCell ref="D2:D3"/>
    <mergeCell ref="F2:G2"/>
    <mergeCell ref="H2:H3"/>
    <mergeCell ref="J2:K2"/>
    <mergeCell ref="L2:L3"/>
    <mergeCell ref="N2:O2"/>
    <mergeCell ref="P2:P3"/>
    <mergeCell ref="R2:S2"/>
    <mergeCell ref="T2:T3"/>
    <mergeCell ref="Z2:AA2"/>
    <mergeCell ref="AB2:AB3"/>
  </mergeCells>
  <phoneticPr fontId="43" type="noConversion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5"/>
  <dimension ref="A2:AL49"/>
  <sheetViews>
    <sheetView workbookViewId="0">
      <selection activeCell="R13" sqref="R13"/>
    </sheetView>
  </sheetViews>
  <sheetFormatPr defaultRowHeight="12.75" x14ac:dyDescent="0.2"/>
  <cols>
    <col min="3" max="3" width="17.5" bestFit="1" customWidth="1"/>
    <col min="4" max="4" width="15.33203125" customWidth="1"/>
    <col min="5" max="5" width="12.83203125" customWidth="1"/>
    <col min="6" max="6" width="11.33203125" bestFit="1" customWidth="1"/>
    <col min="7" max="7" width="11.33203125" customWidth="1"/>
    <col min="8" max="8" width="12.1640625" customWidth="1"/>
    <col min="10" max="10" width="17.5" bestFit="1" customWidth="1"/>
    <col min="11" max="11" width="15.33203125" customWidth="1"/>
    <col min="12" max="12" width="12.83203125" customWidth="1"/>
    <col min="13" max="13" width="11.33203125" bestFit="1" customWidth="1"/>
    <col min="14" max="14" width="11.33203125" customWidth="1"/>
    <col min="15" max="15" width="12.1640625" customWidth="1"/>
    <col min="17" max="17" width="17.5" bestFit="1" customWidth="1"/>
    <col min="18" max="18" width="15.33203125" customWidth="1"/>
    <col min="19" max="19" width="12.83203125" customWidth="1"/>
    <col min="20" max="20" width="11.33203125" bestFit="1" customWidth="1"/>
    <col min="21" max="21" width="11.33203125" customWidth="1"/>
    <col min="22" max="23" width="12.1640625" customWidth="1"/>
    <col min="25" max="25" width="14.6640625" customWidth="1"/>
    <col min="26" max="26" width="16.1640625" customWidth="1"/>
    <col min="27" max="27" width="15.83203125" customWidth="1"/>
    <col min="28" max="28" width="11" customWidth="1"/>
    <col min="30" max="30" width="9.33203125" customWidth="1"/>
    <col min="32" max="32" width="14.6640625" customWidth="1"/>
    <col min="33" max="33" width="16.1640625" customWidth="1"/>
    <col min="34" max="34" width="15.83203125" customWidth="1"/>
    <col min="35" max="35" width="11" customWidth="1"/>
    <col min="37" max="37" width="9.33203125" customWidth="1"/>
  </cols>
  <sheetData>
    <row r="2" spans="1:38" x14ac:dyDescent="0.2">
      <c r="C2" s="583" t="s">
        <v>112</v>
      </c>
      <c r="D2" s="583"/>
      <c r="E2" s="583"/>
      <c r="F2" s="171"/>
      <c r="J2" s="583" t="s">
        <v>481</v>
      </c>
      <c r="K2" s="583"/>
      <c r="L2" s="583"/>
      <c r="M2" s="171"/>
      <c r="Q2" s="583" t="s">
        <v>444</v>
      </c>
      <c r="R2" s="583"/>
      <c r="S2" s="583"/>
      <c r="T2" s="171"/>
      <c r="Y2" s="583" t="s">
        <v>115</v>
      </c>
      <c r="Z2" s="583"/>
      <c r="AA2" s="583"/>
      <c r="AB2" s="171"/>
      <c r="AF2" s="583" t="s">
        <v>486</v>
      </c>
      <c r="AG2" s="583"/>
      <c r="AH2" s="583"/>
      <c r="AI2" s="171"/>
      <c r="AK2" s="583" t="s">
        <v>524</v>
      </c>
      <c r="AL2" s="583"/>
    </row>
    <row r="3" spans="1:38" x14ac:dyDescent="0.2">
      <c r="A3" s="37"/>
      <c r="B3" s="37"/>
      <c r="C3" s="169" t="s">
        <v>116</v>
      </c>
      <c r="D3" s="169" t="s">
        <v>117</v>
      </c>
      <c r="E3" s="169" t="s">
        <v>138</v>
      </c>
      <c r="F3" s="169" t="s">
        <v>139</v>
      </c>
      <c r="G3" s="36"/>
      <c r="H3" s="36"/>
      <c r="I3" s="37"/>
      <c r="J3" s="169" t="s">
        <v>116</v>
      </c>
      <c r="K3" s="169" t="s">
        <v>117</v>
      </c>
      <c r="L3" s="169" t="s">
        <v>138</v>
      </c>
      <c r="M3" s="169" t="s">
        <v>139</v>
      </c>
      <c r="N3" s="36"/>
      <c r="O3" s="36"/>
      <c r="P3" s="37"/>
      <c r="Q3" s="169" t="s">
        <v>116</v>
      </c>
      <c r="R3" s="169" t="s">
        <v>117</v>
      </c>
      <c r="S3" s="169" t="s">
        <v>138</v>
      </c>
      <c r="T3" s="169" t="s">
        <v>139</v>
      </c>
      <c r="U3" s="36"/>
      <c r="V3" s="36"/>
      <c r="W3" s="36"/>
      <c r="X3" s="37"/>
      <c r="Y3" s="169" t="s">
        <v>116</v>
      </c>
      <c r="Z3" s="169" t="s">
        <v>117</v>
      </c>
      <c r="AA3" s="169" t="s">
        <v>138</v>
      </c>
      <c r="AB3" s="169" t="s">
        <v>139</v>
      </c>
      <c r="AD3" s="37"/>
      <c r="AE3" s="37"/>
      <c r="AF3" s="169" t="s">
        <v>116</v>
      </c>
      <c r="AG3" s="169" t="s">
        <v>117</v>
      </c>
      <c r="AH3" s="169" t="s">
        <v>138</v>
      </c>
      <c r="AI3" s="169" t="s">
        <v>139</v>
      </c>
      <c r="AK3" s="169"/>
      <c r="AL3" s="169" t="s">
        <v>117</v>
      </c>
    </row>
    <row r="4" spans="1:38" x14ac:dyDescent="0.2">
      <c r="A4" s="37"/>
      <c r="B4" s="37"/>
      <c r="C4" s="169" t="s">
        <v>102</v>
      </c>
      <c r="D4" s="169" t="s">
        <v>103</v>
      </c>
      <c r="E4" s="169" t="s">
        <v>137</v>
      </c>
      <c r="F4" s="169"/>
      <c r="G4" s="36"/>
      <c r="H4" s="36"/>
      <c r="I4" s="37"/>
      <c r="J4" s="169" t="s">
        <v>102</v>
      </c>
      <c r="K4" s="169" t="s">
        <v>103</v>
      </c>
      <c r="L4" s="169" t="s">
        <v>137</v>
      </c>
      <c r="M4" s="169"/>
      <c r="N4" s="36"/>
      <c r="O4" s="36"/>
      <c r="P4" s="37"/>
      <c r="Q4" s="169" t="s">
        <v>102</v>
      </c>
      <c r="R4" s="169" t="s">
        <v>103</v>
      </c>
      <c r="S4" s="169" t="s">
        <v>137</v>
      </c>
      <c r="T4" s="169"/>
      <c r="U4" s="36"/>
      <c r="V4" s="36"/>
      <c r="W4" s="36"/>
      <c r="X4" s="37"/>
      <c r="Y4" s="169" t="s">
        <v>102</v>
      </c>
      <c r="Z4" s="169" t="s">
        <v>103</v>
      </c>
      <c r="AA4" s="169" t="s">
        <v>137</v>
      </c>
      <c r="AB4" s="169"/>
      <c r="AD4" s="37"/>
      <c r="AE4" s="37"/>
      <c r="AF4" s="169" t="s">
        <v>102</v>
      </c>
      <c r="AG4" s="169" t="s">
        <v>103</v>
      </c>
      <c r="AH4" s="169" t="s">
        <v>137</v>
      </c>
      <c r="AI4" s="169"/>
      <c r="AK4" s="169"/>
      <c r="AL4" s="169" t="s">
        <v>102</v>
      </c>
    </row>
    <row r="5" spans="1:38" x14ac:dyDescent="0.2">
      <c r="A5" s="9"/>
      <c r="B5" s="9">
        <v>2017</v>
      </c>
      <c r="C5" s="31">
        <f>'Normalized Annual Summary'!Y6</f>
        <v>1458855316</v>
      </c>
      <c r="D5" s="31">
        <f>SUMIF('Monthly Data'!B:B,B5,'Monthly Data'!O:O)</f>
        <v>3708563.0700000008</v>
      </c>
      <c r="E5" s="38">
        <f t="shared" ref="E5:E12" si="0">D5/C5</f>
        <v>2.5421047785385738E-3</v>
      </c>
      <c r="F5" s="12"/>
      <c r="G5" s="12"/>
      <c r="H5" s="12"/>
      <c r="I5" s="9">
        <v>2017</v>
      </c>
      <c r="J5" s="31">
        <f>'Normalized Annual Summary'!AJ6</f>
        <v>46826076</v>
      </c>
      <c r="K5" s="31">
        <f>SUMIF('Monthly Data'!B:B,B5,'Monthly Data'!T:T)</f>
        <v>74118.640000000014</v>
      </c>
      <c r="L5" s="38">
        <f t="shared" ref="L5:L12" si="1">K5/J5</f>
        <v>1.5828496925516461E-3</v>
      </c>
      <c r="M5" s="12"/>
      <c r="N5" s="12"/>
      <c r="O5" s="12"/>
      <c r="P5" s="9">
        <v>2017</v>
      </c>
      <c r="Q5" s="31">
        <f>'Normalized Annual Summary'!AU6</f>
        <v>117991437</v>
      </c>
      <c r="R5" s="31">
        <f>SUMIF('Monthly Data'!B:B,B5,'Monthly Data'!Y:Y)</f>
        <v>227423.46000000002</v>
      </c>
      <c r="S5" s="38">
        <f t="shared" ref="S5:S12" si="2">R5/Q5</f>
        <v>1.9274573289585414E-3</v>
      </c>
      <c r="T5" s="12"/>
      <c r="U5" s="12"/>
      <c r="V5" s="12"/>
      <c r="W5" s="12"/>
      <c r="X5" s="9">
        <v>2017</v>
      </c>
      <c r="Y5" s="31">
        <f>'Normalized Annual Summary'!BF6</f>
        <v>19787895.879999999</v>
      </c>
      <c r="Z5" s="31">
        <f>SUMIF('Monthly Data'!B:B,B5,'Monthly Data'!AB:AB)</f>
        <v>55752.55</v>
      </c>
      <c r="AA5" s="38">
        <f t="shared" ref="AA5:AA12" si="3">Z5/Y5</f>
        <v>2.8175077500963686E-3</v>
      </c>
      <c r="AB5" s="12"/>
      <c r="AC5" s="12"/>
      <c r="AD5" s="9"/>
      <c r="AE5" s="9">
        <v>2017</v>
      </c>
      <c r="AF5" s="31">
        <f>'Normalized Annual Summary'!BL6</f>
        <v>580140.85</v>
      </c>
      <c r="AG5" s="31">
        <f>SUMIF('Monthly Data'!B:B,B5,'Monthly Data'!AG:AG)</f>
        <v>1579.19</v>
      </c>
      <c r="AH5" s="38">
        <f t="shared" ref="AH5:AH12" si="4">AG5/AF5</f>
        <v>2.7220803361804294E-3</v>
      </c>
      <c r="AI5" s="12"/>
      <c r="AJ5" s="12"/>
      <c r="AK5" s="9">
        <f>AE5</f>
        <v>2017</v>
      </c>
      <c r="AL5" s="31">
        <f>SUMIF('Monthly Data'!B:B,B5,'Monthly Data'!AI:AI)</f>
        <v>157800</v>
      </c>
    </row>
    <row r="6" spans="1:38" x14ac:dyDescent="0.2">
      <c r="A6" s="9"/>
      <c r="B6" s="9">
        <f t="shared" ref="B6:B13" si="5">B5+1</f>
        <v>2018</v>
      </c>
      <c r="C6" s="31">
        <f>'Normalized Annual Summary'!Y7</f>
        <v>1485117370</v>
      </c>
      <c r="D6" s="31">
        <f>SUMIF('Monthly Data'!B:B,B6,'Monthly Data'!O:O)</f>
        <v>3744566.08</v>
      </c>
      <c r="E6" s="38">
        <f t="shared" si="0"/>
        <v>2.521394036351484E-3</v>
      </c>
      <c r="F6" s="12"/>
      <c r="G6" s="12"/>
      <c r="H6" s="12"/>
      <c r="I6" s="9">
        <f t="shared" ref="I6:I13" si="6">I5+1</f>
        <v>2018</v>
      </c>
      <c r="J6" s="31">
        <f>'Normalized Annual Summary'!AJ7</f>
        <v>47167618</v>
      </c>
      <c r="K6" s="31">
        <f>SUMIF('Monthly Data'!B:B,B6,'Monthly Data'!T:T)</f>
        <v>88637.540000000008</v>
      </c>
      <c r="L6" s="38">
        <f t="shared" si="1"/>
        <v>1.8792032279433743E-3</v>
      </c>
      <c r="M6" s="12"/>
      <c r="N6" s="12"/>
      <c r="O6" s="12"/>
      <c r="P6" s="9">
        <f t="shared" ref="P6:P13" si="7">P5+1</f>
        <v>2018</v>
      </c>
      <c r="Q6" s="31">
        <f>'Normalized Annual Summary'!AU7</f>
        <v>117777486</v>
      </c>
      <c r="R6" s="31">
        <f>SUMIF('Monthly Data'!B:B,B6,'Monthly Data'!Y:Y)</f>
        <v>221470.55</v>
      </c>
      <c r="S6" s="38">
        <f t="shared" si="2"/>
        <v>1.880414988650717E-3</v>
      </c>
      <c r="T6" s="12"/>
      <c r="U6" s="12"/>
      <c r="V6" s="12"/>
      <c r="W6" s="12"/>
      <c r="X6" s="9">
        <f t="shared" ref="X6:X13" si="8">X5+1</f>
        <v>2018</v>
      </c>
      <c r="Y6" s="31">
        <f>'Normalized Annual Summary'!BF7</f>
        <v>17086178.68</v>
      </c>
      <c r="Z6" s="31">
        <f>SUMIF('Monthly Data'!B:B,B6,'Monthly Data'!AB:AB)</f>
        <v>47864.480000000003</v>
      </c>
      <c r="AA6" s="38">
        <f t="shared" si="3"/>
        <v>2.8013566342968855E-3</v>
      </c>
      <c r="AB6" s="12"/>
      <c r="AC6" s="12"/>
      <c r="AD6" s="9"/>
      <c r="AE6" s="9">
        <f t="shared" ref="AE6:AE13" si="9">AE5+1</f>
        <v>2018</v>
      </c>
      <c r="AF6" s="31">
        <f>'Normalized Annual Summary'!BL7</f>
        <v>548884.51</v>
      </c>
      <c r="AG6" s="31">
        <f>SUMIF('Monthly Data'!B:B,B6,'Monthly Data'!AG:AG)</f>
        <v>1489.9299999999998</v>
      </c>
      <c r="AH6" s="38">
        <f t="shared" si="4"/>
        <v>2.7144690237296001E-3</v>
      </c>
      <c r="AI6" s="12"/>
      <c r="AJ6" s="12"/>
      <c r="AK6" s="9">
        <f t="shared" ref="AK6:AK12" si="10">AE6</f>
        <v>2018</v>
      </c>
      <c r="AL6" s="31">
        <f>SUMIF('Monthly Data'!B:B,B6,'Monthly Data'!AI:AI)</f>
        <v>172800</v>
      </c>
    </row>
    <row r="7" spans="1:38" x14ac:dyDescent="0.2">
      <c r="A7" s="9"/>
      <c r="B7" s="9">
        <f t="shared" si="5"/>
        <v>2019</v>
      </c>
      <c r="C7" s="31">
        <f>'Normalized Annual Summary'!Y8</f>
        <v>1408341173.2980461</v>
      </c>
      <c r="D7" s="31">
        <f>SUMIF('Monthly Data'!B:B,B7,'Monthly Data'!O:O)</f>
        <v>3636724.4299999997</v>
      </c>
      <c r="E7" s="38">
        <f t="shared" si="0"/>
        <v>2.5822751609849886E-3</v>
      </c>
      <c r="F7" s="12">
        <f t="shared" ref="F7:F12" si="11">AVERAGE(E5:E7)</f>
        <v>2.5485913252916823E-3</v>
      </c>
      <c r="G7" s="12"/>
      <c r="H7" s="12"/>
      <c r="I7" s="9">
        <f t="shared" si="6"/>
        <v>2019</v>
      </c>
      <c r="J7" s="31">
        <f>'Normalized Annual Summary'!AJ8</f>
        <v>34966867.902733505</v>
      </c>
      <c r="K7" s="31">
        <f>SUMIF('Monthly Data'!B:B,B7,'Monthly Data'!T:T)</f>
        <v>55790.87999999999</v>
      </c>
      <c r="L7" s="38">
        <f t="shared" si="1"/>
        <v>1.5955355268076094E-3</v>
      </c>
      <c r="M7" s="12">
        <f t="shared" ref="M7:M13" si="12">AVERAGE(L5:L7)</f>
        <v>1.6858628157675434E-3</v>
      </c>
      <c r="N7" s="12"/>
      <c r="O7" s="12"/>
      <c r="P7" s="9">
        <f t="shared" si="7"/>
        <v>2019</v>
      </c>
      <c r="Q7" s="31">
        <f>'Normalized Annual Summary'!AU8</f>
        <v>110589767.84308411</v>
      </c>
      <c r="R7" s="31">
        <f>SUMIF('Monthly Data'!B:B,B7,'Monthly Data'!Y:Y)</f>
        <v>216188.63999999998</v>
      </c>
      <c r="S7" s="38">
        <f t="shared" si="2"/>
        <v>1.9548701857006355E-3</v>
      </c>
      <c r="T7" s="12">
        <f t="shared" ref="T7:T13" si="13">AVERAGE(S5:S7)</f>
        <v>1.9209141677699647E-3</v>
      </c>
      <c r="U7" s="12"/>
      <c r="V7" s="12"/>
      <c r="W7" s="12"/>
      <c r="X7" s="9">
        <f t="shared" si="8"/>
        <v>2019</v>
      </c>
      <c r="Y7" s="31">
        <f>'Normalized Annual Summary'!BF8</f>
        <v>16623912.16</v>
      </c>
      <c r="Z7" s="31">
        <f>SUMIF('Monthly Data'!B:B,B7,'Monthly Data'!AB:AB)</f>
        <v>46618.69</v>
      </c>
      <c r="AA7" s="38">
        <f t="shared" si="3"/>
        <v>2.8043152268436913E-3</v>
      </c>
      <c r="AB7" s="12">
        <f t="shared" ref="AB7:AB13" si="14">AVERAGE(AA5:AA7)</f>
        <v>2.807726537078982E-3</v>
      </c>
      <c r="AC7" s="12"/>
      <c r="AD7" s="9"/>
      <c r="AE7" s="9">
        <f t="shared" si="9"/>
        <v>2019</v>
      </c>
      <c r="AF7" s="31">
        <f>'Normalized Annual Summary'!BL8</f>
        <v>541071.94000000006</v>
      </c>
      <c r="AG7" s="31">
        <f>SUMIF('Monthly Data'!B:B,B7,'Monthly Data'!AG:AG)</f>
        <v>1467.4</v>
      </c>
      <c r="AH7" s="38">
        <f t="shared" si="4"/>
        <v>2.7120238391959484E-3</v>
      </c>
      <c r="AI7" s="12">
        <f t="shared" ref="AI7:AI13" si="15">AVERAGE(AH5:AH7)</f>
        <v>2.716191066368659E-3</v>
      </c>
      <c r="AJ7" s="12"/>
      <c r="AK7" s="9">
        <f t="shared" si="10"/>
        <v>2019</v>
      </c>
      <c r="AL7" s="31">
        <f>SUMIF('Monthly Data'!B:B,B7,'Monthly Data'!AI:AI)</f>
        <v>172800</v>
      </c>
    </row>
    <row r="8" spans="1:38" x14ac:dyDescent="0.2">
      <c r="A8" s="9"/>
      <c r="B8" s="9">
        <f t="shared" si="5"/>
        <v>2020</v>
      </c>
      <c r="C8" s="31">
        <f>'Normalized Annual Summary'!Y9</f>
        <v>1365678433.9229021</v>
      </c>
      <c r="D8" s="31">
        <f>SUMIF('Monthly Data'!B:B,B8,'Monthly Data'!O:O)</f>
        <v>3426345.0799999996</v>
      </c>
      <c r="E8" s="38">
        <f t="shared" si="0"/>
        <v>2.5088959413072419E-3</v>
      </c>
      <c r="F8" s="12">
        <f t="shared" si="11"/>
        <v>2.537521712881238E-3</v>
      </c>
      <c r="G8" s="12"/>
      <c r="H8" s="12"/>
      <c r="I8" s="9">
        <f t="shared" si="6"/>
        <v>2020</v>
      </c>
      <c r="J8" s="31">
        <f>'Normalized Annual Summary'!AJ9</f>
        <v>36542441.547490597</v>
      </c>
      <c r="K8" s="31">
        <f>SUMIF('Monthly Data'!B:B,B8,'Monthly Data'!T:T)</f>
        <v>60972.479999999996</v>
      </c>
      <c r="L8" s="38">
        <f t="shared" si="1"/>
        <v>1.6685387570712837E-3</v>
      </c>
      <c r="M8" s="12">
        <f t="shared" si="12"/>
        <v>1.7144258372740891E-3</v>
      </c>
      <c r="N8" s="12"/>
      <c r="O8" s="12"/>
      <c r="P8" s="9">
        <f t="shared" si="7"/>
        <v>2020</v>
      </c>
      <c r="Q8" s="31">
        <f>'Normalized Annual Summary'!AU9</f>
        <v>101893892.280927</v>
      </c>
      <c r="R8" s="31">
        <f>SUMIF('Monthly Data'!B:B,B8,'Monthly Data'!Y:Y)</f>
        <v>189813.83000000002</v>
      </c>
      <c r="S8" s="38">
        <f t="shared" si="2"/>
        <v>1.8628577802943572E-3</v>
      </c>
      <c r="T8" s="12">
        <f t="shared" si="13"/>
        <v>1.8993809848819032E-3</v>
      </c>
      <c r="U8" s="12"/>
      <c r="V8" s="12"/>
      <c r="W8" s="12"/>
      <c r="X8" s="9">
        <f t="shared" si="8"/>
        <v>2020</v>
      </c>
      <c r="Y8" s="31">
        <f>'Normalized Annual Summary'!BF9</f>
        <v>16908317.240000002</v>
      </c>
      <c r="Z8" s="31">
        <f>SUMIF('Monthly Data'!B:B,B8,'Monthly Data'!AB:AB)</f>
        <v>47272.400000000009</v>
      </c>
      <c r="AA8" s="38">
        <f t="shared" si="3"/>
        <v>2.7958074910120387E-3</v>
      </c>
      <c r="AB8" s="12">
        <f t="shared" si="14"/>
        <v>2.8004931173842055E-3</v>
      </c>
      <c r="AC8" s="12"/>
      <c r="AD8" s="9"/>
      <c r="AE8" s="9">
        <f t="shared" si="9"/>
        <v>2020</v>
      </c>
      <c r="AF8" s="31">
        <f>'Normalized Annual Summary'!BL9</f>
        <v>535957.61</v>
      </c>
      <c r="AG8" s="31">
        <f>SUMIF('Monthly Data'!B:B,B8,'Monthly Data'!AG:AG)</f>
        <v>1446.0000000000002</v>
      </c>
      <c r="AH8" s="38">
        <f t="shared" si="4"/>
        <v>2.6979745655631242E-3</v>
      </c>
      <c r="AI8" s="12">
        <f t="shared" si="15"/>
        <v>2.7081558094962242E-3</v>
      </c>
      <c r="AJ8" s="12"/>
      <c r="AK8" s="9">
        <f t="shared" si="10"/>
        <v>2020</v>
      </c>
      <c r="AL8" s="31">
        <f>SUMIF('Monthly Data'!B:B,B8,'Monthly Data'!AI:AI)</f>
        <v>182800</v>
      </c>
    </row>
    <row r="9" spans="1:38" x14ac:dyDescent="0.2">
      <c r="A9" s="9"/>
      <c r="B9" s="9">
        <f t="shared" si="5"/>
        <v>2021</v>
      </c>
      <c r="C9" s="31">
        <f>'Normalized Annual Summary'!Y10</f>
        <v>1385380121.3308113</v>
      </c>
      <c r="D9" s="31">
        <f>SUMIF('Monthly Data'!B:B,B9,'Monthly Data'!O:O)</f>
        <v>3496519.7399999998</v>
      </c>
      <c r="E9" s="38">
        <f t="shared" si="0"/>
        <v>2.523870298240749E-3</v>
      </c>
      <c r="F9" s="12">
        <f t="shared" si="11"/>
        <v>2.5383471335109933E-3</v>
      </c>
      <c r="G9" s="12"/>
      <c r="H9" s="12"/>
      <c r="I9" s="9">
        <f t="shared" si="6"/>
        <v>2021</v>
      </c>
      <c r="J9" s="31">
        <f>'Normalized Annual Summary'!AJ10</f>
        <v>28072541.583803825</v>
      </c>
      <c r="K9" s="31">
        <f>SUMIF('Monthly Data'!B:B,B9,'Monthly Data'!T:T)</f>
        <v>50765.990000000005</v>
      </c>
      <c r="L9" s="38">
        <f t="shared" si="1"/>
        <v>1.8083859578032985E-3</v>
      </c>
      <c r="M9" s="12">
        <f t="shared" si="12"/>
        <v>1.6908200805607306E-3</v>
      </c>
      <c r="N9" s="12"/>
      <c r="O9" s="12"/>
      <c r="P9" s="9">
        <f t="shared" si="7"/>
        <v>2021</v>
      </c>
      <c r="Q9" s="31">
        <f>'Normalized Annual Summary'!AU10</f>
        <v>105654509.1076003</v>
      </c>
      <c r="R9" s="31">
        <f>SUMIF('Monthly Data'!B:B,B9,'Monthly Data'!Y:Y)</f>
        <v>194965.44</v>
      </c>
      <c r="S9" s="38">
        <f t="shared" si="2"/>
        <v>1.8453111149420416E-3</v>
      </c>
      <c r="T9" s="12">
        <f t="shared" si="13"/>
        <v>1.8876796936456782E-3</v>
      </c>
      <c r="U9" s="12"/>
      <c r="V9" s="12"/>
      <c r="W9" s="12"/>
      <c r="X9" s="9">
        <f t="shared" si="8"/>
        <v>2021</v>
      </c>
      <c r="Y9" s="31">
        <f>'Normalized Annual Summary'!BF10</f>
        <v>16882808.740000002</v>
      </c>
      <c r="Z9" s="31">
        <f>SUMIF('Monthly Data'!B:B,B9,'Monthly Data'!AB:AB)</f>
        <v>47347.969999999994</v>
      </c>
      <c r="AA9" s="38">
        <f t="shared" si="3"/>
        <v>2.8045078712418078E-3</v>
      </c>
      <c r="AB9" s="12">
        <f t="shared" si="14"/>
        <v>2.8015435296991791E-3</v>
      </c>
      <c r="AC9" s="12"/>
      <c r="AD9" s="9"/>
      <c r="AE9" s="9">
        <f t="shared" si="9"/>
        <v>2021</v>
      </c>
      <c r="AF9" s="31">
        <f>'Normalized Annual Summary'!BL10</f>
        <v>528905.92999999993</v>
      </c>
      <c r="AG9" s="31">
        <f>SUMIF('Monthly Data'!B:B,B9,'Monthly Data'!AG:AG)</f>
        <v>1433.2900000000002</v>
      </c>
      <c r="AH9" s="38">
        <f t="shared" si="4"/>
        <v>2.7099147857918711E-3</v>
      </c>
      <c r="AI9" s="12">
        <f t="shared" si="15"/>
        <v>2.7066377301836479E-3</v>
      </c>
      <c r="AJ9" s="12"/>
      <c r="AK9" s="9">
        <f t="shared" si="10"/>
        <v>2021</v>
      </c>
      <c r="AL9" s="31">
        <f>SUMIF('Monthly Data'!B:B,B9,'Monthly Data'!AI:AI)</f>
        <v>194300</v>
      </c>
    </row>
    <row r="10" spans="1:38" x14ac:dyDescent="0.2">
      <c r="A10" s="9"/>
      <c r="B10" s="9">
        <f t="shared" si="5"/>
        <v>2022</v>
      </c>
      <c r="C10" s="31">
        <f>'Normalized Annual Summary'!Y11</f>
        <v>1424708525.6983182</v>
      </c>
      <c r="D10" s="31">
        <f>SUMIF('Monthly Data'!B:B,B10,'Monthly Data'!O:O)</f>
        <v>3574256.7199999997</v>
      </c>
      <c r="E10" s="38">
        <f t="shared" si="0"/>
        <v>2.5087634807604486E-3</v>
      </c>
      <c r="F10" s="12">
        <f t="shared" si="11"/>
        <v>2.513843240102813E-3</v>
      </c>
      <c r="G10" s="12"/>
      <c r="H10" s="12"/>
      <c r="I10" s="9">
        <f t="shared" si="6"/>
        <v>2022</v>
      </c>
      <c r="J10" s="31">
        <f>'Normalized Annual Summary'!AJ11</f>
        <v>43045721.021658659</v>
      </c>
      <c r="K10" s="31">
        <f>SUMIF('Monthly Data'!B:B,B10,'Monthly Data'!T:T)</f>
        <v>72458.680000000008</v>
      </c>
      <c r="L10" s="38">
        <f t="shared" si="1"/>
        <v>1.6832957673897965E-3</v>
      </c>
      <c r="M10" s="12">
        <f t="shared" si="12"/>
        <v>1.7200734940881262E-3</v>
      </c>
      <c r="N10" s="12"/>
      <c r="O10" s="12"/>
      <c r="P10" s="9">
        <f t="shared" si="7"/>
        <v>2022</v>
      </c>
      <c r="Q10" s="31">
        <f>'Normalized Annual Summary'!AU11</f>
        <v>112464987.29709665</v>
      </c>
      <c r="R10" s="31">
        <f>SUMIF('Monthly Data'!B:B,B10,'Monthly Data'!Y:Y)</f>
        <v>213689.69</v>
      </c>
      <c r="S10" s="38">
        <f t="shared" si="2"/>
        <v>1.9000552539565041E-3</v>
      </c>
      <c r="T10" s="12">
        <f t="shared" si="13"/>
        <v>1.8694080497309677E-3</v>
      </c>
      <c r="U10" s="12"/>
      <c r="V10" s="12"/>
      <c r="W10" s="12"/>
      <c r="X10" s="9">
        <f t="shared" si="8"/>
        <v>2022</v>
      </c>
      <c r="Y10" s="31">
        <f>'Normalized Annual Summary'!BF11</f>
        <v>17000378.439999998</v>
      </c>
      <c r="Z10" s="31">
        <f>SUMIF('Monthly Data'!B:B,B10,'Monthly Data'!AB:AB)</f>
        <v>47685.229999999996</v>
      </c>
      <c r="AA10" s="38">
        <f t="shared" si="3"/>
        <v>2.8049510879006056E-3</v>
      </c>
      <c r="AB10" s="12">
        <f t="shared" si="14"/>
        <v>2.8017554833848174E-3</v>
      </c>
      <c r="AC10" s="12"/>
      <c r="AD10" s="9"/>
      <c r="AE10" s="9">
        <f t="shared" si="9"/>
        <v>2022</v>
      </c>
      <c r="AF10" s="31">
        <f>'Normalized Annual Summary'!BL11</f>
        <v>527895.42999999993</v>
      </c>
      <c r="AG10" s="31">
        <f>SUMIF('Monthly Data'!B:B,B10,'Monthly Data'!AG:AG)</f>
        <v>1427.4699999999998</v>
      </c>
      <c r="AH10" s="38">
        <f t="shared" si="4"/>
        <v>2.704077207108991E-3</v>
      </c>
      <c r="AI10" s="12">
        <f t="shared" si="15"/>
        <v>2.7039888528213288E-3</v>
      </c>
      <c r="AJ10" s="12"/>
      <c r="AK10" s="9">
        <f t="shared" si="10"/>
        <v>2022</v>
      </c>
      <c r="AL10" s="31">
        <f>SUMIF('Monthly Data'!B:B,B10,'Monthly Data'!AI:AI)</f>
        <v>196800</v>
      </c>
    </row>
    <row r="11" spans="1:38" x14ac:dyDescent="0.2">
      <c r="A11" s="9"/>
      <c r="B11" s="9">
        <f t="shared" si="5"/>
        <v>2023</v>
      </c>
      <c r="C11" s="31">
        <f>'Normalized Annual Summary'!Y12</f>
        <v>1400393230.0632451</v>
      </c>
      <c r="D11" s="31">
        <f>SUMIF('Monthly Data'!B:B,B11,'Monthly Data'!O:O)</f>
        <v>3541020.3</v>
      </c>
      <c r="E11" s="38">
        <f t="shared" si="0"/>
        <v>2.5285899874280876E-3</v>
      </c>
      <c r="F11" s="12">
        <f t="shared" si="11"/>
        <v>2.5204079221430951E-3</v>
      </c>
      <c r="G11" s="12"/>
      <c r="H11" s="12"/>
      <c r="I11" s="9">
        <f t="shared" si="6"/>
        <v>2023</v>
      </c>
      <c r="J11" s="31">
        <f>'Normalized Annual Summary'!AJ12</f>
        <v>51773685.92783922</v>
      </c>
      <c r="K11" s="31">
        <f>SUMIF('Monthly Data'!B:B,B11,'Monthly Data'!T:T)</f>
        <v>81016.87999999999</v>
      </c>
      <c r="L11" s="38">
        <f t="shared" si="1"/>
        <v>1.564827354824981E-3</v>
      </c>
      <c r="M11" s="12">
        <f t="shared" si="12"/>
        <v>1.6855030266726921E-3</v>
      </c>
      <c r="N11" s="12"/>
      <c r="O11" s="12"/>
      <c r="P11" s="9">
        <f t="shared" si="7"/>
        <v>2023</v>
      </c>
      <c r="Q11" s="31">
        <f>'Normalized Annual Summary'!AU12</f>
        <v>153160749.79471761</v>
      </c>
      <c r="R11" s="31">
        <f>SUMIF('Monthly Data'!B:B,B11,'Monthly Data'!Y:Y)</f>
        <v>298641.74</v>
      </c>
      <c r="S11" s="38">
        <f t="shared" si="2"/>
        <v>1.9498581745014407E-3</v>
      </c>
      <c r="T11" s="12">
        <f t="shared" si="13"/>
        <v>1.8984081811333289E-3</v>
      </c>
      <c r="U11" s="12"/>
      <c r="V11" s="12"/>
      <c r="W11" s="12"/>
      <c r="X11" s="9">
        <f t="shared" si="8"/>
        <v>2023</v>
      </c>
      <c r="Y11" s="31">
        <f>'Normalized Annual Summary'!BF12</f>
        <v>17184523.530000001</v>
      </c>
      <c r="Z11" s="31">
        <f>SUMIF('Monthly Data'!B:B,B11,'Monthly Data'!AB:AB)</f>
        <v>48191.71</v>
      </c>
      <c r="AA11" s="38">
        <f t="shared" si="3"/>
        <v>2.8043669593671881E-3</v>
      </c>
      <c r="AB11" s="12">
        <f t="shared" si="14"/>
        <v>2.8046086395032005E-3</v>
      </c>
      <c r="AC11" s="12"/>
      <c r="AD11" s="9"/>
      <c r="AE11" s="9">
        <f t="shared" si="9"/>
        <v>2023</v>
      </c>
      <c r="AF11" s="31">
        <f>'Normalized Annual Summary'!BL12</f>
        <v>522310.94999999995</v>
      </c>
      <c r="AG11" s="31">
        <f>SUMIF('Monthly Data'!B:B,B11,'Monthly Data'!AG:AG)</f>
        <v>1416.03</v>
      </c>
      <c r="AH11" s="38">
        <f t="shared" si="4"/>
        <v>2.7110861834315366E-3</v>
      </c>
      <c r="AI11" s="12">
        <f t="shared" si="15"/>
        <v>2.7083593921107996E-3</v>
      </c>
      <c r="AJ11" s="12"/>
      <c r="AK11" s="9">
        <f t="shared" si="10"/>
        <v>2023</v>
      </c>
      <c r="AL11" s="31">
        <f>SUMIF('Monthly Data'!B:B,B11,'Monthly Data'!AI:AI)</f>
        <v>196800</v>
      </c>
    </row>
    <row r="12" spans="1:38" x14ac:dyDescent="0.2">
      <c r="A12" s="9"/>
      <c r="B12" s="9">
        <f t="shared" si="5"/>
        <v>2024</v>
      </c>
      <c r="C12" s="31">
        <f>'Normalized Annual Summary'!Y13</f>
        <v>1446263151.7577271</v>
      </c>
      <c r="D12" s="31">
        <f>SUMIF('Monthly Data'!B:B,B12,'Monthly Data'!O:O)</f>
        <v>3656086</v>
      </c>
      <c r="E12" s="38">
        <f t="shared" si="0"/>
        <v>2.5279535024843492E-3</v>
      </c>
      <c r="F12" s="12">
        <f t="shared" si="11"/>
        <v>2.5217689902242951E-3</v>
      </c>
      <c r="G12" s="12"/>
      <c r="H12" s="12"/>
      <c r="I12" s="9">
        <f t="shared" si="6"/>
        <v>2024</v>
      </c>
      <c r="J12" s="31">
        <f>'Normalized Annual Summary'!AJ13</f>
        <v>34855427.423796594</v>
      </c>
      <c r="K12" s="31">
        <f>SUMIF('Monthly Data'!B:B,B12,'Monthly Data'!T:T)</f>
        <v>69036</v>
      </c>
      <c r="L12" s="38">
        <f t="shared" si="1"/>
        <v>1.9806384572655547E-3</v>
      </c>
      <c r="M12" s="12">
        <f t="shared" si="12"/>
        <v>1.7429205264934439E-3</v>
      </c>
      <c r="N12" s="12"/>
      <c r="O12" s="12"/>
      <c r="P12" s="9">
        <f t="shared" si="7"/>
        <v>2024</v>
      </c>
      <c r="Q12" s="31">
        <f>'Normalized Annual Summary'!AU13</f>
        <v>162734021.88019371</v>
      </c>
      <c r="R12" s="31">
        <f>SUMIF('Monthly Data'!B:B,B12,'Monthly Data'!Y:Y)</f>
        <v>311835.54000000004</v>
      </c>
      <c r="S12" s="38">
        <f t="shared" si="2"/>
        <v>1.9162283116776666E-3</v>
      </c>
      <c r="T12" s="12">
        <f t="shared" si="13"/>
        <v>1.9220472467118704E-3</v>
      </c>
      <c r="U12" s="12"/>
      <c r="V12" s="12"/>
      <c r="W12" s="12"/>
      <c r="X12" s="9">
        <f t="shared" si="8"/>
        <v>2024</v>
      </c>
      <c r="Y12" s="31">
        <f>'Normalized Annual Summary'!BF13</f>
        <v>17401184.109999996</v>
      </c>
      <c r="Z12" s="31">
        <f>SUMIF('Monthly Data'!B:B,B12,'Monthly Data'!AB:AB)</f>
        <v>48655.009999999995</v>
      </c>
      <c r="AA12" s="38">
        <f t="shared" si="3"/>
        <v>2.7960746632201459E-3</v>
      </c>
      <c r="AB12" s="12">
        <f t="shared" si="14"/>
        <v>2.8017975701626467E-3</v>
      </c>
      <c r="AC12" s="12"/>
      <c r="AD12" s="9"/>
      <c r="AE12" s="9">
        <f t="shared" si="9"/>
        <v>2024</v>
      </c>
      <c r="AF12" s="31">
        <f>'Normalized Annual Summary'!BL13</f>
        <v>512976.02999999985</v>
      </c>
      <c r="AG12" s="31">
        <f>SUMIF('Monthly Data'!B:B,B12,'Monthly Data'!AG:AG)</f>
        <v>1394.79</v>
      </c>
      <c r="AH12" s="38">
        <f t="shared" si="4"/>
        <v>2.7190159353059837E-3</v>
      </c>
      <c r="AI12" s="12">
        <f t="shared" si="15"/>
        <v>2.7113931086155036E-3</v>
      </c>
      <c r="AJ12" s="12"/>
      <c r="AK12" s="9">
        <f t="shared" si="10"/>
        <v>2024</v>
      </c>
      <c r="AL12" s="31">
        <f>SUMIF('Monthly Data'!B:B,B12,'Monthly Data'!AI:AI)</f>
        <v>196800</v>
      </c>
    </row>
    <row r="13" spans="1:38" x14ac:dyDescent="0.2">
      <c r="A13" s="9"/>
      <c r="B13" s="9">
        <f t="shared" si="5"/>
        <v>2025</v>
      </c>
      <c r="C13" s="31">
        <f>'Normalized Annual Summary'!Y14</f>
        <v>1470647189.1957462</v>
      </c>
      <c r="D13" s="31">
        <f>SUMIF('Monthly Data'!B:B,B13,'Monthly Data'!O:O)</f>
        <v>3705957.01</v>
      </c>
      <c r="E13" s="38">
        <f>D13/C13</f>
        <v>2.5199497454088081E-3</v>
      </c>
      <c r="F13" s="12">
        <f>AVERAGE(E11:E13)</f>
        <v>2.5254977451070817E-3</v>
      </c>
      <c r="G13" s="12"/>
      <c r="H13" s="12"/>
      <c r="I13" s="9">
        <f t="shared" si="6"/>
        <v>2025</v>
      </c>
      <c r="J13" s="31">
        <f>'Normalized Annual Summary'!AJ14</f>
        <v>31417818.32771375</v>
      </c>
      <c r="K13" s="31">
        <f>SUMIF('Monthly Data'!B:B,B13,'Monthly Data'!T:T)</f>
        <v>70644.329999999987</v>
      </c>
      <c r="L13" s="38">
        <f>K13/J13</f>
        <v>2.2485434622837707E-3</v>
      </c>
      <c r="M13" s="12">
        <f t="shared" si="12"/>
        <v>1.9313364247914354E-3</v>
      </c>
      <c r="N13" s="12"/>
      <c r="O13" s="12"/>
      <c r="P13" s="9">
        <f t="shared" si="7"/>
        <v>2025</v>
      </c>
      <c r="Q13" s="31">
        <f>'Normalized Annual Summary'!AU14</f>
        <v>160084660.45041481</v>
      </c>
      <c r="R13" s="31">
        <f>SUMIF('Monthly Data'!B:B,B13,'Monthly Data'!Y:Y)</f>
        <v>310223.76000000007</v>
      </c>
      <c r="S13" s="38">
        <f>R13/Q13</f>
        <v>1.9378731174314473E-3</v>
      </c>
      <c r="T13" s="12">
        <f t="shared" si="13"/>
        <v>1.9346532012035182E-3</v>
      </c>
      <c r="U13" s="12"/>
      <c r="V13" s="12"/>
      <c r="W13" s="12"/>
      <c r="X13" s="9">
        <f t="shared" si="8"/>
        <v>2025</v>
      </c>
      <c r="Y13" s="31">
        <f>'Normalized Annual Summary'!BF14</f>
        <v>17445300.079999998</v>
      </c>
      <c r="Z13" s="31">
        <f>SUMIF('Monthly Data'!B:B,B13,'Monthly Data'!AB:AB)</f>
        <v>48926.820000000007</v>
      </c>
      <c r="AA13" s="38">
        <f>Z13/Y13</f>
        <v>2.8045846030525842E-3</v>
      </c>
      <c r="AB13" s="12">
        <f t="shared" si="14"/>
        <v>2.8016754085466392E-3</v>
      </c>
      <c r="AC13" s="12"/>
      <c r="AD13" s="9"/>
      <c r="AE13" s="9">
        <f t="shared" si="9"/>
        <v>2025</v>
      </c>
      <c r="AF13" s="31">
        <f>'Normalized Annual Summary'!BL14</f>
        <v>506226.3899999999</v>
      </c>
      <c r="AG13" s="31">
        <f>SUMIF('Monthly Data'!B:B,B13,'Monthly Data'!AG:AG)</f>
        <v>1371.2399999999998</v>
      </c>
      <c r="AH13" s="38">
        <f>AG13/AF13</f>
        <v>2.7087485502286833E-3</v>
      </c>
      <c r="AI13" s="12">
        <f t="shared" si="15"/>
        <v>2.7129502229887351E-3</v>
      </c>
      <c r="AJ13" s="12"/>
      <c r="AK13" s="9">
        <f>AE13</f>
        <v>2025</v>
      </c>
      <c r="AL13" s="31">
        <f>SUMIF('Monthly Data'!B:B,B13,'Monthly Data'!AI:AI)</f>
        <v>196800</v>
      </c>
    </row>
    <row r="14" spans="1:38" x14ac:dyDescent="0.2">
      <c r="A14" s="9"/>
      <c r="B14" s="9"/>
      <c r="C14" s="218"/>
      <c r="D14" s="218"/>
      <c r="E14" s="38"/>
      <c r="F14" s="12"/>
      <c r="G14" s="12"/>
      <c r="H14" s="12"/>
      <c r="I14" s="9"/>
      <c r="J14" s="218"/>
      <c r="K14" s="218"/>
      <c r="L14" s="38"/>
      <c r="M14" s="12"/>
      <c r="N14" s="12"/>
      <c r="O14" s="12"/>
      <c r="P14" s="9"/>
      <c r="Q14" s="218"/>
      <c r="R14" s="218"/>
      <c r="S14" s="38"/>
      <c r="T14" s="12"/>
      <c r="U14" s="12"/>
      <c r="V14" s="12"/>
      <c r="W14" s="12"/>
      <c r="X14" s="9"/>
      <c r="Y14" s="31"/>
      <c r="Z14" s="31"/>
      <c r="AA14" s="38"/>
      <c r="AB14" s="12"/>
      <c r="AC14" s="12"/>
      <c r="AD14" s="9"/>
      <c r="AE14" s="9"/>
      <c r="AF14" s="31"/>
      <c r="AG14" s="31"/>
      <c r="AH14" s="38"/>
      <c r="AI14" s="12"/>
      <c r="AJ14" s="12"/>
      <c r="AK14" s="9"/>
    </row>
    <row r="15" spans="1:38" x14ac:dyDescent="0.2">
      <c r="B15" s="9"/>
      <c r="C15" s="9" t="s">
        <v>118</v>
      </c>
      <c r="D15" s="39" t="s">
        <v>119</v>
      </c>
      <c r="E15" t="s">
        <v>388</v>
      </c>
      <c r="F15" t="s">
        <v>389</v>
      </c>
      <c r="G15" t="s">
        <v>376</v>
      </c>
      <c r="H15" t="s">
        <v>364</v>
      </c>
      <c r="I15" s="9"/>
      <c r="J15" s="9" t="s">
        <v>118</v>
      </c>
      <c r="K15" s="39" t="s">
        <v>119</v>
      </c>
      <c r="L15" t="s">
        <v>388</v>
      </c>
      <c r="M15" t="s">
        <v>389</v>
      </c>
      <c r="N15" t="s">
        <v>376</v>
      </c>
      <c r="O15" t="s">
        <v>364</v>
      </c>
      <c r="P15" s="9"/>
      <c r="Q15" s="9" t="s">
        <v>118</v>
      </c>
      <c r="R15" s="39" t="s">
        <v>119</v>
      </c>
      <c r="S15" t="s">
        <v>388</v>
      </c>
      <c r="T15" t="s">
        <v>389</v>
      </c>
      <c r="U15" t="s">
        <v>376</v>
      </c>
      <c r="V15" t="s">
        <v>364</v>
      </c>
      <c r="X15" s="9"/>
      <c r="Y15" s="9" t="s">
        <v>118</v>
      </c>
      <c r="Z15" s="39" t="s">
        <v>119</v>
      </c>
      <c r="AA15" t="s">
        <v>388</v>
      </c>
      <c r="AB15" t="s">
        <v>166</v>
      </c>
      <c r="AD15" s="9"/>
      <c r="AE15" s="9"/>
      <c r="AF15" s="9" t="s">
        <v>118</v>
      </c>
      <c r="AG15" s="39" t="s">
        <v>119</v>
      </c>
      <c r="AH15" t="s">
        <v>388</v>
      </c>
      <c r="AI15" t="s">
        <v>166</v>
      </c>
      <c r="AK15" s="9"/>
      <c r="AL15" t="s">
        <v>525</v>
      </c>
    </row>
    <row r="16" spans="1:38" x14ac:dyDescent="0.2">
      <c r="B16" s="37"/>
      <c r="C16" s="37" t="s">
        <v>105</v>
      </c>
      <c r="D16" s="40" t="s">
        <v>165</v>
      </c>
      <c r="E16" s="41" t="s">
        <v>134</v>
      </c>
      <c r="F16" s="145" t="s">
        <v>147</v>
      </c>
      <c r="G16" s="145" t="s">
        <v>319</v>
      </c>
      <c r="H16" s="145" t="s">
        <v>365</v>
      </c>
      <c r="I16" s="37"/>
      <c r="J16" s="37" t="s">
        <v>105</v>
      </c>
      <c r="K16" s="40" t="s">
        <v>165</v>
      </c>
      <c r="L16" s="41" t="s">
        <v>134</v>
      </c>
      <c r="M16" s="145" t="s">
        <v>147</v>
      </c>
      <c r="N16" s="145" t="s">
        <v>319</v>
      </c>
      <c r="O16" s="145" t="s">
        <v>365</v>
      </c>
      <c r="P16" s="37"/>
      <c r="Q16" s="37" t="s">
        <v>105</v>
      </c>
      <c r="R16" s="40" t="s">
        <v>165</v>
      </c>
      <c r="S16" s="41" t="s">
        <v>134</v>
      </c>
      <c r="T16" s="145" t="s">
        <v>147</v>
      </c>
      <c r="U16" s="145" t="s">
        <v>319</v>
      </c>
      <c r="V16" s="145" t="s">
        <v>365</v>
      </c>
      <c r="W16" s="145"/>
      <c r="X16" s="37"/>
      <c r="Y16" s="37" t="s">
        <v>105</v>
      </c>
      <c r="Z16" s="40" t="s">
        <v>148</v>
      </c>
      <c r="AA16" s="41" t="s">
        <v>134</v>
      </c>
      <c r="AB16" s="145" t="s">
        <v>147</v>
      </c>
      <c r="AD16" s="37"/>
      <c r="AE16" s="37"/>
      <c r="AF16" s="37" t="s">
        <v>105</v>
      </c>
      <c r="AG16" s="40" t="s">
        <v>148</v>
      </c>
      <c r="AH16" s="41" t="s">
        <v>134</v>
      </c>
      <c r="AI16" s="145" t="s">
        <v>147</v>
      </c>
      <c r="AK16" s="37"/>
    </row>
    <row r="17" spans="1:38" x14ac:dyDescent="0.2">
      <c r="B17" s="33">
        <v>2024</v>
      </c>
      <c r="C17" s="34">
        <f ca="1">'Normalized Annual Summary'!AE13</f>
        <v>1451250320.6998665</v>
      </c>
      <c r="D17" s="42">
        <f ca="1">C17*E17</f>
        <v>3670663.0663547637</v>
      </c>
      <c r="E17" s="58">
        <f>AVERAGE(E5:E13)</f>
        <v>2.5293107701671921E-3</v>
      </c>
      <c r="F17" s="146">
        <f>TREND($E$5:$E$13,$B$5:$B$13,B17)</f>
        <v>2.5204885430781384E-3</v>
      </c>
      <c r="G17" s="65"/>
      <c r="H17" s="143">
        <f ca="1">D17+G17</f>
        <v>3670663.0663547637</v>
      </c>
      <c r="I17" s="33">
        <v>2024</v>
      </c>
      <c r="J17" s="34">
        <f ca="1">'Normalized Annual Summary'!AP13</f>
        <v>39077483.95878993</v>
      </c>
      <c r="K17" s="42">
        <f ca="1">J17*L17</f>
        <v>69522.396557286396</v>
      </c>
      <c r="L17" s="58">
        <f>AVERAGE(L5:L13)</f>
        <v>1.7790909115490356E-3</v>
      </c>
      <c r="M17" s="146">
        <f>TREND($L$5:$L$13,$I$5:$I$13,I17)</f>
        <v>1.9251119832114499E-3</v>
      </c>
      <c r="N17" s="65"/>
      <c r="O17" s="143">
        <f ca="1">K17+N17</f>
        <v>69522.396557286396</v>
      </c>
      <c r="P17" s="33">
        <v>2024</v>
      </c>
      <c r="Q17" s="34">
        <f ca="1">'Normalized Annual Summary'!BA13</f>
        <v>155170965.42946401</v>
      </c>
      <c r="R17" s="42">
        <f ca="1">Q17*S17</f>
        <v>296116.6542601065</v>
      </c>
      <c r="S17" s="58">
        <f>AVERAGE(S5:S13)</f>
        <v>1.9083251395681502E-3</v>
      </c>
      <c r="T17" s="146">
        <f>TREND($S$5:$S$13,$P$5:$P$13,P17)</f>
        <v>1.9171389682799611E-3</v>
      </c>
      <c r="U17" s="65"/>
      <c r="V17" s="143">
        <f ca="1">R17+U17</f>
        <v>296116.6542601065</v>
      </c>
      <c r="W17" s="143"/>
      <c r="X17" s="33">
        <v>2024</v>
      </c>
      <c r="Y17" s="34">
        <f>'Normalized Annual Summary'!BI13</f>
        <v>17401184.109999996</v>
      </c>
      <c r="Z17" s="42">
        <f>Y17*AA17</f>
        <v>48788.03300013495</v>
      </c>
      <c r="AA17" s="58">
        <f>AVERAGE(AA5:AA13)</f>
        <v>2.8037191430034794E-3</v>
      </c>
      <c r="AB17" s="43">
        <f>TREND($AB$7:$AB$13,$X$7:$X$13,X17)</f>
        <v>2.8019086572345165E-3</v>
      </c>
      <c r="AD17" s="37"/>
      <c r="AE17" s="33">
        <v>2024</v>
      </c>
      <c r="AF17" s="34">
        <f>'Normalized Annual Summary'!BO13</f>
        <v>512976.02999999985</v>
      </c>
      <c r="AG17" s="42">
        <f>AF17*AH17</f>
        <v>1390.7002706027251</v>
      </c>
      <c r="AH17" s="58">
        <f>AVERAGE(AH5:AH13)</f>
        <v>2.7110433807262407E-3</v>
      </c>
      <c r="AI17" s="43">
        <f>TREND($AI$7:$AI$13,$AE$7:$AE$13,AE17)</f>
        <v>2.7095590067996956E-3</v>
      </c>
      <c r="AK17" s="37"/>
    </row>
    <row r="18" spans="1:38" x14ac:dyDescent="0.2">
      <c r="B18" s="33">
        <f>B17+1</f>
        <v>2025</v>
      </c>
      <c r="C18" s="34">
        <f ca="1">'Normalized Annual Summary'!AE14</f>
        <v>1443641787.7192645</v>
      </c>
      <c r="D18" s="42">
        <f ca="1">C18*E18</f>
        <v>3651418.7219417547</v>
      </c>
      <c r="E18" s="58">
        <f>E17</f>
        <v>2.5293107701671921E-3</v>
      </c>
      <c r="F18" s="146">
        <f>TREND($E$5:$E$13,$B$5:$B$13,B18)</f>
        <v>2.5175478007151211E-3</v>
      </c>
      <c r="G18" s="144"/>
      <c r="H18" s="143">
        <f ca="1">D18+G18</f>
        <v>3651418.7219417547</v>
      </c>
      <c r="I18" s="33">
        <f>I17+1</f>
        <v>2025</v>
      </c>
      <c r="J18" s="34">
        <f ca="1">'Normalized Annual Summary'!AP14</f>
        <v>38597063.927945428</v>
      </c>
      <c r="K18" s="42">
        <f ca="1">J18*L18</f>
        <v>68667.685646684826</v>
      </c>
      <c r="L18" s="58">
        <f>L17</f>
        <v>1.7790909115490356E-3</v>
      </c>
      <c r="M18" s="146">
        <f>TREND($L$5:$L$13,$I$5:$I$13,I18)</f>
        <v>1.9737856737655907E-3</v>
      </c>
      <c r="N18" s="144"/>
      <c r="O18" s="143">
        <f ca="1">K18+N18</f>
        <v>68667.685646684826</v>
      </c>
      <c r="P18" s="33">
        <f>P17+1</f>
        <v>2025</v>
      </c>
      <c r="Q18" s="34">
        <f ca="1">'Normalized Annual Summary'!BA14</f>
        <v>156728297.84381855</v>
      </c>
      <c r="R18" s="42">
        <f ca="1">Q18*S18</f>
        <v>299088.55085708364</v>
      </c>
      <c r="S18" s="58">
        <f>S17</f>
        <v>1.9083251395681502E-3</v>
      </c>
      <c r="T18" s="146">
        <f>TREND($S$5:$S$13,$P$5:$P$13,P18)</f>
        <v>1.9200769111838989E-3</v>
      </c>
      <c r="U18" s="144"/>
      <c r="V18" s="143">
        <f ca="1">R18+U18</f>
        <v>299088.55085708364</v>
      </c>
      <c r="W18" s="143"/>
      <c r="X18" s="33">
        <f>X17+1</f>
        <v>2025</v>
      </c>
      <c r="Y18" s="34">
        <f>'Normalized Annual Summary'!BI14</f>
        <v>17445300.079999998</v>
      </c>
      <c r="Z18" s="42">
        <f>Y18*AA18</f>
        <v>48911.721789736126</v>
      </c>
      <c r="AA18" s="58">
        <f>AA17</f>
        <v>2.8037191430034794E-3</v>
      </c>
      <c r="AB18" s="43">
        <f>TREND($AB$7:$AB$13,$X$7:$X$13,X18)</f>
        <v>2.8014629654403689E-3</v>
      </c>
      <c r="AD18" s="33"/>
      <c r="AE18" s="33">
        <f>AE17+1</f>
        <v>2025</v>
      </c>
      <c r="AF18" s="34">
        <f>'Normalized Annual Summary'!BO14</f>
        <v>506226.38999999996</v>
      </c>
      <c r="AG18" s="42">
        <f>AF18*AH18</f>
        <v>1372.4017037584404</v>
      </c>
      <c r="AH18" s="58">
        <f>AH17</f>
        <v>2.7110433807262407E-3</v>
      </c>
      <c r="AI18" s="43">
        <f>TREND($AI$7:$AI$13,$AE$7:$AE$13,AE18)</f>
        <v>2.7095044971577648E-3</v>
      </c>
      <c r="AK18" s="33">
        <f>AE18</f>
        <v>2025</v>
      </c>
      <c r="AL18" s="34">
        <f>AL12</f>
        <v>196800</v>
      </c>
    </row>
    <row r="19" spans="1:38" x14ac:dyDescent="0.2">
      <c r="B19" s="33">
        <f>B18+1</f>
        <v>2026</v>
      </c>
      <c r="C19" s="34">
        <f ca="1">'Normalized Annual Summary'!AE15</f>
        <v>1453986684.1174803</v>
      </c>
      <c r="D19" s="42">
        <f ca="1">C19*E19</f>
        <v>3677584.1798180258</v>
      </c>
      <c r="E19" s="58">
        <f>E18</f>
        <v>2.5293107701671921E-3</v>
      </c>
      <c r="F19" s="146">
        <f>TREND($E$5:$E$13,$B$5:$B$13,B19)</f>
        <v>2.514607058352103E-3</v>
      </c>
      <c r="G19" s="144">
        <f>'Total Additional-Lost Loads'!H24</f>
        <v>2776.7496298319866</v>
      </c>
      <c r="H19" s="143">
        <f ca="1">D19+G19</f>
        <v>3680360.9294478577</v>
      </c>
      <c r="I19" s="33">
        <f>I18+1</f>
        <v>2026</v>
      </c>
      <c r="J19" s="34">
        <f ca="1">'Normalized Annual Summary'!AP15</f>
        <v>38607642.697028317</v>
      </c>
      <c r="K19" s="42">
        <f ca="1">J19*L19</f>
        <v>68686.506238615577</v>
      </c>
      <c r="L19" s="58">
        <f>L18</f>
        <v>1.7790909115490356E-3</v>
      </c>
      <c r="M19" s="146">
        <f>TREND($L$5:$L$13,$I$5:$I$13,I19)</f>
        <v>2.0224593643197314E-3</v>
      </c>
      <c r="N19" s="144">
        <f>'Total Additional-Lost Loads'!H25</f>
        <v>0</v>
      </c>
      <c r="O19" s="143">
        <f ca="1">K19+N19</f>
        <v>68686.506238615577</v>
      </c>
      <c r="P19" s="33">
        <f>P18+1</f>
        <v>2026</v>
      </c>
      <c r="Q19" s="34">
        <f ca="1">'Normalized Annual Summary'!BA15</f>
        <v>159276014.93653625</v>
      </c>
      <c r="R19" s="42">
        <f ca="1">Q19*S19</f>
        <v>303950.42343362432</v>
      </c>
      <c r="S19" s="58">
        <f>S18</f>
        <v>1.9083251395681502E-3</v>
      </c>
      <c r="T19" s="146">
        <f>TREND($S$5:$S$13,$P$5:$P$13,P19)</f>
        <v>1.9230148540878358E-3</v>
      </c>
      <c r="U19" s="144">
        <f>'Total Additional-Lost Loads'!H26</f>
        <v>166.30093236071093</v>
      </c>
      <c r="V19" s="143">
        <f ca="1">R19+U19</f>
        <v>304116.72436598502</v>
      </c>
      <c r="W19" s="143"/>
      <c r="X19" s="33">
        <f>X18+1</f>
        <v>2026</v>
      </c>
      <c r="Y19" s="34">
        <f>'Normalized Annual Summary'!BI15</f>
        <v>17667700.63636383</v>
      </c>
      <c r="Z19" s="42">
        <f>Y19*AA19</f>
        <v>49535.270487028029</v>
      </c>
      <c r="AA19" s="58">
        <f>AA18</f>
        <v>2.8037191430034794E-3</v>
      </c>
      <c r="AB19" s="43">
        <f>TREND($AB$7:$AB$13,$X$7:$X$13,X19)</f>
        <v>2.8010172736462214E-3</v>
      </c>
      <c r="AD19" s="33"/>
      <c r="AE19" s="33">
        <f>AE18+1</f>
        <v>2026</v>
      </c>
      <c r="AF19" s="34">
        <f>'Normalized Annual Summary'!BO15</f>
        <v>499089.74317390809</v>
      </c>
      <c r="AG19" s="42">
        <f>AF19*AH19</f>
        <v>1353.053944619983</v>
      </c>
      <c r="AH19" s="58">
        <f>AH18</f>
        <v>2.7110433807262407E-3</v>
      </c>
      <c r="AI19" s="43">
        <f>TREND($AI$7:$AI$13,$AE$7:$AE$13,AE19)</f>
        <v>2.7094499875158339E-3</v>
      </c>
      <c r="AK19" s="33">
        <f>AE19</f>
        <v>2026</v>
      </c>
      <c r="AL19" s="34">
        <f>AL18</f>
        <v>196800</v>
      </c>
    </row>
    <row r="20" spans="1:38" x14ac:dyDescent="0.2">
      <c r="B20" s="33">
        <f>B19+1</f>
        <v>2027</v>
      </c>
      <c r="C20" s="34">
        <f ca="1">'Normalized Annual Summary'!AE16</f>
        <v>1469923276.0028663</v>
      </c>
      <c r="D20" s="42">
        <f ca="1">C20*E20</f>
        <v>3717892.7733134916</v>
      </c>
      <c r="E20" s="58">
        <f>E19</f>
        <v>2.5293107701671921E-3</v>
      </c>
      <c r="F20" s="146">
        <f>TREND($E$5:$E$13,$B$5:$B$13,B20)</f>
        <v>2.5116663159890857E-3</v>
      </c>
      <c r="G20" s="144">
        <f>'Total Additional-Lost Loads'!I24</f>
        <v>3200.4256711097696</v>
      </c>
      <c r="H20" s="143">
        <f ca="1">D20+G20</f>
        <v>3721093.1989846015</v>
      </c>
      <c r="I20" s="33">
        <f>I19+1</f>
        <v>2027</v>
      </c>
      <c r="J20" s="34">
        <f ca="1">'Normalized Annual Summary'!AP16</f>
        <v>38590419.43397297</v>
      </c>
      <c r="K20" s="42">
        <f ca="1">J20*L20</f>
        <v>68655.864487846586</v>
      </c>
      <c r="L20" s="58">
        <f>L19</f>
        <v>1.7790909115490356E-3</v>
      </c>
      <c r="M20" s="146">
        <f>TREND($L$5:$L$13,$I$5:$I$13,I20)</f>
        <v>2.0711330548738721E-3</v>
      </c>
      <c r="N20" s="144">
        <f>'Total Additional-Lost Loads'!I25</f>
        <v>0</v>
      </c>
      <c r="O20" s="143">
        <f ca="1">K20+N20</f>
        <v>68655.864487846586</v>
      </c>
      <c r="P20" s="33">
        <f>P19+1</f>
        <v>2027</v>
      </c>
      <c r="Q20" s="34">
        <f ca="1">'Normalized Annual Summary'!BA16</f>
        <v>162726272.25879267</v>
      </c>
      <c r="R20" s="42">
        <f ca="1">Q20*S20</f>
        <v>310534.63621966535</v>
      </c>
      <c r="S20" s="58">
        <f>S19</f>
        <v>1.9083251395681502E-3</v>
      </c>
      <c r="T20" s="146">
        <f>TREND($S$5:$S$13,$P$5:$P$13,P20)</f>
        <v>1.9259527969917728E-3</v>
      </c>
      <c r="U20" s="144">
        <f>'Total Additional-Lost Loads'!H26</f>
        <v>166.30093236071093</v>
      </c>
      <c r="V20" s="143">
        <f ca="1">R20+U20</f>
        <v>310700.93715202605</v>
      </c>
      <c r="W20" s="143"/>
      <c r="X20" s="33">
        <f>X19+1</f>
        <v>2027</v>
      </c>
      <c r="Y20" s="34">
        <f>'Normalized Annual Summary'!BI16</f>
        <v>17892936.455362532</v>
      </c>
      <c r="Z20" s="42">
        <f>Y20*AA20</f>
        <v>50166.768464444751</v>
      </c>
      <c r="AA20" s="58">
        <f>AA19</f>
        <v>2.8037191430034794E-3</v>
      </c>
      <c r="AB20" s="43">
        <f>TREND($AB$7:$AB$13,$X$7:$X$13,X20)</f>
        <v>2.8005715818520743E-3</v>
      </c>
      <c r="AD20" s="33"/>
      <c r="AE20" s="33">
        <f>AE19+1</f>
        <v>2027</v>
      </c>
      <c r="AF20" s="34">
        <f>'Normalized Annual Summary'!BO16</f>
        <v>492053.30695998308</v>
      </c>
      <c r="AG20" s="42">
        <f>AF20*AH20</f>
        <v>1333.9778607983192</v>
      </c>
      <c r="AH20" s="58">
        <f>AH19</f>
        <v>2.7110433807262407E-3</v>
      </c>
      <c r="AI20" s="43">
        <f>TREND($AI$7:$AI$13,$AE$7:$AE$13,AE20)</f>
        <v>2.7093954778739031E-3</v>
      </c>
      <c r="AK20" s="33">
        <f>AE20</f>
        <v>2027</v>
      </c>
      <c r="AL20" s="34">
        <f>AL19</f>
        <v>196800</v>
      </c>
    </row>
    <row r="21" spans="1:38" x14ac:dyDescent="0.2">
      <c r="C21" s="34"/>
      <c r="J21" s="34"/>
      <c r="Q21" s="34"/>
    </row>
    <row r="22" spans="1:38" x14ac:dyDescent="0.2">
      <c r="A22" s="9"/>
      <c r="B22" s="9"/>
      <c r="C22" s="50" t="s">
        <v>116</v>
      </c>
      <c r="D22" s="51" t="s">
        <v>117</v>
      </c>
      <c r="E22" s="38" t="s">
        <v>149</v>
      </c>
      <c r="F22" s="9"/>
      <c r="G22" s="9"/>
      <c r="H22" s="9"/>
      <c r="I22" s="9"/>
      <c r="J22" s="50" t="s">
        <v>116</v>
      </c>
      <c r="K22" s="51" t="s">
        <v>117</v>
      </c>
      <c r="L22" s="38" t="s">
        <v>149</v>
      </c>
      <c r="M22" s="9"/>
      <c r="N22" s="9"/>
      <c r="O22" s="9"/>
      <c r="P22" s="9"/>
      <c r="Q22" s="50" t="s">
        <v>116</v>
      </c>
      <c r="R22" s="51" t="s">
        <v>117</v>
      </c>
      <c r="S22" s="38" t="s">
        <v>149</v>
      </c>
      <c r="T22" s="9"/>
      <c r="U22" s="9"/>
      <c r="V22" s="9"/>
      <c r="W22" s="9"/>
      <c r="X22" s="9"/>
      <c r="Y22" s="50" t="s">
        <v>116</v>
      </c>
      <c r="Z22" s="51" t="s">
        <v>117</v>
      </c>
      <c r="AA22" s="38" t="s">
        <v>149</v>
      </c>
      <c r="AE22" s="9"/>
      <c r="AF22" s="50" t="s">
        <v>116</v>
      </c>
      <c r="AG22" s="51" t="s">
        <v>117</v>
      </c>
      <c r="AH22" s="38" t="s">
        <v>149</v>
      </c>
    </row>
    <row r="23" spans="1:38" x14ac:dyDescent="0.2">
      <c r="A23" s="9" t="s">
        <v>150</v>
      </c>
      <c r="B23" s="9"/>
      <c r="C23" s="52">
        <f>C13/C9-1</f>
        <v>6.1547777791864489E-2</v>
      </c>
      <c r="D23" s="52">
        <f>D13/D9-1</f>
        <v>5.9898780951827213E-2</v>
      </c>
      <c r="E23" s="53">
        <f>D23-C23</f>
        <v>-1.6489968400372756E-3</v>
      </c>
      <c r="F23" s="9"/>
      <c r="G23" s="9"/>
      <c r="H23" s="9"/>
      <c r="I23" s="9"/>
      <c r="J23" s="52">
        <f>J13/J9-1</f>
        <v>0.11916543907944366</v>
      </c>
      <c r="K23" s="52">
        <f>K13/K9-1</f>
        <v>0.3915680557002823</v>
      </c>
      <c r="L23" s="53">
        <f>K23-J23</f>
        <v>0.27240261662083864</v>
      </c>
      <c r="M23" s="9"/>
      <c r="N23" s="9"/>
      <c r="O23" s="9"/>
      <c r="P23" s="9"/>
      <c r="Q23" s="52">
        <f>Q13/Q9-1</f>
        <v>0.51517111576735397</v>
      </c>
      <c r="R23" s="52">
        <f>R13/R9-1</f>
        <v>0.59117308175233552</v>
      </c>
      <c r="S23" s="53">
        <f>R23-Q23</f>
        <v>7.6001965984981545E-2</v>
      </c>
      <c r="T23" s="9"/>
      <c r="U23" s="9"/>
      <c r="V23" s="9"/>
      <c r="W23" s="9"/>
      <c r="X23" s="9"/>
      <c r="Y23" s="52">
        <f>Y13/Y9-1</f>
        <v>3.3317402848217936E-2</v>
      </c>
      <c r="Z23" s="52">
        <f>Z13/Z9-1</f>
        <v>3.3345674587527574E-2</v>
      </c>
      <c r="AA23" s="53">
        <f>Z23-Y23</f>
        <v>2.8271739309637667E-5</v>
      </c>
      <c r="AE23" s="9"/>
      <c r="AF23" s="52">
        <f>AF13/AF9-1</f>
        <v>-4.2880101571181162E-2</v>
      </c>
      <c r="AG23" s="52">
        <f>AG13/AG9-1</f>
        <v>-4.3292006502522407E-2</v>
      </c>
      <c r="AH23" s="53">
        <f>AG23-AF23</f>
        <v>-4.1190493134124484E-4</v>
      </c>
    </row>
    <row r="24" spans="1:38" x14ac:dyDescent="0.2">
      <c r="A24" s="9" t="s">
        <v>530</v>
      </c>
      <c r="B24" s="9"/>
      <c r="C24" s="52">
        <f>C13/C5-1</f>
        <v>8.0829627629408485E-3</v>
      </c>
      <c r="D24" s="52">
        <f>D13/D5-1</f>
        <v>-7.0271421863699057E-4</v>
      </c>
      <c r="E24" s="53">
        <f>D24-C24</f>
        <v>-8.7856769815778391E-3</v>
      </c>
      <c r="F24" s="9"/>
      <c r="G24" s="9"/>
      <c r="H24" s="9"/>
      <c r="I24" s="9"/>
      <c r="J24" s="52">
        <f>J13/J5-1</f>
        <v>-0.3290529335041068</v>
      </c>
      <c r="K24" s="52">
        <f>K13/K5-1</f>
        <v>-4.687498313514693E-2</v>
      </c>
      <c r="L24" s="53">
        <f>K24-J24</f>
        <v>0.28217795036895987</v>
      </c>
      <c r="M24" s="9"/>
      <c r="N24" s="9"/>
      <c r="O24" s="9"/>
      <c r="P24" s="9"/>
      <c r="Q24" s="52">
        <f>Q13/Q5-1</f>
        <v>0.35674812105572373</v>
      </c>
      <c r="R24" s="52">
        <f>R13/R5-1</f>
        <v>0.36407985350324035</v>
      </c>
      <c r="S24" s="53">
        <f>R24-Q24</f>
        <v>7.3317324475166146E-3</v>
      </c>
      <c r="T24" s="9"/>
      <c r="U24" s="9"/>
      <c r="V24" s="9"/>
      <c r="W24" s="9"/>
      <c r="X24" s="9"/>
      <c r="Y24" s="52">
        <f>Y13/Y5-1</f>
        <v>-0.11838529039197676</v>
      </c>
      <c r="Z24" s="52">
        <f>Z13/Z5-1</f>
        <v>-0.12242901894173441</v>
      </c>
      <c r="AA24" s="53">
        <f>Z24-Y24</f>
        <v>-4.0437285497576525E-3</v>
      </c>
      <c r="AE24" s="9"/>
      <c r="AF24" s="52">
        <f>AF13/AF5-1</f>
        <v>-0.12740778381663709</v>
      </c>
      <c r="AG24" s="52">
        <f>AG13/AG5-1</f>
        <v>-0.13168143162000789</v>
      </c>
      <c r="AH24" s="53">
        <f>AG24-AF24</f>
        <v>-4.2736478033708059E-3</v>
      </c>
    </row>
    <row r="25" spans="1:38" x14ac:dyDescent="0.2">
      <c r="A25" s="9"/>
      <c r="B25" s="9"/>
      <c r="C25" s="218"/>
      <c r="D25" s="21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E25" s="9"/>
      <c r="AF25" s="9"/>
      <c r="AG25" s="9"/>
      <c r="AH25" s="9"/>
    </row>
    <row r="26" spans="1:38" x14ac:dyDescent="0.2">
      <c r="A26" s="9"/>
      <c r="B26" s="9"/>
      <c r="C26" s="9"/>
      <c r="D26" s="9" t="s">
        <v>531</v>
      </c>
      <c r="E26" s="9"/>
      <c r="F26" s="9"/>
      <c r="G26" s="9"/>
      <c r="H26" s="9"/>
      <c r="I26" s="9"/>
      <c r="J26" s="9"/>
      <c r="K26" s="9" t="s">
        <v>531</v>
      </c>
      <c r="L26" s="9"/>
      <c r="M26" s="9"/>
      <c r="N26" s="9"/>
      <c r="O26" s="9"/>
      <c r="P26" s="9"/>
      <c r="Q26" s="9"/>
      <c r="R26" s="9" t="s">
        <v>531</v>
      </c>
      <c r="S26" s="9"/>
      <c r="T26" s="9"/>
      <c r="U26" s="9"/>
      <c r="V26" s="9"/>
      <c r="W26" s="9"/>
      <c r="X26" s="9"/>
      <c r="Y26" s="9"/>
      <c r="Z26" s="9" t="s">
        <v>531</v>
      </c>
      <c r="AA26" s="9"/>
      <c r="AE26" s="9"/>
      <c r="AF26" s="9"/>
      <c r="AG26" s="9" t="s">
        <v>531</v>
      </c>
      <c r="AH26" s="9"/>
    </row>
    <row r="49" spans="5:19" x14ac:dyDescent="0.2">
      <c r="E49" s="18"/>
      <c r="L49" s="18"/>
      <c r="S49" s="18"/>
    </row>
  </sheetData>
  <mergeCells count="6">
    <mergeCell ref="AK2:AL2"/>
    <mergeCell ref="C2:E2"/>
    <mergeCell ref="Y2:AA2"/>
    <mergeCell ref="J2:L2"/>
    <mergeCell ref="Q2:S2"/>
    <mergeCell ref="AF2:AH2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429D-45F3-43C2-B8F5-9A61531EA331}">
  <dimension ref="A2:AU57"/>
  <sheetViews>
    <sheetView workbookViewId="0">
      <selection activeCell="AH18" sqref="AH18:AH28"/>
    </sheetView>
  </sheetViews>
  <sheetFormatPr defaultRowHeight="12.75" x14ac:dyDescent="0.2"/>
  <cols>
    <col min="3" max="3" width="17.5" bestFit="1" customWidth="1"/>
    <col min="4" max="4" width="15.33203125" customWidth="1"/>
    <col min="5" max="5" width="12.83203125" customWidth="1"/>
    <col min="6" max="6" width="11.33203125" bestFit="1" customWidth="1"/>
    <col min="7" max="7" width="11.33203125" customWidth="1"/>
    <col min="8" max="8" width="12.1640625" customWidth="1"/>
    <col min="10" max="10" width="17.5" bestFit="1" customWidth="1"/>
    <col min="11" max="11" width="15.33203125" customWidth="1"/>
    <col min="12" max="12" width="12.83203125" customWidth="1"/>
    <col min="13" max="13" width="11.33203125" bestFit="1" customWidth="1"/>
    <col min="14" max="14" width="11.33203125" customWidth="1"/>
    <col min="15" max="15" width="12.1640625" customWidth="1"/>
    <col min="17" max="17" width="17.5" bestFit="1" customWidth="1"/>
    <col min="18" max="18" width="15.33203125" customWidth="1"/>
    <col min="19" max="19" width="12.83203125" customWidth="1"/>
    <col min="20" max="20" width="11.33203125" bestFit="1" customWidth="1"/>
    <col min="21" max="21" width="11.33203125" customWidth="1"/>
    <col min="22" max="23" width="12.1640625" customWidth="1"/>
    <col min="25" max="25" width="14.6640625" customWidth="1"/>
    <col min="26" max="26" width="16.1640625" customWidth="1"/>
    <col min="27" max="27" width="15.83203125" customWidth="1"/>
    <col min="28" max="28" width="11" customWidth="1"/>
    <col min="30" max="30" width="9.33203125" customWidth="1"/>
    <col min="32" max="32" width="14.6640625" customWidth="1"/>
    <col min="33" max="33" width="16.1640625" customWidth="1"/>
    <col min="34" max="34" width="15.83203125" customWidth="1"/>
    <col min="35" max="35" width="11" customWidth="1"/>
    <col min="37" max="37" width="9.33203125" customWidth="1"/>
  </cols>
  <sheetData>
    <row r="2" spans="1:38" x14ac:dyDescent="0.2">
      <c r="C2" s="583" t="s">
        <v>112</v>
      </c>
      <c r="D2" s="583"/>
      <c r="E2" s="583"/>
      <c r="F2" s="171"/>
      <c r="J2" s="583" t="s">
        <v>481</v>
      </c>
      <c r="K2" s="583"/>
      <c r="L2" s="583"/>
      <c r="M2" s="171"/>
      <c r="Q2" s="583" t="s">
        <v>444</v>
      </c>
      <c r="R2" s="583"/>
      <c r="S2" s="583"/>
      <c r="T2" s="171"/>
      <c r="Y2" s="583" t="s">
        <v>115</v>
      </c>
      <c r="Z2" s="583"/>
      <c r="AA2" s="583"/>
      <c r="AB2" s="171"/>
      <c r="AF2" s="583" t="s">
        <v>486</v>
      </c>
      <c r="AG2" s="583"/>
      <c r="AH2" s="583"/>
      <c r="AI2" s="171"/>
      <c r="AK2" s="583" t="s">
        <v>524</v>
      </c>
      <c r="AL2" s="583"/>
    </row>
    <row r="3" spans="1:38" x14ac:dyDescent="0.2">
      <c r="A3" s="37"/>
      <c r="B3" s="37"/>
      <c r="C3" s="169" t="s">
        <v>116</v>
      </c>
      <c r="D3" s="169" t="s">
        <v>117</v>
      </c>
      <c r="E3" s="169" t="s">
        <v>138</v>
      </c>
      <c r="F3" s="169" t="s">
        <v>139</v>
      </c>
      <c r="G3" s="36"/>
      <c r="H3" s="36"/>
      <c r="I3" s="37"/>
      <c r="J3" s="169" t="s">
        <v>116</v>
      </c>
      <c r="K3" s="169" t="s">
        <v>117</v>
      </c>
      <c r="L3" s="169" t="s">
        <v>138</v>
      </c>
      <c r="M3" s="169" t="s">
        <v>139</v>
      </c>
      <c r="N3" s="36"/>
      <c r="O3" s="36"/>
      <c r="P3" s="37"/>
      <c r="Q3" s="169" t="s">
        <v>116</v>
      </c>
      <c r="R3" s="169" t="s">
        <v>117</v>
      </c>
      <c r="S3" s="169" t="s">
        <v>138</v>
      </c>
      <c r="T3" s="169" t="s">
        <v>139</v>
      </c>
      <c r="U3" s="36"/>
      <c r="V3" s="36"/>
      <c r="W3" s="36"/>
      <c r="X3" s="37"/>
      <c r="Y3" s="169" t="s">
        <v>116</v>
      </c>
      <c r="Z3" s="169" t="s">
        <v>117</v>
      </c>
      <c r="AA3" s="169" t="s">
        <v>138</v>
      </c>
      <c r="AB3" s="169" t="s">
        <v>139</v>
      </c>
      <c r="AD3" s="37"/>
      <c r="AE3" s="37"/>
      <c r="AF3" s="169" t="s">
        <v>116</v>
      </c>
      <c r="AG3" s="169" t="s">
        <v>117</v>
      </c>
      <c r="AH3" s="169" t="s">
        <v>138</v>
      </c>
      <c r="AI3" s="169" t="s">
        <v>139</v>
      </c>
      <c r="AK3" s="169"/>
      <c r="AL3" s="169" t="s">
        <v>117</v>
      </c>
    </row>
    <row r="4" spans="1:38" x14ac:dyDescent="0.2">
      <c r="A4" s="37"/>
      <c r="B4" s="37"/>
      <c r="C4" s="169" t="s">
        <v>102</v>
      </c>
      <c r="D4" s="169" t="s">
        <v>103</v>
      </c>
      <c r="E4" s="169" t="s">
        <v>137</v>
      </c>
      <c r="F4" s="169"/>
      <c r="G4" s="36"/>
      <c r="H4" s="36"/>
      <c r="I4" s="37"/>
      <c r="J4" s="169" t="s">
        <v>102</v>
      </c>
      <c r="K4" s="169" t="s">
        <v>103</v>
      </c>
      <c r="L4" s="169" t="s">
        <v>137</v>
      </c>
      <c r="M4" s="169"/>
      <c r="N4" s="36"/>
      <c r="O4" s="36"/>
      <c r="P4" s="37"/>
      <c r="Q4" s="169" t="s">
        <v>102</v>
      </c>
      <c r="R4" s="169" t="s">
        <v>103</v>
      </c>
      <c r="S4" s="169" t="s">
        <v>137</v>
      </c>
      <c r="T4" s="169"/>
      <c r="U4" s="36"/>
      <c r="V4" s="36"/>
      <c r="W4" s="36"/>
      <c r="X4" s="37"/>
      <c r="Y4" s="169" t="s">
        <v>102</v>
      </c>
      <c r="Z4" s="169" t="s">
        <v>103</v>
      </c>
      <c r="AA4" s="169" t="s">
        <v>137</v>
      </c>
      <c r="AB4" s="169"/>
      <c r="AD4" s="37"/>
      <c r="AE4" s="37"/>
      <c r="AF4" s="169" t="s">
        <v>102</v>
      </c>
      <c r="AG4" s="169" t="s">
        <v>103</v>
      </c>
      <c r="AH4" s="169" t="s">
        <v>137</v>
      </c>
      <c r="AI4" s="169"/>
      <c r="AK4" s="169"/>
      <c r="AL4" s="169" t="s">
        <v>102</v>
      </c>
    </row>
    <row r="5" spans="1:38" x14ac:dyDescent="0.2">
      <c r="A5" s="9"/>
      <c r="B5" s="9">
        <v>2017</v>
      </c>
      <c r="C5" s="31">
        <f>'Normalized Annual Summary'!Y6</f>
        <v>1458855316</v>
      </c>
      <c r="D5" s="31">
        <f>SUMIF('Monthly Data'!B:B,B5,'Monthly Data'!O:O)</f>
        <v>3708563.0700000008</v>
      </c>
      <c r="E5" s="38">
        <f t="shared" ref="E5:E12" si="0">D5/C5</f>
        <v>2.5421047785385738E-3</v>
      </c>
      <c r="F5" s="12"/>
      <c r="G5" s="12"/>
      <c r="H5" s="12"/>
      <c r="I5" s="9">
        <v>2017</v>
      </c>
      <c r="J5" s="31">
        <f>'Normalized Annual Summary'!AJ6</f>
        <v>46826076</v>
      </c>
      <c r="K5" s="31">
        <f>SUMIF('Monthly Data'!B:B,B5,'Monthly Data'!T:T)</f>
        <v>74118.640000000014</v>
      </c>
      <c r="L5" s="38">
        <f t="shared" ref="L5:L12" si="1">K5/J5</f>
        <v>1.5828496925516461E-3</v>
      </c>
      <c r="M5" s="12"/>
      <c r="N5" s="12"/>
      <c r="O5" s="12"/>
      <c r="P5" s="9">
        <v>2017</v>
      </c>
      <c r="Q5" s="31">
        <f>'Normalized Annual Summary'!AU6</f>
        <v>117991437</v>
      </c>
      <c r="R5" s="31">
        <f>SUMIF('Monthly Data'!B:B,B5,'Monthly Data'!Y:Y)</f>
        <v>227423.46000000002</v>
      </c>
      <c r="S5" s="38">
        <f t="shared" ref="S5:S12" si="2">R5/Q5</f>
        <v>1.9274573289585414E-3</v>
      </c>
      <c r="T5" s="12"/>
      <c r="U5" s="12"/>
      <c r="V5" s="12"/>
      <c r="W5" s="12"/>
      <c r="X5" s="9">
        <v>2017</v>
      </c>
      <c r="Y5" s="31">
        <f>'Normalized Annual Summary'!BF6</f>
        <v>19787895.879999999</v>
      </c>
      <c r="Z5" s="31">
        <f>SUMIF('Monthly Data'!B:B,B5,'Monthly Data'!AB:AB)</f>
        <v>55752.55</v>
      </c>
      <c r="AA5" s="38">
        <f t="shared" ref="AA5:AA12" si="3">Z5/Y5</f>
        <v>2.8175077500963686E-3</v>
      </c>
      <c r="AB5" s="12"/>
      <c r="AC5" s="12"/>
      <c r="AD5" s="9"/>
      <c r="AE5" s="9">
        <v>2017</v>
      </c>
      <c r="AF5" s="31">
        <f>'Normalized Annual Summary'!BL6</f>
        <v>580140.85</v>
      </c>
      <c r="AG5" s="31">
        <f>SUMIF('Monthly Data'!B:B,B5,'Monthly Data'!AG:AG)</f>
        <v>1579.19</v>
      </c>
      <c r="AH5" s="38">
        <f t="shared" ref="AH5:AH12" si="4">AG5/AF5</f>
        <v>2.7220803361804294E-3</v>
      </c>
      <c r="AI5" s="12"/>
      <c r="AJ5" s="12"/>
      <c r="AK5" s="9">
        <f>AE5</f>
        <v>2017</v>
      </c>
      <c r="AL5" s="31">
        <f>SUMIF('Monthly Data'!B:B,B5,'Monthly Data'!AI:AI)</f>
        <v>157800</v>
      </c>
    </row>
    <row r="6" spans="1:38" x14ac:dyDescent="0.2">
      <c r="A6" s="9"/>
      <c r="B6" s="9">
        <f t="shared" ref="B6:B13" si="5">B5+1</f>
        <v>2018</v>
      </c>
      <c r="C6" s="31">
        <f>'Normalized Annual Summary'!Y7</f>
        <v>1485117370</v>
      </c>
      <c r="D6" s="31">
        <f>SUMIF('Monthly Data'!B:B,B6,'Monthly Data'!O:O)</f>
        <v>3744566.08</v>
      </c>
      <c r="E6" s="38">
        <f t="shared" si="0"/>
        <v>2.521394036351484E-3</v>
      </c>
      <c r="F6" s="12"/>
      <c r="G6" s="12"/>
      <c r="H6" s="12"/>
      <c r="I6" s="9">
        <f t="shared" ref="I6:I13" si="6">I5+1</f>
        <v>2018</v>
      </c>
      <c r="J6" s="31">
        <f>'Normalized Annual Summary'!AJ7</f>
        <v>47167618</v>
      </c>
      <c r="K6" s="31">
        <f>SUMIF('Monthly Data'!B:B,B6,'Monthly Data'!T:T)</f>
        <v>88637.540000000008</v>
      </c>
      <c r="L6" s="38">
        <f t="shared" si="1"/>
        <v>1.8792032279433743E-3</v>
      </c>
      <c r="M6" s="12"/>
      <c r="N6" s="12"/>
      <c r="O6" s="12"/>
      <c r="P6" s="9">
        <f t="shared" ref="P6:P13" si="7">P5+1</f>
        <v>2018</v>
      </c>
      <c r="Q6" s="31">
        <f>'Normalized Annual Summary'!AU7</f>
        <v>117777486</v>
      </c>
      <c r="R6" s="31">
        <f>SUMIF('Monthly Data'!B:B,B6,'Monthly Data'!Y:Y)</f>
        <v>221470.55</v>
      </c>
      <c r="S6" s="38">
        <f t="shared" si="2"/>
        <v>1.880414988650717E-3</v>
      </c>
      <c r="T6" s="12"/>
      <c r="U6" s="12"/>
      <c r="V6" s="12"/>
      <c r="W6" s="12"/>
      <c r="X6" s="9">
        <f t="shared" ref="X6:X13" si="8">X5+1</f>
        <v>2018</v>
      </c>
      <c r="Y6" s="31">
        <f>'Normalized Annual Summary'!BF7</f>
        <v>17086178.68</v>
      </c>
      <c r="Z6" s="31">
        <f>SUMIF('Monthly Data'!B:B,B6,'Monthly Data'!AB:AB)</f>
        <v>47864.480000000003</v>
      </c>
      <c r="AA6" s="38">
        <f t="shared" si="3"/>
        <v>2.8013566342968855E-3</v>
      </c>
      <c r="AB6" s="12"/>
      <c r="AC6" s="12"/>
      <c r="AD6" s="9"/>
      <c r="AE6" s="9">
        <f t="shared" ref="AE6:AE13" si="9">AE5+1</f>
        <v>2018</v>
      </c>
      <c r="AF6" s="31">
        <f>'Normalized Annual Summary'!BL7</f>
        <v>548884.51</v>
      </c>
      <c r="AG6" s="31">
        <f>SUMIF('Monthly Data'!B:B,B6,'Monthly Data'!AG:AG)</f>
        <v>1489.9299999999998</v>
      </c>
      <c r="AH6" s="38">
        <f t="shared" si="4"/>
        <v>2.7144690237296001E-3</v>
      </c>
      <c r="AI6" s="12"/>
      <c r="AJ6" s="12"/>
      <c r="AK6" s="9">
        <f t="shared" ref="AK6:AK12" si="10">AE6</f>
        <v>2018</v>
      </c>
      <c r="AL6" s="31">
        <f>SUMIF('Monthly Data'!B:B,B6,'Monthly Data'!AI:AI)</f>
        <v>172800</v>
      </c>
    </row>
    <row r="7" spans="1:38" x14ac:dyDescent="0.2">
      <c r="A7" s="9"/>
      <c r="B7" s="9">
        <f t="shared" si="5"/>
        <v>2019</v>
      </c>
      <c r="C7" s="31">
        <f>'Normalized Annual Summary'!Y8</f>
        <v>1408341173.2980461</v>
      </c>
      <c r="D7" s="31">
        <f>SUMIF('Monthly Data'!B:B,B7,'Monthly Data'!O:O)</f>
        <v>3636724.4299999997</v>
      </c>
      <c r="E7" s="38">
        <f t="shared" si="0"/>
        <v>2.5822751609849886E-3</v>
      </c>
      <c r="F7" s="12">
        <f t="shared" ref="F7:F12" si="11">AVERAGE(E5:E7)</f>
        <v>2.5485913252916823E-3</v>
      </c>
      <c r="G7" s="12"/>
      <c r="H7" s="12"/>
      <c r="I7" s="9">
        <f t="shared" si="6"/>
        <v>2019</v>
      </c>
      <c r="J7" s="31">
        <f>'Normalized Annual Summary'!AJ8</f>
        <v>34966867.902733505</v>
      </c>
      <c r="K7" s="31">
        <f>SUMIF('Monthly Data'!B:B,B7,'Monthly Data'!T:T)</f>
        <v>55790.87999999999</v>
      </c>
      <c r="L7" s="38">
        <f t="shared" si="1"/>
        <v>1.5955355268076094E-3</v>
      </c>
      <c r="M7" s="12">
        <f t="shared" ref="M7:M13" si="12">AVERAGE(L5:L7)</f>
        <v>1.6858628157675434E-3</v>
      </c>
      <c r="N7" s="12"/>
      <c r="O7" s="12"/>
      <c r="P7" s="9">
        <f t="shared" si="7"/>
        <v>2019</v>
      </c>
      <c r="Q7" s="31">
        <f>'Normalized Annual Summary'!AU8</f>
        <v>110589767.84308411</v>
      </c>
      <c r="R7" s="31">
        <f>SUMIF('Monthly Data'!B:B,B7,'Monthly Data'!Y:Y)</f>
        <v>216188.63999999998</v>
      </c>
      <c r="S7" s="38">
        <f t="shared" si="2"/>
        <v>1.9548701857006355E-3</v>
      </c>
      <c r="T7" s="12">
        <f t="shared" ref="T7:T13" si="13">AVERAGE(S5:S7)</f>
        <v>1.9209141677699647E-3</v>
      </c>
      <c r="U7" s="12"/>
      <c r="V7" s="12"/>
      <c r="W7" s="12"/>
      <c r="X7" s="9">
        <f t="shared" si="8"/>
        <v>2019</v>
      </c>
      <c r="Y7" s="31">
        <f>'Normalized Annual Summary'!BF8</f>
        <v>16623912.16</v>
      </c>
      <c r="Z7" s="31">
        <f>SUMIF('Monthly Data'!B:B,B7,'Monthly Data'!AB:AB)</f>
        <v>46618.69</v>
      </c>
      <c r="AA7" s="38">
        <f t="shared" si="3"/>
        <v>2.8043152268436913E-3</v>
      </c>
      <c r="AB7" s="12">
        <f t="shared" ref="AB7:AB13" si="14">AVERAGE(AA5:AA7)</f>
        <v>2.807726537078982E-3</v>
      </c>
      <c r="AC7" s="12"/>
      <c r="AD7" s="9"/>
      <c r="AE7" s="9">
        <f t="shared" si="9"/>
        <v>2019</v>
      </c>
      <c r="AF7" s="31">
        <f>'Normalized Annual Summary'!BL8</f>
        <v>541071.94000000006</v>
      </c>
      <c r="AG7" s="31">
        <f>SUMIF('Monthly Data'!B:B,B7,'Monthly Data'!AG:AG)</f>
        <v>1467.4</v>
      </c>
      <c r="AH7" s="38">
        <f t="shared" si="4"/>
        <v>2.7120238391959484E-3</v>
      </c>
      <c r="AI7" s="12">
        <f t="shared" ref="AI7:AI13" si="15">AVERAGE(AH5:AH7)</f>
        <v>2.716191066368659E-3</v>
      </c>
      <c r="AJ7" s="12"/>
      <c r="AK7" s="9">
        <f t="shared" si="10"/>
        <v>2019</v>
      </c>
      <c r="AL7" s="31">
        <f>SUMIF('Monthly Data'!B:B,B7,'Monthly Data'!AI:AI)</f>
        <v>172800</v>
      </c>
    </row>
    <row r="8" spans="1:38" x14ac:dyDescent="0.2">
      <c r="A8" s="9"/>
      <c r="B8" s="9">
        <f t="shared" si="5"/>
        <v>2020</v>
      </c>
      <c r="C8" s="31">
        <f>'Normalized Annual Summary'!Y9</f>
        <v>1365678433.9229021</v>
      </c>
      <c r="D8" s="31">
        <f>SUMIF('Monthly Data'!B:B,B8,'Monthly Data'!O:O)</f>
        <v>3426345.0799999996</v>
      </c>
      <c r="E8" s="38">
        <f t="shared" si="0"/>
        <v>2.5088959413072419E-3</v>
      </c>
      <c r="F8" s="12">
        <f t="shared" si="11"/>
        <v>2.537521712881238E-3</v>
      </c>
      <c r="G8" s="12"/>
      <c r="H8" s="12"/>
      <c r="I8" s="9">
        <f t="shared" si="6"/>
        <v>2020</v>
      </c>
      <c r="J8" s="31">
        <f>'Normalized Annual Summary'!AJ9</f>
        <v>36542441.547490597</v>
      </c>
      <c r="K8" s="31">
        <f>SUMIF('Monthly Data'!B:B,B8,'Monthly Data'!T:T)</f>
        <v>60972.479999999996</v>
      </c>
      <c r="L8" s="38">
        <f t="shared" si="1"/>
        <v>1.6685387570712837E-3</v>
      </c>
      <c r="M8" s="12">
        <f t="shared" si="12"/>
        <v>1.7144258372740891E-3</v>
      </c>
      <c r="N8" s="12"/>
      <c r="O8" s="12"/>
      <c r="P8" s="9">
        <f t="shared" si="7"/>
        <v>2020</v>
      </c>
      <c r="Q8" s="31">
        <f>'Normalized Annual Summary'!AU9</f>
        <v>101893892.280927</v>
      </c>
      <c r="R8" s="31">
        <f>SUMIF('Monthly Data'!B:B,B8,'Monthly Data'!Y:Y)</f>
        <v>189813.83000000002</v>
      </c>
      <c r="S8" s="38">
        <f t="shared" si="2"/>
        <v>1.8628577802943572E-3</v>
      </c>
      <c r="T8" s="12">
        <f t="shared" si="13"/>
        <v>1.8993809848819032E-3</v>
      </c>
      <c r="U8" s="12"/>
      <c r="V8" s="12"/>
      <c r="W8" s="12"/>
      <c r="X8" s="9">
        <f t="shared" si="8"/>
        <v>2020</v>
      </c>
      <c r="Y8" s="31">
        <f>'Normalized Annual Summary'!BF9</f>
        <v>16908317.240000002</v>
      </c>
      <c r="Z8" s="31">
        <f>SUMIF('Monthly Data'!B:B,B8,'Monthly Data'!AB:AB)</f>
        <v>47272.400000000009</v>
      </c>
      <c r="AA8" s="38">
        <f t="shared" si="3"/>
        <v>2.7958074910120387E-3</v>
      </c>
      <c r="AB8" s="12">
        <f t="shared" si="14"/>
        <v>2.8004931173842055E-3</v>
      </c>
      <c r="AC8" s="12"/>
      <c r="AD8" s="9"/>
      <c r="AE8" s="9">
        <f t="shared" si="9"/>
        <v>2020</v>
      </c>
      <c r="AF8" s="31">
        <f>'Normalized Annual Summary'!BL9</f>
        <v>535957.61</v>
      </c>
      <c r="AG8" s="31">
        <f>SUMIF('Monthly Data'!B:B,B8,'Monthly Data'!AG:AG)</f>
        <v>1446.0000000000002</v>
      </c>
      <c r="AH8" s="38">
        <f t="shared" si="4"/>
        <v>2.6979745655631242E-3</v>
      </c>
      <c r="AI8" s="12">
        <f t="shared" si="15"/>
        <v>2.7081558094962242E-3</v>
      </c>
      <c r="AJ8" s="12"/>
      <c r="AK8" s="9">
        <f t="shared" si="10"/>
        <v>2020</v>
      </c>
      <c r="AL8" s="31">
        <f>SUMIF('Monthly Data'!B:B,B8,'Monthly Data'!AI:AI)</f>
        <v>182800</v>
      </c>
    </row>
    <row r="9" spans="1:38" x14ac:dyDescent="0.2">
      <c r="A9" s="9"/>
      <c r="B9" s="9">
        <f t="shared" si="5"/>
        <v>2021</v>
      </c>
      <c r="C9" s="31">
        <f>'Normalized Annual Summary'!Y10</f>
        <v>1385380121.3308113</v>
      </c>
      <c r="D9" s="31">
        <f>SUMIF('Monthly Data'!B:B,B9,'Monthly Data'!O:O)</f>
        <v>3496519.7399999998</v>
      </c>
      <c r="E9" s="38">
        <f t="shared" si="0"/>
        <v>2.523870298240749E-3</v>
      </c>
      <c r="F9" s="12">
        <f t="shared" si="11"/>
        <v>2.5383471335109933E-3</v>
      </c>
      <c r="G9" s="12"/>
      <c r="H9" s="12"/>
      <c r="I9" s="9">
        <f t="shared" si="6"/>
        <v>2021</v>
      </c>
      <c r="J9" s="31">
        <f>'Normalized Annual Summary'!AJ10</f>
        <v>28072541.583803825</v>
      </c>
      <c r="K9" s="31">
        <f>SUMIF('Monthly Data'!B:B,B9,'Monthly Data'!T:T)</f>
        <v>50765.990000000005</v>
      </c>
      <c r="L9" s="38">
        <f t="shared" si="1"/>
        <v>1.8083859578032985E-3</v>
      </c>
      <c r="M9" s="12">
        <f t="shared" si="12"/>
        <v>1.6908200805607306E-3</v>
      </c>
      <c r="N9" s="12"/>
      <c r="O9" s="12"/>
      <c r="P9" s="9">
        <f t="shared" si="7"/>
        <v>2021</v>
      </c>
      <c r="Q9" s="31">
        <f>'Normalized Annual Summary'!AU10</f>
        <v>105654509.1076003</v>
      </c>
      <c r="R9" s="31">
        <f>SUMIF('Monthly Data'!B:B,B9,'Monthly Data'!Y:Y)</f>
        <v>194965.44</v>
      </c>
      <c r="S9" s="38">
        <f t="shared" si="2"/>
        <v>1.8453111149420416E-3</v>
      </c>
      <c r="T9" s="12">
        <f t="shared" si="13"/>
        <v>1.8876796936456782E-3</v>
      </c>
      <c r="U9" s="12"/>
      <c r="V9" s="12"/>
      <c r="W9" s="12"/>
      <c r="X9" s="9">
        <f t="shared" si="8"/>
        <v>2021</v>
      </c>
      <c r="Y9" s="31">
        <f>'Normalized Annual Summary'!BF10</f>
        <v>16882808.740000002</v>
      </c>
      <c r="Z9" s="31">
        <f>SUMIF('Monthly Data'!B:B,B9,'Monthly Data'!AB:AB)</f>
        <v>47347.969999999994</v>
      </c>
      <c r="AA9" s="38">
        <f t="shared" si="3"/>
        <v>2.8045078712418078E-3</v>
      </c>
      <c r="AB9" s="12">
        <f t="shared" si="14"/>
        <v>2.8015435296991791E-3</v>
      </c>
      <c r="AC9" s="12"/>
      <c r="AD9" s="9"/>
      <c r="AE9" s="9">
        <f t="shared" si="9"/>
        <v>2021</v>
      </c>
      <c r="AF9" s="31">
        <f>'Normalized Annual Summary'!BL10</f>
        <v>528905.92999999993</v>
      </c>
      <c r="AG9" s="31">
        <f>SUMIF('Monthly Data'!B:B,B9,'Monthly Data'!AG:AG)</f>
        <v>1433.2900000000002</v>
      </c>
      <c r="AH9" s="38">
        <f t="shared" si="4"/>
        <v>2.7099147857918711E-3</v>
      </c>
      <c r="AI9" s="12">
        <f t="shared" si="15"/>
        <v>2.7066377301836479E-3</v>
      </c>
      <c r="AJ9" s="12"/>
      <c r="AK9" s="9">
        <f t="shared" si="10"/>
        <v>2021</v>
      </c>
      <c r="AL9" s="31">
        <f>SUMIF('Monthly Data'!B:B,B9,'Monthly Data'!AI:AI)</f>
        <v>194300</v>
      </c>
    </row>
    <row r="10" spans="1:38" x14ac:dyDescent="0.2">
      <c r="A10" s="9"/>
      <c r="B10" s="9">
        <f t="shared" si="5"/>
        <v>2022</v>
      </c>
      <c r="C10" s="31">
        <f>'Normalized Annual Summary'!Y11</f>
        <v>1424708525.6983182</v>
      </c>
      <c r="D10" s="31">
        <f>SUMIF('Monthly Data'!B:B,B10,'Monthly Data'!O:O)</f>
        <v>3574256.7199999997</v>
      </c>
      <c r="E10" s="38">
        <f t="shared" si="0"/>
        <v>2.5087634807604486E-3</v>
      </c>
      <c r="F10" s="12">
        <f t="shared" si="11"/>
        <v>2.513843240102813E-3</v>
      </c>
      <c r="G10" s="12"/>
      <c r="H10" s="12"/>
      <c r="I10" s="9">
        <f t="shared" si="6"/>
        <v>2022</v>
      </c>
      <c r="J10" s="31">
        <f>'Normalized Annual Summary'!AJ11</f>
        <v>43045721.021658659</v>
      </c>
      <c r="K10" s="31">
        <f>SUMIF('Monthly Data'!B:B,B10,'Monthly Data'!T:T)</f>
        <v>72458.680000000008</v>
      </c>
      <c r="L10" s="38">
        <f t="shared" si="1"/>
        <v>1.6832957673897965E-3</v>
      </c>
      <c r="M10" s="12">
        <f t="shared" si="12"/>
        <v>1.7200734940881262E-3</v>
      </c>
      <c r="N10" s="12"/>
      <c r="O10" s="12"/>
      <c r="P10" s="9">
        <f t="shared" si="7"/>
        <v>2022</v>
      </c>
      <c r="Q10" s="31">
        <f>'Normalized Annual Summary'!AU11</f>
        <v>112464987.29709665</v>
      </c>
      <c r="R10" s="31">
        <f>SUMIF('Monthly Data'!B:B,B10,'Monthly Data'!Y:Y)</f>
        <v>213689.69</v>
      </c>
      <c r="S10" s="38">
        <f t="shared" si="2"/>
        <v>1.9000552539565041E-3</v>
      </c>
      <c r="T10" s="12">
        <f t="shared" si="13"/>
        <v>1.8694080497309677E-3</v>
      </c>
      <c r="U10" s="12"/>
      <c r="V10" s="12"/>
      <c r="W10" s="12"/>
      <c r="X10" s="9">
        <f t="shared" si="8"/>
        <v>2022</v>
      </c>
      <c r="Y10" s="31">
        <f>'Normalized Annual Summary'!BF11</f>
        <v>17000378.439999998</v>
      </c>
      <c r="Z10" s="31">
        <f>SUMIF('Monthly Data'!B:B,B10,'Monthly Data'!AB:AB)</f>
        <v>47685.229999999996</v>
      </c>
      <c r="AA10" s="38">
        <f t="shared" si="3"/>
        <v>2.8049510879006056E-3</v>
      </c>
      <c r="AB10" s="12">
        <f t="shared" si="14"/>
        <v>2.8017554833848174E-3</v>
      </c>
      <c r="AC10" s="12"/>
      <c r="AD10" s="9"/>
      <c r="AE10" s="9">
        <f t="shared" si="9"/>
        <v>2022</v>
      </c>
      <c r="AF10" s="31">
        <f>'Normalized Annual Summary'!BL11</f>
        <v>527895.42999999993</v>
      </c>
      <c r="AG10" s="31">
        <f>SUMIF('Monthly Data'!B:B,B10,'Monthly Data'!AG:AG)</f>
        <v>1427.4699999999998</v>
      </c>
      <c r="AH10" s="38">
        <f t="shared" si="4"/>
        <v>2.704077207108991E-3</v>
      </c>
      <c r="AI10" s="12">
        <f t="shared" si="15"/>
        <v>2.7039888528213288E-3</v>
      </c>
      <c r="AJ10" s="12"/>
      <c r="AK10" s="9">
        <f t="shared" si="10"/>
        <v>2022</v>
      </c>
      <c r="AL10" s="31">
        <f>SUMIF('Monthly Data'!B:B,B10,'Monthly Data'!AI:AI)</f>
        <v>196800</v>
      </c>
    </row>
    <row r="11" spans="1:38" x14ac:dyDescent="0.2">
      <c r="A11" s="9"/>
      <c r="B11" s="9">
        <f t="shared" si="5"/>
        <v>2023</v>
      </c>
      <c r="C11" s="31">
        <f>'Normalized Annual Summary'!Y12</f>
        <v>1400393230.0632451</v>
      </c>
      <c r="D11" s="31">
        <f>SUMIF('Monthly Data'!B:B,B11,'Monthly Data'!O:O)</f>
        <v>3541020.3</v>
      </c>
      <c r="E11" s="38">
        <f t="shared" si="0"/>
        <v>2.5285899874280876E-3</v>
      </c>
      <c r="F11" s="12">
        <f t="shared" si="11"/>
        <v>2.5204079221430951E-3</v>
      </c>
      <c r="G11" s="12"/>
      <c r="H11" s="12"/>
      <c r="I11" s="9">
        <f t="shared" si="6"/>
        <v>2023</v>
      </c>
      <c r="J11" s="31">
        <f>'Normalized Annual Summary'!AJ12</f>
        <v>51773685.92783922</v>
      </c>
      <c r="K11" s="31">
        <f>SUMIF('Monthly Data'!B:B,B11,'Monthly Data'!T:T)</f>
        <v>81016.87999999999</v>
      </c>
      <c r="L11" s="38">
        <f t="shared" si="1"/>
        <v>1.564827354824981E-3</v>
      </c>
      <c r="M11" s="12">
        <f t="shared" si="12"/>
        <v>1.6855030266726921E-3</v>
      </c>
      <c r="N11" s="12"/>
      <c r="O11" s="12"/>
      <c r="P11" s="9">
        <f t="shared" si="7"/>
        <v>2023</v>
      </c>
      <c r="Q11" s="31">
        <f>'Normalized Annual Summary'!AU12</f>
        <v>153160749.79471761</v>
      </c>
      <c r="R11" s="31">
        <f>SUMIF('Monthly Data'!B:B,B11,'Monthly Data'!Y:Y)</f>
        <v>298641.74</v>
      </c>
      <c r="S11" s="38">
        <f t="shared" si="2"/>
        <v>1.9498581745014407E-3</v>
      </c>
      <c r="T11" s="12">
        <f t="shared" si="13"/>
        <v>1.8984081811333289E-3</v>
      </c>
      <c r="U11" s="12"/>
      <c r="V11" s="12"/>
      <c r="W11" s="12"/>
      <c r="X11" s="9">
        <f t="shared" si="8"/>
        <v>2023</v>
      </c>
      <c r="Y11" s="31">
        <f>'Normalized Annual Summary'!BF12</f>
        <v>17184523.530000001</v>
      </c>
      <c r="Z11" s="31">
        <f>SUMIF('Monthly Data'!B:B,B11,'Monthly Data'!AB:AB)</f>
        <v>48191.71</v>
      </c>
      <c r="AA11" s="38">
        <f t="shared" si="3"/>
        <v>2.8043669593671881E-3</v>
      </c>
      <c r="AB11" s="12">
        <f t="shared" si="14"/>
        <v>2.8046086395032005E-3</v>
      </c>
      <c r="AC11" s="12"/>
      <c r="AD11" s="9"/>
      <c r="AE11" s="9">
        <f t="shared" si="9"/>
        <v>2023</v>
      </c>
      <c r="AF11" s="31">
        <f>'Normalized Annual Summary'!BL12</f>
        <v>522310.94999999995</v>
      </c>
      <c r="AG11" s="31">
        <f>SUMIF('Monthly Data'!B:B,B11,'Monthly Data'!AG:AG)</f>
        <v>1416.03</v>
      </c>
      <c r="AH11" s="38">
        <f t="shared" si="4"/>
        <v>2.7110861834315366E-3</v>
      </c>
      <c r="AI11" s="12">
        <f t="shared" si="15"/>
        <v>2.7083593921107996E-3</v>
      </c>
      <c r="AJ11" s="12"/>
      <c r="AK11" s="9">
        <f t="shared" si="10"/>
        <v>2023</v>
      </c>
      <c r="AL11" s="31">
        <f>SUMIF('Monthly Data'!B:B,B11,'Monthly Data'!AI:AI)</f>
        <v>196800</v>
      </c>
    </row>
    <row r="12" spans="1:38" x14ac:dyDescent="0.2">
      <c r="A12" s="9"/>
      <c r="B12" s="9">
        <f t="shared" si="5"/>
        <v>2024</v>
      </c>
      <c r="C12" s="31">
        <f>'Normalized Annual Summary'!Y13</f>
        <v>1446263151.7577271</v>
      </c>
      <c r="D12" s="31">
        <f>SUMIF('Monthly Data'!B:B,B12,'Monthly Data'!O:O)</f>
        <v>3656086</v>
      </c>
      <c r="E12" s="38">
        <f t="shared" si="0"/>
        <v>2.5279535024843492E-3</v>
      </c>
      <c r="F12" s="12">
        <f t="shared" si="11"/>
        <v>2.5217689902242951E-3</v>
      </c>
      <c r="G12" s="12"/>
      <c r="H12" s="12"/>
      <c r="I12" s="9">
        <f t="shared" si="6"/>
        <v>2024</v>
      </c>
      <c r="J12" s="31">
        <f>'Normalized Annual Summary'!AJ13</f>
        <v>34855427.423796594</v>
      </c>
      <c r="K12" s="31">
        <f>SUMIF('Monthly Data'!B:B,B12,'Monthly Data'!T:T)</f>
        <v>69036</v>
      </c>
      <c r="L12" s="38">
        <f t="shared" si="1"/>
        <v>1.9806384572655547E-3</v>
      </c>
      <c r="M12" s="12">
        <f t="shared" si="12"/>
        <v>1.7429205264934439E-3</v>
      </c>
      <c r="N12" s="12"/>
      <c r="O12" s="12"/>
      <c r="P12" s="9">
        <f t="shared" si="7"/>
        <v>2024</v>
      </c>
      <c r="Q12" s="31">
        <f>'Normalized Annual Summary'!AU13</f>
        <v>162734021.88019371</v>
      </c>
      <c r="R12" s="31">
        <f>SUMIF('Monthly Data'!B:B,B12,'Monthly Data'!Y:Y)</f>
        <v>311835.54000000004</v>
      </c>
      <c r="S12" s="38">
        <f t="shared" si="2"/>
        <v>1.9162283116776666E-3</v>
      </c>
      <c r="T12" s="12">
        <f t="shared" si="13"/>
        <v>1.9220472467118704E-3</v>
      </c>
      <c r="U12" s="12"/>
      <c r="V12" s="12"/>
      <c r="W12" s="12"/>
      <c r="X12" s="9">
        <f t="shared" si="8"/>
        <v>2024</v>
      </c>
      <c r="Y12" s="31">
        <f>'Normalized Annual Summary'!BF13</f>
        <v>17401184.109999996</v>
      </c>
      <c r="Z12" s="31">
        <f>SUMIF('Monthly Data'!B:B,B12,'Monthly Data'!AB:AB)</f>
        <v>48655.009999999995</v>
      </c>
      <c r="AA12" s="38">
        <f t="shared" si="3"/>
        <v>2.7960746632201459E-3</v>
      </c>
      <c r="AB12" s="12">
        <f t="shared" si="14"/>
        <v>2.8017975701626467E-3</v>
      </c>
      <c r="AC12" s="12"/>
      <c r="AD12" s="9"/>
      <c r="AE12" s="9">
        <f t="shared" si="9"/>
        <v>2024</v>
      </c>
      <c r="AF12" s="31">
        <f>'Normalized Annual Summary'!BL13</f>
        <v>512976.02999999985</v>
      </c>
      <c r="AG12" s="31">
        <f>SUMIF('Monthly Data'!B:B,B12,'Monthly Data'!AG:AG)</f>
        <v>1394.79</v>
      </c>
      <c r="AH12" s="38">
        <f t="shared" si="4"/>
        <v>2.7190159353059837E-3</v>
      </c>
      <c r="AI12" s="12">
        <f t="shared" si="15"/>
        <v>2.7113931086155036E-3</v>
      </c>
      <c r="AJ12" s="12"/>
      <c r="AK12" s="9">
        <f t="shared" si="10"/>
        <v>2024</v>
      </c>
      <c r="AL12" s="31">
        <f>SUMIF('Monthly Data'!B:B,B12,'Monthly Data'!AI:AI)</f>
        <v>196800</v>
      </c>
    </row>
    <row r="13" spans="1:38" x14ac:dyDescent="0.2">
      <c r="A13" s="9"/>
      <c r="B13" s="9">
        <f t="shared" si="5"/>
        <v>2025</v>
      </c>
      <c r="C13" s="31">
        <f>'Normalized Annual Summary'!Y14</f>
        <v>1470647189.1957462</v>
      </c>
      <c r="D13" s="31">
        <f>SUMIF('Monthly Data'!B:B,B13,'Monthly Data'!O:O)</f>
        <v>3705957.01</v>
      </c>
      <c r="E13" s="38">
        <f>D13/C13</f>
        <v>2.5199497454088081E-3</v>
      </c>
      <c r="F13" s="12">
        <f>AVERAGE(E11:E13)</f>
        <v>2.5254977451070817E-3</v>
      </c>
      <c r="G13" s="12"/>
      <c r="H13" s="12"/>
      <c r="I13" s="9">
        <f t="shared" si="6"/>
        <v>2025</v>
      </c>
      <c r="J13" s="31">
        <f>'Normalized Annual Summary'!AJ14</f>
        <v>31417818.32771375</v>
      </c>
      <c r="K13" s="31">
        <f>SUMIF('Monthly Data'!B:B,B13,'Monthly Data'!T:T)</f>
        <v>70644.329999999987</v>
      </c>
      <c r="L13" s="38">
        <f>K13/J13</f>
        <v>2.2485434622837707E-3</v>
      </c>
      <c r="M13" s="12">
        <f t="shared" si="12"/>
        <v>1.9313364247914354E-3</v>
      </c>
      <c r="N13" s="12"/>
      <c r="O13" s="12"/>
      <c r="P13" s="9">
        <f t="shared" si="7"/>
        <v>2025</v>
      </c>
      <c r="Q13" s="31">
        <f>'Normalized Annual Summary'!AU14</f>
        <v>160084660.45041481</v>
      </c>
      <c r="R13" s="31">
        <f>SUMIF('Monthly Data'!B:B,B13,'Monthly Data'!Y:Y)</f>
        <v>310223.76000000007</v>
      </c>
      <c r="S13" s="38">
        <f>R13/Q13</f>
        <v>1.9378731174314473E-3</v>
      </c>
      <c r="T13" s="12">
        <f t="shared" si="13"/>
        <v>1.9346532012035182E-3</v>
      </c>
      <c r="U13" s="12"/>
      <c r="V13" s="12"/>
      <c r="W13" s="12"/>
      <c r="X13" s="9">
        <f t="shared" si="8"/>
        <v>2025</v>
      </c>
      <c r="Y13" s="31">
        <f>'Normalized Annual Summary'!BF14</f>
        <v>17445300.079999998</v>
      </c>
      <c r="Z13" s="31">
        <f>SUMIF('Monthly Data'!B:B,B13,'Monthly Data'!AB:AB)</f>
        <v>48926.820000000007</v>
      </c>
      <c r="AA13" s="38">
        <f>Z13/Y13</f>
        <v>2.8045846030525842E-3</v>
      </c>
      <c r="AB13" s="12">
        <f t="shared" si="14"/>
        <v>2.8016754085466392E-3</v>
      </c>
      <c r="AC13" s="12"/>
      <c r="AD13" s="9"/>
      <c r="AE13" s="9">
        <f t="shared" si="9"/>
        <v>2025</v>
      </c>
      <c r="AF13" s="31">
        <f>'Normalized Annual Summary'!BL14</f>
        <v>506226.3899999999</v>
      </c>
      <c r="AG13" s="31">
        <f>SUMIF('Monthly Data'!B:B,B13,'Monthly Data'!AG:AG)</f>
        <v>1371.2399999999998</v>
      </c>
      <c r="AH13" s="38">
        <f>AG13/AF13</f>
        <v>2.7087485502286833E-3</v>
      </c>
      <c r="AI13" s="12">
        <f t="shared" si="15"/>
        <v>2.7129502229887351E-3</v>
      </c>
      <c r="AJ13" s="12"/>
      <c r="AK13" s="9">
        <f>AE13</f>
        <v>2025</v>
      </c>
      <c r="AL13" s="31">
        <f>SUMIF('Monthly Data'!B:B,B13,'Monthly Data'!AI:AI)</f>
        <v>196800</v>
      </c>
    </row>
    <row r="14" spans="1:38" x14ac:dyDescent="0.2">
      <c r="A14" s="9"/>
      <c r="B14" s="9"/>
      <c r="C14" s="218"/>
      <c r="D14" s="218"/>
      <c r="E14" s="38"/>
      <c r="F14" s="12"/>
      <c r="G14" s="12"/>
      <c r="H14" s="12"/>
      <c r="I14" s="9"/>
      <c r="J14" s="218"/>
      <c r="K14" s="218"/>
      <c r="L14" s="38"/>
      <c r="M14" s="12"/>
      <c r="N14" s="12"/>
      <c r="O14" s="12"/>
      <c r="P14" s="9"/>
      <c r="Q14" s="218"/>
      <c r="R14" s="218"/>
      <c r="S14" s="38"/>
      <c r="T14" s="12"/>
      <c r="U14" s="12"/>
      <c r="V14" s="12"/>
      <c r="W14" s="12"/>
      <c r="X14" s="9"/>
      <c r="Y14" s="31"/>
      <c r="Z14" s="31"/>
      <c r="AA14" s="38"/>
      <c r="AB14" s="12"/>
      <c r="AC14" s="12"/>
      <c r="AD14" s="9"/>
      <c r="AE14" s="9"/>
      <c r="AF14" s="31"/>
      <c r="AG14" s="31"/>
      <c r="AH14" s="38"/>
      <c r="AI14" s="12"/>
      <c r="AJ14" s="12"/>
      <c r="AK14" s="9"/>
    </row>
    <row r="15" spans="1:38" x14ac:dyDescent="0.2">
      <c r="B15" s="9"/>
      <c r="C15" s="9" t="s">
        <v>118</v>
      </c>
      <c r="D15" s="39" t="s">
        <v>119</v>
      </c>
      <c r="E15" t="s">
        <v>388</v>
      </c>
      <c r="F15" t="s">
        <v>389</v>
      </c>
      <c r="G15" t="s">
        <v>376</v>
      </c>
      <c r="H15" t="s">
        <v>364</v>
      </c>
      <c r="I15" s="9"/>
      <c r="J15" s="9" t="s">
        <v>118</v>
      </c>
      <c r="K15" s="39" t="s">
        <v>119</v>
      </c>
      <c r="L15" t="s">
        <v>388</v>
      </c>
      <c r="M15" t="s">
        <v>389</v>
      </c>
      <c r="N15" t="s">
        <v>376</v>
      </c>
      <c r="O15" t="s">
        <v>364</v>
      </c>
      <c r="P15" s="9"/>
      <c r="Q15" s="9" t="s">
        <v>118</v>
      </c>
      <c r="R15" s="39" t="s">
        <v>119</v>
      </c>
      <c r="S15" t="s">
        <v>388</v>
      </c>
      <c r="T15" t="s">
        <v>389</v>
      </c>
      <c r="U15" t="s">
        <v>376</v>
      </c>
      <c r="V15" t="s">
        <v>364</v>
      </c>
      <c r="X15" s="9"/>
      <c r="Y15" s="9" t="s">
        <v>118</v>
      </c>
      <c r="Z15" s="39" t="s">
        <v>119</v>
      </c>
      <c r="AA15" t="s">
        <v>388</v>
      </c>
      <c r="AB15" t="s">
        <v>166</v>
      </c>
      <c r="AD15" s="9"/>
      <c r="AE15" s="9"/>
      <c r="AF15" s="9" t="s">
        <v>118</v>
      </c>
      <c r="AG15" s="39" t="s">
        <v>119</v>
      </c>
      <c r="AH15" t="s">
        <v>388</v>
      </c>
      <c r="AI15" t="s">
        <v>166</v>
      </c>
      <c r="AK15" s="9"/>
      <c r="AL15" t="s">
        <v>525</v>
      </c>
    </row>
    <row r="16" spans="1:38" x14ac:dyDescent="0.2">
      <c r="B16" s="37"/>
      <c r="C16" s="37" t="s">
        <v>105</v>
      </c>
      <c r="D16" s="40" t="s">
        <v>165</v>
      </c>
      <c r="E16" s="41" t="s">
        <v>134</v>
      </c>
      <c r="F16" s="145" t="s">
        <v>147</v>
      </c>
      <c r="G16" s="145" t="s">
        <v>319</v>
      </c>
      <c r="H16" s="145" t="s">
        <v>365</v>
      </c>
      <c r="I16" s="37"/>
      <c r="J16" s="37" t="s">
        <v>105</v>
      </c>
      <c r="K16" s="40" t="s">
        <v>165</v>
      </c>
      <c r="L16" s="41" t="s">
        <v>134</v>
      </c>
      <c r="M16" s="145" t="s">
        <v>147</v>
      </c>
      <c r="N16" s="145" t="s">
        <v>319</v>
      </c>
      <c r="O16" s="145" t="s">
        <v>365</v>
      </c>
      <c r="P16" s="37"/>
      <c r="Q16" s="37" t="s">
        <v>105</v>
      </c>
      <c r="R16" s="40" t="s">
        <v>165</v>
      </c>
      <c r="S16" s="41" t="s">
        <v>134</v>
      </c>
      <c r="T16" s="145" t="s">
        <v>147</v>
      </c>
      <c r="U16" s="145" t="s">
        <v>319</v>
      </c>
      <c r="V16" s="145" t="s">
        <v>365</v>
      </c>
      <c r="W16" s="145"/>
      <c r="X16" s="37"/>
      <c r="Y16" s="37" t="s">
        <v>105</v>
      </c>
      <c r="Z16" s="40" t="s">
        <v>148</v>
      </c>
      <c r="AA16" s="41" t="s">
        <v>134</v>
      </c>
      <c r="AB16" s="145" t="s">
        <v>147</v>
      </c>
      <c r="AD16" s="37"/>
      <c r="AE16" s="37"/>
      <c r="AF16" s="37" t="s">
        <v>105</v>
      </c>
      <c r="AG16" s="40" t="s">
        <v>148</v>
      </c>
      <c r="AH16" s="41" t="s">
        <v>134</v>
      </c>
      <c r="AI16" s="145" t="s">
        <v>147</v>
      </c>
      <c r="AK16" s="37"/>
    </row>
    <row r="17" spans="1:38" x14ac:dyDescent="0.2">
      <c r="B17" s="37"/>
      <c r="C17" s="37"/>
      <c r="D17" s="40"/>
      <c r="E17" s="41"/>
      <c r="F17" s="145"/>
      <c r="G17" s="145"/>
      <c r="H17" s="145"/>
      <c r="I17" s="37"/>
      <c r="J17" s="37"/>
      <c r="K17" s="40"/>
      <c r="L17" s="41"/>
      <c r="M17" s="145"/>
      <c r="N17" s="145"/>
      <c r="O17" s="145"/>
      <c r="P17" s="37"/>
      <c r="Q17" s="37"/>
      <c r="R17" s="40"/>
      <c r="S17" s="41"/>
      <c r="T17" s="145"/>
      <c r="U17" s="145"/>
      <c r="V17" s="145"/>
      <c r="W17" s="145"/>
      <c r="X17" s="37"/>
      <c r="Y17" s="37"/>
      <c r="Z17" s="40"/>
      <c r="AA17" s="41"/>
      <c r="AB17" s="145"/>
      <c r="AD17" s="37"/>
      <c r="AE17" s="37"/>
      <c r="AF17" s="37"/>
      <c r="AG17" s="40"/>
      <c r="AH17" s="41"/>
      <c r="AI17" s="145"/>
      <c r="AK17" s="37"/>
    </row>
    <row r="18" spans="1:38" x14ac:dyDescent="0.2">
      <c r="B18" s="33">
        <f t="shared" ref="B18:B23" si="16">B19-1</f>
        <v>2017</v>
      </c>
      <c r="C18" s="34">
        <f ca="1">'Normalized Annual Summary'!AE6</f>
        <v>1460921156.6427736</v>
      </c>
      <c r="D18" s="42">
        <f t="shared" ref="D18:D24" ca="1" si="17">C18*E18</f>
        <v>3695123.615861679</v>
      </c>
      <c r="E18" s="58">
        <f t="shared" ref="E18:E25" si="18">E19</f>
        <v>2.5293107701671921E-3</v>
      </c>
      <c r="F18" s="146">
        <f t="shared" ref="F18:F28" si="19">TREND($E$5:$E$12,$B$5:$B$12,B18)</f>
        <v>2.5416742257926856E-3</v>
      </c>
      <c r="G18" s="145"/>
      <c r="H18" s="143">
        <f t="shared" ref="H18:H24" ca="1" si="20">D18+G18</f>
        <v>3695123.615861679</v>
      </c>
      <c r="I18" s="33">
        <f t="shared" ref="I18:I23" si="21">I19-1</f>
        <v>2017</v>
      </c>
      <c r="J18" s="34">
        <f ca="1">'Normalized Annual Summary'!AP6</f>
        <v>39977486.9375185</v>
      </c>
      <c r="K18" s="42">
        <f t="shared" ref="K18:K24" ca="1" si="22">J18*L18</f>
        <v>71123.583677109447</v>
      </c>
      <c r="L18" s="58">
        <f t="shared" ref="L18:L25" si="23">L19</f>
        <v>1.7790909115490356E-3</v>
      </c>
      <c r="M18" s="146">
        <f t="shared" ref="M18:M24" si="24">TREND($L$5:$L$12,$I$5:$I$12,I18)</f>
        <v>1.6530855964620311E-3</v>
      </c>
      <c r="N18" s="65"/>
      <c r="O18" s="143">
        <f t="shared" ref="O18:O24" ca="1" si="25">K18+N18</f>
        <v>71123.583677109447</v>
      </c>
      <c r="P18" s="33">
        <f t="shared" ref="P18:P23" si="26">P19-1</f>
        <v>2017</v>
      </c>
      <c r="Q18" s="34">
        <f ca="1">'Normalized Annual Summary'!BA6</f>
        <v>113481529.61205451</v>
      </c>
      <c r="R18" s="42">
        <f t="shared" ref="R18:R24" ca="1" si="27">Q18*S18</f>
        <v>216559.6558353311</v>
      </c>
      <c r="S18" s="58">
        <f t="shared" ref="S18:S25" si="28">S19</f>
        <v>1.9083251395681502E-3</v>
      </c>
      <c r="T18" s="146">
        <f t="shared" ref="T18:T24" si="29">TREND($S$5:$S$12,$P$5:$P$12,P18)</f>
        <v>1.901022419514289E-3</v>
      </c>
      <c r="U18" s="65"/>
      <c r="V18" s="143">
        <f t="shared" ref="V18:V24" ca="1" si="30">R18+U18</f>
        <v>216559.6558353311</v>
      </c>
      <c r="W18" s="145"/>
      <c r="X18" s="33">
        <f t="shared" ref="X18:X23" si="31">X19-1</f>
        <v>2017</v>
      </c>
      <c r="Y18" s="34">
        <f>'Normalized Annual Summary'!BI6</f>
        <v>19787895.879999999</v>
      </c>
      <c r="Z18" s="42">
        <f t="shared" ref="Z18:Z24" si="32">Y18*AA18</f>
        <v>55479.702478515675</v>
      </c>
      <c r="AA18" s="58">
        <f t="shared" ref="AA18:AA25" si="33">AA19</f>
        <v>2.8037191430034794E-3</v>
      </c>
      <c r="AB18" s="43">
        <f t="shared" ref="AB18:AB24" si="34">TREND($AB$7:$AB$12,$X$7:$X$12,X18)</f>
        <v>2.8051842914048122E-3</v>
      </c>
      <c r="AD18" s="37"/>
      <c r="AE18" s="33">
        <f t="shared" ref="AE18:AE23" si="35">AE19-1</f>
        <v>2017</v>
      </c>
      <c r="AF18" s="34">
        <f>'Normalized Annual Summary'!BO6</f>
        <v>580140.85</v>
      </c>
      <c r="AG18" s="42">
        <f t="shared" ref="AG18:AG24" si="36">AF18*AH18</f>
        <v>1572.7870112813948</v>
      </c>
      <c r="AH18" s="58">
        <f t="shared" ref="AH18:AH25" si="37">AH19</f>
        <v>2.7110433807262407E-3</v>
      </c>
      <c r="AI18" s="43">
        <f t="shared" ref="AI18:AI24" si="38">TREND($AI$7:$AI$12,$AE$7:$AE$12,AE18)</f>
        <v>2.7124674399025897E-3</v>
      </c>
      <c r="AK18" s="33">
        <f>AE18</f>
        <v>2017</v>
      </c>
      <c r="AL18" s="34">
        <f t="shared" ref="AL18:AL25" si="39">AL5</f>
        <v>157800</v>
      </c>
    </row>
    <row r="19" spans="1:38" x14ac:dyDescent="0.2">
      <c r="B19" s="33">
        <f t="shared" si="16"/>
        <v>2018</v>
      </c>
      <c r="C19" s="34">
        <f ca="1">'Normalized Annual Summary'!AE7</f>
        <v>1447665377.1442058</v>
      </c>
      <c r="D19" s="42">
        <f t="shared" ca="1" si="17"/>
        <v>3661595.6300089899</v>
      </c>
      <c r="E19" s="58">
        <f t="shared" si="18"/>
        <v>2.5293107701671921E-3</v>
      </c>
      <c r="F19" s="146">
        <f t="shared" si="19"/>
        <v>2.5384761322124871E-3</v>
      </c>
      <c r="G19" s="145"/>
      <c r="H19" s="143">
        <f t="shared" ca="1" si="20"/>
        <v>3661595.6300089899</v>
      </c>
      <c r="I19" s="33">
        <f t="shared" si="21"/>
        <v>2018</v>
      </c>
      <c r="J19" s="34">
        <f ca="1">'Normalized Annual Summary'!AP7</f>
        <v>39384599.600036442</v>
      </c>
      <c r="K19" s="42">
        <f t="shared" ca="1" si="22"/>
        <v>70068.783203422616</v>
      </c>
      <c r="L19" s="58">
        <f t="shared" si="23"/>
        <v>1.7790909115490356E-3</v>
      </c>
      <c r="M19" s="146">
        <f t="shared" si="24"/>
        <v>1.672320952532079E-3</v>
      </c>
      <c r="N19" s="65"/>
      <c r="O19" s="143">
        <f t="shared" ca="1" si="25"/>
        <v>70068.783203422616</v>
      </c>
      <c r="P19" s="33">
        <f t="shared" si="26"/>
        <v>2018</v>
      </c>
      <c r="Q19" s="34">
        <f ca="1">'Normalized Annual Summary'!BA7</f>
        <v>114191245.30191974</v>
      </c>
      <c r="R19" s="42">
        <f t="shared" ca="1" si="27"/>
        <v>217914.02412824688</v>
      </c>
      <c r="S19" s="58">
        <f t="shared" si="28"/>
        <v>1.9083251395681502E-3</v>
      </c>
      <c r="T19" s="146">
        <f t="shared" si="29"/>
        <v>1.9020536260345602E-3</v>
      </c>
      <c r="U19" s="65"/>
      <c r="V19" s="143">
        <f t="shared" ca="1" si="30"/>
        <v>217914.02412824688</v>
      </c>
      <c r="W19" s="145"/>
      <c r="X19" s="33">
        <f t="shared" si="31"/>
        <v>2018</v>
      </c>
      <c r="Y19" s="34">
        <f>'Normalized Annual Summary'!BI7</f>
        <v>17086178.68</v>
      </c>
      <c r="Z19" s="42">
        <f t="shared" si="32"/>
        <v>47904.846245893918</v>
      </c>
      <c r="AA19" s="58">
        <f t="shared" si="33"/>
        <v>2.8037191430034794E-3</v>
      </c>
      <c r="AB19" s="43">
        <f t="shared" si="34"/>
        <v>2.804696110989411E-3</v>
      </c>
      <c r="AD19" s="37"/>
      <c r="AE19" s="33">
        <f t="shared" si="35"/>
        <v>2018</v>
      </c>
      <c r="AF19" s="34">
        <f>'Normalized Annual Summary'!BO7</f>
        <v>548884.51</v>
      </c>
      <c r="AG19" s="42">
        <f t="shared" si="36"/>
        <v>1488.0497176186661</v>
      </c>
      <c r="AH19" s="58">
        <f t="shared" si="37"/>
        <v>2.7110433807262407E-3</v>
      </c>
      <c r="AI19" s="43">
        <f t="shared" si="38"/>
        <v>2.7117237850944648E-3</v>
      </c>
      <c r="AK19" s="33">
        <f t="shared" ref="AK19:AK28" si="40">AE19</f>
        <v>2018</v>
      </c>
      <c r="AL19" s="34">
        <f t="shared" si="39"/>
        <v>172800</v>
      </c>
    </row>
    <row r="20" spans="1:38" x14ac:dyDescent="0.2">
      <c r="B20" s="33">
        <f t="shared" si="16"/>
        <v>2019</v>
      </c>
      <c r="C20" s="34">
        <f ca="1">'Normalized Annual Summary'!AE8</f>
        <v>1446120833.6430993</v>
      </c>
      <c r="D20" s="42">
        <f t="shared" ca="1" si="17"/>
        <v>3657688.9994966495</v>
      </c>
      <c r="E20" s="58">
        <f t="shared" si="18"/>
        <v>2.5293107701671921E-3</v>
      </c>
      <c r="F20" s="146">
        <f t="shared" si="19"/>
        <v>2.5352780386322885E-3</v>
      </c>
      <c r="G20" s="145"/>
      <c r="H20" s="143">
        <f t="shared" ca="1" si="20"/>
        <v>3657688.9994966495</v>
      </c>
      <c r="I20" s="33">
        <f t="shared" si="21"/>
        <v>2019</v>
      </c>
      <c r="J20" s="34">
        <f ca="1">'Normalized Annual Summary'!AP8</f>
        <v>39552187.09573853</v>
      </c>
      <c r="K20" s="42">
        <f t="shared" ca="1" si="22"/>
        <v>70366.936593915467</v>
      </c>
      <c r="L20" s="58">
        <f t="shared" si="23"/>
        <v>1.7790909115490356E-3</v>
      </c>
      <c r="M20" s="146">
        <f t="shared" si="24"/>
        <v>1.6915563086021199E-3</v>
      </c>
      <c r="N20" s="65"/>
      <c r="O20" s="143">
        <f t="shared" ca="1" si="25"/>
        <v>70366.936593915467</v>
      </c>
      <c r="P20" s="33">
        <f t="shared" si="26"/>
        <v>2019</v>
      </c>
      <c r="Q20" s="34">
        <f ca="1">'Normalized Annual Summary'!BA8</f>
        <v>114739116.42980778</v>
      </c>
      <c r="R20" s="42">
        <f t="shared" ca="1" si="27"/>
        <v>218959.54037483918</v>
      </c>
      <c r="S20" s="58">
        <f t="shared" si="28"/>
        <v>1.9083251395681502E-3</v>
      </c>
      <c r="T20" s="146">
        <f t="shared" si="29"/>
        <v>1.9030848325548315E-3</v>
      </c>
      <c r="U20" s="65"/>
      <c r="V20" s="143">
        <f t="shared" ca="1" si="30"/>
        <v>218959.54037483918</v>
      </c>
      <c r="W20" s="145"/>
      <c r="X20" s="33">
        <f t="shared" si="31"/>
        <v>2019</v>
      </c>
      <c r="Y20" s="34">
        <f>'Normalized Annual Summary'!BI8</f>
        <v>16623912.16</v>
      </c>
      <c r="Z20" s="42">
        <f t="shared" si="32"/>
        <v>46608.780754600317</v>
      </c>
      <c r="AA20" s="58">
        <f t="shared" si="33"/>
        <v>2.8037191430034794E-3</v>
      </c>
      <c r="AB20" s="43">
        <f t="shared" si="34"/>
        <v>2.8042079305740089E-3</v>
      </c>
      <c r="AD20" s="37"/>
      <c r="AE20" s="33">
        <f t="shared" si="35"/>
        <v>2019</v>
      </c>
      <c r="AF20" s="34">
        <f>'Normalized Annual Summary'!BO8</f>
        <v>541071.94000000006</v>
      </c>
      <c r="AG20" s="42">
        <f t="shared" si="36"/>
        <v>1466.8695014337059</v>
      </c>
      <c r="AH20" s="58">
        <f t="shared" si="37"/>
        <v>2.7110433807262407E-3</v>
      </c>
      <c r="AI20" s="43">
        <f t="shared" si="38"/>
        <v>2.7109801302863399E-3</v>
      </c>
      <c r="AK20" s="33">
        <f t="shared" si="40"/>
        <v>2019</v>
      </c>
      <c r="AL20" s="34">
        <f t="shared" si="39"/>
        <v>172800</v>
      </c>
    </row>
    <row r="21" spans="1:38" x14ac:dyDescent="0.2">
      <c r="B21" s="33">
        <f t="shared" si="16"/>
        <v>2020</v>
      </c>
      <c r="C21" s="34">
        <f ca="1">'Normalized Annual Summary'!AE9</f>
        <v>1362423855.1985421</v>
      </c>
      <c r="D21" s="42">
        <f t="shared" ca="1" si="17"/>
        <v>3445993.3304863796</v>
      </c>
      <c r="E21" s="58">
        <f t="shared" si="18"/>
        <v>2.5293107701671921E-3</v>
      </c>
      <c r="F21" s="146">
        <f t="shared" si="19"/>
        <v>2.53207994505209E-3</v>
      </c>
      <c r="G21" s="145"/>
      <c r="H21" s="143">
        <f t="shared" ca="1" si="20"/>
        <v>3445993.3304863796</v>
      </c>
      <c r="I21" s="33">
        <f t="shared" si="21"/>
        <v>2020</v>
      </c>
      <c r="J21" s="34">
        <f ca="1">'Normalized Annual Summary'!AP9</f>
        <v>39552187.09573853</v>
      </c>
      <c r="K21" s="42">
        <f t="shared" ca="1" si="22"/>
        <v>70366.936593915467</v>
      </c>
      <c r="L21" s="58">
        <f t="shared" si="23"/>
        <v>1.7790909115490356E-3</v>
      </c>
      <c r="M21" s="146">
        <f t="shared" si="24"/>
        <v>1.7107916646721677E-3</v>
      </c>
      <c r="N21" s="65"/>
      <c r="O21" s="143">
        <f t="shared" ca="1" si="25"/>
        <v>70366.936593915467</v>
      </c>
      <c r="P21" s="33">
        <f t="shared" si="26"/>
        <v>2020</v>
      </c>
      <c r="Q21" s="34">
        <f ca="1">'Normalized Annual Summary'!BA9</f>
        <v>111444173.04466911</v>
      </c>
      <c r="R21" s="42">
        <f t="shared" ca="1" si="27"/>
        <v>212671.71707952526</v>
      </c>
      <c r="S21" s="58">
        <f t="shared" si="28"/>
        <v>1.9083251395681502E-3</v>
      </c>
      <c r="T21" s="146">
        <f t="shared" si="29"/>
        <v>1.9041160390751027E-3</v>
      </c>
      <c r="U21" s="65"/>
      <c r="V21" s="143">
        <f t="shared" ca="1" si="30"/>
        <v>212671.71707952526</v>
      </c>
      <c r="W21" s="145"/>
      <c r="X21" s="33">
        <f t="shared" si="31"/>
        <v>2020</v>
      </c>
      <c r="Y21" s="34">
        <f>'Normalized Annual Summary'!BI9</f>
        <v>16908317.240000002</v>
      </c>
      <c r="Z21" s="42">
        <f t="shared" si="32"/>
        <v>47406.17272176376</v>
      </c>
      <c r="AA21" s="58">
        <f t="shared" si="33"/>
        <v>2.8037191430034794E-3</v>
      </c>
      <c r="AB21" s="43">
        <f t="shared" si="34"/>
        <v>2.8037197501586076E-3</v>
      </c>
      <c r="AD21" s="37"/>
      <c r="AE21" s="33">
        <f t="shared" si="35"/>
        <v>2020</v>
      </c>
      <c r="AF21" s="34">
        <f>'Normalized Annual Summary'!BO9</f>
        <v>535957.61</v>
      </c>
      <c r="AG21" s="42">
        <f t="shared" si="36"/>
        <v>1453.0043309403559</v>
      </c>
      <c r="AH21" s="58">
        <f t="shared" si="37"/>
        <v>2.7110433807262407E-3</v>
      </c>
      <c r="AI21" s="43">
        <f t="shared" si="38"/>
        <v>2.7102364754782154E-3</v>
      </c>
      <c r="AK21" s="33">
        <f t="shared" si="40"/>
        <v>2020</v>
      </c>
      <c r="AL21" s="34">
        <f t="shared" si="39"/>
        <v>182800</v>
      </c>
    </row>
    <row r="22" spans="1:38" x14ac:dyDescent="0.2">
      <c r="B22" s="33">
        <f t="shared" si="16"/>
        <v>2021</v>
      </c>
      <c r="C22" s="34">
        <f ca="1">'Normalized Annual Summary'!AE10</f>
        <v>1377901964.5287857</v>
      </c>
      <c r="D22" s="42">
        <f t="shared" ca="1" si="17"/>
        <v>3485142.2791171898</v>
      </c>
      <c r="E22" s="58">
        <f t="shared" si="18"/>
        <v>2.5293107701671921E-3</v>
      </c>
      <c r="F22" s="146">
        <f t="shared" si="19"/>
        <v>2.5288818514718914E-3</v>
      </c>
      <c r="G22" s="145"/>
      <c r="H22" s="143">
        <f t="shared" ca="1" si="20"/>
        <v>3485142.2791171898</v>
      </c>
      <c r="I22" s="33">
        <f t="shared" si="21"/>
        <v>2021</v>
      </c>
      <c r="J22" s="34">
        <f ca="1">'Normalized Annual Summary'!AP10</f>
        <v>39053489.682919137</v>
      </c>
      <c r="K22" s="42">
        <f t="shared" ca="1" si="22"/>
        <v>69479.708559155464</v>
      </c>
      <c r="L22" s="58">
        <f t="shared" si="23"/>
        <v>1.7790909115490356E-3</v>
      </c>
      <c r="M22" s="146">
        <f t="shared" si="24"/>
        <v>1.7300270207422155E-3</v>
      </c>
      <c r="N22" s="65"/>
      <c r="O22" s="143">
        <f t="shared" ca="1" si="25"/>
        <v>69479.708559155464</v>
      </c>
      <c r="P22" s="33">
        <f t="shared" si="26"/>
        <v>2021</v>
      </c>
      <c r="Q22" s="34">
        <f ca="1">'Normalized Annual Summary'!BA10</f>
        <v>107055975.79303724</v>
      </c>
      <c r="R22" s="42">
        <f t="shared" ca="1" si="27"/>
        <v>204297.60994685229</v>
      </c>
      <c r="S22" s="58">
        <f t="shared" si="28"/>
        <v>1.9083251395681502E-3</v>
      </c>
      <c r="T22" s="146">
        <f t="shared" si="29"/>
        <v>1.9051472455953739E-3</v>
      </c>
      <c r="U22" s="65"/>
      <c r="V22" s="143">
        <f t="shared" ca="1" si="30"/>
        <v>204297.60994685229</v>
      </c>
      <c r="W22" s="145"/>
      <c r="X22" s="33">
        <f t="shared" si="31"/>
        <v>2021</v>
      </c>
      <c r="Y22" s="34">
        <f>'Normalized Annual Summary'!BI10</f>
        <v>16882808.740000002</v>
      </c>
      <c r="Z22" s="42">
        <f t="shared" si="32"/>
        <v>47334.654052004458</v>
      </c>
      <c r="AA22" s="58">
        <f t="shared" si="33"/>
        <v>2.8037191430034794E-3</v>
      </c>
      <c r="AB22" s="43">
        <f t="shared" si="34"/>
        <v>2.8032315697432064E-3</v>
      </c>
      <c r="AD22" s="37"/>
      <c r="AE22" s="33">
        <f t="shared" si="35"/>
        <v>2021</v>
      </c>
      <c r="AF22" s="34">
        <f>'Normalized Annual Summary'!BO10</f>
        <v>528905.92999999993</v>
      </c>
      <c r="AG22" s="42">
        <f t="shared" si="36"/>
        <v>1433.8869205533563</v>
      </c>
      <c r="AH22" s="58">
        <f t="shared" si="37"/>
        <v>2.7110433807262407E-3</v>
      </c>
      <c r="AI22" s="43">
        <f t="shared" si="38"/>
        <v>2.70949282067009E-3</v>
      </c>
      <c r="AK22" s="33">
        <f t="shared" si="40"/>
        <v>2021</v>
      </c>
      <c r="AL22" s="34">
        <f t="shared" si="39"/>
        <v>194300</v>
      </c>
    </row>
    <row r="23" spans="1:38" x14ac:dyDescent="0.2">
      <c r="B23" s="33">
        <f t="shared" si="16"/>
        <v>2022</v>
      </c>
      <c r="C23" s="34">
        <f ca="1">'Normalized Annual Summary'!AE11</f>
        <v>1414588522.1963594</v>
      </c>
      <c r="D23" s="42">
        <f t="shared" ca="1" si="17"/>
        <v>3577933.984546144</v>
      </c>
      <c r="E23" s="58">
        <f t="shared" si="18"/>
        <v>2.5293107701671921E-3</v>
      </c>
      <c r="F23" s="146">
        <f t="shared" si="19"/>
        <v>2.5256837578916929E-3</v>
      </c>
      <c r="G23" s="145"/>
      <c r="H23" s="143">
        <f t="shared" ca="1" si="20"/>
        <v>3577933.984546144</v>
      </c>
      <c r="I23" s="33">
        <f t="shared" si="21"/>
        <v>2022</v>
      </c>
      <c r="J23" s="34">
        <f ca="1">'Normalized Annual Summary'!AP11</f>
        <v>38903855.218442559</v>
      </c>
      <c r="K23" s="42">
        <f t="shared" ca="1" si="22"/>
        <v>69213.495243350684</v>
      </c>
      <c r="L23" s="58">
        <f t="shared" si="23"/>
        <v>1.7790909115490356E-3</v>
      </c>
      <c r="M23" s="146">
        <f t="shared" si="24"/>
        <v>1.7492623768122634E-3</v>
      </c>
      <c r="N23" s="65"/>
      <c r="O23" s="143">
        <f t="shared" ca="1" si="25"/>
        <v>69213.495243350684</v>
      </c>
      <c r="P23" s="33">
        <f t="shared" si="26"/>
        <v>2022</v>
      </c>
      <c r="Q23" s="34">
        <f ca="1">'Normalized Annual Summary'!BA11</f>
        <v>116072684.56069532</v>
      </c>
      <c r="R23" s="42">
        <f t="shared" ca="1" si="27"/>
        <v>221504.42196433878</v>
      </c>
      <c r="S23" s="58">
        <f t="shared" si="28"/>
        <v>1.9083251395681502E-3</v>
      </c>
      <c r="T23" s="146">
        <f t="shared" si="29"/>
        <v>1.9061784521156452E-3</v>
      </c>
      <c r="U23" s="65"/>
      <c r="V23" s="143">
        <f t="shared" ca="1" si="30"/>
        <v>221504.42196433878</v>
      </c>
      <c r="W23" s="145"/>
      <c r="X23" s="33">
        <f t="shared" si="31"/>
        <v>2022</v>
      </c>
      <c r="Y23" s="34">
        <f>'Normalized Annual Summary'!BI11</f>
        <v>17000378.439999998</v>
      </c>
      <c r="Z23" s="42">
        <f t="shared" si="32"/>
        <v>47664.286470531624</v>
      </c>
      <c r="AA23" s="58">
        <f t="shared" si="33"/>
        <v>2.8037191430034794E-3</v>
      </c>
      <c r="AB23" s="43">
        <f t="shared" si="34"/>
        <v>2.8027433893278047E-3</v>
      </c>
      <c r="AD23" s="37"/>
      <c r="AE23" s="33">
        <f t="shared" si="35"/>
        <v>2022</v>
      </c>
      <c r="AF23" s="34">
        <f>'Normalized Annual Summary'!BO11</f>
        <v>527895.42999999993</v>
      </c>
      <c r="AG23" s="42">
        <f t="shared" si="36"/>
        <v>1431.1474112171325</v>
      </c>
      <c r="AH23" s="58">
        <f t="shared" si="37"/>
        <v>2.7110433807262407E-3</v>
      </c>
      <c r="AI23" s="43">
        <f t="shared" si="38"/>
        <v>2.7087491658619655E-3</v>
      </c>
      <c r="AK23" s="33">
        <f t="shared" si="40"/>
        <v>2022</v>
      </c>
      <c r="AL23" s="34">
        <f t="shared" si="39"/>
        <v>196800</v>
      </c>
    </row>
    <row r="24" spans="1:38" x14ac:dyDescent="0.2">
      <c r="B24" s="33">
        <f>B25-1</f>
        <v>2023</v>
      </c>
      <c r="C24" s="34">
        <f ca="1">'Normalized Annual Summary'!AE12</f>
        <v>1448431692.7956667</v>
      </c>
      <c r="D24" s="42">
        <f t="shared" ca="1" si="17"/>
        <v>3663533.8804395776</v>
      </c>
      <c r="E24" s="58">
        <f t="shared" si="18"/>
        <v>2.5293107701671921E-3</v>
      </c>
      <c r="F24" s="146">
        <f t="shared" si="19"/>
        <v>2.5224856643114952E-3</v>
      </c>
      <c r="G24" s="145"/>
      <c r="H24" s="143">
        <f t="shared" ca="1" si="20"/>
        <v>3663533.8804395776</v>
      </c>
      <c r="I24" s="33">
        <f>I25-1</f>
        <v>2023</v>
      </c>
      <c r="J24" s="34">
        <f ca="1">'Normalized Annual Summary'!AP12</f>
        <v>38818620.238137618</v>
      </c>
      <c r="K24" s="42">
        <f t="shared" ca="1" si="22"/>
        <v>69061.8544645441</v>
      </c>
      <c r="L24" s="58">
        <f t="shared" si="23"/>
        <v>1.7790909115490356E-3</v>
      </c>
      <c r="M24" s="146">
        <f t="shared" si="24"/>
        <v>1.7684977328823112E-3</v>
      </c>
      <c r="N24" s="65"/>
      <c r="O24" s="143">
        <f t="shared" ca="1" si="25"/>
        <v>69061.8544645441</v>
      </c>
      <c r="P24" s="33">
        <f>P25-1</f>
        <v>2023</v>
      </c>
      <c r="Q24" s="34">
        <f ca="1">'Normalized Annual Summary'!BA12</f>
        <v>152587731.25359842</v>
      </c>
      <c r="R24" s="42">
        <f t="shared" ca="1" si="27"/>
        <v>291187.00354091061</v>
      </c>
      <c r="S24" s="58">
        <f t="shared" si="28"/>
        <v>1.9083251395681502E-3</v>
      </c>
      <c r="T24" s="146">
        <f t="shared" si="29"/>
        <v>1.9072096586359164E-3</v>
      </c>
      <c r="U24" s="65"/>
      <c r="V24" s="143">
        <f t="shared" ca="1" si="30"/>
        <v>291187.00354091061</v>
      </c>
      <c r="W24" s="145"/>
      <c r="X24" s="33">
        <f>X25-1</f>
        <v>2023</v>
      </c>
      <c r="Y24" s="34">
        <f>'Normalized Annual Summary'!BI12</f>
        <v>17184523.530000001</v>
      </c>
      <c r="Z24" s="42">
        <f t="shared" si="32"/>
        <v>48180.577584454732</v>
      </c>
      <c r="AA24" s="58">
        <f t="shared" si="33"/>
        <v>2.8037191430034794E-3</v>
      </c>
      <c r="AB24" s="43">
        <f t="shared" si="34"/>
        <v>2.802255208912403E-3</v>
      </c>
      <c r="AD24" s="37"/>
      <c r="AE24" s="33">
        <f>AE25-1</f>
        <v>2023</v>
      </c>
      <c r="AF24" s="34">
        <f>'Normalized Annual Summary'!BO12</f>
        <v>522310.9499999999</v>
      </c>
      <c r="AG24" s="42">
        <f t="shared" si="36"/>
        <v>1416.0076436783343</v>
      </c>
      <c r="AH24" s="58">
        <f t="shared" si="37"/>
        <v>2.7110433807262407E-3</v>
      </c>
      <c r="AI24" s="43">
        <f t="shared" si="38"/>
        <v>2.7080055110538406E-3</v>
      </c>
      <c r="AK24" s="33">
        <f t="shared" si="40"/>
        <v>2023</v>
      </c>
      <c r="AL24" s="34">
        <f t="shared" si="39"/>
        <v>196800</v>
      </c>
    </row>
    <row r="25" spans="1:38" x14ac:dyDescent="0.2">
      <c r="B25" s="33">
        <v>2024</v>
      </c>
      <c r="C25" s="34">
        <f ca="1">'Normalized Annual Summary'!AE13</f>
        <v>1451250320.6998665</v>
      </c>
      <c r="D25" s="42">
        <f ca="1">C25*E25</f>
        <v>3670663.0663547637</v>
      </c>
      <c r="E25" s="58">
        <f t="shared" si="18"/>
        <v>2.5293107701671921E-3</v>
      </c>
      <c r="F25" s="146">
        <f t="shared" si="19"/>
        <v>2.5192875707312967E-3</v>
      </c>
      <c r="G25" s="65"/>
      <c r="H25" s="143">
        <f ca="1">D25+G25</f>
        <v>3670663.0663547637</v>
      </c>
      <c r="I25" s="33">
        <v>2024</v>
      </c>
      <c r="J25" s="34">
        <f ca="1">'Normalized Annual Summary'!AP13</f>
        <v>39077483.95878993</v>
      </c>
      <c r="K25" s="42">
        <f ca="1">J25*L25</f>
        <v>69522.396557286396</v>
      </c>
      <c r="L25" s="58">
        <f t="shared" si="23"/>
        <v>1.7790909115490356E-3</v>
      </c>
      <c r="M25" s="146">
        <f>TREND($L$5:$L$12,$I$5:$I$12,I25)</f>
        <v>1.7877330889523591E-3</v>
      </c>
      <c r="N25" s="65"/>
      <c r="O25" s="143">
        <f ca="1">K25+N25</f>
        <v>69522.396557286396</v>
      </c>
      <c r="P25" s="33">
        <v>2024</v>
      </c>
      <c r="Q25" s="34">
        <f ca="1">'Normalized Annual Summary'!BA13</f>
        <v>155170965.42946401</v>
      </c>
      <c r="R25" s="42">
        <f ca="1">Q25*S25</f>
        <v>296116.6542601065</v>
      </c>
      <c r="S25" s="58">
        <f t="shared" si="28"/>
        <v>1.9083251395681502E-3</v>
      </c>
      <c r="T25" s="146">
        <f>TREND($S$5:$S$12,$P$5:$P$12,P25)</f>
        <v>1.9082408651561876E-3</v>
      </c>
      <c r="U25" s="65"/>
      <c r="V25" s="143">
        <f ca="1">R25+U25</f>
        <v>296116.6542601065</v>
      </c>
      <c r="W25" s="143"/>
      <c r="X25" s="33">
        <v>2024</v>
      </c>
      <c r="Y25" s="34">
        <f>'Normalized Annual Summary'!BI13</f>
        <v>17401184.109999996</v>
      </c>
      <c r="Z25" s="42">
        <f>Y25*AA25</f>
        <v>48788.03300013495</v>
      </c>
      <c r="AA25" s="58">
        <f t="shared" si="33"/>
        <v>2.8037191430034794E-3</v>
      </c>
      <c r="AB25" s="43">
        <f>TREND($AB$7:$AB$12,$X$7:$X$12,X25)</f>
        <v>2.8017670284970018E-3</v>
      </c>
      <c r="AD25" s="37"/>
      <c r="AE25" s="33">
        <v>2024</v>
      </c>
      <c r="AF25" s="34">
        <f>'Normalized Annual Summary'!BO13</f>
        <v>512976.02999999985</v>
      </c>
      <c r="AG25" s="42">
        <f>AF25*AH25</f>
        <v>1390.7002706027251</v>
      </c>
      <c r="AH25" s="58">
        <f t="shared" si="37"/>
        <v>2.7110433807262407E-3</v>
      </c>
      <c r="AI25" s="43">
        <f>TREND($AI$7:$AI$12,$AE$7:$AE$12,AE25)</f>
        <v>2.7072618562457157E-3</v>
      </c>
      <c r="AK25" s="33">
        <f t="shared" si="40"/>
        <v>2024</v>
      </c>
      <c r="AL25" s="34">
        <f t="shared" si="39"/>
        <v>196800</v>
      </c>
    </row>
    <row r="26" spans="1:38" x14ac:dyDescent="0.2">
      <c r="B26" s="33">
        <f>B25+1</f>
        <v>2025</v>
      </c>
      <c r="C26" s="34">
        <f ca="1">'Normalized Annual Summary'!AE14</f>
        <v>1443641787.7192645</v>
      </c>
      <c r="D26" s="42">
        <f ca="1">C26*E26</f>
        <v>3651418.7219417547</v>
      </c>
      <c r="E26" s="58">
        <f>E27</f>
        <v>2.5293107701671921E-3</v>
      </c>
      <c r="F26" s="146">
        <f t="shared" si="19"/>
        <v>2.5160894771510981E-3</v>
      </c>
      <c r="G26" s="144"/>
      <c r="H26" s="143">
        <f ca="1">D26+G26</f>
        <v>3651418.7219417547</v>
      </c>
      <c r="I26" s="33">
        <f>I25+1</f>
        <v>2025</v>
      </c>
      <c r="J26" s="34">
        <f ca="1">'Normalized Annual Summary'!AP14</f>
        <v>38597063.927945428</v>
      </c>
      <c r="K26" s="42">
        <f ca="1">J26*L26</f>
        <v>68667.685646684826</v>
      </c>
      <c r="L26" s="58">
        <f>L27</f>
        <v>1.7790909115490356E-3</v>
      </c>
      <c r="M26" s="146">
        <f>TREND($L$5:$L$12,$I$5:$I$12,I26)</f>
        <v>1.8069684450224069E-3</v>
      </c>
      <c r="N26" s="144"/>
      <c r="O26" s="143">
        <f ca="1">K26+N26</f>
        <v>68667.685646684826</v>
      </c>
      <c r="P26" s="33">
        <f>P25+1</f>
        <v>2025</v>
      </c>
      <c r="Q26" s="34">
        <f ca="1">'Normalized Annual Summary'!BA14</f>
        <v>156728297.84381855</v>
      </c>
      <c r="R26" s="42">
        <f ca="1">Q26*S26</f>
        <v>299088.55085708364</v>
      </c>
      <c r="S26" s="58">
        <f>S27</f>
        <v>1.9083251395681502E-3</v>
      </c>
      <c r="T26" s="146">
        <f>TREND($S$5:$S$12,$P$5:$P$12,P26)</f>
        <v>1.9092720716764589E-3</v>
      </c>
      <c r="U26" s="144"/>
      <c r="V26" s="143">
        <f ca="1">R26+U26</f>
        <v>299088.55085708364</v>
      </c>
      <c r="W26" s="143"/>
      <c r="X26" s="33">
        <f>X25+1</f>
        <v>2025</v>
      </c>
      <c r="Y26" s="34">
        <f>'Normalized Annual Summary'!BI14</f>
        <v>17445300.079999998</v>
      </c>
      <c r="Z26" s="42">
        <f>Y26*AA26</f>
        <v>48911.721789736126</v>
      </c>
      <c r="AA26" s="58">
        <f>AA27</f>
        <v>2.8037191430034794E-3</v>
      </c>
      <c r="AB26" s="43">
        <f>TREND($AB$7:$AB$12,$X$7:$X$12,X26)</f>
        <v>2.8012788480816001E-3</v>
      </c>
      <c r="AD26" s="33"/>
      <c r="AE26" s="33">
        <f>AE25+1</f>
        <v>2025</v>
      </c>
      <c r="AF26" s="34">
        <f>'Normalized Annual Summary'!BO14</f>
        <v>506226.38999999996</v>
      </c>
      <c r="AG26" s="42">
        <f>AF26*AH26</f>
        <v>1372.4017037584404</v>
      </c>
      <c r="AH26" s="58">
        <f>AH27</f>
        <v>2.7110433807262407E-3</v>
      </c>
      <c r="AI26" s="43">
        <f>TREND($AI$7:$AI$12,$AE$7:$AE$12,AE26)</f>
        <v>2.7065182014375908E-3</v>
      </c>
      <c r="AK26" s="33">
        <f t="shared" si="40"/>
        <v>2025</v>
      </c>
      <c r="AL26" s="34">
        <f>AL12</f>
        <v>196800</v>
      </c>
    </row>
    <row r="27" spans="1:38" x14ac:dyDescent="0.2">
      <c r="B27" s="33">
        <f>B26+1</f>
        <v>2026</v>
      </c>
      <c r="C27" s="34">
        <f ca="1">'Normalized Annual Summary'!AE15</f>
        <v>1453986684.1174803</v>
      </c>
      <c r="D27" s="42">
        <f ca="1">C27*E27</f>
        <v>3677584.1798180258</v>
      </c>
      <c r="E27" s="58">
        <f>AVERAGE(E5:E13)</f>
        <v>2.5293107701671921E-3</v>
      </c>
      <c r="F27" s="146">
        <f t="shared" si="19"/>
        <v>2.5128913835708996E-3</v>
      </c>
      <c r="G27" s="144">
        <f>'Total Additional-Lost Loads'!H24</f>
        <v>2776.7496298319866</v>
      </c>
      <c r="H27" s="143">
        <f ca="1">D27+G27</f>
        <v>3680360.9294478577</v>
      </c>
      <c r="I27" s="33">
        <f>I26+1</f>
        <v>2026</v>
      </c>
      <c r="J27" s="34">
        <f ca="1">'Normalized Annual Summary'!AP15</f>
        <v>38607642.697028317</v>
      </c>
      <c r="K27" s="42">
        <f ca="1">J27*L27</f>
        <v>68686.506238615577</v>
      </c>
      <c r="L27" s="58">
        <f>AVERAGE(L5:L13)</f>
        <v>1.7790909115490356E-3</v>
      </c>
      <c r="M27" s="146">
        <f>TREND($L$5:$L$12,$I$5:$I$12,I27)</f>
        <v>1.8262038010924547E-3</v>
      </c>
      <c r="N27" s="144">
        <f>'Total Additional-Lost Loads'!H25</f>
        <v>0</v>
      </c>
      <c r="O27" s="143">
        <f ca="1">K27+N27</f>
        <v>68686.506238615577</v>
      </c>
      <c r="P27" s="33">
        <f>P26+1</f>
        <v>2026</v>
      </c>
      <c r="Q27" s="34">
        <f ca="1">'Normalized Annual Summary'!BA15</f>
        <v>159276014.93653625</v>
      </c>
      <c r="R27" s="42">
        <f ca="1">Q27*S27</f>
        <v>303950.42343362432</v>
      </c>
      <c r="S27" s="58">
        <f>AVERAGE(S5:S13)</f>
        <v>1.9083251395681502E-3</v>
      </c>
      <c r="T27" s="146">
        <f>TREND($S$5:$S$12,$P$5:$P$12,P27)</f>
        <v>1.9103032781967301E-3</v>
      </c>
      <c r="U27" s="144">
        <f>'Total Additional-Lost Loads'!H26</f>
        <v>166.30093236071093</v>
      </c>
      <c r="V27" s="143">
        <f ca="1">R27+U27</f>
        <v>304116.72436598502</v>
      </c>
      <c r="W27" s="143"/>
      <c r="X27" s="33">
        <f>X26+1</f>
        <v>2026</v>
      </c>
      <c r="Y27" s="34">
        <f>'Normalized Annual Summary'!BI15</f>
        <v>17667700.63636383</v>
      </c>
      <c r="Z27" s="42">
        <f>Y27*AA27</f>
        <v>49535.270487028029</v>
      </c>
      <c r="AA27" s="58">
        <f>AVERAGE(AA5:AA13)</f>
        <v>2.8037191430034794E-3</v>
      </c>
      <c r="AB27" s="43">
        <f>TREND($AB$7:$AB$12,$X$7:$X$12,X27)</f>
        <v>2.8007906676661984E-3</v>
      </c>
      <c r="AD27" s="33"/>
      <c r="AE27" s="33">
        <f>AE26+1</f>
        <v>2026</v>
      </c>
      <c r="AF27" s="34">
        <f>'Normalized Annual Summary'!BO15</f>
        <v>499089.74317390809</v>
      </c>
      <c r="AG27" s="42">
        <f>AF27*AH27</f>
        <v>1353.053944619983</v>
      </c>
      <c r="AH27" s="58">
        <f>AVERAGE(AH5:AH13)</f>
        <v>2.7110433807262407E-3</v>
      </c>
      <c r="AI27" s="43">
        <f>TREND($AI$7:$AI$12,$AE$7:$AE$12,AE27)</f>
        <v>2.7057745466294659E-3</v>
      </c>
      <c r="AK27" s="33">
        <f t="shared" si="40"/>
        <v>2026</v>
      </c>
      <c r="AL27" s="34">
        <f>AL26</f>
        <v>196800</v>
      </c>
    </row>
    <row r="28" spans="1:38" x14ac:dyDescent="0.2">
      <c r="B28" s="33">
        <f>B27+1</f>
        <v>2027</v>
      </c>
      <c r="C28" s="34">
        <f ca="1">'Normalized Annual Summary'!AE16</f>
        <v>1469923276.0028663</v>
      </c>
      <c r="D28" s="42">
        <f ca="1">C28*E28</f>
        <v>3717892.7733134916</v>
      </c>
      <c r="E28" s="58">
        <f>E27</f>
        <v>2.5293107701671921E-3</v>
      </c>
      <c r="F28" s="146">
        <f t="shared" si="19"/>
        <v>2.5096932899907011E-3</v>
      </c>
      <c r="G28" s="144">
        <f>'Total Additional-Lost Loads'!I24</f>
        <v>3200.4256711097696</v>
      </c>
      <c r="H28" s="143">
        <f ca="1">D28+G28</f>
        <v>3721093.1989846015</v>
      </c>
      <c r="I28" s="33">
        <f>I27+1</f>
        <v>2027</v>
      </c>
      <c r="J28" s="34">
        <f ca="1">'Normalized Annual Summary'!AP16</f>
        <v>38590419.43397297</v>
      </c>
      <c r="K28" s="42">
        <f ca="1">J28*L28</f>
        <v>68655.864487846586</v>
      </c>
      <c r="L28" s="58">
        <f>L27</f>
        <v>1.7790909115490356E-3</v>
      </c>
      <c r="M28" s="146">
        <f>TREND($L$5:$L$12,$I$5:$I$12,I28)</f>
        <v>1.8454391571625026E-3</v>
      </c>
      <c r="N28" s="144">
        <f>'Total Additional-Lost Loads'!I25</f>
        <v>0</v>
      </c>
      <c r="O28" s="143">
        <f ca="1">K28+N28</f>
        <v>68655.864487846586</v>
      </c>
      <c r="P28" s="33">
        <f>P27+1</f>
        <v>2027</v>
      </c>
      <c r="Q28" s="34">
        <f ca="1">'Normalized Annual Summary'!BA16</f>
        <v>162726272.25879267</v>
      </c>
      <c r="R28" s="42">
        <f ca="1">Q28*S28</f>
        <v>310534.63621966535</v>
      </c>
      <c r="S28" s="58">
        <f>S27</f>
        <v>1.9083251395681502E-3</v>
      </c>
      <c r="T28" s="146">
        <f>TREND($S$5:$S$12,$P$5:$P$12,P28)</f>
        <v>1.9113344847170013E-3</v>
      </c>
      <c r="U28" s="144">
        <f>'Total Additional-Lost Loads'!H26</f>
        <v>166.30093236071093</v>
      </c>
      <c r="V28" s="143">
        <f ca="1">R28+U28</f>
        <v>310700.93715202605</v>
      </c>
      <c r="W28" s="143"/>
      <c r="X28" s="33">
        <f>X27+1</f>
        <v>2027</v>
      </c>
      <c r="Y28" s="34">
        <f>'Normalized Annual Summary'!BI16</f>
        <v>17892936.455362532</v>
      </c>
      <c r="Z28" s="42">
        <f>Y28*AA28</f>
        <v>50166.768464444751</v>
      </c>
      <c r="AA28" s="58">
        <f>AA27</f>
        <v>2.8037191430034794E-3</v>
      </c>
      <c r="AB28" s="43">
        <f>TREND($AB$7:$AB$12,$X$7:$X$12,X28)</f>
        <v>2.8003024872507972E-3</v>
      </c>
      <c r="AD28" s="33"/>
      <c r="AE28" s="33">
        <f>AE27+1</f>
        <v>2027</v>
      </c>
      <c r="AF28" s="34">
        <f>'Normalized Annual Summary'!BO16</f>
        <v>492053.30695998308</v>
      </c>
      <c r="AG28" s="42">
        <f>AF28*AH28</f>
        <v>1333.9778607983192</v>
      </c>
      <c r="AH28" s="58">
        <f>AH27</f>
        <v>2.7110433807262407E-3</v>
      </c>
      <c r="AI28" s="43">
        <f>TREND($AI$7:$AI$12,$AE$7:$AE$12,AE28)</f>
        <v>2.7050308918213414E-3</v>
      </c>
      <c r="AK28" s="33">
        <f t="shared" si="40"/>
        <v>2027</v>
      </c>
      <c r="AL28" s="34">
        <f>AL27</f>
        <v>196800</v>
      </c>
    </row>
    <row r="29" spans="1:38" x14ac:dyDescent="0.2">
      <c r="C29" s="34"/>
      <c r="J29" s="34"/>
      <c r="Q29" s="34"/>
    </row>
    <row r="30" spans="1:38" x14ac:dyDescent="0.2">
      <c r="A30" s="9"/>
      <c r="B30" s="9"/>
      <c r="C30" s="50" t="s">
        <v>116</v>
      </c>
      <c r="D30" s="51" t="s">
        <v>117</v>
      </c>
      <c r="E30" s="38" t="s">
        <v>149</v>
      </c>
      <c r="F30" s="9"/>
      <c r="G30" s="9"/>
      <c r="H30" s="9"/>
      <c r="I30" s="9"/>
      <c r="J30" s="50" t="s">
        <v>116</v>
      </c>
      <c r="K30" s="51" t="s">
        <v>117</v>
      </c>
      <c r="L30" s="38" t="s">
        <v>149</v>
      </c>
      <c r="M30" s="9"/>
      <c r="N30" s="9"/>
      <c r="O30" s="9"/>
      <c r="P30" s="9"/>
      <c r="Q30" s="50" t="s">
        <v>116</v>
      </c>
      <c r="R30" s="51" t="s">
        <v>117</v>
      </c>
      <c r="S30" s="38" t="s">
        <v>149</v>
      </c>
      <c r="T30" s="9"/>
      <c r="U30" s="9"/>
      <c r="V30" s="9"/>
      <c r="W30" s="9"/>
      <c r="X30" s="9"/>
      <c r="Y30" s="50" t="s">
        <v>116</v>
      </c>
      <c r="Z30" s="51" t="s">
        <v>117</v>
      </c>
      <c r="AA30" s="38" t="s">
        <v>149</v>
      </c>
      <c r="AE30" s="9"/>
      <c r="AF30" s="50" t="s">
        <v>116</v>
      </c>
      <c r="AG30" s="51" t="s">
        <v>117</v>
      </c>
      <c r="AH30" s="38" t="s">
        <v>149</v>
      </c>
    </row>
    <row r="31" spans="1:38" x14ac:dyDescent="0.2">
      <c r="A31" s="9" t="s">
        <v>150</v>
      </c>
      <c r="B31" s="9"/>
      <c r="C31" s="52">
        <f>C13/C9-1</f>
        <v>6.1547777791864489E-2</v>
      </c>
      <c r="D31" s="52">
        <f>D13/D9-1</f>
        <v>5.9898780951827213E-2</v>
      </c>
      <c r="E31" s="53">
        <f>D31-C31</f>
        <v>-1.6489968400372756E-3</v>
      </c>
      <c r="F31" s="9"/>
      <c r="G31" s="9"/>
      <c r="H31" s="9"/>
      <c r="I31" s="9"/>
      <c r="J31" s="52">
        <f>J13/J9-1</f>
        <v>0.11916543907944366</v>
      </c>
      <c r="K31" s="52">
        <f>K13/K9-1</f>
        <v>0.3915680557002823</v>
      </c>
      <c r="L31" s="53">
        <f>K31-J31</f>
        <v>0.27240261662083864</v>
      </c>
      <c r="M31" s="9"/>
      <c r="N31" s="9"/>
      <c r="O31" s="9"/>
      <c r="P31" s="9"/>
      <c r="Q31" s="52">
        <f>Q13/Q9-1</f>
        <v>0.51517111576735397</v>
      </c>
      <c r="R31" s="52">
        <f>R13/R9-1</f>
        <v>0.59117308175233552</v>
      </c>
      <c r="S31" s="53">
        <f>R31-Q31</f>
        <v>7.6001965984981545E-2</v>
      </c>
      <c r="T31" s="9"/>
      <c r="U31" s="9"/>
      <c r="V31" s="9"/>
      <c r="W31" s="9"/>
      <c r="X31" s="9"/>
      <c r="Y31" s="52">
        <f>Y13/Y9-1</f>
        <v>3.3317402848217936E-2</v>
      </c>
      <c r="Z31" s="52">
        <f>Z13/Z9-1</f>
        <v>3.3345674587527574E-2</v>
      </c>
      <c r="AA31" s="53">
        <f>Z31-Y31</f>
        <v>2.8271739309637667E-5</v>
      </c>
      <c r="AE31" s="9"/>
      <c r="AF31" s="52">
        <f>AF13/AF9-1</f>
        <v>-4.2880101571181162E-2</v>
      </c>
      <c r="AG31" s="52">
        <f>AG13/AG9-1</f>
        <v>-4.3292006502522407E-2</v>
      </c>
      <c r="AH31" s="53">
        <f>AG31-AF31</f>
        <v>-4.1190493134124484E-4</v>
      </c>
    </row>
    <row r="32" spans="1:38" x14ac:dyDescent="0.2">
      <c r="A32" s="9" t="s">
        <v>530</v>
      </c>
      <c r="B32" s="9"/>
      <c r="C32" s="52">
        <f>C13/C5-1</f>
        <v>8.0829627629408485E-3</v>
      </c>
      <c r="D32" s="52">
        <f>D13/D5-1</f>
        <v>-7.0271421863699057E-4</v>
      </c>
      <c r="E32" s="53">
        <f>D32-C32</f>
        <v>-8.7856769815778391E-3</v>
      </c>
      <c r="F32" s="9"/>
      <c r="G32" s="9"/>
      <c r="H32" s="9"/>
      <c r="I32" s="9"/>
      <c r="J32" s="52">
        <f>J13/J5-1</f>
        <v>-0.3290529335041068</v>
      </c>
      <c r="K32" s="52">
        <f>K13/K5-1</f>
        <v>-4.687498313514693E-2</v>
      </c>
      <c r="L32" s="53">
        <f>K32-J32</f>
        <v>0.28217795036895987</v>
      </c>
      <c r="M32" s="9"/>
      <c r="N32" s="9"/>
      <c r="O32" s="9"/>
      <c r="P32" s="9"/>
      <c r="Q32" s="52">
        <f>Q13/Q5-1</f>
        <v>0.35674812105572373</v>
      </c>
      <c r="R32" s="52">
        <f>R13/R5-1</f>
        <v>0.36407985350324035</v>
      </c>
      <c r="S32" s="53">
        <f>R32-Q32</f>
        <v>7.3317324475166146E-3</v>
      </c>
      <c r="T32" s="9"/>
      <c r="U32" s="9"/>
      <c r="V32" s="9"/>
      <c r="W32" s="9"/>
      <c r="X32" s="9"/>
      <c r="Y32" s="52">
        <f>Y13/Y5-1</f>
        <v>-0.11838529039197676</v>
      </c>
      <c r="Z32" s="52">
        <f>Z13/Z5-1</f>
        <v>-0.12242901894173441</v>
      </c>
      <c r="AA32" s="53">
        <f>Z32-Y32</f>
        <v>-4.0437285497576525E-3</v>
      </c>
      <c r="AE32" s="9"/>
      <c r="AF32" s="52">
        <f>AF13/AF5-1</f>
        <v>-0.12740778381663709</v>
      </c>
      <c r="AG32" s="52">
        <f>AG13/AG5-1</f>
        <v>-0.13168143162000789</v>
      </c>
      <c r="AH32" s="53">
        <f>AG32-AF32</f>
        <v>-4.2736478033708059E-3</v>
      </c>
    </row>
    <row r="33" spans="1:47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E33" s="9"/>
      <c r="AF33" s="9"/>
      <c r="AG33" s="9"/>
      <c r="AH33" s="9"/>
    </row>
    <row r="34" spans="1:47" x14ac:dyDescent="0.2">
      <c r="A34" s="9"/>
      <c r="B34" s="9"/>
      <c r="C34" s="9"/>
      <c r="D34" s="9" t="s">
        <v>531</v>
      </c>
      <c r="E34" s="9"/>
      <c r="F34" s="9"/>
      <c r="G34" s="9"/>
      <c r="H34" s="9"/>
      <c r="I34" s="9"/>
      <c r="J34" s="9"/>
      <c r="K34" s="9" t="s">
        <v>531</v>
      </c>
      <c r="L34" s="9"/>
      <c r="M34" s="9"/>
      <c r="N34" s="9"/>
      <c r="O34" s="9"/>
      <c r="P34" s="9"/>
      <c r="Q34" s="9"/>
      <c r="R34" s="9" t="s">
        <v>531</v>
      </c>
      <c r="S34" s="9"/>
      <c r="T34" s="9"/>
      <c r="U34" s="9"/>
      <c r="V34" s="9"/>
      <c r="W34" s="9"/>
      <c r="X34" s="9"/>
      <c r="Z34" s="9" t="s">
        <v>531</v>
      </c>
      <c r="AA34" s="9"/>
      <c r="AB34" s="9"/>
      <c r="AC34" s="9"/>
      <c r="AD34" s="9"/>
      <c r="AE34" s="9"/>
      <c r="AG34" s="9" t="s">
        <v>531</v>
      </c>
      <c r="AH34" s="9"/>
      <c r="AI34" s="9"/>
      <c r="AJ34" s="9"/>
      <c r="AK34" s="9"/>
      <c r="AL34" s="9"/>
      <c r="AM34" s="9"/>
      <c r="AN34" s="9"/>
      <c r="AO34" s="9"/>
      <c r="AS34" s="9"/>
      <c r="AT34" s="9"/>
      <c r="AU34" s="9"/>
    </row>
    <row r="57" spans="5:19" x14ac:dyDescent="0.2">
      <c r="E57" s="18"/>
      <c r="L57" s="18"/>
      <c r="S57" s="18"/>
    </row>
  </sheetData>
  <mergeCells count="6">
    <mergeCell ref="AK2:AL2"/>
    <mergeCell ref="C2:E2"/>
    <mergeCell ref="J2:L2"/>
    <mergeCell ref="Q2:S2"/>
    <mergeCell ref="Y2:AA2"/>
    <mergeCell ref="AF2:AH2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C8F7E-C8BA-4B0B-9382-9E9E0A0E9050}">
  <sheetPr codeName="Sheet33"/>
  <dimension ref="B1:AM135"/>
  <sheetViews>
    <sheetView topLeftCell="J1" workbookViewId="0">
      <selection activeCell="R12" sqref="R12"/>
    </sheetView>
  </sheetViews>
  <sheetFormatPr defaultColWidth="8.83203125" defaultRowHeight="14.25" x14ac:dyDescent="0.2"/>
  <cols>
    <col min="1" max="1" width="8.83203125" style="132"/>
    <col min="2" max="2" width="28.6640625" style="132" bestFit="1" customWidth="1"/>
    <col min="3" max="3" width="17.6640625" style="132" customWidth="1"/>
    <col min="4" max="4" width="21.1640625" style="132" bestFit="1" customWidth="1"/>
    <col min="5" max="5" width="19.1640625" style="132" bestFit="1" customWidth="1"/>
    <col min="6" max="6" width="19.5" style="132" customWidth="1"/>
    <col min="7" max="7" width="19.1640625" style="132" bestFit="1" customWidth="1"/>
    <col min="8" max="8" width="17.83203125" style="132" bestFit="1" customWidth="1"/>
    <col min="9" max="9" width="17.33203125" style="132" customWidth="1"/>
    <col min="10" max="10" width="15.1640625" style="132" customWidth="1"/>
    <col min="11" max="12" width="10" style="132" customWidth="1"/>
    <col min="13" max="13" width="19.5" style="132" bestFit="1" customWidth="1"/>
    <col min="14" max="14" width="16.6640625" style="132" bestFit="1" customWidth="1"/>
    <col min="15" max="15" width="28.6640625" style="132" bestFit="1" customWidth="1"/>
    <col min="16" max="16" width="14.1640625" style="132" customWidth="1"/>
    <col min="17" max="17" width="17.83203125" style="132" customWidth="1"/>
    <col min="18" max="18" width="14.33203125" style="132" bestFit="1" customWidth="1"/>
    <col min="19" max="19" width="14.33203125" style="132" customWidth="1"/>
    <col min="20" max="20" width="13.6640625" style="132" bestFit="1" customWidth="1"/>
    <col min="21" max="21" width="13.1640625" style="132" customWidth="1"/>
    <col min="22" max="22" width="12.5" style="132" customWidth="1"/>
    <col min="23" max="24" width="8.83203125" style="132"/>
    <col min="25" max="25" width="30.6640625" style="132" customWidth="1"/>
    <col min="26" max="30" width="8.83203125" style="132"/>
    <col min="31" max="34" width="14.5" style="132" customWidth="1"/>
    <col min="35" max="16384" width="8.83203125" style="132"/>
  </cols>
  <sheetData>
    <row r="1" spans="2:39" ht="15.75" x14ac:dyDescent="0.25">
      <c r="C1" s="132" t="s">
        <v>294</v>
      </c>
      <c r="R1" s="362"/>
      <c r="X1" s="363"/>
      <c r="Y1" s="364"/>
      <c r="Z1" s="364"/>
      <c r="AA1" s="364"/>
      <c r="AB1" s="364"/>
      <c r="AC1" s="364"/>
      <c r="AD1" s="365" t="s">
        <v>409</v>
      </c>
      <c r="AE1" s="364"/>
      <c r="AF1" s="364"/>
      <c r="AG1" s="364"/>
      <c r="AH1" s="364"/>
      <c r="AI1" s="364"/>
      <c r="AJ1" s="364"/>
      <c r="AK1" s="364"/>
      <c r="AL1" s="364"/>
      <c r="AM1" s="366"/>
    </row>
    <row r="2" spans="2:39" ht="15.75" x14ac:dyDescent="0.25">
      <c r="B2" s="367"/>
      <c r="C2" s="587" t="s">
        <v>545</v>
      </c>
      <c r="D2" s="588"/>
      <c r="E2" s="588"/>
      <c r="F2" s="589"/>
      <c r="G2" s="586" t="s">
        <v>414</v>
      </c>
      <c r="H2" s="586"/>
      <c r="I2" s="586"/>
      <c r="M2" s="132">
        <v>0.75</v>
      </c>
      <c r="P2" s="362" t="s">
        <v>295</v>
      </c>
      <c r="Q2" s="362"/>
      <c r="R2" s="362"/>
      <c r="S2" s="362"/>
      <c r="X2" s="368"/>
      <c r="Y2" s="585" t="s">
        <v>413</v>
      </c>
      <c r="Z2" s="585"/>
      <c r="AA2" s="585"/>
      <c r="AB2" s="585"/>
      <c r="AC2" s="585"/>
      <c r="AM2" s="370"/>
    </row>
    <row r="3" spans="2:39" ht="15.75" x14ac:dyDescent="0.25">
      <c r="B3" s="367"/>
      <c r="C3" s="371">
        <v>2021</v>
      </c>
      <c r="D3" s="372">
        <v>2022</v>
      </c>
      <c r="E3" s="372">
        <v>2023</v>
      </c>
      <c r="F3" s="373">
        <v>2024</v>
      </c>
      <c r="G3" s="371">
        <v>2025</v>
      </c>
      <c r="H3" s="372">
        <v>2026</v>
      </c>
      <c r="I3" s="373">
        <v>2027</v>
      </c>
      <c r="J3" s="374"/>
      <c r="K3" s="367" t="s">
        <v>446</v>
      </c>
      <c r="L3" s="367"/>
      <c r="P3" s="362">
        <v>2021</v>
      </c>
      <c r="Q3" s="362">
        <v>2022</v>
      </c>
      <c r="R3" s="362">
        <v>2023</v>
      </c>
      <c r="S3" s="362">
        <v>2024</v>
      </c>
      <c r="T3" s="362">
        <v>2025</v>
      </c>
      <c r="U3" s="362">
        <v>2026</v>
      </c>
      <c r="V3" s="362">
        <v>2027</v>
      </c>
      <c r="X3" s="368"/>
      <c r="Z3" s="374">
        <v>2021</v>
      </c>
      <c r="AA3" s="374">
        <v>2022</v>
      </c>
      <c r="AB3" s="374">
        <v>2023</v>
      </c>
      <c r="AC3" s="374">
        <v>2024</v>
      </c>
      <c r="AE3" s="375" t="s">
        <v>403</v>
      </c>
      <c r="AF3" s="376" t="s">
        <v>404</v>
      </c>
      <c r="AG3" s="376" t="s">
        <v>405</v>
      </c>
      <c r="AH3" s="524" t="s">
        <v>544</v>
      </c>
      <c r="AI3" s="376"/>
      <c r="AJ3" s="375" t="s">
        <v>375</v>
      </c>
      <c r="AK3" s="375" t="s">
        <v>406</v>
      </c>
      <c r="AM3" s="370"/>
    </row>
    <row r="4" spans="2:39" x14ac:dyDescent="0.2">
      <c r="B4" s="367" t="s">
        <v>296</v>
      </c>
      <c r="C4" s="377">
        <f>AE4</f>
        <v>416.5</v>
      </c>
      <c r="D4" s="367">
        <f>AF4-AE4</f>
        <v>624.29999999999995</v>
      </c>
      <c r="E4" s="367">
        <f t="shared" ref="D4:F6" si="0">AG4-AF4</f>
        <v>162.20000000000005</v>
      </c>
      <c r="F4" s="378">
        <f t="shared" si="0"/>
        <v>686.5</v>
      </c>
      <c r="G4" s="377">
        <v>446</v>
      </c>
      <c r="H4" s="367">
        <v>519</v>
      </c>
      <c r="I4" s="378">
        <v>476</v>
      </c>
      <c r="J4" s="379"/>
      <c r="K4" s="380">
        <f>$H$26*P57+$H$27*(Q57+R57)+$H$28*S57</f>
        <v>2.8785706285647038E-2</v>
      </c>
      <c r="L4" s="381" t="s">
        <v>297</v>
      </c>
      <c r="N4" s="382"/>
      <c r="O4" s="367" t="s">
        <v>296</v>
      </c>
      <c r="P4" s="383">
        <f t="shared" ref="P4:V17" si="1">C4*$K4*1000000</f>
        <v>11989246.667971993</v>
      </c>
      <c r="Q4" s="383">
        <f t="shared" si="1"/>
        <v>17970916.434129447</v>
      </c>
      <c r="R4" s="383">
        <f t="shared" si="1"/>
        <v>4669041.5595319504</v>
      </c>
      <c r="S4" s="383">
        <f>F4*$K4*1000000*$AK$18</f>
        <v>15083489.511075828</v>
      </c>
      <c r="T4" s="383">
        <f t="shared" ref="T4:V5" si="2">G4*$K4*1000000</f>
        <v>12838425.003398579</v>
      </c>
      <c r="U4" s="383">
        <f t="shared" si="2"/>
        <v>14939781.562250813</v>
      </c>
      <c r="V4" s="383">
        <f t="shared" si="2"/>
        <v>13701996.19196799</v>
      </c>
      <c r="X4" s="368"/>
      <c r="Y4" s="367" t="s">
        <v>296</v>
      </c>
      <c r="Z4" s="384">
        <v>322</v>
      </c>
      <c r="AA4" s="384">
        <v>570</v>
      </c>
      <c r="AB4" s="384">
        <v>359</v>
      </c>
      <c r="AC4" s="384">
        <v>560</v>
      </c>
      <c r="AE4" s="132">
        <v>416.5</v>
      </c>
      <c r="AF4" s="132">
        <f>1040.8</f>
        <v>1040.8</v>
      </c>
      <c r="AG4" s="385">
        <f>1014.8+188.2</f>
        <v>1203</v>
      </c>
      <c r="AH4" s="525">
        <v>1889.5</v>
      </c>
      <c r="AI4" s="385"/>
      <c r="AJ4" s="386">
        <f>SUM(Z4:AC4)</f>
        <v>1811</v>
      </c>
      <c r="AK4" s="387">
        <f>AH4/AJ4</f>
        <v>1.0433462175593595</v>
      </c>
      <c r="AM4" s="370"/>
    </row>
    <row r="5" spans="2:39" x14ac:dyDescent="0.2">
      <c r="B5" s="367" t="s">
        <v>259</v>
      </c>
      <c r="C5" s="377">
        <f t="shared" ref="C5:C16" si="3">AE5</f>
        <v>11.6</v>
      </c>
      <c r="D5" s="367">
        <f t="shared" si="0"/>
        <v>5.0999999999999996</v>
      </c>
      <c r="E5" s="367">
        <f t="shared" si="0"/>
        <v>7.1999999999999993</v>
      </c>
      <c r="F5" s="378">
        <f t="shared" si="0"/>
        <v>12.300000000000004</v>
      </c>
      <c r="G5" s="377">
        <v>14</v>
      </c>
      <c r="H5" s="367">
        <v>15</v>
      </c>
      <c r="I5" s="378">
        <v>16</v>
      </c>
      <c r="J5" s="379"/>
      <c r="K5" s="380">
        <f>$H$26*P58+$H$27*(Q58+R58)+$H$28*S58</f>
        <v>2.9542207268251672E-2</v>
      </c>
      <c r="L5" s="381" t="str">
        <f>L4</f>
        <v>% of provincial kWh</v>
      </c>
      <c r="N5" s="381"/>
      <c r="O5" s="367" t="s">
        <v>259</v>
      </c>
      <c r="P5" s="383">
        <f t="shared" si="1"/>
        <v>342689.60431171942</v>
      </c>
      <c r="Q5" s="383">
        <f t="shared" si="1"/>
        <v>150665.25706808351</v>
      </c>
      <c r="R5" s="383">
        <f t="shared" si="1"/>
        <v>212703.892331412</v>
      </c>
      <c r="S5" s="383">
        <f>F5*$K5*1000000*$AK$18</f>
        <v>277352.7309776016</v>
      </c>
      <c r="T5" s="383">
        <f t="shared" si="2"/>
        <v>413590.9017555234</v>
      </c>
      <c r="U5" s="383">
        <f t="shared" si="2"/>
        <v>443133.10902377509</v>
      </c>
      <c r="V5" s="383">
        <f t="shared" si="2"/>
        <v>472675.31629202672</v>
      </c>
      <c r="X5" s="368"/>
      <c r="Y5" s="367" t="s">
        <v>259</v>
      </c>
      <c r="Z5" s="384">
        <v>10</v>
      </c>
      <c r="AA5" s="384">
        <v>4</v>
      </c>
      <c r="AB5" s="384">
        <v>20</v>
      </c>
      <c r="AC5" s="384">
        <v>65</v>
      </c>
      <c r="AE5" s="132">
        <v>11.6</v>
      </c>
      <c r="AF5" s="132">
        <v>16.7</v>
      </c>
      <c r="AG5" s="385">
        <v>23.9</v>
      </c>
      <c r="AH5" s="525">
        <v>36.200000000000003</v>
      </c>
      <c r="AI5" s="385"/>
      <c r="AJ5" s="386">
        <f t="shared" ref="AJ5:AJ8" si="4">SUM(Z5:AC5)</f>
        <v>99</v>
      </c>
      <c r="AK5" s="387">
        <f t="shared" ref="AK5:AK8" si="5">AH5/AJ5</f>
        <v>0.36565656565656568</v>
      </c>
      <c r="AM5" s="370"/>
    </row>
    <row r="6" spans="2:39" x14ac:dyDescent="0.2">
      <c r="B6" s="367" t="s">
        <v>298</v>
      </c>
      <c r="C6" s="377">
        <f t="shared" si="3"/>
        <v>12.6</v>
      </c>
      <c r="D6" s="367">
        <f t="shared" si="0"/>
        <v>19.600000000000001</v>
      </c>
      <c r="E6" s="367">
        <f t="shared" si="0"/>
        <v>5.6999999999999957</v>
      </c>
      <c r="F6" s="378">
        <f t="shared" si="0"/>
        <v>22.4</v>
      </c>
      <c r="G6" s="377"/>
      <c r="H6" s="367"/>
      <c r="I6" s="378"/>
      <c r="J6" s="379"/>
      <c r="K6" s="380">
        <f>$H$26*P59+$H$27*(Q59+R59)+$H$28*S59</f>
        <v>2.9471339119048919E-2</v>
      </c>
      <c r="L6" s="381" t="str">
        <f>L5</f>
        <v>% of provincial kWh</v>
      </c>
      <c r="N6" s="381"/>
      <c r="O6" s="367" t="s">
        <v>298</v>
      </c>
      <c r="P6" s="383">
        <f t="shared" si="1"/>
        <v>371338.87290001637</v>
      </c>
      <c r="Q6" s="383">
        <f t="shared" si="1"/>
        <v>577638.24673335883</v>
      </c>
      <c r="R6" s="383">
        <f t="shared" si="1"/>
        <v>167986.63297857871</v>
      </c>
      <c r="S6" s="383">
        <f t="shared" ref="S6:V8" si="6">F6*$K6*1000000*$AK$18/2</f>
        <v>251942.99439544487</v>
      </c>
      <c r="T6" s="383">
        <f t="shared" si="6"/>
        <v>0</v>
      </c>
      <c r="U6" s="383">
        <f t="shared" si="6"/>
        <v>0</v>
      </c>
      <c r="V6" s="383">
        <f t="shared" si="6"/>
        <v>0</v>
      </c>
      <c r="X6" s="368"/>
      <c r="Y6" s="367" t="s">
        <v>298</v>
      </c>
      <c r="Z6" s="384">
        <v>16</v>
      </c>
      <c r="AA6" s="384">
        <v>20</v>
      </c>
      <c r="AB6" s="384">
        <v>50</v>
      </c>
      <c r="AC6" s="384">
        <v>54</v>
      </c>
      <c r="AE6" s="132">
        <v>12.6</v>
      </c>
      <c r="AF6" s="132">
        <v>32.200000000000003</v>
      </c>
      <c r="AG6" s="385">
        <v>37.9</v>
      </c>
      <c r="AH6" s="525">
        <v>60.3</v>
      </c>
      <c r="AI6" s="385"/>
      <c r="AJ6" s="386">
        <f t="shared" si="4"/>
        <v>140</v>
      </c>
      <c r="AK6" s="387">
        <f t="shared" si="5"/>
        <v>0.43071428571428572</v>
      </c>
      <c r="AM6" s="370"/>
    </row>
    <row r="7" spans="2:39" x14ac:dyDescent="0.2">
      <c r="B7" s="367" t="s">
        <v>299</v>
      </c>
      <c r="C7" s="377">
        <f t="shared" si="3"/>
        <v>0.8</v>
      </c>
      <c r="D7" s="367">
        <f>AF7-AE7</f>
        <v>14.899999999999999</v>
      </c>
      <c r="E7" s="367">
        <f>MAX(AG7-AF7,0)</f>
        <v>0</v>
      </c>
      <c r="F7" s="378">
        <f>MAX(AH7-AG7,0)</f>
        <v>117.89999999999999</v>
      </c>
      <c r="G7" s="377">
        <v>52</v>
      </c>
      <c r="H7" s="367">
        <v>59</v>
      </c>
      <c r="I7" s="378">
        <v>64</v>
      </c>
      <c r="J7" s="379"/>
      <c r="K7" s="380">
        <f>$H$26*P60+$H$27*(Q60+R60)+$H$28*S60</f>
        <v>2.9471339119048919E-2</v>
      </c>
      <c r="L7" s="381" t="str">
        <f>L6</f>
        <v>% of provincial kWh</v>
      </c>
      <c r="N7" s="132" t="s">
        <v>300</v>
      </c>
      <c r="O7" s="367" t="s">
        <v>299</v>
      </c>
      <c r="P7" s="383">
        <f t="shared" si="1"/>
        <v>23577.071295239137</v>
      </c>
      <c r="Q7" s="383">
        <f t="shared" si="1"/>
        <v>439122.95287382888</v>
      </c>
      <c r="R7" s="383">
        <f t="shared" si="1"/>
        <v>0</v>
      </c>
      <c r="S7" s="383">
        <f t="shared" si="6"/>
        <v>1326074.9571081672</v>
      </c>
      <c r="T7" s="383">
        <f t="shared" si="6"/>
        <v>584867.66556085413</v>
      </c>
      <c r="U7" s="383">
        <f t="shared" si="6"/>
        <v>663599.85130943067</v>
      </c>
      <c r="V7" s="383">
        <f t="shared" si="6"/>
        <v>719837.12684412824</v>
      </c>
      <c r="X7" s="368"/>
      <c r="Y7" s="367" t="s">
        <v>299</v>
      </c>
      <c r="Z7" s="384">
        <v>1</v>
      </c>
      <c r="AA7" s="384">
        <v>15</v>
      </c>
      <c r="AB7" s="384">
        <v>29</v>
      </c>
      <c r="AC7" s="384">
        <v>96</v>
      </c>
      <c r="AE7" s="132">
        <v>0.8</v>
      </c>
      <c r="AF7" s="132">
        <v>15.7</v>
      </c>
      <c r="AG7" s="385">
        <v>9.9</v>
      </c>
      <c r="AH7" s="525">
        <v>127.8</v>
      </c>
      <c r="AI7" s="385"/>
      <c r="AJ7" s="386">
        <f t="shared" si="4"/>
        <v>141</v>
      </c>
      <c r="AK7" s="387">
        <f t="shared" si="5"/>
        <v>0.90638297872340423</v>
      </c>
      <c r="AM7" s="370"/>
    </row>
    <row r="8" spans="2:39" x14ac:dyDescent="0.2">
      <c r="B8" s="367" t="s">
        <v>301</v>
      </c>
      <c r="C8" s="377">
        <f t="shared" si="3"/>
        <v>0</v>
      </c>
      <c r="D8" s="367">
        <f>AF8-AE8</f>
        <v>0</v>
      </c>
      <c r="E8" s="367">
        <f>AG8-AF8</f>
        <v>87.3</v>
      </c>
      <c r="F8" s="378">
        <f>AH8-AG8</f>
        <v>88.2</v>
      </c>
      <c r="G8" s="377">
        <v>133</v>
      </c>
      <c r="H8" s="367">
        <v>160</v>
      </c>
      <c r="I8" s="378">
        <v>195</v>
      </c>
      <c r="J8" s="379"/>
      <c r="K8" s="380">
        <f>$H$26*P61+$H$27*(Q61+R61)+$H$28*S61</f>
        <v>2.9471339119048919E-2</v>
      </c>
      <c r="L8" s="381" t="str">
        <f>L7</f>
        <v>% of provincial kWh</v>
      </c>
      <c r="N8" s="381"/>
      <c r="O8" s="367" t="s">
        <v>301</v>
      </c>
      <c r="P8" s="383">
        <f t="shared" si="1"/>
        <v>0</v>
      </c>
      <c r="Q8" s="383">
        <f t="shared" si="1"/>
        <v>0</v>
      </c>
      <c r="R8" s="383">
        <f t="shared" si="1"/>
        <v>2572847.9050929705</v>
      </c>
      <c r="S8" s="383">
        <f t="shared" si="6"/>
        <v>992025.54043206421</v>
      </c>
      <c r="T8" s="383">
        <f t="shared" si="6"/>
        <v>1495911.5292229541</v>
      </c>
      <c r="U8" s="383">
        <f t="shared" si="6"/>
        <v>1799592.8171103203</v>
      </c>
      <c r="V8" s="383">
        <f t="shared" si="6"/>
        <v>2193253.7458532029</v>
      </c>
      <c r="X8" s="368"/>
      <c r="Y8" s="367" t="s">
        <v>301</v>
      </c>
      <c r="Z8" s="384">
        <v>0</v>
      </c>
      <c r="AA8" s="384">
        <v>0</v>
      </c>
      <c r="AB8" s="384">
        <v>165</v>
      </c>
      <c r="AC8" s="384">
        <v>165</v>
      </c>
      <c r="AE8" s="132">
        <v>0</v>
      </c>
      <c r="AF8" s="132">
        <v>0</v>
      </c>
      <c r="AG8" s="385">
        <v>87.3</v>
      </c>
      <c r="AH8" s="525">
        <v>175.5</v>
      </c>
      <c r="AI8" s="385"/>
      <c r="AJ8" s="386">
        <f t="shared" si="4"/>
        <v>330</v>
      </c>
      <c r="AK8" s="387">
        <f t="shared" si="5"/>
        <v>0.53181818181818186</v>
      </c>
      <c r="AM8" s="370"/>
    </row>
    <row r="9" spans="2:39" x14ac:dyDescent="0.2">
      <c r="B9" s="367" t="s">
        <v>416</v>
      </c>
      <c r="C9" s="377"/>
      <c r="D9" s="367"/>
      <c r="E9" s="367"/>
      <c r="F9" s="378"/>
      <c r="G9" s="377"/>
      <c r="H9" s="367"/>
      <c r="I9" s="378">
        <v>106</v>
      </c>
      <c r="J9" s="379"/>
      <c r="K9" s="380">
        <f>H27</f>
        <v>2.9261219488449924E-2</v>
      </c>
      <c r="L9" s="381" t="str">
        <f t="shared" ref="L9:L14" si="7">L8</f>
        <v>% of provincial kWh</v>
      </c>
      <c r="N9" s="381"/>
      <c r="O9" s="367" t="s">
        <v>416</v>
      </c>
      <c r="P9" s="383">
        <f t="shared" si="1"/>
        <v>0</v>
      </c>
      <c r="Q9" s="383">
        <f t="shared" si="1"/>
        <v>0</v>
      </c>
      <c r="R9" s="383">
        <f t="shared" si="1"/>
        <v>0</v>
      </c>
      <c r="S9" s="383">
        <f>F9*$K9*1000000*$AK$18</f>
        <v>0</v>
      </c>
      <c r="T9" s="383">
        <f t="shared" si="1"/>
        <v>0</v>
      </c>
      <c r="U9" s="383">
        <f t="shared" si="1"/>
        <v>0</v>
      </c>
      <c r="V9" s="383">
        <f t="shared" si="1"/>
        <v>3101689.2657756922</v>
      </c>
      <c r="X9" s="368"/>
      <c r="Y9" s="367"/>
      <c r="Z9" s="384"/>
      <c r="AA9" s="384"/>
      <c r="AB9" s="384"/>
      <c r="AC9" s="384"/>
      <c r="AG9" s="385"/>
      <c r="AH9" s="525"/>
      <c r="AI9" s="385"/>
      <c r="AJ9" s="386"/>
      <c r="AK9" s="387"/>
      <c r="AM9" s="370"/>
    </row>
    <row r="10" spans="2:39" x14ac:dyDescent="0.2">
      <c r="B10" s="367" t="s">
        <v>417</v>
      </c>
      <c r="C10" s="377"/>
      <c r="D10" s="367"/>
      <c r="E10" s="367"/>
      <c r="F10" s="378"/>
      <c r="G10" s="377">
        <v>61</v>
      </c>
      <c r="H10" s="367">
        <v>66</v>
      </c>
      <c r="I10" s="378">
        <v>66</v>
      </c>
      <c r="J10" s="379"/>
      <c r="K10" s="380">
        <f>H25</f>
        <v>2.6993503767277226E-2</v>
      </c>
      <c r="L10" s="381" t="str">
        <f t="shared" si="7"/>
        <v>% of provincial kWh</v>
      </c>
      <c r="N10" s="381"/>
      <c r="O10" s="367" t="s">
        <v>417</v>
      </c>
      <c r="P10" s="383">
        <f t="shared" si="1"/>
        <v>0</v>
      </c>
      <c r="Q10" s="383">
        <f t="shared" si="1"/>
        <v>0</v>
      </c>
      <c r="R10" s="383">
        <f t="shared" si="1"/>
        <v>0</v>
      </c>
      <c r="S10" s="383">
        <f>F10*$K10*1000000*$AK$18</f>
        <v>0</v>
      </c>
      <c r="T10" s="383">
        <f>G10*$K10*1000000</f>
        <v>1646603.7298039109</v>
      </c>
      <c r="U10" s="383">
        <f t="shared" si="1"/>
        <v>1781571.248640297</v>
      </c>
      <c r="V10" s="383">
        <f t="shared" si="1"/>
        <v>1781571.248640297</v>
      </c>
      <c r="X10" s="368"/>
      <c r="Y10" s="367"/>
      <c r="Z10" s="384"/>
      <c r="AA10" s="384"/>
      <c r="AB10" s="384"/>
      <c r="AC10" s="384"/>
      <c r="AG10" s="385"/>
      <c r="AH10" s="525"/>
      <c r="AI10" s="385"/>
      <c r="AJ10" s="386"/>
      <c r="AK10" s="387"/>
      <c r="AM10" s="370"/>
    </row>
    <row r="11" spans="2:39" x14ac:dyDescent="0.2">
      <c r="B11" s="367" t="s">
        <v>418</v>
      </c>
      <c r="C11" s="377"/>
      <c r="D11" s="367"/>
      <c r="E11" s="367"/>
      <c r="F11" s="378"/>
      <c r="G11" s="377"/>
      <c r="H11" s="367"/>
      <c r="I11" s="378"/>
      <c r="J11" s="379"/>
      <c r="K11" s="380">
        <f>$I$27</f>
        <v>0</v>
      </c>
      <c r="L11" s="381" t="str">
        <f t="shared" si="7"/>
        <v>% of provincial kWh</v>
      </c>
      <c r="N11" s="381"/>
      <c r="O11" s="367" t="s">
        <v>418</v>
      </c>
      <c r="P11" s="383">
        <f t="shared" si="1"/>
        <v>0</v>
      </c>
      <c r="Q11" s="383">
        <f t="shared" si="1"/>
        <v>0</v>
      </c>
      <c r="R11" s="383">
        <f t="shared" si="1"/>
        <v>0</v>
      </c>
      <c r="S11" s="383">
        <f t="shared" ref="S11:S17" si="8">F11*$K11*1000000*$AK$18</f>
        <v>0</v>
      </c>
      <c r="T11" s="383">
        <f t="shared" si="1"/>
        <v>0</v>
      </c>
      <c r="U11" s="383">
        <f t="shared" si="1"/>
        <v>0</v>
      </c>
      <c r="V11" s="383">
        <f t="shared" si="1"/>
        <v>0</v>
      </c>
      <c r="X11" s="368"/>
      <c r="Y11" s="367"/>
      <c r="Z11" s="384"/>
      <c r="AA11" s="384"/>
      <c r="AB11" s="384"/>
      <c r="AC11" s="384"/>
      <c r="AG11" s="385"/>
      <c r="AH11" s="525"/>
      <c r="AI11" s="385"/>
      <c r="AJ11" s="386"/>
      <c r="AK11" s="387"/>
      <c r="AM11" s="370"/>
    </row>
    <row r="12" spans="2:39" x14ac:dyDescent="0.2">
      <c r="B12" s="367" t="s">
        <v>419</v>
      </c>
      <c r="C12" s="377"/>
      <c r="D12" s="367"/>
      <c r="E12" s="367"/>
      <c r="F12" s="378"/>
      <c r="G12" s="377"/>
      <c r="H12" s="367"/>
      <c r="I12" s="378"/>
      <c r="J12" s="379"/>
      <c r="K12" s="380">
        <f>$I$27</f>
        <v>0</v>
      </c>
      <c r="L12" s="381" t="str">
        <f t="shared" si="7"/>
        <v>% of provincial kWh</v>
      </c>
      <c r="N12" s="381"/>
      <c r="O12" s="367" t="s">
        <v>419</v>
      </c>
      <c r="P12" s="383">
        <f t="shared" si="1"/>
        <v>0</v>
      </c>
      <c r="Q12" s="383">
        <f t="shared" si="1"/>
        <v>0</v>
      </c>
      <c r="R12" s="383">
        <f t="shared" si="1"/>
        <v>0</v>
      </c>
      <c r="S12" s="383">
        <f t="shared" si="8"/>
        <v>0</v>
      </c>
      <c r="T12" s="383">
        <f t="shared" si="1"/>
        <v>0</v>
      </c>
      <c r="U12" s="383">
        <f t="shared" si="1"/>
        <v>0</v>
      </c>
      <c r="V12" s="383">
        <f t="shared" si="1"/>
        <v>0</v>
      </c>
      <c r="X12" s="368"/>
      <c r="Y12" s="367" t="s">
        <v>407</v>
      </c>
      <c r="Z12" s="384"/>
      <c r="AA12" s="384"/>
      <c r="AB12" s="384"/>
      <c r="AC12" s="384"/>
      <c r="AF12" s="132">
        <v>0</v>
      </c>
      <c r="AG12" s="385">
        <v>23.7</v>
      </c>
      <c r="AH12" s="525"/>
      <c r="AI12" s="385"/>
      <c r="AJ12" s="386">
        <f t="shared" ref="AJ12:AJ18" si="9">SUM(Z12:AB12)</f>
        <v>0</v>
      </c>
      <c r="AK12" s="387"/>
      <c r="AM12" s="370"/>
    </row>
    <row r="13" spans="2:39" x14ac:dyDescent="0.2">
      <c r="B13" s="367" t="s">
        <v>302</v>
      </c>
      <c r="C13" s="377">
        <f t="shared" si="3"/>
        <v>0</v>
      </c>
      <c r="D13" s="367">
        <f t="shared" ref="D13:F17" si="10">AF13-AE13</f>
        <v>0</v>
      </c>
      <c r="E13" s="367">
        <f t="shared" si="10"/>
        <v>242</v>
      </c>
      <c r="F13" s="378">
        <f t="shared" si="10"/>
        <v>487.20000000000005</v>
      </c>
      <c r="G13" s="377"/>
      <c r="H13" s="367"/>
      <c r="I13" s="378"/>
      <c r="J13" s="379"/>
      <c r="K13" s="380">
        <v>0</v>
      </c>
      <c r="L13" s="381" t="str">
        <f t="shared" si="7"/>
        <v>% of provincial kWh</v>
      </c>
      <c r="N13" s="381"/>
      <c r="O13" s="367" t="s">
        <v>302</v>
      </c>
      <c r="P13" s="383">
        <f t="shared" si="1"/>
        <v>0</v>
      </c>
      <c r="Q13" s="383">
        <f>D13*$K13*1000000</f>
        <v>0</v>
      </c>
      <c r="R13" s="383">
        <f>E13*$K13*1000000</f>
        <v>0</v>
      </c>
      <c r="S13" s="383">
        <f t="shared" si="8"/>
        <v>0</v>
      </c>
      <c r="T13" s="383">
        <f>G13*$K13*1000000</f>
        <v>0</v>
      </c>
      <c r="U13" s="383">
        <f>H13*$K13*1000000</f>
        <v>0</v>
      </c>
      <c r="V13" s="383">
        <f>I13*$K13*1000000</f>
        <v>0</v>
      </c>
      <c r="X13" s="368"/>
      <c r="Y13" s="367" t="s">
        <v>302</v>
      </c>
      <c r="Z13" s="384">
        <v>0</v>
      </c>
      <c r="AA13" s="384">
        <v>0</v>
      </c>
      <c r="AB13" s="384">
        <v>333</v>
      </c>
      <c r="AC13" s="384">
        <v>333</v>
      </c>
      <c r="AE13" s="132">
        <v>0</v>
      </c>
      <c r="AF13" s="132">
        <v>0</v>
      </c>
      <c r="AG13" s="385">
        <v>242</v>
      </c>
      <c r="AH13" s="525">
        <v>729.2</v>
      </c>
      <c r="AI13" s="385"/>
      <c r="AJ13" s="386">
        <f t="shared" ref="AJ13" si="11">SUM(Z13:AC13)</f>
        <v>666</v>
      </c>
      <c r="AK13" s="387">
        <f t="shared" ref="AK13" si="12">AH13/AJ13</f>
        <v>1.0948948948948949</v>
      </c>
      <c r="AM13" s="370"/>
    </row>
    <row r="14" spans="2:39" x14ac:dyDescent="0.2">
      <c r="B14" s="367" t="s">
        <v>303</v>
      </c>
      <c r="C14" s="377">
        <f t="shared" si="3"/>
        <v>0</v>
      </c>
      <c r="D14" s="367">
        <f t="shared" si="10"/>
        <v>0</v>
      </c>
      <c r="E14" s="367">
        <f t="shared" si="10"/>
        <v>39.799999999999997</v>
      </c>
      <c r="F14" s="378">
        <f t="shared" si="10"/>
        <v>423.2</v>
      </c>
      <c r="G14" s="377">
        <v>641</v>
      </c>
      <c r="H14" s="367">
        <v>693</v>
      </c>
      <c r="I14" s="378">
        <v>750</v>
      </c>
      <c r="J14" s="379"/>
      <c r="K14" s="480">
        <v>0</v>
      </c>
      <c r="L14" s="381" t="str">
        <f t="shared" si="7"/>
        <v>% of provincial kWh</v>
      </c>
      <c r="N14" s="382"/>
      <c r="O14" s="367" t="s">
        <v>303</v>
      </c>
      <c r="P14" s="383">
        <f t="shared" si="1"/>
        <v>0</v>
      </c>
      <c r="Q14" s="383">
        <f>D14*$K14*1000000</f>
        <v>0</v>
      </c>
      <c r="R14" s="383"/>
      <c r="S14" s="383">
        <f t="shared" si="8"/>
        <v>0</v>
      </c>
      <c r="T14" s="383">
        <f>G14*$K14*1000000/4</f>
        <v>0</v>
      </c>
      <c r="U14" s="383">
        <f>H14*$K14*1000000/2</f>
        <v>0</v>
      </c>
      <c r="V14" s="383">
        <f>I14*$K14*1000000</f>
        <v>0</v>
      </c>
      <c r="X14" s="368"/>
      <c r="Y14" s="367" t="s">
        <v>303</v>
      </c>
      <c r="Z14" s="384">
        <v>0</v>
      </c>
      <c r="AA14" s="384">
        <v>61</v>
      </c>
      <c r="AB14" s="384">
        <v>161</v>
      </c>
      <c r="AC14" s="384">
        <v>181</v>
      </c>
      <c r="AE14" s="132">
        <v>0</v>
      </c>
      <c r="AF14" s="132">
        <v>0</v>
      </c>
      <c r="AG14" s="385">
        <f>6.8+33</f>
        <v>39.799999999999997</v>
      </c>
      <c r="AH14" s="525">
        <v>463</v>
      </c>
      <c r="AI14" s="385"/>
      <c r="AJ14" s="386">
        <f t="shared" ref="AJ14:AJ17" si="13">SUM(Z14:AC14)</f>
        <v>403</v>
      </c>
      <c r="AK14" s="387">
        <f t="shared" ref="AK14:AK17" si="14">AH14/AJ14</f>
        <v>1.1488833746898264</v>
      </c>
      <c r="AM14" s="370"/>
    </row>
    <row r="15" spans="2:39" x14ac:dyDescent="0.2">
      <c r="B15" s="367" t="s">
        <v>304</v>
      </c>
      <c r="C15" s="377">
        <f t="shared" si="3"/>
        <v>0</v>
      </c>
      <c r="D15" s="367">
        <f t="shared" si="10"/>
        <v>0</v>
      </c>
      <c r="E15" s="367">
        <f t="shared" si="10"/>
        <v>0</v>
      </c>
      <c r="F15" s="378">
        <f t="shared" si="10"/>
        <v>0</v>
      </c>
      <c r="G15" s="377"/>
      <c r="H15" s="367"/>
      <c r="I15" s="378"/>
      <c r="J15" s="379"/>
      <c r="K15" s="380">
        <v>0</v>
      </c>
      <c r="L15" s="381"/>
      <c r="N15" s="381"/>
      <c r="O15" s="367" t="s">
        <v>304</v>
      </c>
      <c r="P15" s="383">
        <f t="shared" si="1"/>
        <v>0</v>
      </c>
      <c r="Q15" s="383">
        <f>D15*$K15*1000000</f>
        <v>0</v>
      </c>
      <c r="R15" s="383">
        <f>E15*$K15*1000000</f>
        <v>0</v>
      </c>
      <c r="S15" s="383">
        <f t="shared" si="8"/>
        <v>0</v>
      </c>
      <c r="T15" s="383">
        <f t="shared" ref="T15:U17" si="15">G15*$K15*1000000</f>
        <v>0</v>
      </c>
      <c r="U15" s="383">
        <f t="shared" si="15"/>
        <v>0</v>
      </c>
      <c r="V15" s="383">
        <f>I15*$K15*1000000</f>
        <v>0</v>
      </c>
      <c r="X15" s="368"/>
      <c r="Y15" s="367" t="s">
        <v>304</v>
      </c>
      <c r="Z15" s="384">
        <v>0</v>
      </c>
      <c r="AA15" s="384">
        <v>0</v>
      </c>
      <c r="AB15" s="384">
        <v>3</v>
      </c>
      <c r="AC15" s="384">
        <v>7</v>
      </c>
      <c r="AE15" s="132">
        <v>0</v>
      </c>
      <c r="AF15" s="132">
        <v>0</v>
      </c>
      <c r="AG15" s="385">
        <v>0</v>
      </c>
      <c r="AH15" s="525">
        <v>0</v>
      </c>
      <c r="AI15" s="385"/>
      <c r="AJ15" s="386">
        <f t="shared" si="13"/>
        <v>10</v>
      </c>
      <c r="AK15" s="387">
        <f t="shared" si="14"/>
        <v>0</v>
      </c>
      <c r="AM15" s="370"/>
    </row>
    <row r="16" spans="2:39" x14ac:dyDescent="0.2">
      <c r="B16" s="367" t="s">
        <v>305</v>
      </c>
      <c r="C16" s="377">
        <f t="shared" si="3"/>
        <v>8.8000000000000007</v>
      </c>
      <c r="D16" s="367">
        <f t="shared" si="10"/>
        <v>9.3000000000000007</v>
      </c>
      <c r="E16" s="367">
        <f t="shared" si="10"/>
        <v>10.599999999999998</v>
      </c>
      <c r="F16" s="378">
        <f t="shared" si="10"/>
        <v>53.7</v>
      </c>
      <c r="G16" s="377">
        <v>27</v>
      </c>
      <c r="H16" s="367">
        <v>30</v>
      </c>
      <c r="I16" s="378">
        <v>44</v>
      </c>
      <c r="J16" s="379"/>
      <c r="K16" s="380">
        <f>H38</f>
        <v>3.8248506593941849E-2</v>
      </c>
      <c r="L16" s="382" t="s">
        <v>306</v>
      </c>
      <c r="N16" s="381"/>
      <c r="O16" s="367" t="s">
        <v>305</v>
      </c>
      <c r="P16" s="383">
        <f t="shared" si="1"/>
        <v>336586.85802668828</v>
      </c>
      <c r="Q16" s="383">
        <f>D16*$K16*1000000</f>
        <v>355711.11132365925</v>
      </c>
      <c r="R16" s="383">
        <f>E16*$K16*1000000</f>
        <v>405434.16989578353</v>
      </c>
      <c r="S16" s="383">
        <f t="shared" si="8"/>
        <v>1567736.8363119063</v>
      </c>
      <c r="T16" s="383">
        <f t="shared" si="15"/>
        <v>1032709.67803643</v>
      </c>
      <c r="U16" s="383">
        <f t="shared" si="15"/>
        <v>1147455.1978182555</v>
      </c>
      <c r="V16" s="383">
        <f>I16*$K16*1000000</f>
        <v>1682934.2901334413</v>
      </c>
      <c r="X16" s="368"/>
      <c r="Y16" s="367" t="s">
        <v>305</v>
      </c>
      <c r="Z16" s="384">
        <v>7</v>
      </c>
      <c r="AA16" s="384">
        <v>14</v>
      </c>
      <c r="AB16" s="384">
        <v>49</v>
      </c>
      <c r="AC16" s="384">
        <v>97</v>
      </c>
      <c r="AE16" s="132">
        <v>8.8000000000000007</v>
      </c>
      <c r="AF16" s="132">
        <v>18.100000000000001</v>
      </c>
      <c r="AG16" s="385">
        <v>28.7</v>
      </c>
      <c r="AH16" s="525">
        <v>82.4</v>
      </c>
      <c r="AI16" s="385"/>
      <c r="AJ16" s="386">
        <f t="shared" si="13"/>
        <v>167</v>
      </c>
      <c r="AK16" s="387">
        <f t="shared" si="14"/>
        <v>0.49341317365269466</v>
      </c>
      <c r="AM16" s="370"/>
    </row>
    <row r="17" spans="2:39" x14ac:dyDescent="0.2">
      <c r="B17" s="367" t="s">
        <v>307</v>
      </c>
      <c r="C17" s="377">
        <f>AE17</f>
        <v>0.8</v>
      </c>
      <c r="D17" s="367">
        <f t="shared" si="10"/>
        <v>9.9999999999999978E-2</v>
      </c>
      <c r="E17" s="367">
        <f t="shared" si="10"/>
        <v>1.2000000000000002</v>
      </c>
      <c r="F17" s="378">
        <f t="shared" si="10"/>
        <v>3.9</v>
      </c>
      <c r="G17" s="377">
        <v>1</v>
      </c>
      <c r="H17" s="367">
        <v>1</v>
      </c>
      <c r="I17" s="378">
        <v>1</v>
      </c>
      <c r="J17" s="379"/>
      <c r="K17" s="380">
        <v>0</v>
      </c>
      <c r="N17" s="381"/>
      <c r="O17" s="367" t="s">
        <v>307</v>
      </c>
      <c r="P17" s="383">
        <f t="shared" si="1"/>
        <v>0</v>
      </c>
      <c r="Q17" s="383">
        <f>D17*$K17*1000000</f>
        <v>0</v>
      </c>
      <c r="R17" s="383">
        <f>E17*$K17*1000000</f>
        <v>0</v>
      </c>
      <c r="S17" s="383">
        <f t="shared" si="8"/>
        <v>0</v>
      </c>
      <c r="T17" s="383">
        <f t="shared" si="15"/>
        <v>0</v>
      </c>
      <c r="U17" s="383">
        <f t="shared" si="15"/>
        <v>0</v>
      </c>
      <c r="V17" s="383">
        <f>I17*$K17*1000000</f>
        <v>0</v>
      </c>
      <c r="X17" s="368"/>
      <c r="Y17" s="367" t="s">
        <v>307</v>
      </c>
      <c r="Z17" s="384">
        <v>1</v>
      </c>
      <c r="AA17" s="384">
        <v>0</v>
      </c>
      <c r="AB17" s="384">
        <v>15</v>
      </c>
      <c r="AC17" s="384">
        <v>16</v>
      </c>
      <c r="AE17" s="132">
        <v>0.8</v>
      </c>
      <c r="AF17" s="132">
        <v>0.9</v>
      </c>
      <c r="AG17" s="385">
        <v>2.1</v>
      </c>
      <c r="AH17" s="525">
        <v>6</v>
      </c>
      <c r="AI17" s="385"/>
      <c r="AJ17" s="386">
        <f t="shared" si="13"/>
        <v>32</v>
      </c>
      <c r="AK17" s="387">
        <f t="shared" si="14"/>
        <v>0.1875</v>
      </c>
      <c r="AM17" s="370"/>
    </row>
    <row r="18" spans="2:39" ht="15" x14ac:dyDescent="0.25">
      <c r="B18" s="367"/>
      <c r="C18" s="388">
        <f t="shared" ref="C18:I18" si="16">SUM(C4:C17)</f>
        <v>451.10000000000008</v>
      </c>
      <c r="D18" s="389">
        <f t="shared" si="16"/>
        <v>673.3</v>
      </c>
      <c r="E18" s="389">
        <f t="shared" si="16"/>
        <v>556.00000000000011</v>
      </c>
      <c r="F18" s="527">
        <f t="shared" ref="F18" si="17">SUM(F4:F17)</f>
        <v>1895.3000000000002</v>
      </c>
      <c r="G18" s="390">
        <f t="shared" si="16"/>
        <v>1375</v>
      </c>
      <c r="H18" s="391">
        <f t="shared" si="16"/>
        <v>1543</v>
      </c>
      <c r="I18" s="392">
        <f t="shared" si="16"/>
        <v>1718</v>
      </c>
      <c r="J18" s="393"/>
      <c r="K18" s="381"/>
      <c r="L18" s="381"/>
      <c r="O18" s="394"/>
      <c r="P18" s="395">
        <f t="shared" ref="P18:V18" si="18">SUM(P4:P17)</f>
        <v>13063439.074505657</v>
      </c>
      <c r="Q18" s="395">
        <f t="shared" si="18"/>
        <v>19494054.002128378</v>
      </c>
      <c r="R18" s="395">
        <f t="shared" si="18"/>
        <v>8028014.159830695</v>
      </c>
      <c r="S18" s="395">
        <f t="shared" si="18"/>
        <v>19498622.570301015</v>
      </c>
      <c r="T18" s="395">
        <f t="shared" si="18"/>
        <v>18012108.50777825</v>
      </c>
      <c r="U18" s="395">
        <f t="shared" si="18"/>
        <v>20775133.786152892</v>
      </c>
      <c r="V18" s="395">
        <f t="shared" si="18"/>
        <v>23653957.18550678</v>
      </c>
      <c r="X18" s="368"/>
      <c r="Z18" s="394">
        <f>SUM(Z4:Z17)</f>
        <v>357</v>
      </c>
      <c r="AA18" s="394">
        <f>SUM(AA4:AA17)</f>
        <v>684</v>
      </c>
      <c r="AB18" s="394">
        <f>SUM(AB4:AB17)</f>
        <v>1184</v>
      </c>
      <c r="AC18" s="394">
        <f>SUM(AC4:AC17)</f>
        <v>1574</v>
      </c>
      <c r="AE18" s="396">
        <f>SUM(AE4:AE17)</f>
        <v>451.10000000000008</v>
      </c>
      <c r="AF18" s="396">
        <f>SUM(AF4:AF17)</f>
        <v>1124.4000000000001</v>
      </c>
      <c r="AG18" s="396">
        <f>SUM(AG4:AG17)</f>
        <v>1698.3000000000002</v>
      </c>
      <c r="AH18" s="526">
        <f>SUM(AH4:AH17)</f>
        <v>3569.9</v>
      </c>
      <c r="AI18" s="396"/>
      <c r="AJ18" s="397">
        <f t="shared" si="9"/>
        <v>2225</v>
      </c>
      <c r="AK18" s="398">
        <f t="shared" ref="AK18" si="19">AG18/AJ18</f>
        <v>0.7632808988764046</v>
      </c>
      <c r="AM18" s="370"/>
    </row>
    <row r="19" spans="2:39" x14ac:dyDescent="0.2">
      <c r="B19" s="367"/>
      <c r="C19" s="394"/>
      <c r="D19" s="399"/>
      <c r="E19" s="399"/>
      <c r="F19" s="399"/>
      <c r="G19" s="367"/>
      <c r="H19" s="381"/>
      <c r="O19" s="394"/>
      <c r="P19" s="395"/>
      <c r="Q19" s="395"/>
      <c r="R19" s="395"/>
      <c r="S19" s="395"/>
      <c r="T19" s="395"/>
      <c r="X19" s="368"/>
      <c r="AD19" s="400" t="s">
        <v>408</v>
      </c>
      <c r="AM19" s="370"/>
    </row>
    <row r="20" spans="2:39" x14ac:dyDescent="0.2">
      <c r="B20" s="367" t="s">
        <v>308</v>
      </c>
      <c r="C20" s="400" t="s">
        <v>408</v>
      </c>
      <c r="D20" s="367"/>
      <c r="E20" s="367"/>
      <c r="F20" s="367" t="s">
        <v>309</v>
      </c>
      <c r="G20" s="367" t="s">
        <v>414</v>
      </c>
      <c r="H20" s="381"/>
      <c r="X20" s="368"/>
      <c r="AD20" s="365" t="s">
        <v>409</v>
      </c>
      <c r="AM20" s="370"/>
    </row>
    <row r="21" spans="2:39" x14ac:dyDescent="0.2">
      <c r="B21" s="367"/>
      <c r="C21" s="367"/>
      <c r="D21" s="367"/>
      <c r="E21" s="367"/>
      <c r="F21" s="367"/>
      <c r="G21" s="367" t="s">
        <v>415</v>
      </c>
      <c r="H21" s="367"/>
      <c r="I21" s="367"/>
      <c r="X21" s="368"/>
      <c r="AD21" s="401" t="s">
        <v>420</v>
      </c>
      <c r="AE21" s="369" t="s">
        <v>412</v>
      </c>
      <c r="AF21" s="369" t="s">
        <v>411</v>
      </c>
      <c r="AG21" s="369" t="s">
        <v>410</v>
      </c>
      <c r="AH21" s="369"/>
      <c r="AM21" s="370"/>
    </row>
    <row r="22" spans="2:39" ht="15" thickBot="1" x14ac:dyDescent="0.25">
      <c r="B22" s="402"/>
      <c r="C22" s="403"/>
      <c r="D22" s="403"/>
      <c r="E22" s="403"/>
      <c r="F22" s="403"/>
      <c r="G22" s="403"/>
      <c r="H22" s="403"/>
      <c r="I22" s="404"/>
      <c r="N22" s="405"/>
      <c r="O22" s="406" t="str">
        <f t="shared" ref="O22:O35" si="20">O4</f>
        <v>Retrofit</v>
      </c>
      <c r="P22" s="407">
        <f t="shared" ref="P22:P35" si="21">P4/2</f>
        <v>5994623.3339859964</v>
      </c>
      <c r="Q22" s="407">
        <f t="shared" ref="Q22:Q35" si="22">Q4/2+P4/2</f>
        <v>14980081.551050719</v>
      </c>
      <c r="R22" s="407">
        <f t="shared" ref="R22:R35" si="23">R4/2+Q4+$P4/2</f>
        <v>26300060.547881417</v>
      </c>
      <c r="S22" s="407">
        <f>S4/2+SUM($Q4:R4)+$P4/2</f>
        <v>36176326.083185308</v>
      </c>
      <c r="T22" s="407">
        <f>T4/2+SUM($Q4:S4)+$P4/2</f>
        <v>50137283.340422519</v>
      </c>
      <c r="U22" s="407">
        <f>U4/2+SUM($Q4:T4)+$P4/2</f>
        <v>64026386.623247214</v>
      </c>
      <c r="V22" s="408">
        <f>V4/2+SUM($Q4:U4)+$P4/2</f>
        <v>78347275.500356615</v>
      </c>
      <c r="X22" s="409"/>
      <c r="Y22" s="410"/>
      <c r="Z22" s="410"/>
      <c r="AA22" s="410"/>
      <c r="AB22" s="410"/>
      <c r="AC22" s="410"/>
      <c r="AD22" s="410"/>
      <c r="AE22" s="410"/>
      <c r="AF22" s="410"/>
      <c r="AG22" s="410"/>
      <c r="AH22" s="410"/>
      <c r="AI22" s="410"/>
      <c r="AJ22" s="410"/>
      <c r="AK22" s="410"/>
      <c r="AL22" s="410"/>
      <c r="AM22" s="411"/>
    </row>
    <row r="23" spans="2:39" x14ac:dyDescent="0.2">
      <c r="B23" s="402"/>
      <c r="C23" s="403"/>
      <c r="D23" s="403"/>
      <c r="E23" s="403"/>
      <c r="F23" s="403"/>
      <c r="G23" s="403"/>
      <c r="H23" s="403"/>
      <c r="I23" s="404"/>
      <c r="N23" s="412"/>
      <c r="O23" s="132" t="str">
        <f t="shared" si="20"/>
        <v>Small Business</v>
      </c>
      <c r="P23" s="413">
        <f t="shared" si="21"/>
        <v>171344.80215585971</v>
      </c>
      <c r="Q23" s="413">
        <f t="shared" si="22"/>
        <v>246677.43068990146</v>
      </c>
      <c r="R23" s="413">
        <f t="shared" si="23"/>
        <v>428362.00538964919</v>
      </c>
      <c r="S23" s="413">
        <f>S5/2+SUM($Q5:R5)+$P5/2</f>
        <v>673390.31704415602</v>
      </c>
      <c r="T23" s="413">
        <f>T5/2+SUM($Q5:S5)+$P5/2</f>
        <v>1018862.1334107185</v>
      </c>
      <c r="U23" s="413">
        <f>U5/2+SUM($Q5:T5)+$P5/2</f>
        <v>1447224.1388003677</v>
      </c>
      <c r="V23" s="414">
        <f>V5/2+SUM($Q5:U5)+$P5/2</f>
        <v>1905128.3514582685</v>
      </c>
    </row>
    <row r="24" spans="2:39" x14ac:dyDescent="0.2">
      <c r="B24" s="415" t="s">
        <v>286</v>
      </c>
      <c r="C24" s="416">
        <v>2020</v>
      </c>
      <c r="D24" s="416">
        <v>2021</v>
      </c>
      <c r="E24" s="416">
        <v>2022</v>
      </c>
      <c r="F24" s="416">
        <v>2023</v>
      </c>
      <c r="G24" s="369">
        <v>2024</v>
      </c>
      <c r="H24" s="416" t="s">
        <v>310</v>
      </c>
      <c r="I24" s="417"/>
      <c r="J24" s="418"/>
      <c r="K24" s="418"/>
      <c r="L24" s="418"/>
      <c r="M24" s="418"/>
      <c r="N24" s="412"/>
      <c r="O24" s="132" t="str">
        <f t="shared" si="20"/>
        <v xml:space="preserve">Energy Performance </v>
      </c>
      <c r="P24" s="413">
        <f t="shared" si="21"/>
        <v>185669.43645000819</v>
      </c>
      <c r="Q24" s="413">
        <f t="shared" si="22"/>
        <v>474488.5598166876</v>
      </c>
      <c r="R24" s="413">
        <f t="shared" si="23"/>
        <v>847300.99967265641</v>
      </c>
      <c r="S24" s="413">
        <f>S6/2+SUM($Q6:R6)+$P6/2</f>
        <v>1057265.813359668</v>
      </c>
      <c r="T24" s="413">
        <f>T6/2+SUM($Q6:S6)+$P6/2</f>
        <v>1183237.3105573906</v>
      </c>
      <c r="U24" s="413">
        <f>U6/2+SUM($Q6:T6)+$P6/2</f>
        <v>1183237.3105573906</v>
      </c>
      <c r="V24" s="414">
        <f>V6/2+SUM($Q6:U6)+$P6/2</f>
        <v>1183237.3105573906</v>
      </c>
    </row>
    <row r="25" spans="2:39" x14ac:dyDescent="0.2">
      <c r="B25" s="377" t="str">
        <f>B78</f>
        <v>Residential</v>
      </c>
      <c r="C25" s="419">
        <f t="shared" ref="C25:H25" si="24">D79</f>
        <v>2.7160838271203618E-2</v>
      </c>
      <c r="D25" s="419">
        <f t="shared" si="24"/>
        <v>2.7260523819577914E-2</v>
      </c>
      <c r="E25" s="419">
        <f t="shared" si="24"/>
        <v>2.7152283052320775E-2</v>
      </c>
      <c r="F25" s="419">
        <f t="shared" si="24"/>
        <v>2.655132832755874E-2</v>
      </c>
      <c r="G25" s="419">
        <f t="shared" si="24"/>
        <v>2.6837965869984572E-2</v>
      </c>
      <c r="H25" s="420">
        <f t="shared" si="24"/>
        <v>2.6993503767277226E-2</v>
      </c>
      <c r="I25" s="421"/>
      <c r="J25" s="395"/>
      <c r="K25" s="395"/>
      <c r="L25" s="395"/>
      <c r="M25" s="395"/>
      <c r="N25" s="422" t="s">
        <v>312</v>
      </c>
      <c r="O25" s="132" t="str">
        <f t="shared" si="20"/>
        <v>Energy Management</v>
      </c>
      <c r="P25" s="413">
        <f t="shared" si="21"/>
        <v>11788.535647619568</v>
      </c>
      <c r="Q25" s="413">
        <f t="shared" si="22"/>
        <v>231350.01208453401</v>
      </c>
      <c r="R25" s="413">
        <f t="shared" si="23"/>
        <v>450911.48852144845</v>
      </c>
      <c r="S25" s="413">
        <f>S7/2+SUM($Q7:R7)+$P7/2</f>
        <v>1113948.9670755321</v>
      </c>
      <c r="T25" s="413">
        <f>T7/2+SUM($Q7:S7)+$P7/2</f>
        <v>2069420.2784100426</v>
      </c>
      <c r="U25" s="413">
        <f>U7/2+SUM($Q7:T7)+$P7/2</f>
        <v>2693654.0368451853</v>
      </c>
      <c r="V25" s="414">
        <f>V7/2+SUM($Q7:U7)+$P7/2</f>
        <v>3385372.525921965</v>
      </c>
    </row>
    <row r="26" spans="2:39" x14ac:dyDescent="0.2">
      <c r="B26" s="377" t="str">
        <f>B81</f>
        <v>General Service &lt; 50 kW</v>
      </c>
      <c r="C26" s="423">
        <f t="shared" ref="C26:H26" si="25">D82</f>
        <v>2.9886959662894744E-2</v>
      </c>
      <c r="D26" s="423">
        <f t="shared" si="25"/>
        <v>2.9617889207804008E-2</v>
      </c>
      <c r="E26" s="423">
        <f t="shared" si="25"/>
        <v>2.9872460739311883E-2</v>
      </c>
      <c r="F26" s="423">
        <f t="shared" si="25"/>
        <v>2.9145927724414836E-2</v>
      </c>
      <c r="G26" s="423">
        <f t="shared" si="25"/>
        <v>2.9225716618292614E-2</v>
      </c>
      <c r="H26" s="424">
        <f t="shared" si="25"/>
        <v>2.9542207268251672E-2</v>
      </c>
      <c r="I26" s="421"/>
      <c r="J26" s="395"/>
      <c r="K26" s="395"/>
      <c r="L26" s="395"/>
      <c r="M26" s="395"/>
      <c r="N26" s="425" t="s">
        <v>313</v>
      </c>
      <c r="O26" s="132" t="str">
        <f t="shared" si="20"/>
        <v>Industrial Energy Efficiency</v>
      </c>
      <c r="P26" s="413">
        <f t="shared" si="21"/>
        <v>0</v>
      </c>
      <c r="Q26" s="413">
        <f t="shared" si="22"/>
        <v>0</v>
      </c>
      <c r="R26" s="413">
        <f t="shared" si="23"/>
        <v>1286423.9525464852</v>
      </c>
      <c r="S26" s="413">
        <f>S8/2+SUM($Q8:R8)+$P8/2</f>
        <v>3068860.6753090024</v>
      </c>
      <c r="T26" s="413">
        <f>T8/2+SUM($Q8:S8)+$P8/2</f>
        <v>4312829.2101365123</v>
      </c>
      <c r="U26" s="413">
        <f>U8/2+SUM($Q8:T8)+$P8/2</f>
        <v>5960581.3833031496</v>
      </c>
      <c r="V26" s="414">
        <f>V8/2+SUM($Q8:U8)+$P8/2</f>
        <v>7957004.6647849111</v>
      </c>
    </row>
    <row r="27" spans="2:39" x14ac:dyDescent="0.2">
      <c r="B27" s="377" t="str">
        <f>B84</f>
        <v>General Service &gt;= 50 kW</v>
      </c>
      <c r="C27" s="426">
        <f t="shared" ref="C27:H27" si="26">D85</f>
        <v>2.918919866862256E-2</v>
      </c>
      <c r="D27" s="426">
        <f t="shared" si="26"/>
        <v>2.8883763792362009E-2</v>
      </c>
      <c r="E27" s="426">
        <f t="shared" si="26"/>
        <v>2.9262339957516745E-2</v>
      </c>
      <c r="F27" s="426">
        <f t="shared" si="26"/>
        <v>2.9394886283923061E-2</v>
      </c>
      <c r="G27" s="426">
        <f t="shared" si="26"/>
        <v>2.9565547851924716E-2</v>
      </c>
      <c r="H27" s="427">
        <f t="shared" si="26"/>
        <v>2.9261219488449924E-2</v>
      </c>
      <c r="I27" s="428"/>
      <c r="J27" s="429"/>
      <c r="K27" s="429"/>
      <c r="L27" s="395"/>
      <c r="M27" s="395"/>
      <c r="N27" s="425"/>
      <c r="O27" s="132" t="str">
        <f t="shared" si="20"/>
        <v>New Construction</v>
      </c>
      <c r="P27" s="413">
        <f t="shared" si="21"/>
        <v>0</v>
      </c>
      <c r="Q27" s="413">
        <f t="shared" si="22"/>
        <v>0</v>
      </c>
      <c r="R27" s="413">
        <f t="shared" si="23"/>
        <v>0</v>
      </c>
      <c r="S27" s="413">
        <f>S9/2+SUM($Q9:R9)+$P9/2</f>
        <v>0</v>
      </c>
      <c r="T27" s="413">
        <f>T9/2+SUM($Q9:S9)+$P9/2</f>
        <v>0</v>
      </c>
      <c r="U27" s="413">
        <f>U9/2+SUM($Q9:T9)+$P9/2</f>
        <v>0</v>
      </c>
      <c r="V27" s="414">
        <f>V9/2+SUM($Q9:U9)+$P9/2</f>
        <v>1550844.6328878461</v>
      </c>
    </row>
    <row r="28" spans="2:39" x14ac:dyDescent="0.2">
      <c r="B28" s="377" t="str">
        <f>B87</f>
        <v>Large User</v>
      </c>
      <c r="C28" s="430">
        <f t="shared" ref="C28:H28" si="27">D88</f>
        <v>1.4011286554750388E-2</v>
      </c>
      <c r="D28" s="430">
        <f t="shared" si="27"/>
        <v>1.496860131313414E-2</v>
      </c>
      <c r="E28" s="430">
        <f t="shared" si="27"/>
        <v>1.6261075189785597E-2</v>
      </c>
      <c r="F28" s="430">
        <f t="shared" si="27"/>
        <v>2.0893223623703168E-2</v>
      </c>
      <c r="G28" s="430">
        <f t="shared" si="27"/>
        <v>2.1511799949160717E-2</v>
      </c>
      <c r="H28" s="431">
        <f t="shared" si="27"/>
        <v>1.7575143007090187E-2</v>
      </c>
      <c r="I28" s="432"/>
      <c r="J28" s="394"/>
      <c r="K28" s="394"/>
      <c r="L28" s="395"/>
      <c r="M28" s="395"/>
      <c r="N28" s="425"/>
      <c r="O28" s="132" t="str">
        <f t="shared" si="20"/>
        <v>Home Renovation Savings</v>
      </c>
      <c r="P28" s="413">
        <f t="shared" si="21"/>
        <v>0</v>
      </c>
      <c r="Q28" s="413">
        <f t="shared" si="22"/>
        <v>0</v>
      </c>
      <c r="R28" s="413">
        <f t="shared" si="23"/>
        <v>0</v>
      </c>
      <c r="S28" s="413">
        <f>S10/2+SUM($Q10:R10)+$P10/2</f>
        <v>0</v>
      </c>
      <c r="T28" s="413">
        <f>T10/2+SUM($Q10:S10)+$P10/2</f>
        <v>823301.86490195547</v>
      </c>
      <c r="U28" s="413">
        <f>U10/2+SUM($Q10:T10)+$P10/2</f>
        <v>2537389.3541240594</v>
      </c>
      <c r="V28" s="414">
        <f>V10/2+SUM($Q10:U10)+$P10/2</f>
        <v>4318960.6027643569</v>
      </c>
    </row>
    <row r="29" spans="2:39" x14ac:dyDescent="0.2">
      <c r="B29" s="377" t="str">
        <f>B90</f>
        <v>Total</v>
      </c>
      <c r="C29" s="430">
        <f t="shared" ref="C29:H29" si="28">D91</f>
        <v>2.7478071451806665E-2</v>
      </c>
      <c r="D29" s="430">
        <f t="shared" si="28"/>
        <v>2.7461449304395098E-2</v>
      </c>
      <c r="E29" s="430">
        <f t="shared" si="28"/>
        <v>2.771505557608072E-2</v>
      </c>
      <c r="F29" s="430">
        <f t="shared" si="28"/>
        <v>2.7741747400520364E-2</v>
      </c>
      <c r="G29" s="430">
        <f t="shared" si="28"/>
        <v>2.7958642232549357E-2</v>
      </c>
      <c r="H29" s="431">
        <f t="shared" si="28"/>
        <v>2.767331433199232E-2</v>
      </c>
      <c r="I29" s="378"/>
      <c r="L29" s="395"/>
      <c r="M29" s="395"/>
      <c r="N29" s="425"/>
      <c r="O29" s="132" t="str">
        <f t="shared" si="20"/>
        <v>Commercial HVAC DR</v>
      </c>
      <c r="P29" s="413">
        <f t="shared" si="21"/>
        <v>0</v>
      </c>
      <c r="Q29" s="413">
        <f t="shared" si="22"/>
        <v>0</v>
      </c>
      <c r="R29" s="413">
        <f t="shared" si="23"/>
        <v>0</v>
      </c>
      <c r="S29" s="413">
        <f>S11/2+SUM($Q11:R11)+$P11/2</f>
        <v>0</v>
      </c>
      <c r="T29" s="413">
        <f>T11/2+SUM($Q11:S11)+$P11/2</f>
        <v>0</v>
      </c>
      <c r="U29" s="413">
        <f>U11/2+SUM($Q11:T11)+$P11/2</f>
        <v>0</v>
      </c>
      <c r="V29" s="414">
        <f>V11/2+SUM($Q11:U11)+$P11/2</f>
        <v>0</v>
      </c>
    </row>
    <row r="30" spans="2:39" x14ac:dyDescent="0.2">
      <c r="B30" s="412"/>
      <c r="I30" s="433"/>
      <c r="L30" s="395"/>
      <c r="M30" s="395"/>
      <c r="N30" s="425"/>
      <c r="O30" s="132" t="str">
        <f t="shared" si="20"/>
        <v>Peak Perks</v>
      </c>
      <c r="P30" s="413">
        <f t="shared" si="21"/>
        <v>0</v>
      </c>
      <c r="Q30" s="413">
        <f t="shared" si="22"/>
        <v>0</v>
      </c>
      <c r="R30" s="413">
        <f t="shared" si="23"/>
        <v>0</v>
      </c>
      <c r="S30" s="413">
        <f>S12/2+SUM($Q12:R12)+$P12/2</f>
        <v>0</v>
      </c>
      <c r="T30" s="413">
        <f>T12/2+SUM($Q12:S12)+$P12/2</f>
        <v>0</v>
      </c>
      <c r="U30" s="413">
        <f>U12/2+SUM($Q12:T12)+$P12/2</f>
        <v>0</v>
      </c>
      <c r="V30" s="414">
        <f>V12/2+SUM($Q12:U12)+$P12/2</f>
        <v>0</v>
      </c>
    </row>
    <row r="31" spans="2:39" x14ac:dyDescent="0.2">
      <c r="B31" s="377"/>
      <c r="C31" s="434"/>
      <c r="D31" s="434"/>
      <c r="E31" s="434"/>
      <c r="F31" s="434"/>
      <c r="G31" s="434"/>
      <c r="H31" s="434"/>
      <c r="I31" s="435"/>
      <c r="J31" s="436"/>
      <c r="K31" s="437"/>
      <c r="L31" s="429"/>
      <c r="M31" s="429"/>
      <c r="N31" s="412"/>
      <c r="O31" s="132" t="str">
        <f t="shared" si="20"/>
        <v>Targeted Greenhouse</v>
      </c>
      <c r="P31" s="413">
        <f t="shared" si="21"/>
        <v>0</v>
      </c>
      <c r="Q31" s="413">
        <f t="shared" si="22"/>
        <v>0</v>
      </c>
      <c r="R31" s="413">
        <f t="shared" si="23"/>
        <v>0</v>
      </c>
      <c r="S31" s="413">
        <f>S13/2+SUM($Q13:R13)+$P13/2</f>
        <v>0</v>
      </c>
      <c r="T31" s="413">
        <f>T13/2+SUM($Q13:S13)+$P13/2</f>
        <v>0</v>
      </c>
      <c r="U31" s="413">
        <f>U13/2+SUM($Q13:T13)+$P13/2</f>
        <v>0</v>
      </c>
      <c r="V31" s="414">
        <f>V13/2+SUM($Q13:U13)+$P13/2</f>
        <v>0</v>
      </c>
    </row>
    <row r="32" spans="2:39" x14ac:dyDescent="0.2">
      <c r="B32" s="377"/>
      <c r="C32" s="434"/>
      <c r="D32" s="434"/>
      <c r="E32" s="434"/>
      <c r="F32" s="434"/>
      <c r="G32" s="434"/>
      <c r="I32" s="435"/>
      <c r="J32" s="436"/>
      <c r="K32" s="438"/>
      <c r="L32" s="394"/>
      <c r="M32" s="394"/>
      <c r="N32" s="412"/>
      <c r="O32" s="132" t="str">
        <f t="shared" si="20"/>
        <v>Local Initiatives</v>
      </c>
      <c r="P32" s="413">
        <f t="shared" si="21"/>
        <v>0</v>
      </c>
      <c r="Q32" s="413">
        <f t="shared" si="22"/>
        <v>0</v>
      </c>
      <c r="R32" s="413">
        <f t="shared" si="23"/>
        <v>0</v>
      </c>
      <c r="S32" s="413">
        <f>S14/2+SUM($Q14:R14)+$P14/2</f>
        <v>0</v>
      </c>
      <c r="T32" s="413">
        <f>T14/2+SUM($Q14:S14)+$P14/2</f>
        <v>0</v>
      </c>
      <c r="U32" s="413">
        <f>U14/2+SUM($Q14:T14)+$P14/2</f>
        <v>0</v>
      </c>
      <c r="V32" s="414">
        <f>V14/2+SUM($Q14:U14)+$P14/2</f>
        <v>0</v>
      </c>
    </row>
    <row r="33" spans="2:22" x14ac:dyDescent="0.2">
      <c r="B33" s="377"/>
      <c r="C33" s="367"/>
      <c r="D33" s="367"/>
      <c r="E33" s="367"/>
      <c r="F33" s="367"/>
      <c r="G33" s="367"/>
      <c r="H33" s="367"/>
      <c r="I33" s="378"/>
      <c r="K33" s="394"/>
      <c r="N33" s="439"/>
      <c r="O33" s="132" t="str">
        <f t="shared" si="20"/>
        <v>Residential Demand Response</v>
      </c>
      <c r="P33" s="413">
        <f t="shared" si="21"/>
        <v>0</v>
      </c>
      <c r="Q33" s="413">
        <f t="shared" si="22"/>
        <v>0</v>
      </c>
      <c r="R33" s="413">
        <f t="shared" si="23"/>
        <v>0</v>
      </c>
      <c r="S33" s="413">
        <f>S15/2+SUM($Q15:R15)+$P15/2</f>
        <v>0</v>
      </c>
      <c r="T33" s="413">
        <f>T15/2+SUM($Q15:S15)+$P15/2</f>
        <v>0</v>
      </c>
      <c r="U33" s="413">
        <f>U15/2+SUM($Q15:T15)+$P15/2</f>
        <v>0</v>
      </c>
      <c r="V33" s="414">
        <f>V15/2+SUM($Q15:U15)+$P15/2</f>
        <v>0</v>
      </c>
    </row>
    <row r="34" spans="2:22" x14ac:dyDescent="0.2">
      <c r="B34" s="402"/>
      <c r="C34" s="403"/>
      <c r="D34" s="403"/>
      <c r="E34" s="403"/>
      <c r="F34" s="403"/>
      <c r="G34" s="403"/>
      <c r="H34" s="403"/>
      <c r="I34" s="404"/>
      <c r="K34" s="394"/>
      <c r="N34" s="412"/>
      <c r="O34" s="132" t="str">
        <f t="shared" si="20"/>
        <v>Energy Affordability Program</v>
      </c>
      <c r="P34" s="413">
        <f t="shared" si="21"/>
        <v>168293.42901334414</v>
      </c>
      <c r="Q34" s="413">
        <f t="shared" si="22"/>
        <v>346148.98467517376</v>
      </c>
      <c r="R34" s="413">
        <f t="shared" si="23"/>
        <v>726721.62528489518</v>
      </c>
      <c r="S34" s="413">
        <f>S16/2+SUM($Q16:R16)+$P16/2</f>
        <v>1713307.1283887404</v>
      </c>
      <c r="T34" s="413">
        <f>T16/2+SUM($Q16:S16)+$P16/2</f>
        <v>3013530.3855629079</v>
      </c>
      <c r="U34" s="413">
        <f>U16/2+SUM($Q16:T16)+$P16/2</f>
        <v>4103612.8234902504</v>
      </c>
      <c r="V34" s="414">
        <f>V16/2+SUM($Q16:U16)+$P16/2</f>
        <v>5518807.5674660988</v>
      </c>
    </row>
    <row r="35" spans="2:22" x14ac:dyDescent="0.2">
      <c r="B35" s="415" t="str">
        <f>B16</f>
        <v>Energy Affordability Program</v>
      </c>
      <c r="C35" s="394">
        <v>2019</v>
      </c>
      <c r="D35" s="394">
        <f>C35+1</f>
        <v>2020</v>
      </c>
      <c r="E35" s="394">
        <f>D35+1</f>
        <v>2021</v>
      </c>
      <c r="F35" s="394">
        <f>E35+1</f>
        <v>2022</v>
      </c>
      <c r="G35" s="394">
        <f>F35+1</f>
        <v>2023</v>
      </c>
      <c r="H35" s="416" t="s">
        <v>310</v>
      </c>
      <c r="I35" s="432"/>
      <c r="J35" s="394"/>
      <c r="K35" s="394"/>
      <c r="N35" s="412"/>
      <c r="O35" s="132" t="str">
        <f t="shared" si="20"/>
        <v>First Nations Program</v>
      </c>
      <c r="P35" s="413">
        <f t="shared" si="21"/>
        <v>0</v>
      </c>
      <c r="Q35" s="413">
        <f t="shared" si="22"/>
        <v>0</v>
      </c>
      <c r="R35" s="413">
        <f t="shared" si="23"/>
        <v>0</v>
      </c>
      <c r="S35" s="413">
        <f>S17/2+SUM($Q17:R17)+$P17/2</f>
        <v>0</v>
      </c>
      <c r="T35" s="413">
        <f>T17/2+SUM($Q17:S17)+$P17/2</f>
        <v>0</v>
      </c>
      <c r="U35" s="413">
        <f>U17/2+SUM($Q17:T17)+$P17/2</f>
        <v>0</v>
      </c>
      <c r="V35" s="414">
        <f>V17/2+SUM($Q17:U17)+$P17/2</f>
        <v>0</v>
      </c>
    </row>
    <row r="36" spans="2:22" x14ac:dyDescent="0.2">
      <c r="B36" s="377" t="s">
        <v>311</v>
      </c>
      <c r="C36" s="440">
        <v>1400400</v>
      </c>
      <c r="D36" s="440">
        <v>1192760</v>
      </c>
      <c r="E36" s="440">
        <v>1418720</v>
      </c>
      <c r="F36" s="440">
        <v>1616050</v>
      </c>
      <c r="G36" s="441">
        <v>1670930</v>
      </c>
      <c r="H36" s="367"/>
      <c r="I36" s="432"/>
      <c r="J36" s="394"/>
      <c r="K36" s="394"/>
      <c r="L36" s="394"/>
      <c r="M36" s="394"/>
      <c r="N36" s="442"/>
      <c r="O36" s="394" t="s">
        <v>128</v>
      </c>
      <c r="P36" s="395">
        <f t="shared" ref="P36:V36" si="29">SUM(P22:P33)</f>
        <v>6363426.108239484</v>
      </c>
      <c r="Q36" s="395">
        <f t="shared" si="29"/>
        <v>15932597.553641843</v>
      </c>
      <c r="R36" s="395">
        <f t="shared" si="29"/>
        <v>29313058.994011655</v>
      </c>
      <c r="S36" s="395">
        <f t="shared" si="29"/>
        <v>42089791.855973668</v>
      </c>
      <c r="T36" s="395">
        <f t="shared" si="29"/>
        <v>59544934.137839131</v>
      </c>
      <c r="U36" s="395">
        <f t="shared" si="29"/>
        <v>77848472.846877366</v>
      </c>
      <c r="V36" s="421">
        <f t="shared" si="29"/>
        <v>98647823.588731349</v>
      </c>
    </row>
    <row r="37" spans="2:22" x14ac:dyDescent="0.2">
      <c r="B37" s="377" t="s">
        <v>445</v>
      </c>
      <c r="C37" s="440">
        <v>52700</v>
      </c>
      <c r="D37" s="443">
        <v>45130</v>
      </c>
      <c r="E37" s="440">
        <v>54380</v>
      </c>
      <c r="F37" s="440">
        <v>62800</v>
      </c>
      <c r="G37" s="441">
        <v>64470</v>
      </c>
      <c r="H37" s="367"/>
      <c r="I37" s="444"/>
      <c r="J37" s="394"/>
      <c r="K37" s="394"/>
      <c r="L37" s="394"/>
      <c r="M37" s="394"/>
      <c r="N37" s="442"/>
      <c r="V37" s="433"/>
    </row>
    <row r="38" spans="2:22" x14ac:dyDescent="0.2">
      <c r="B38" s="377" t="s">
        <v>452</v>
      </c>
      <c r="C38" s="134">
        <f>C37/C36</f>
        <v>3.7632105112824908E-2</v>
      </c>
      <c r="D38" s="134">
        <f>D37/D36</f>
        <v>3.7836614239243435E-2</v>
      </c>
      <c r="E38" s="134">
        <f>E37/E36</f>
        <v>3.8330325927596706E-2</v>
      </c>
      <c r="F38" s="134">
        <f>F37/F36</f>
        <v>3.8860183781442403E-2</v>
      </c>
      <c r="G38" s="134">
        <f>G37/G36</f>
        <v>3.8583303908601797E-2</v>
      </c>
      <c r="H38" s="382">
        <f>AVERAGE(C38:G38)</f>
        <v>3.8248506593941849E-2</v>
      </c>
      <c r="I38" s="428"/>
      <c r="J38" s="394"/>
      <c r="L38" s="394"/>
      <c r="M38" s="394"/>
      <c r="N38" s="445"/>
      <c r="O38" s="132" t="s">
        <v>24</v>
      </c>
      <c r="P38" s="133">
        <f t="shared" ref="P38:V38" si="30">SUMPRODUCT(P$22:P$35,$O$57:$O$70)</f>
        <v>168293.42901334414</v>
      </c>
      <c r="Q38" s="133">
        <f t="shared" si="30"/>
        <v>346148.98467517376</v>
      </c>
      <c r="R38" s="133">
        <f t="shared" si="30"/>
        <v>726721.62528489518</v>
      </c>
      <c r="S38" s="133">
        <f t="shared" si="30"/>
        <v>1713307.1283887404</v>
      </c>
      <c r="T38" s="133">
        <f t="shared" si="30"/>
        <v>3836832.2504648631</v>
      </c>
      <c r="U38" s="133">
        <f t="shared" si="30"/>
        <v>6641002.1776143098</v>
      </c>
      <c r="V38" s="446">
        <f t="shared" si="30"/>
        <v>9837768.1702304557</v>
      </c>
    </row>
    <row r="39" spans="2:22" x14ac:dyDescent="0.2">
      <c r="B39" s="377"/>
      <c r="C39" s="367"/>
      <c r="D39" s="367"/>
      <c r="E39" s="367"/>
      <c r="F39" s="367"/>
      <c r="G39" s="367"/>
      <c r="H39" s="367"/>
      <c r="I39" s="378"/>
      <c r="L39" s="394"/>
      <c r="M39" s="394"/>
      <c r="N39" s="422" t="s">
        <v>312</v>
      </c>
      <c r="O39" s="132" t="s">
        <v>111</v>
      </c>
      <c r="P39" s="133">
        <f t="shared" ref="P39:V39" si="31">SUMPRODUCT(P$22:P$35,$P$57:$P$70)</f>
        <v>1235939.0419139697</v>
      </c>
      <c r="Q39" s="133">
        <f t="shared" si="31"/>
        <v>3065848.4577342006</v>
      </c>
      <c r="R39" s="133">
        <f t="shared" si="31"/>
        <v>6383981.2569733718</v>
      </c>
      <c r="S39" s="133">
        <f t="shared" si="31"/>
        <v>10125391.322320007</v>
      </c>
      <c r="T39" s="133">
        <f t="shared" si="31"/>
        <v>14345248.009984795</v>
      </c>
      <c r="U39" s="133">
        <f t="shared" si="31"/>
        <v>18597053.159595601</v>
      </c>
      <c r="V39" s="446">
        <f t="shared" si="31"/>
        <v>23255643.267431714</v>
      </c>
    </row>
    <row r="40" spans="2:22" x14ac:dyDescent="0.2">
      <c r="B40" s="377" t="s">
        <v>308</v>
      </c>
      <c r="C40" s="367" t="s">
        <v>453</v>
      </c>
      <c r="D40" s="367"/>
      <c r="E40" s="367"/>
      <c r="F40" s="367"/>
      <c r="G40" s="367"/>
      <c r="H40" s="367"/>
      <c r="I40" s="378"/>
      <c r="L40" s="394"/>
      <c r="M40" s="394"/>
      <c r="N40" s="425" t="s">
        <v>313</v>
      </c>
      <c r="O40" s="132" t="s">
        <v>112</v>
      </c>
      <c r="P40" s="133">
        <f t="shared" ref="P40:V40" si="32">SUMPRODUCT(P$22:P$35,$Q$57:$Q$70)</f>
        <v>4740689.8023731448</v>
      </c>
      <c r="Q40" s="133">
        <f t="shared" si="32"/>
        <v>11896846.53312989</v>
      </c>
      <c r="R40" s="133">
        <f t="shared" si="32"/>
        <v>21205174.461083557</v>
      </c>
      <c r="S40" s="133">
        <f t="shared" si="32"/>
        <v>29566739.900425229</v>
      </c>
      <c r="T40" s="133">
        <f t="shared" si="32"/>
        <v>41048682.951622799</v>
      </c>
      <c r="U40" s="133">
        <f t="shared" si="32"/>
        <v>52461724.474166997</v>
      </c>
      <c r="V40" s="446">
        <f t="shared" si="32"/>
        <v>65862152.565214835</v>
      </c>
    </row>
    <row r="41" spans="2:22" x14ac:dyDescent="0.2">
      <c r="B41" s="377"/>
      <c r="C41" s="367" t="s">
        <v>454</v>
      </c>
      <c r="D41" s="367"/>
      <c r="E41" s="367"/>
      <c r="F41" s="367"/>
      <c r="G41" s="367"/>
      <c r="H41" s="367"/>
      <c r="I41" s="378"/>
      <c r="N41" s="412"/>
      <c r="O41" s="132" t="s">
        <v>443</v>
      </c>
      <c r="P41" s="133">
        <f>SUMPRODUCT(P$22:P$35,$R$57:$R$70)</f>
        <v>120825.12850025672</v>
      </c>
      <c r="Q41" s="133">
        <f t="shared" ref="Q41:V41" si="33">SUMPRODUCT(Q$22:Q$35,$R$57:$R$70)</f>
        <v>305259.58899969823</v>
      </c>
      <c r="R41" s="133">
        <f t="shared" si="33"/>
        <v>557010.39933612547</v>
      </c>
      <c r="S41" s="133">
        <f t="shared" si="33"/>
        <v>792573.17984228279</v>
      </c>
      <c r="T41" s="133">
        <f t="shared" si="33"/>
        <v>1103187.8477033586</v>
      </c>
      <c r="U41" s="133">
        <f t="shared" si="33"/>
        <v>1411554.4344730342</v>
      </c>
      <c r="V41" s="446">
        <f t="shared" si="33"/>
        <v>1734920.1110960362</v>
      </c>
    </row>
    <row r="42" spans="2:22" x14ac:dyDescent="0.2">
      <c r="B42" s="447"/>
      <c r="C42" s="448"/>
      <c r="D42" s="448"/>
      <c r="E42" s="448"/>
      <c r="F42" s="448"/>
      <c r="G42" s="448"/>
      <c r="H42" s="448"/>
      <c r="I42" s="449"/>
      <c r="N42" s="412"/>
      <c r="O42" s="132" t="s">
        <v>444</v>
      </c>
      <c r="P42" s="133">
        <f>SUMPRODUCT(P$22:P$35,$S$57:$S$70)</f>
        <v>265972.13545211212</v>
      </c>
      <c r="Q42" s="133">
        <f t="shared" ref="Q42:V42" si="34">SUMPRODUCT(Q$22:Q$35,$S$57:$S$70)</f>
        <v>664642.97377805109</v>
      </c>
      <c r="R42" s="133">
        <f t="shared" si="34"/>
        <v>1166892.8766185942</v>
      </c>
      <c r="S42" s="133">
        <f t="shared" si="34"/>
        <v>1605087.4533861442</v>
      </c>
      <c r="T42" s="133">
        <f t="shared" si="34"/>
        <v>2224513.4636262259</v>
      </c>
      <c r="U42" s="133">
        <f t="shared" si="34"/>
        <v>2840751.4245176744</v>
      </c>
      <c r="V42" s="446">
        <f t="shared" si="34"/>
        <v>3476147.0422244007</v>
      </c>
    </row>
    <row r="43" spans="2:22" x14ac:dyDescent="0.2">
      <c r="L43" s="394"/>
      <c r="M43" s="394"/>
      <c r="N43" s="412"/>
      <c r="P43" s="133"/>
      <c r="Q43" s="133"/>
      <c r="R43" s="133"/>
      <c r="S43" s="133"/>
      <c r="T43" s="133"/>
      <c r="U43" s="133"/>
      <c r="V43" s="446"/>
    </row>
    <row r="44" spans="2:22" x14ac:dyDescent="0.2">
      <c r="N44" s="412"/>
      <c r="O44" s="394" t="s">
        <v>128</v>
      </c>
      <c r="P44" s="395">
        <f t="shared" ref="P44:V44" si="35">SUM(P38:P43)</f>
        <v>6531719.5372528275</v>
      </c>
      <c r="Q44" s="395">
        <f t="shared" si="35"/>
        <v>16278746.538317012</v>
      </c>
      <c r="R44" s="395">
        <f t="shared" si="35"/>
        <v>30039780.619296543</v>
      </c>
      <c r="S44" s="395">
        <f t="shared" si="35"/>
        <v>43803098.984362401</v>
      </c>
      <c r="T44" s="395">
        <f t="shared" si="35"/>
        <v>62558464.52340205</v>
      </c>
      <c r="U44" s="395">
        <f t="shared" si="35"/>
        <v>81952085.670367613</v>
      </c>
      <c r="V44" s="421">
        <f t="shared" si="35"/>
        <v>104166631.15619744</v>
      </c>
    </row>
    <row r="45" spans="2:22" x14ac:dyDescent="0.2">
      <c r="N45" s="412"/>
      <c r="V45" s="433"/>
    </row>
    <row r="46" spans="2:22" x14ac:dyDescent="0.2">
      <c r="N46" s="412"/>
      <c r="O46" s="132" t="str">
        <f>O38</f>
        <v>Residential</v>
      </c>
      <c r="P46" s="133">
        <f t="shared" ref="P46:V46" si="36">SUMPRODUCT(P$4:P$17,$O$57:$O$70)</f>
        <v>336586.85802668828</v>
      </c>
      <c r="Q46" s="133">
        <f t="shared" si="36"/>
        <v>355711.11132365925</v>
      </c>
      <c r="R46" s="133">
        <f t="shared" si="36"/>
        <v>405434.16989578353</v>
      </c>
      <c r="S46" s="133">
        <f t="shared" si="36"/>
        <v>1567736.8363119063</v>
      </c>
      <c r="T46" s="133">
        <f>SUMPRODUCT(T$4:T$17,$O$57:$O$70)</f>
        <v>2679313.4078403409</v>
      </c>
      <c r="U46" s="133">
        <f t="shared" si="36"/>
        <v>2929026.4464585525</v>
      </c>
      <c r="V46" s="446">
        <f t="shared" si="36"/>
        <v>3464505.5387737383</v>
      </c>
    </row>
    <row r="47" spans="2:22" x14ac:dyDescent="0.2">
      <c r="N47" s="412"/>
      <c r="O47" s="132" t="str">
        <f>O39</f>
        <v>GS &lt; 50</v>
      </c>
      <c r="P47" s="133">
        <f t="shared" ref="P47:U47" si="37">SUMPRODUCT(P$4:P$17,$P$57:$P$70)</f>
        <v>2471878.0838279394</v>
      </c>
      <c r="Q47" s="133">
        <f t="shared" si="37"/>
        <v>3659818.8316404619</v>
      </c>
      <c r="R47" s="133">
        <f t="shared" si="37"/>
        <v>2976446.7668378823</v>
      </c>
      <c r="S47" s="133">
        <f t="shared" si="37"/>
        <v>4506373.3638553862</v>
      </c>
      <c r="T47" s="133">
        <f>SUMPRODUCT(T$4:T$17,$P$57:$P$70)</f>
        <v>3933340.0114741893</v>
      </c>
      <c r="U47" s="133">
        <f t="shared" si="37"/>
        <v>4570270.2877474204</v>
      </c>
      <c r="V47" s="446">
        <f>SUMPRODUCT(V$4:V$17,$P$57:$P$70)</f>
        <v>4746909.9279248035</v>
      </c>
    </row>
    <row r="48" spans="2:22" x14ac:dyDescent="0.2">
      <c r="N48" s="412" t="s">
        <v>300</v>
      </c>
      <c r="O48" s="132" t="str">
        <f>O40</f>
        <v>GS &gt; 50</v>
      </c>
      <c r="P48" s="133">
        <f t="shared" ref="P48:U48" si="38">SUMPRODUCT(P$4:P$17,$Q$57:$Q$70)</f>
        <v>9481379.6047462896</v>
      </c>
      <c r="Q48" s="133">
        <f t="shared" si="38"/>
        <v>14312313.461513493</v>
      </c>
      <c r="R48" s="133">
        <f t="shared" si="38"/>
        <v>4304342.3943938492</v>
      </c>
      <c r="S48" s="133">
        <f>SUMPRODUCT(S$4:S$17,$Q$57:$Q$70)</f>
        <v>12418788.484289484</v>
      </c>
      <c r="T48" s="133">
        <f>SUMPRODUCT(T$4:T$17,$Q$57:$Q$70)</f>
        <v>10545097.618105641</v>
      </c>
      <c r="U48" s="133">
        <f t="shared" si="38"/>
        <v>12280985.426982749</v>
      </c>
      <c r="V48" s="446">
        <f>SUMPRODUCT(V$4:V$17,$Q$57:$Q$70)</f>
        <v>14519870.755112946</v>
      </c>
    </row>
    <row r="49" spans="2:22" x14ac:dyDescent="0.2">
      <c r="N49" s="412"/>
      <c r="O49" s="132" t="s">
        <v>443</v>
      </c>
      <c r="P49" s="133">
        <f t="shared" ref="P49:V49" si="39">SUMPRODUCT(P$4:P$17,$R$57:$R$70)</f>
        <v>241650.25700051343</v>
      </c>
      <c r="Q49" s="133">
        <f t="shared" si="39"/>
        <v>368868.92099888297</v>
      </c>
      <c r="R49" s="133">
        <f t="shared" si="39"/>
        <v>134632.69967397145</v>
      </c>
      <c r="S49" s="133">
        <f t="shared" si="39"/>
        <v>336492.86133834335</v>
      </c>
      <c r="T49" s="133">
        <f t="shared" si="39"/>
        <v>284736.47438380838</v>
      </c>
      <c r="U49" s="133">
        <f t="shared" si="39"/>
        <v>331996.69915554242</v>
      </c>
      <c r="V49" s="446">
        <f t="shared" si="39"/>
        <v>314734.65409046173</v>
      </c>
    </row>
    <row r="50" spans="2:22" x14ac:dyDescent="0.2">
      <c r="N50" s="412"/>
      <c r="O50" s="132" t="s">
        <v>444</v>
      </c>
      <c r="P50" s="133">
        <f t="shared" ref="P50:V50" si="40">SUMPRODUCT(P$4:P$17,$S$57:$S$70)</f>
        <v>531944.27090422425</v>
      </c>
      <c r="Q50" s="133">
        <f t="shared" si="40"/>
        <v>797341.67665187805</v>
      </c>
      <c r="R50" s="133">
        <f t="shared" si="40"/>
        <v>207158.12902920812</v>
      </c>
      <c r="S50" s="133">
        <f t="shared" si="40"/>
        <v>669231.02450589172</v>
      </c>
      <c r="T50" s="133">
        <f t="shared" si="40"/>
        <v>569620.99597427133</v>
      </c>
      <c r="U50" s="133">
        <f t="shared" si="40"/>
        <v>662854.92580862518</v>
      </c>
      <c r="V50" s="446">
        <f t="shared" si="40"/>
        <v>607936.30960482766</v>
      </c>
    </row>
    <row r="51" spans="2:22" x14ac:dyDescent="0.2">
      <c r="N51" s="412"/>
      <c r="P51" s="133"/>
      <c r="Q51" s="133"/>
      <c r="R51" s="133"/>
      <c r="S51" s="133"/>
      <c r="T51" s="133"/>
      <c r="U51" s="133"/>
      <c r="V51" s="446"/>
    </row>
    <row r="52" spans="2:22" x14ac:dyDescent="0.2">
      <c r="N52" s="450"/>
      <c r="O52" s="389" t="s">
        <v>128</v>
      </c>
      <c r="P52" s="451">
        <f t="shared" ref="P52:V52" si="41">SUM(P46:P51)</f>
        <v>13063439.074505655</v>
      </c>
      <c r="Q52" s="451">
        <f t="shared" si="41"/>
        <v>19494054.002128374</v>
      </c>
      <c r="R52" s="451">
        <f t="shared" si="41"/>
        <v>8028014.1598306941</v>
      </c>
      <c r="S52" s="451">
        <f t="shared" si="41"/>
        <v>19498622.570301011</v>
      </c>
      <c r="T52" s="451">
        <f t="shared" si="41"/>
        <v>18012108.50777825</v>
      </c>
      <c r="U52" s="451">
        <f t="shared" si="41"/>
        <v>20775133.786152888</v>
      </c>
      <c r="V52" s="452">
        <f t="shared" si="41"/>
        <v>23653957.185506776</v>
      </c>
    </row>
    <row r="53" spans="2:22" x14ac:dyDescent="0.2">
      <c r="B53" s="402"/>
      <c r="C53" s="453" t="s">
        <v>294</v>
      </c>
      <c r="D53" s="453"/>
      <c r="E53" s="453"/>
      <c r="F53" s="453"/>
      <c r="G53" s="406"/>
      <c r="H53" s="406"/>
      <c r="I53" s="406"/>
      <c r="J53" s="454"/>
    </row>
    <row r="54" spans="2:22" ht="15" x14ac:dyDescent="0.25">
      <c r="B54" s="377"/>
      <c r="C54" s="374">
        <v>2021</v>
      </c>
      <c r="D54" s="374">
        <v>2023</v>
      </c>
      <c r="E54" s="374">
        <v>2024</v>
      </c>
      <c r="F54" s="374">
        <v>2025</v>
      </c>
      <c r="G54" s="374">
        <v>2026</v>
      </c>
      <c r="H54" s="374">
        <v>2027</v>
      </c>
      <c r="I54" s="374"/>
      <c r="J54" s="378" t="s">
        <v>315</v>
      </c>
      <c r="N54" s="455"/>
      <c r="O54" s="456" t="s">
        <v>24</v>
      </c>
      <c r="P54" s="456" t="s">
        <v>314</v>
      </c>
      <c r="Q54" s="456" t="s">
        <v>112</v>
      </c>
      <c r="R54" s="406" t="s">
        <v>443</v>
      </c>
      <c r="S54" s="406" t="s">
        <v>444</v>
      </c>
      <c r="T54" s="457"/>
      <c r="U54" s="458"/>
    </row>
    <row r="55" spans="2:22" x14ac:dyDescent="0.2">
      <c r="B55" s="377" t="s">
        <v>13</v>
      </c>
      <c r="C55" s="459">
        <v>0</v>
      </c>
      <c r="D55" s="459">
        <v>0</v>
      </c>
      <c r="E55" s="459">
        <v>0.5</v>
      </c>
      <c r="F55" s="459">
        <v>1</v>
      </c>
      <c r="G55" s="459">
        <v>1</v>
      </c>
      <c r="H55" s="459">
        <v>0.5</v>
      </c>
      <c r="I55" s="459"/>
      <c r="J55" s="433"/>
      <c r="N55" s="412"/>
      <c r="U55" s="433"/>
    </row>
    <row r="56" spans="2:22" x14ac:dyDescent="0.2">
      <c r="B56" s="377"/>
      <c r="C56" s="460"/>
      <c r="D56" s="460"/>
      <c r="E56" s="460"/>
      <c r="F56" s="460"/>
      <c r="G56" s="460"/>
      <c r="H56" s="460"/>
      <c r="I56" s="460"/>
      <c r="J56" s="433"/>
      <c r="N56" s="412"/>
      <c r="U56" s="433"/>
    </row>
    <row r="57" spans="2:22" x14ac:dyDescent="0.2">
      <c r="B57" s="377" t="s">
        <v>296</v>
      </c>
      <c r="C57" s="461">
        <f t="shared" ref="C57:C68" si="42">C$55*P4</f>
        <v>0</v>
      </c>
      <c r="D57" s="461">
        <f t="shared" ref="D57:D70" si="43">D$55*R4</f>
        <v>0</v>
      </c>
      <c r="E57" s="461">
        <f t="shared" ref="E57:E70" si="44">E$55*S4</f>
        <v>7541744.7555379141</v>
      </c>
      <c r="F57" s="461">
        <f t="shared" ref="F57:F70" si="45">F$55*T4</f>
        <v>12838425.003398579</v>
      </c>
      <c r="G57" s="461">
        <f t="shared" ref="G57:G70" si="46">G$55*U4</f>
        <v>14939781.562250813</v>
      </c>
      <c r="H57" s="461">
        <f t="shared" ref="H57:H70" si="47">H$55*V4</f>
        <v>6850998.0959839951</v>
      </c>
      <c r="I57" s="461"/>
      <c r="J57" s="446">
        <f t="shared" ref="J57:J70" si="48">SUM(C57:I57)</f>
        <v>42170949.417171307</v>
      </c>
      <c r="L57" s="132" t="str">
        <f t="shared" ref="L57:L70" si="49">L75</f>
        <v>Retrofit</v>
      </c>
      <c r="N57" s="412"/>
      <c r="P57" s="135">
        <v>0.15295995214404615</v>
      </c>
      <c r="Q57" s="135">
        <v>0.78303200188071775</v>
      </c>
      <c r="R57" s="135">
        <v>1.9639597678542137E-2</v>
      </c>
      <c r="S57" s="135">
        <v>4.4368448296693841E-2</v>
      </c>
      <c r="U57" s="462">
        <f t="shared" ref="U57:U62" si="50">SUM(O57:S57)</f>
        <v>0.99999999999999989</v>
      </c>
    </row>
    <row r="58" spans="2:22" x14ac:dyDescent="0.2">
      <c r="B58" s="377" t="s">
        <v>259</v>
      </c>
      <c r="C58" s="461">
        <f t="shared" si="42"/>
        <v>0</v>
      </c>
      <c r="D58" s="461">
        <f t="shared" si="43"/>
        <v>0</v>
      </c>
      <c r="E58" s="461">
        <f t="shared" si="44"/>
        <v>138676.3654888008</v>
      </c>
      <c r="F58" s="461">
        <f t="shared" si="45"/>
        <v>413590.9017555234</v>
      </c>
      <c r="G58" s="461">
        <f t="shared" si="46"/>
        <v>443133.10902377509</v>
      </c>
      <c r="H58" s="461">
        <f t="shared" si="47"/>
        <v>236337.65814601336</v>
      </c>
      <c r="I58" s="461"/>
      <c r="J58" s="446">
        <f t="shared" si="48"/>
        <v>1231738.0344141126</v>
      </c>
      <c r="L58" s="132" t="str">
        <f t="shared" si="49"/>
        <v>Small Business</v>
      </c>
      <c r="N58" s="412"/>
      <c r="P58" s="135">
        <v>1</v>
      </c>
      <c r="Q58" s="135">
        <v>0</v>
      </c>
      <c r="R58" s="135"/>
      <c r="S58" s="135"/>
      <c r="U58" s="462">
        <f t="shared" si="50"/>
        <v>1</v>
      </c>
    </row>
    <row r="59" spans="2:22" x14ac:dyDescent="0.2">
      <c r="B59" s="377" t="s">
        <v>298</v>
      </c>
      <c r="C59" s="461">
        <f t="shared" si="42"/>
        <v>0</v>
      </c>
      <c r="D59" s="461">
        <f t="shared" si="43"/>
        <v>0</v>
      </c>
      <c r="E59" s="461">
        <f t="shared" si="44"/>
        <v>125971.49719772243</v>
      </c>
      <c r="F59" s="461">
        <f t="shared" si="45"/>
        <v>0</v>
      </c>
      <c r="G59" s="461">
        <f t="shared" si="46"/>
        <v>0</v>
      </c>
      <c r="H59" s="461">
        <f t="shared" si="47"/>
        <v>0</v>
      </c>
      <c r="I59" s="461"/>
      <c r="J59" s="446">
        <f t="shared" si="48"/>
        <v>125971.49719772243</v>
      </c>
      <c r="L59" s="132" t="str">
        <f t="shared" si="49"/>
        <v xml:space="preserve">Energy Performance </v>
      </c>
      <c r="N59" s="412"/>
      <c r="P59" s="135">
        <v>0.74778921256734288</v>
      </c>
      <c r="Q59" s="135">
        <v>0.23654599581390451</v>
      </c>
      <c r="R59" s="135">
        <v>1.5664791618752654E-2</v>
      </c>
      <c r="S59" s="135">
        <v>0</v>
      </c>
      <c r="U59" s="462">
        <f t="shared" si="50"/>
        <v>1</v>
      </c>
    </row>
    <row r="60" spans="2:22" x14ac:dyDescent="0.2">
      <c r="B60" s="377" t="s">
        <v>299</v>
      </c>
      <c r="C60" s="461">
        <f t="shared" si="42"/>
        <v>0</v>
      </c>
      <c r="D60" s="461">
        <f t="shared" si="43"/>
        <v>0</v>
      </c>
      <c r="E60" s="461">
        <f t="shared" si="44"/>
        <v>663037.47855408362</v>
      </c>
      <c r="F60" s="461">
        <f t="shared" si="45"/>
        <v>584867.66556085413</v>
      </c>
      <c r="G60" s="461">
        <f t="shared" si="46"/>
        <v>663599.85130943067</v>
      </c>
      <c r="H60" s="461">
        <f t="shared" si="47"/>
        <v>359918.56342206412</v>
      </c>
      <c r="I60" s="461"/>
      <c r="J60" s="446">
        <f t="shared" si="48"/>
        <v>2271423.5588464327</v>
      </c>
      <c r="L60" s="132" t="str">
        <f t="shared" si="49"/>
        <v>Energy Management</v>
      </c>
      <c r="N60" s="412"/>
      <c r="P60" s="135">
        <v>0.74778921256734288</v>
      </c>
      <c r="Q60" s="135">
        <v>0.23654599581390451</v>
      </c>
      <c r="R60" s="135">
        <v>1.5664791618752654E-2</v>
      </c>
      <c r="S60" s="135">
        <v>0</v>
      </c>
      <c r="U60" s="462">
        <f t="shared" si="50"/>
        <v>1</v>
      </c>
      <c r="V60" s="132" t="s">
        <v>324</v>
      </c>
    </row>
    <row r="61" spans="2:22" x14ac:dyDescent="0.2">
      <c r="B61" s="377" t="s">
        <v>301</v>
      </c>
      <c r="C61" s="461">
        <f t="shared" si="42"/>
        <v>0</v>
      </c>
      <c r="D61" s="461">
        <f t="shared" si="43"/>
        <v>0</v>
      </c>
      <c r="E61" s="461">
        <f t="shared" si="44"/>
        <v>496012.77021603211</v>
      </c>
      <c r="F61" s="461">
        <f t="shared" si="45"/>
        <v>1495911.5292229541</v>
      </c>
      <c r="G61" s="461">
        <f t="shared" si="46"/>
        <v>1799592.8171103203</v>
      </c>
      <c r="H61" s="461">
        <f t="shared" si="47"/>
        <v>1096626.8729266014</v>
      </c>
      <c r="I61" s="461"/>
      <c r="J61" s="446">
        <f t="shared" si="48"/>
        <v>4888143.9894759078</v>
      </c>
      <c r="L61" s="132" t="str">
        <f t="shared" si="49"/>
        <v>Industrial Energy Efficiency</v>
      </c>
      <c r="N61" s="412"/>
      <c r="P61" s="135">
        <v>0.74778921256734288</v>
      </c>
      <c r="Q61" s="135">
        <v>0.23654599581390451</v>
      </c>
      <c r="R61" s="135">
        <v>1.5664791618752654E-2</v>
      </c>
      <c r="S61" s="135">
        <v>0</v>
      </c>
      <c r="U61" s="462">
        <f t="shared" si="50"/>
        <v>1</v>
      </c>
    </row>
    <row r="62" spans="2:22" x14ac:dyDescent="0.2">
      <c r="B62" s="377" t="s">
        <v>416</v>
      </c>
      <c r="C62" s="461">
        <f t="shared" si="42"/>
        <v>0</v>
      </c>
      <c r="D62" s="461">
        <f t="shared" si="43"/>
        <v>0</v>
      </c>
      <c r="E62" s="461">
        <f t="shared" si="44"/>
        <v>0</v>
      </c>
      <c r="F62" s="461">
        <f t="shared" si="45"/>
        <v>0</v>
      </c>
      <c r="G62" s="461">
        <f t="shared" si="46"/>
        <v>0</v>
      </c>
      <c r="H62" s="461">
        <f t="shared" si="47"/>
        <v>1550844.6328878461</v>
      </c>
      <c r="I62" s="461"/>
      <c r="J62" s="446">
        <f t="shared" si="48"/>
        <v>1550844.6328878461</v>
      </c>
      <c r="L62" s="132" t="str">
        <f t="shared" si="49"/>
        <v>New Construction</v>
      </c>
      <c r="N62" s="412"/>
      <c r="Q62" s="135">
        <v>1</v>
      </c>
      <c r="U62" s="462">
        <f t="shared" si="50"/>
        <v>1</v>
      </c>
    </row>
    <row r="63" spans="2:22" x14ac:dyDescent="0.2">
      <c r="B63" s="377" t="s">
        <v>417</v>
      </c>
      <c r="C63" s="461">
        <f t="shared" si="42"/>
        <v>0</v>
      </c>
      <c r="D63" s="461">
        <f t="shared" si="43"/>
        <v>0</v>
      </c>
      <c r="E63" s="461">
        <f t="shared" si="44"/>
        <v>0</v>
      </c>
      <c r="F63" s="461">
        <f t="shared" si="45"/>
        <v>1646603.7298039109</v>
      </c>
      <c r="G63" s="461">
        <f t="shared" si="46"/>
        <v>1781571.248640297</v>
      </c>
      <c r="H63" s="461">
        <f t="shared" si="47"/>
        <v>890785.62432014849</v>
      </c>
      <c r="I63" s="461"/>
      <c r="J63" s="446">
        <f t="shared" si="48"/>
        <v>4318960.6027643569</v>
      </c>
      <c r="L63" s="132" t="str">
        <f t="shared" si="49"/>
        <v>Home Renovation Savings</v>
      </c>
      <c r="N63" s="412"/>
      <c r="O63" s="135">
        <v>1</v>
      </c>
      <c r="U63" s="462">
        <f t="shared" ref="U63:U69" si="51">SUM(O63:S63)</f>
        <v>1</v>
      </c>
    </row>
    <row r="64" spans="2:22" x14ac:dyDescent="0.2">
      <c r="B64" s="377" t="s">
        <v>418</v>
      </c>
      <c r="C64" s="461">
        <f t="shared" si="42"/>
        <v>0</v>
      </c>
      <c r="D64" s="461">
        <f t="shared" si="43"/>
        <v>0</v>
      </c>
      <c r="E64" s="461">
        <f t="shared" si="44"/>
        <v>0</v>
      </c>
      <c r="F64" s="461">
        <f t="shared" si="45"/>
        <v>0</v>
      </c>
      <c r="G64" s="461">
        <f t="shared" si="46"/>
        <v>0</v>
      </c>
      <c r="H64" s="461">
        <f t="shared" si="47"/>
        <v>0</v>
      </c>
      <c r="I64" s="461"/>
      <c r="J64" s="446">
        <f t="shared" si="48"/>
        <v>0</v>
      </c>
      <c r="L64" s="132" t="str">
        <f t="shared" si="49"/>
        <v>Commercial HVAC DR</v>
      </c>
      <c r="N64" s="412"/>
      <c r="U64" s="462">
        <f t="shared" si="51"/>
        <v>0</v>
      </c>
    </row>
    <row r="65" spans="2:21" x14ac:dyDescent="0.2">
      <c r="B65" s="377" t="s">
        <v>419</v>
      </c>
      <c r="C65" s="461">
        <f t="shared" si="42"/>
        <v>0</v>
      </c>
      <c r="D65" s="461">
        <f t="shared" si="43"/>
        <v>0</v>
      </c>
      <c r="E65" s="461">
        <f t="shared" si="44"/>
        <v>0</v>
      </c>
      <c r="F65" s="461">
        <f t="shared" si="45"/>
        <v>0</v>
      </c>
      <c r="G65" s="461">
        <f t="shared" si="46"/>
        <v>0</v>
      </c>
      <c r="H65" s="461">
        <f t="shared" si="47"/>
        <v>0</v>
      </c>
      <c r="I65" s="461"/>
      <c r="J65" s="446">
        <f t="shared" si="48"/>
        <v>0</v>
      </c>
      <c r="L65" s="132" t="str">
        <f t="shared" si="49"/>
        <v>Peak Perks</v>
      </c>
      <c r="N65" s="412"/>
      <c r="U65" s="462">
        <f t="shared" si="51"/>
        <v>0</v>
      </c>
    </row>
    <row r="66" spans="2:21" x14ac:dyDescent="0.2">
      <c r="B66" s="377" t="s">
        <v>302</v>
      </c>
      <c r="C66" s="461">
        <f t="shared" si="42"/>
        <v>0</v>
      </c>
      <c r="D66" s="461">
        <f t="shared" si="43"/>
        <v>0</v>
      </c>
      <c r="E66" s="461">
        <f t="shared" si="44"/>
        <v>0</v>
      </c>
      <c r="F66" s="461">
        <f t="shared" si="45"/>
        <v>0</v>
      </c>
      <c r="G66" s="461">
        <f t="shared" si="46"/>
        <v>0</v>
      </c>
      <c r="H66" s="461">
        <f t="shared" si="47"/>
        <v>0</v>
      </c>
      <c r="I66" s="461"/>
      <c r="J66" s="446">
        <f t="shared" si="48"/>
        <v>0</v>
      </c>
      <c r="L66" s="132" t="str">
        <f t="shared" si="49"/>
        <v>Targeted Greenhouse</v>
      </c>
      <c r="N66" s="412"/>
      <c r="P66" s="135"/>
      <c r="Q66" s="135"/>
      <c r="U66" s="462">
        <f t="shared" si="51"/>
        <v>0</v>
      </c>
    </row>
    <row r="67" spans="2:21" x14ac:dyDescent="0.2">
      <c r="B67" s="377" t="s">
        <v>303</v>
      </c>
      <c r="C67" s="461">
        <f t="shared" si="42"/>
        <v>0</v>
      </c>
      <c r="D67" s="461">
        <f t="shared" si="43"/>
        <v>0</v>
      </c>
      <c r="E67" s="461">
        <f t="shared" si="44"/>
        <v>0</v>
      </c>
      <c r="F67" s="461">
        <f t="shared" si="45"/>
        <v>0</v>
      </c>
      <c r="G67" s="461">
        <f t="shared" si="46"/>
        <v>0</v>
      </c>
      <c r="H67" s="461">
        <f t="shared" si="47"/>
        <v>0</v>
      </c>
      <c r="I67" s="461"/>
      <c r="J67" s="446">
        <f t="shared" si="48"/>
        <v>0</v>
      </c>
      <c r="L67" s="132" t="str">
        <f t="shared" si="49"/>
        <v>Local Initiatives</v>
      </c>
      <c r="N67" s="412"/>
      <c r="O67" s="387">
        <f>CDM!M10/CDM!$U$10</f>
        <v>0.2439888453295406</v>
      </c>
      <c r="P67" s="387">
        <f>CDM!N10/CDM!$U$10</f>
        <v>9.5143280824066409E-2</v>
      </c>
      <c r="Q67" s="387">
        <f>CDM!O10/CDM!$U$10</f>
        <v>0.61327777280741558</v>
      </c>
      <c r="R67" s="387">
        <f>CDM!P10/CDM!$U$10</f>
        <v>1.0726077514977362E-2</v>
      </c>
      <c r="S67" s="387">
        <f>CDM!Q10/CDM!$U$10</f>
        <v>3.6864023523999943E-2</v>
      </c>
      <c r="U67" s="462">
        <f t="shared" si="51"/>
        <v>0.99999999999999989</v>
      </c>
    </row>
    <row r="68" spans="2:21" x14ac:dyDescent="0.2">
      <c r="B68" s="377" t="s">
        <v>304</v>
      </c>
      <c r="C68" s="461">
        <f t="shared" si="42"/>
        <v>0</v>
      </c>
      <c r="D68" s="461">
        <f t="shared" si="43"/>
        <v>0</v>
      </c>
      <c r="E68" s="461">
        <f t="shared" si="44"/>
        <v>0</v>
      </c>
      <c r="F68" s="461">
        <f t="shared" si="45"/>
        <v>0</v>
      </c>
      <c r="G68" s="461">
        <f t="shared" si="46"/>
        <v>0</v>
      </c>
      <c r="H68" s="461">
        <f t="shared" si="47"/>
        <v>0</v>
      </c>
      <c r="I68" s="461"/>
      <c r="J68" s="446">
        <f t="shared" si="48"/>
        <v>0</v>
      </c>
      <c r="L68" s="132" t="str">
        <f t="shared" si="49"/>
        <v>Residential Demand Response</v>
      </c>
      <c r="N68" s="412"/>
      <c r="U68" s="462">
        <f t="shared" si="51"/>
        <v>0</v>
      </c>
    </row>
    <row r="69" spans="2:21" x14ac:dyDescent="0.2">
      <c r="B69" s="377" t="s">
        <v>305</v>
      </c>
      <c r="C69" s="461"/>
      <c r="D69" s="461">
        <f t="shared" si="43"/>
        <v>0</v>
      </c>
      <c r="E69" s="461">
        <f t="shared" si="44"/>
        <v>783868.41815595317</v>
      </c>
      <c r="F69" s="461">
        <f t="shared" si="45"/>
        <v>1032709.67803643</v>
      </c>
      <c r="G69" s="461">
        <f t="shared" si="46"/>
        <v>1147455.1978182555</v>
      </c>
      <c r="H69" s="461">
        <f t="shared" si="47"/>
        <v>841467.14506672067</v>
      </c>
      <c r="I69" s="461"/>
      <c r="J69" s="446">
        <f t="shared" si="48"/>
        <v>3805500.4390773596</v>
      </c>
      <c r="L69" s="132" t="str">
        <f t="shared" si="49"/>
        <v>Energy Affordability Program</v>
      </c>
      <c r="N69" s="412"/>
      <c r="O69" s="463">
        <v>1</v>
      </c>
      <c r="U69" s="462">
        <f t="shared" si="51"/>
        <v>1</v>
      </c>
    </row>
    <row r="70" spans="2:21" x14ac:dyDescent="0.2">
      <c r="B70" s="377" t="s">
        <v>307</v>
      </c>
      <c r="C70" s="461"/>
      <c r="D70" s="461">
        <f t="shared" si="43"/>
        <v>0</v>
      </c>
      <c r="E70" s="461">
        <f t="shared" si="44"/>
        <v>0</v>
      </c>
      <c r="F70" s="461">
        <f t="shared" si="45"/>
        <v>0</v>
      </c>
      <c r="G70" s="461">
        <f t="shared" si="46"/>
        <v>0</v>
      </c>
      <c r="H70" s="461">
        <f t="shared" si="47"/>
        <v>0</v>
      </c>
      <c r="I70" s="461"/>
      <c r="J70" s="446">
        <f t="shared" si="48"/>
        <v>0</v>
      </c>
      <c r="L70" s="132" t="str">
        <f t="shared" si="49"/>
        <v>First Nations Program</v>
      </c>
      <c r="N70" s="412"/>
      <c r="U70" s="433"/>
    </row>
    <row r="71" spans="2:21" x14ac:dyDescent="0.2">
      <c r="B71" s="412"/>
      <c r="J71" s="433"/>
      <c r="N71" s="450"/>
      <c r="O71" s="464"/>
      <c r="P71" s="464"/>
      <c r="Q71" s="464"/>
      <c r="R71" s="464"/>
      <c r="S71" s="464"/>
      <c r="T71" s="464"/>
      <c r="U71" s="465"/>
    </row>
    <row r="72" spans="2:21" x14ac:dyDescent="0.2">
      <c r="B72" s="412"/>
      <c r="C72" s="133">
        <f>SUM(C57:C68)</f>
        <v>0</v>
      </c>
      <c r="D72" s="133">
        <f>SUM(D57:D70)</f>
        <v>0</v>
      </c>
      <c r="E72" s="133">
        <f>SUM(E57:E70)</f>
        <v>9749311.2851505075</v>
      </c>
      <c r="F72" s="133">
        <f>SUM(F57:F70)</f>
        <v>18012108.50777825</v>
      </c>
      <c r="G72" s="133">
        <f>SUM(G57:G70)</f>
        <v>20775133.786152892</v>
      </c>
      <c r="H72" s="133">
        <f>SUM(H57:H70)</f>
        <v>11826978.59275339</v>
      </c>
      <c r="I72" s="133"/>
      <c r="J72" s="446">
        <f>SUM(J57:J71)</f>
        <v>60363532.17183505</v>
      </c>
      <c r="N72" s="405"/>
      <c r="O72" s="406"/>
      <c r="P72" s="406"/>
      <c r="Q72" s="406"/>
      <c r="R72" s="406"/>
      <c r="S72" s="406"/>
      <c r="T72" s="406"/>
      <c r="U72" s="454"/>
    </row>
    <row r="73" spans="2:21" x14ac:dyDescent="0.2">
      <c r="B73" s="450"/>
      <c r="C73" s="464"/>
      <c r="D73" s="464"/>
      <c r="E73" s="464"/>
      <c r="F73" s="464"/>
      <c r="G73" s="464"/>
      <c r="H73" s="464"/>
      <c r="I73" s="464"/>
      <c r="J73" s="465"/>
      <c r="N73" s="412"/>
      <c r="U73" s="433"/>
    </row>
    <row r="74" spans="2:21" ht="15" x14ac:dyDescent="0.25">
      <c r="N74" s="412"/>
      <c r="O74" s="376" t="str">
        <f>O54</f>
        <v>Residential</v>
      </c>
      <c r="P74" s="376" t="str">
        <f>P54</f>
        <v>GS&lt; 50</v>
      </c>
      <c r="Q74" s="376" t="str">
        <f>Q54</f>
        <v>GS &gt; 50</v>
      </c>
      <c r="R74" s="376" t="str">
        <f>R54</f>
        <v>GS &gt; 50 Co Gen</v>
      </c>
      <c r="S74" s="376" t="str">
        <f>S54</f>
        <v>Large Use</v>
      </c>
      <c r="U74" s="433"/>
    </row>
    <row r="75" spans="2:21" ht="15" x14ac:dyDescent="0.25">
      <c r="B75" s="405"/>
      <c r="C75" s="406"/>
      <c r="D75" s="457">
        <v>2020</v>
      </c>
      <c r="E75" s="457">
        <v>2021</v>
      </c>
      <c r="F75" s="457">
        <v>2022</v>
      </c>
      <c r="G75" s="457">
        <v>2023</v>
      </c>
      <c r="H75" s="457">
        <v>2024</v>
      </c>
      <c r="I75" s="466" t="s">
        <v>449</v>
      </c>
      <c r="L75" s="132" t="str">
        <f t="shared" ref="L75:L88" si="52">B57</f>
        <v>Retrofit</v>
      </c>
      <c r="N75" s="412"/>
      <c r="O75" s="133">
        <f t="shared" ref="O75:S88" si="53">O57*$J57</f>
        <v>0</v>
      </c>
      <c r="P75" s="133">
        <f t="shared" si="53"/>
        <v>6450466.4047195138</v>
      </c>
      <c r="Q75" s="133">
        <f t="shared" si="53"/>
        <v>33021202.943338137</v>
      </c>
      <c r="R75" s="133">
        <f t="shared" si="53"/>
        <v>828220.48027539544</v>
      </c>
      <c r="S75" s="133">
        <f t="shared" si="53"/>
        <v>1871059.5888382564</v>
      </c>
      <c r="U75" s="446">
        <f t="shared" ref="U75:U88" si="54">SUM(O75:S75)</f>
        <v>42170949.417171299</v>
      </c>
    </row>
    <row r="76" spans="2:21" x14ac:dyDescent="0.2">
      <c r="B76" s="412"/>
      <c r="D76" s="434"/>
      <c r="E76" s="434"/>
      <c r="F76" s="467"/>
      <c r="I76" s="468"/>
      <c r="L76" s="132" t="str">
        <f t="shared" si="52"/>
        <v>Small Business</v>
      </c>
      <c r="N76" s="412"/>
      <c r="O76" s="133">
        <f t="shared" si="53"/>
        <v>0</v>
      </c>
      <c r="P76" s="133">
        <f t="shared" si="53"/>
        <v>1231738.0344141126</v>
      </c>
      <c r="Q76" s="133">
        <f t="shared" si="53"/>
        <v>0</v>
      </c>
      <c r="R76" s="133">
        <f t="shared" si="53"/>
        <v>0</v>
      </c>
      <c r="S76" s="133">
        <f t="shared" si="53"/>
        <v>0</v>
      </c>
      <c r="U76" s="446">
        <f t="shared" si="54"/>
        <v>1231738.0344141126</v>
      </c>
    </row>
    <row r="77" spans="2:21" x14ac:dyDescent="0.2">
      <c r="B77" s="405"/>
      <c r="C77" s="406" t="s">
        <v>128</v>
      </c>
      <c r="D77" s="469">
        <v>43245011031.389999</v>
      </c>
      <c r="E77" s="469">
        <v>43371552787.290001</v>
      </c>
      <c r="F77" s="469">
        <v>43540648596.360001</v>
      </c>
      <c r="G77" s="469">
        <v>42707468723.251633</v>
      </c>
      <c r="H77" s="469">
        <v>44018957267.16188</v>
      </c>
      <c r="I77" s="470">
        <f>AVERAGE(D77:H77)</f>
        <v>43376727681.090698</v>
      </c>
      <c r="L77" s="132" t="str">
        <f t="shared" si="52"/>
        <v xml:space="preserve">Energy Performance </v>
      </c>
      <c r="N77" s="412"/>
      <c r="O77" s="133">
        <f t="shared" si="53"/>
        <v>0</v>
      </c>
      <c r="P77" s="133">
        <f t="shared" si="53"/>
        <v>94200.126695414103</v>
      </c>
      <c r="Q77" s="133">
        <f t="shared" si="53"/>
        <v>29798.053248803735</v>
      </c>
      <c r="R77" s="133">
        <f t="shared" si="53"/>
        <v>1973.3172535046058</v>
      </c>
      <c r="S77" s="133">
        <f t="shared" si="53"/>
        <v>0</v>
      </c>
      <c r="U77" s="446">
        <f t="shared" si="54"/>
        <v>125971.49719772245</v>
      </c>
    </row>
    <row r="78" spans="2:21" x14ac:dyDescent="0.2">
      <c r="B78" s="412" t="s">
        <v>24</v>
      </c>
      <c r="C78" s="132" t="s">
        <v>450</v>
      </c>
      <c r="D78" s="386">
        <v>1174570750.6600001</v>
      </c>
      <c r="E78" s="386">
        <v>1182331247.8499999</v>
      </c>
      <c r="F78" s="386">
        <v>1182228014.97</v>
      </c>
      <c r="G78" s="386">
        <v>1133940024.1099999</v>
      </c>
      <c r="H78" s="386">
        <v>1181379272.7684</v>
      </c>
      <c r="I78" s="471">
        <f>AVERAGE(D78:H78)</f>
        <v>1170889862.0716801</v>
      </c>
      <c r="L78" s="132" t="str">
        <f t="shared" si="52"/>
        <v>Energy Management</v>
      </c>
      <c r="N78" s="412"/>
      <c r="O78" s="133">
        <f t="shared" si="53"/>
        <v>0</v>
      </c>
      <c r="P78" s="133">
        <f t="shared" si="53"/>
        <v>1698546.0344766856</v>
      </c>
      <c r="Q78" s="133">
        <f t="shared" si="53"/>
        <v>537296.14764249232</v>
      </c>
      <c r="R78" s="133">
        <f t="shared" si="53"/>
        <v>35581.376727254923</v>
      </c>
      <c r="S78" s="133">
        <f t="shared" si="53"/>
        <v>0</v>
      </c>
      <c r="U78" s="446">
        <f t="shared" si="54"/>
        <v>2271423.5588464327</v>
      </c>
    </row>
    <row r="79" spans="2:21" x14ac:dyDescent="0.2">
      <c r="B79" s="450"/>
      <c r="C79" s="464" t="s">
        <v>451</v>
      </c>
      <c r="D79" s="472">
        <f t="shared" ref="D79:I79" si="55">D78/D77</f>
        <v>2.7160838271203618E-2</v>
      </c>
      <c r="E79" s="472">
        <f t="shared" si="55"/>
        <v>2.7260523819577914E-2</v>
      </c>
      <c r="F79" s="472">
        <f t="shared" si="55"/>
        <v>2.7152283052320775E-2</v>
      </c>
      <c r="G79" s="472">
        <f t="shared" si="55"/>
        <v>2.655132832755874E-2</v>
      </c>
      <c r="H79" s="472">
        <f t="shared" si="55"/>
        <v>2.6837965869984572E-2</v>
      </c>
      <c r="I79" s="473">
        <f t="shared" si="55"/>
        <v>2.6993503767277226E-2</v>
      </c>
      <c r="L79" s="132" t="str">
        <f t="shared" si="52"/>
        <v>Industrial Energy Efficiency</v>
      </c>
      <c r="N79" s="412"/>
      <c r="O79" s="133">
        <f t="shared" si="53"/>
        <v>0</v>
      </c>
      <c r="P79" s="133">
        <f t="shared" si="53"/>
        <v>3655301.3448059792</v>
      </c>
      <c r="Q79" s="133">
        <f t="shared" si="53"/>
        <v>1156270.8876723305</v>
      </c>
      <c r="R79" s="133">
        <f t="shared" si="53"/>
        <v>76571.756997598364</v>
      </c>
      <c r="S79" s="133">
        <f t="shared" si="53"/>
        <v>0</v>
      </c>
      <c r="U79" s="446">
        <f t="shared" si="54"/>
        <v>4888143.9894759078</v>
      </c>
    </row>
    <row r="80" spans="2:21" x14ac:dyDescent="0.2">
      <c r="B80" s="412"/>
      <c r="C80" s="132" t="s">
        <v>128</v>
      </c>
      <c r="D80" s="386">
        <v>12530281718.650002</v>
      </c>
      <c r="E80" s="386">
        <v>12853976851.250002</v>
      </c>
      <c r="F80" s="386">
        <v>13791653390.570002</v>
      </c>
      <c r="G80" s="386">
        <v>13739844025.43289</v>
      </c>
      <c r="H80" s="386">
        <v>13910618872.302979</v>
      </c>
      <c r="I80" s="471">
        <f>AVERAGE(D80:H80)</f>
        <v>13365274971.641174</v>
      </c>
      <c r="L80" s="132" t="str">
        <f t="shared" si="52"/>
        <v>New Construction</v>
      </c>
      <c r="N80" s="412"/>
      <c r="O80" s="133">
        <f t="shared" si="53"/>
        <v>0</v>
      </c>
      <c r="P80" s="133">
        <f t="shared" si="53"/>
        <v>0</v>
      </c>
      <c r="Q80" s="133">
        <f t="shared" si="53"/>
        <v>1550844.6328878461</v>
      </c>
      <c r="R80" s="133">
        <f t="shared" si="53"/>
        <v>0</v>
      </c>
      <c r="S80" s="133">
        <f t="shared" si="53"/>
        <v>0</v>
      </c>
      <c r="U80" s="446">
        <f t="shared" si="54"/>
        <v>1550844.6328878461</v>
      </c>
    </row>
    <row r="81" spans="2:21" x14ac:dyDescent="0.2">
      <c r="B81" s="412" t="s">
        <v>447</v>
      </c>
      <c r="C81" s="132" t="s">
        <v>450</v>
      </c>
      <c r="D81" s="386">
        <v>374492024.29000002</v>
      </c>
      <c r="E81" s="386">
        <v>380707662.25999999</v>
      </c>
      <c r="F81" s="386">
        <v>411990624.44</v>
      </c>
      <c r="G81" s="386">
        <v>400460500.91000003</v>
      </c>
      <c r="H81" s="386">
        <v>406547805.14700001</v>
      </c>
      <c r="I81" s="471">
        <f>AVERAGE(D81:H81)</f>
        <v>394839723.40940005</v>
      </c>
      <c r="L81" s="132" t="str">
        <f t="shared" si="52"/>
        <v>Home Renovation Savings</v>
      </c>
      <c r="N81" s="412"/>
      <c r="O81" s="133">
        <f t="shared" si="53"/>
        <v>4318960.6027643569</v>
      </c>
      <c r="P81" s="133">
        <f t="shared" si="53"/>
        <v>0</v>
      </c>
      <c r="Q81" s="133">
        <f t="shared" si="53"/>
        <v>0</v>
      </c>
      <c r="R81" s="133">
        <f t="shared" si="53"/>
        <v>0</v>
      </c>
      <c r="S81" s="133">
        <f t="shared" si="53"/>
        <v>0</v>
      </c>
      <c r="U81" s="446">
        <f t="shared" si="54"/>
        <v>4318960.6027643569</v>
      </c>
    </row>
    <row r="82" spans="2:21" x14ac:dyDescent="0.2">
      <c r="B82" s="412"/>
      <c r="C82" s="132" t="s">
        <v>451</v>
      </c>
      <c r="D82" s="387">
        <f t="shared" ref="D82:I82" si="56">D81/D80</f>
        <v>2.9886959662894744E-2</v>
      </c>
      <c r="E82" s="387">
        <f t="shared" si="56"/>
        <v>2.9617889207804008E-2</v>
      </c>
      <c r="F82" s="387">
        <f t="shared" si="56"/>
        <v>2.9872460739311883E-2</v>
      </c>
      <c r="G82" s="387">
        <f t="shared" si="56"/>
        <v>2.9145927724414836E-2</v>
      </c>
      <c r="H82" s="387">
        <f t="shared" si="56"/>
        <v>2.9225716618292614E-2</v>
      </c>
      <c r="I82" s="474">
        <f t="shared" si="56"/>
        <v>2.9542207268251672E-2</v>
      </c>
      <c r="L82" s="132" t="str">
        <f t="shared" si="52"/>
        <v>Commercial HVAC DR</v>
      </c>
      <c r="N82" s="412"/>
      <c r="O82" s="133">
        <f t="shared" si="53"/>
        <v>0</v>
      </c>
      <c r="P82" s="133">
        <f t="shared" si="53"/>
        <v>0</v>
      </c>
      <c r="Q82" s="133">
        <f t="shared" si="53"/>
        <v>0</v>
      </c>
      <c r="R82" s="133">
        <f t="shared" si="53"/>
        <v>0</v>
      </c>
      <c r="S82" s="133">
        <f t="shared" si="53"/>
        <v>0</v>
      </c>
      <c r="U82" s="446">
        <f t="shared" si="54"/>
        <v>0</v>
      </c>
    </row>
    <row r="83" spans="2:21" x14ac:dyDescent="0.2">
      <c r="B83" s="405"/>
      <c r="C83" s="406" t="s">
        <v>128</v>
      </c>
      <c r="D83" s="469">
        <v>48237791431.169998</v>
      </c>
      <c r="E83" s="469">
        <v>48842596890.82</v>
      </c>
      <c r="F83" s="469">
        <v>49862673590.640007</v>
      </c>
      <c r="G83" s="469">
        <v>49451770721.2575</v>
      </c>
      <c r="H83" s="469">
        <v>50091001093.409103</v>
      </c>
      <c r="I83" s="470">
        <f>AVERAGE(D83:H83)</f>
        <v>49297166745.459328</v>
      </c>
      <c r="L83" s="132" t="str">
        <f t="shared" si="52"/>
        <v>Peak Perks</v>
      </c>
      <c r="N83" s="412"/>
      <c r="O83" s="133">
        <f t="shared" si="53"/>
        <v>0</v>
      </c>
      <c r="P83" s="133">
        <f t="shared" si="53"/>
        <v>0</v>
      </c>
      <c r="Q83" s="133">
        <f t="shared" si="53"/>
        <v>0</v>
      </c>
      <c r="R83" s="133">
        <f t="shared" si="53"/>
        <v>0</v>
      </c>
      <c r="S83" s="133">
        <f t="shared" si="53"/>
        <v>0</v>
      </c>
      <c r="U83" s="446">
        <f t="shared" si="54"/>
        <v>0</v>
      </c>
    </row>
    <row r="84" spans="2:21" x14ac:dyDescent="0.2">
      <c r="B84" s="412" t="s">
        <v>448</v>
      </c>
      <c r="C84" s="132" t="s">
        <v>450</v>
      </c>
      <c r="D84" s="386">
        <v>1408022477.4200001</v>
      </c>
      <c r="E84" s="386">
        <v>1410758031.5999999</v>
      </c>
      <c r="F84" s="386">
        <v>1459098505.8</v>
      </c>
      <c r="G84" s="386">
        <v>1453629176.8900001</v>
      </c>
      <c r="H84" s="386">
        <v>1480967889.7780001</v>
      </c>
      <c r="I84" s="471">
        <f>AVERAGE(D84:H84)</f>
        <v>1442495216.2976</v>
      </c>
      <c r="L84" s="132" t="str">
        <f t="shared" si="52"/>
        <v>Targeted Greenhouse</v>
      </c>
      <c r="N84" s="412"/>
      <c r="O84" s="133">
        <f t="shared" si="53"/>
        <v>0</v>
      </c>
      <c r="P84" s="133">
        <f t="shared" si="53"/>
        <v>0</v>
      </c>
      <c r="Q84" s="133">
        <f t="shared" si="53"/>
        <v>0</v>
      </c>
      <c r="R84" s="133">
        <f t="shared" si="53"/>
        <v>0</v>
      </c>
      <c r="S84" s="133">
        <f t="shared" si="53"/>
        <v>0</v>
      </c>
      <c r="U84" s="446">
        <f t="shared" si="54"/>
        <v>0</v>
      </c>
    </row>
    <row r="85" spans="2:21" x14ac:dyDescent="0.2">
      <c r="B85" s="450"/>
      <c r="C85" s="464" t="s">
        <v>451</v>
      </c>
      <c r="D85" s="472">
        <f t="shared" ref="D85:I85" si="57">D84/D83</f>
        <v>2.918919866862256E-2</v>
      </c>
      <c r="E85" s="472">
        <f t="shared" si="57"/>
        <v>2.8883763792362009E-2</v>
      </c>
      <c r="F85" s="472">
        <f t="shared" si="57"/>
        <v>2.9262339957516745E-2</v>
      </c>
      <c r="G85" s="472">
        <f t="shared" si="57"/>
        <v>2.9394886283923061E-2</v>
      </c>
      <c r="H85" s="472">
        <f t="shared" si="57"/>
        <v>2.9565547851924716E-2</v>
      </c>
      <c r="I85" s="473">
        <f t="shared" si="57"/>
        <v>2.9261219488449924E-2</v>
      </c>
      <c r="L85" s="132" t="str">
        <f t="shared" si="52"/>
        <v>Local Initiatives</v>
      </c>
      <c r="N85" s="412"/>
      <c r="O85" s="133">
        <f t="shared" si="53"/>
        <v>0</v>
      </c>
      <c r="P85" s="133">
        <f t="shared" si="53"/>
        <v>0</v>
      </c>
      <c r="Q85" s="133">
        <f t="shared" si="53"/>
        <v>0</v>
      </c>
      <c r="R85" s="133">
        <f t="shared" si="53"/>
        <v>0</v>
      </c>
      <c r="S85" s="133">
        <f t="shared" si="53"/>
        <v>0</v>
      </c>
      <c r="U85" s="446">
        <f t="shared" si="54"/>
        <v>0</v>
      </c>
    </row>
    <row r="86" spans="2:21" x14ac:dyDescent="0.2">
      <c r="B86" s="405"/>
      <c r="C86" s="406" t="s">
        <v>128</v>
      </c>
      <c r="D86" s="469">
        <v>7351887928.1700001</v>
      </c>
      <c r="E86" s="469">
        <v>7081964943.3099995</v>
      </c>
      <c r="F86" s="469">
        <v>7194218675.2500019</v>
      </c>
      <c r="G86" s="469">
        <v>7330642336.4099989</v>
      </c>
      <c r="H86" s="469">
        <v>7567471475.4099998</v>
      </c>
      <c r="I86" s="470">
        <f>AVERAGE(D86:H86)</f>
        <v>7305237071.710001</v>
      </c>
      <c r="L86" s="132" t="str">
        <f t="shared" si="52"/>
        <v>Residential Demand Response</v>
      </c>
      <c r="N86" s="412"/>
      <c r="O86" s="133">
        <f t="shared" si="53"/>
        <v>0</v>
      </c>
      <c r="P86" s="133">
        <f t="shared" si="53"/>
        <v>0</v>
      </c>
      <c r="Q86" s="133">
        <f t="shared" si="53"/>
        <v>0</v>
      </c>
      <c r="R86" s="133">
        <f t="shared" si="53"/>
        <v>0</v>
      </c>
      <c r="S86" s="133">
        <f t="shared" si="53"/>
        <v>0</v>
      </c>
      <c r="U86" s="446">
        <f t="shared" si="54"/>
        <v>0</v>
      </c>
    </row>
    <row r="87" spans="2:21" x14ac:dyDescent="0.2">
      <c r="B87" s="412" t="s">
        <v>439</v>
      </c>
      <c r="C87" s="132" t="s">
        <v>450</v>
      </c>
      <c r="D87" s="386">
        <v>103009408.48</v>
      </c>
      <c r="E87" s="386">
        <v>106007109.75</v>
      </c>
      <c r="F87" s="386">
        <v>116985730.81</v>
      </c>
      <c r="G87" s="386">
        <v>153160749.63999999</v>
      </c>
      <c r="H87" s="386">
        <v>162789932.5</v>
      </c>
      <c r="I87" s="471">
        <f>AVERAGE(D87:H87)</f>
        <v>128390586.23600002</v>
      </c>
      <c r="L87" s="132" t="str">
        <f t="shared" si="52"/>
        <v>Energy Affordability Program</v>
      </c>
      <c r="N87" s="412"/>
      <c r="O87" s="133">
        <f t="shared" si="53"/>
        <v>3805500.4390773596</v>
      </c>
      <c r="P87" s="133">
        <f t="shared" si="53"/>
        <v>0</v>
      </c>
      <c r="Q87" s="133">
        <f t="shared" si="53"/>
        <v>0</v>
      </c>
      <c r="R87" s="133">
        <f t="shared" si="53"/>
        <v>0</v>
      </c>
      <c r="S87" s="133">
        <f t="shared" si="53"/>
        <v>0</v>
      </c>
      <c r="U87" s="446">
        <f t="shared" si="54"/>
        <v>3805500.4390773596</v>
      </c>
    </row>
    <row r="88" spans="2:21" x14ac:dyDescent="0.2">
      <c r="B88" s="450"/>
      <c r="C88" s="464" t="s">
        <v>451</v>
      </c>
      <c r="D88" s="472">
        <f t="shared" ref="D88:I88" si="58">D87/D86</f>
        <v>1.4011286554750388E-2</v>
      </c>
      <c r="E88" s="472">
        <f t="shared" si="58"/>
        <v>1.496860131313414E-2</v>
      </c>
      <c r="F88" s="472">
        <f t="shared" si="58"/>
        <v>1.6261075189785597E-2</v>
      </c>
      <c r="G88" s="472">
        <f t="shared" si="58"/>
        <v>2.0893223623703168E-2</v>
      </c>
      <c r="H88" s="472">
        <f t="shared" si="58"/>
        <v>2.1511799949160717E-2</v>
      </c>
      <c r="I88" s="473">
        <f t="shared" si="58"/>
        <v>1.7575143007090187E-2</v>
      </c>
      <c r="L88" s="132" t="str">
        <f t="shared" si="52"/>
        <v>First Nations Program</v>
      </c>
      <c r="N88" s="412"/>
      <c r="O88" s="133">
        <f t="shared" si="53"/>
        <v>0</v>
      </c>
      <c r="P88" s="133">
        <f t="shared" si="53"/>
        <v>0</v>
      </c>
      <c r="Q88" s="133">
        <f t="shared" si="53"/>
        <v>0</v>
      </c>
      <c r="R88" s="133">
        <f t="shared" si="53"/>
        <v>0</v>
      </c>
      <c r="S88" s="133">
        <f t="shared" si="53"/>
        <v>0</v>
      </c>
      <c r="U88" s="446">
        <f t="shared" si="54"/>
        <v>0</v>
      </c>
    </row>
    <row r="89" spans="2:21" x14ac:dyDescent="0.2">
      <c r="B89" s="412"/>
      <c r="C89" s="132" t="s">
        <v>128</v>
      </c>
      <c r="D89" s="133">
        <f t="shared" ref="D89:H90" si="59">D77+D80+D83+D86</f>
        <v>111364972109.37999</v>
      </c>
      <c r="E89" s="133">
        <f t="shared" si="59"/>
        <v>112150091472.67</v>
      </c>
      <c r="F89" s="133">
        <f t="shared" si="59"/>
        <v>114389194252.82001</v>
      </c>
      <c r="G89" s="133">
        <f t="shared" si="59"/>
        <v>113229725806.35202</v>
      </c>
      <c r="H89" s="133">
        <f t="shared" si="59"/>
        <v>115588048708.28397</v>
      </c>
      <c r="I89" s="471">
        <f>AVERAGE(D89:H89)</f>
        <v>113344406469.9012</v>
      </c>
      <c r="N89" s="412"/>
      <c r="O89" s="133"/>
      <c r="P89" s="133"/>
      <c r="Q89" s="133"/>
      <c r="R89" s="133"/>
      <c r="S89" s="133"/>
      <c r="U89" s="433"/>
    </row>
    <row r="90" spans="2:21" ht="15" x14ac:dyDescent="0.25">
      <c r="B90" s="412" t="s">
        <v>128</v>
      </c>
      <c r="C90" s="132" t="s">
        <v>450</v>
      </c>
      <c r="D90" s="133">
        <f t="shared" si="59"/>
        <v>3060094660.8499999</v>
      </c>
      <c r="E90" s="133">
        <f t="shared" si="59"/>
        <v>3079804051.46</v>
      </c>
      <c r="F90" s="133">
        <f t="shared" si="59"/>
        <v>3170302876.02</v>
      </c>
      <c r="G90" s="133">
        <f t="shared" si="59"/>
        <v>3141190451.5499997</v>
      </c>
      <c r="H90" s="133">
        <f t="shared" si="59"/>
        <v>3231684900.1934004</v>
      </c>
      <c r="I90" s="471">
        <f>AVERAGE(D90:H90)</f>
        <v>3136615388.0146799</v>
      </c>
      <c r="N90" s="475"/>
      <c r="O90" s="476">
        <f>SUM(O75:O88)</f>
        <v>8124461.0418417165</v>
      </c>
      <c r="P90" s="476">
        <f>SUM(P75:P88)</f>
        <v>13130251.945111707</v>
      </c>
      <c r="Q90" s="476">
        <f>SUM(Q75:Q88)</f>
        <v>36295412.66478961</v>
      </c>
      <c r="R90" s="476">
        <f>SUM(R75:R88)</f>
        <v>942346.93125375337</v>
      </c>
      <c r="S90" s="476">
        <f>SUM(S75:S88)</f>
        <v>1871059.5888382564</v>
      </c>
      <c r="T90" s="375"/>
      <c r="U90" s="477">
        <f>SUM(O90:S90)</f>
        <v>60363532.171835043</v>
      </c>
    </row>
    <row r="91" spans="2:21" x14ac:dyDescent="0.2">
      <c r="B91" s="450"/>
      <c r="C91" s="464" t="s">
        <v>451</v>
      </c>
      <c r="D91" s="472">
        <f t="shared" ref="D91:I91" si="60">D90/D89</f>
        <v>2.7478071451806665E-2</v>
      </c>
      <c r="E91" s="472">
        <f t="shared" si="60"/>
        <v>2.7461449304395098E-2</v>
      </c>
      <c r="F91" s="472">
        <f t="shared" si="60"/>
        <v>2.771505557608072E-2</v>
      </c>
      <c r="G91" s="472">
        <f t="shared" si="60"/>
        <v>2.7741747400520364E-2</v>
      </c>
      <c r="H91" s="472">
        <f t="shared" si="60"/>
        <v>2.7958642232549357E-2</v>
      </c>
      <c r="I91" s="473">
        <f t="shared" si="60"/>
        <v>2.767331433199232E-2</v>
      </c>
      <c r="N91" s="450"/>
      <c r="O91" s="478"/>
      <c r="P91" s="478"/>
      <c r="Q91" s="478"/>
      <c r="R91" s="464"/>
      <c r="S91" s="464"/>
      <c r="T91" s="464"/>
      <c r="U91" s="465"/>
    </row>
    <row r="92" spans="2:21" x14ac:dyDescent="0.2">
      <c r="O92" s="133"/>
      <c r="P92" s="133"/>
      <c r="Q92" s="133"/>
    </row>
    <row r="109" spans="4:6" x14ac:dyDescent="0.2">
      <c r="D109" s="479"/>
      <c r="E109" s="479"/>
      <c r="F109" s="437"/>
    </row>
    <row r="110" spans="4:6" x14ac:dyDescent="0.2">
      <c r="D110" s="479"/>
      <c r="E110" s="479"/>
      <c r="F110" s="437"/>
    </row>
    <row r="111" spans="4:6" x14ac:dyDescent="0.2">
      <c r="D111" s="479"/>
      <c r="E111" s="479"/>
      <c r="F111" s="437"/>
    </row>
    <row r="125" spans="15:18" x14ac:dyDescent="0.2">
      <c r="O125" s="133"/>
      <c r="P125" s="133"/>
      <c r="Q125" s="133"/>
      <c r="R125" s="133"/>
    </row>
    <row r="126" spans="15:18" x14ac:dyDescent="0.2">
      <c r="O126" s="133"/>
      <c r="P126" s="133"/>
      <c r="Q126" s="133"/>
      <c r="R126" s="133"/>
    </row>
    <row r="127" spans="15:18" x14ac:dyDescent="0.2">
      <c r="O127" s="133"/>
      <c r="P127" s="133"/>
      <c r="Q127" s="133"/>
      <c r="R127" s="133"/>
    </row>
    <row r="128" spans="15:18" x14ac:dyDescent="0.2">
      <c r="O128" s="133"/>
      <c r="P128" s="133"/>
      <c r="Q128" s="133"/>
      <c r="R128" s="133"/>
    </row>
    <row r="129" spans="15:18" x14ac:dyDescent="0.2">
      <c r="O129" s="133"/>
      <c r="P129" s="133"/>
      <c r="Q129" s="133"/>
      <c r="R129" s="133"/>
    </row>
    <row r="130" spans="15:18" x14ac:dyDescent="0.2">
      <c r="O130" s="133"/>
      <c r="P130" s="133"/>
      <c r="Q130" s="133"/>
      <c r="R130" s="133"/>
    </row>
    <row r="131" spans="15:18" x14ac:dyDescent="0.2">
      <c r="O131" s="133"/>
      <c r="P131" s="133"/>
      <c r="Q131" s="133"/>
      <c r="R131" s="133"/>
    </row>
    <row r="132" spans="15:18" x14ac:dyDescent="0.2">
      <c r="O132" s="133"/>
      <c r="P132" s="133"/>
      <c r="Q132" s="133"/>
    </row>
    <row r="133" spans="15:18" x14ac:dyDescent="0.2">
      <c r="O133" s="133"/>
      <c r="P133" s="133"/>
      <c r="Q133" s="133"/>
      <c r="R133" s="133"/>
    </row>
    <row r="134" spans="15:18" x14ac:dyDescent="0.2">
      <c r="O134" s="133"/>
      <c r="P134" s="133"/>
      <c r="Q134" s="133"/>
    </row>
    <row r="135" spans="15:18" x14ac:dyDescent="0.2">
      <c r="O135" s="133"/>
      <c r="P135" s="133"/>
      <c r="Q135" s="133"/>
    </row>
  </sheetData>
  <mergeCells count="3">
    <mergeCell ref="Y2:AC2"/>
    <mergeCell ref="G2:I2"/>
    <mergeCell ref="C2:F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E081D-20E6-4B7D-A7A8-E69B5D625659}">
  <sheetPr codeName="Sheet34"/>
  <dimension ref="B1:AA33"/>
  <sheetViews>
    <sheetView workbookViewId="0">
      <selection activeCell="M29" sqref="M29"/>
    </sheetView>
  </sheetViews>
  <sheetFormatPr defaultColWidth="8.83203125" defaultRowHeight="14.25" x14ac:dyDescent="0.2"/>
  <cols>
    <col min="1" max="1" width="8.83203125" style="132"/>
    <col min="2" max="2" width="14.83203125" style="132" bestFit="1" customWidth="1"/>
    <col min="3" max="3" width="17" style="132" customWidth="1"/>
    <col min="4" max="5" width="14.83203125" style="132" customWidth="1"/>
    <col min="6" max="6" width="16.33203125" style="132" bestFit="1" customWidth="1"/>
    <col min="7" max="8" width="16.1640625" style="132" customWidth="1"/>
    <col min="9" max="9" width="16.33203125" style="132" bestFit="1" customWidth="1"/>
    <col min="10" max="10" width="13.33203125" style="132" customWidth="1"/>
    <col min="11" max="11" width="16.33203125" style="132" bestFit="1" customWidth="1"/>
    <col min="12" max="13" width="16.1640625" style="132" customWidth="1"/>
    <col min="14" max="14" width="15.33203125" style="132" customWidth="1"/>
    <col min="15" max="15" width="14.33203125" style="132" customWidth="1"/>
    <col min="16" max="18" width="12.33203125" style="132" bestFit="1" customWidth="1"/>
    <col min="19" max="19" width="12.5" style="132" bestFit="1" customWidth="1"/>
    <col min="20" max="21" width="9.5" style="132" bestFit="1" customWidth="1"/>
    <col min="22" max="22" width="13.83203125" style="132" customWidth="1"/>
    <col min="23" max="25" width="14" style="132" bestFit="1" customWidth="1"/>
    <col min="26" max="27" width="15.1640625" style="132" bestFit="1" customWidth="1"/>
    <col min="28" max="16384" width="8.83203125" style="132"/>
  </cols>
  <sheetData>
    <row r="1" spans="2:27" ht="15" thickBot="1" x14ac:dyDescent="0.25"/>
    <row r="2" spans="2:27" x14ac:dyDescent="0.2">
      <c r="B2" s="590"/>
      <c r="C2" s="591"/>
      <c r="D2" s="591"/>
      <c r="E2" s="591"/>
      <c r="F2" s="591"/>
      <c r="G2" s="591"/>
      <c r="H2" s="591"/>
      <c r="I2" s="591"/>
      <c r="J2" s="591"/>
      <c r="K2" s="592"/>
    </row>
    <row r="3" spans="2:27" ht="15" x14ac:dyDescent="0.25">
      <c r="B3" s="601" t="s">
        <v>514</v>
      </c>
      <c r="C3" s="602"/>
      <c r="D3" s="602"/>
      <c r="E3" s="602"/>
      <c r="F3" s="602"/>
      <c r="G3" s="602"/>
      <c r="H3" s="602"/>
      <c r="I3" s="602"/>
      <c r="J3" s="602"/>
      <c r="K3" s="603"/>
    </row>
    <row r="4" spans="2:27" ht="15" x14ac:dyDescent="0.2">
      <c r="B4" s="604" t="s">
        <v>131</v>
      </c>
      <c r="C4" s="609">
        <v>2025</v>
      </c>
      <c r="D4" s="610"/>
      <c r="E4" s="611"/>
      <c r="F4" s="605">
        <v>2026</v>
      </c>
      <c r="G4" s="606"/>
      <c r="H4" s="607"/>
      <c r="I4" s="605">
        <v>2027</v>
      </c>
      <c r="J4" s="606"/>
      <c r="K4" s="608"/>
    </row>
    <row r="5" spans="2:27" ht="30" x14ac:dyDescent="0.2">
      <c r="B5" s="604"/>
      <c r="C5" s="163" t="s">
        <v>116</v>
      </c>
      <c r="D5" s="164" t="s">
        <v>132</v>
      </c>
      <c r="E5" s="163" t="s">
        <v>133</v>
      </c>
      <c r="F5" s="163" t="s">
        <v>116</v>
      </c>
      <c r="G5" s="164" t="s">
        <v>132</v>
      </c>
      <c r="H5" s="163" t="s">
        <v>133</v>
      </c>
      <c r="I5" s="163" t="s">
        <v>116</v>
      </c>
      <c r="J5" s="164" t="s">
        <v>132</v>
      </c>
      <c r="K5" s="165" t="s">
        <v>133</v>
      </c>
    </row>
    <row r="6" spans="2:27" ht="15" x14ac:dyDescent="0.25">
      <c r="B6" s="162"/>
      <c r="C6" s="166" t="s">
        <v>105</v>
      </c>
      <c r="D6" s="166" t="s">
        <v>120</v>
      </c>
      <c r="E6" s="166" t="s">
        <v>318</v>
      </c>
      <c r="F6" s="166" t="s">
        <v>147</v>
      </c>
      <c r="G6" s="166" t="s">
        <v>319</v>
      </c>
      <c r="H6" s="166" t="s">
        <v>320</v>
      </c>
      <c r="I6" s="166" t="s">
        <v>256</v>
      </c>
      <c r="J6" s="166" t="s">
        <v>321</v>
      </c>
      <c r="K6" s="167" t="s">
        <v>322</v>
      </c>
      <c r="M6" s="513">
        <v>2025</v>
      </c>
      <c r="N6" s="513">
        <v>2026</v>
      </c>
      <c r="O6" s="513">
        <v>2027</v>
      </c>
    </row>
    <row r="7" spans="2:27" x14ac:dyDescent="0.2">
      <c r="B7" s="136" t="str">
        <f>'Summary Tables'!B15</f>
        <v>Residential</v>
      </c>
      <c r="C7" s="137">
        <f>'CDM-eDSM Framework'!T46</f>
        <v>2679313.4078403409</v>
      </c>
      <c r="D7" s="515">
        <v>0.5</v>
      </c>
      <c r="E7" s="138">
        <f t="shared" ref="E7:E12" si="0">C7*D7</f>
        <v>1339656.7039201704</v>
      </c>
      <c r="F7" s="137">
        <f>'CDM-eDSM Framework'!U46</f>
        <v>2929026.4464585525</v>
      </c>
      <c r="G7" s="515">
        <v>0.5</v>
      </c>
      <c r="H7" s="139">
        <f t="shared" ref="H7:H15" si="1">F7*G7</f>
        <v>1464513.2232292762</v>
      </c>
      <c r="I7" s="137">
        <f>'CDM-eDSM Framework'!V46</f>
        <v>3464505.5387737383</v>
      </c>
      <c r="J7" s="515">
        <v>0.5</v>
      </c>
      <c r="K7" s="140">
        <f t="shared" ref="K7:K15" si="2">I7*J7</f>
        <v>1732252.7693868692</v>
      </c>
      <c r="M7" s="514">
        <f>E7</f>
        <v>1339656.7039201704</v>
      </c>
      <c r="N7" s="514">
        <f>E7+H7</f>
        <v>2804169.9271494467</v>
      </c>
      <c r="O7" s="514">
        <f>E7+F7+K7</f>
        <v>6000935.9197655916</v>
      </c>
      <c r="P7" s="133"/>
      <c r="Z7" s="516"/>
      <c r="AA7" s="516"/>
    </row>
    <row r="8" spans="2:27" x14ac:dyDescent="0.2">
      <c r="B8" s="136" t="str">
        <f>'Summary Tables'!B16</f>
        <v>GS &lt; 50</v>
      </c>
      <c r="C8" s="137">
        <f>'CDM-eDSM Framework'!T47</f>
        <v>3933340.0114741893</v>
      </c>
      <c r="D8" s="515">
        <f t="shared" ref="D8:D13" si="3">D7</f>
        <v>0.5</v>
      </c>
      <c r="E8" s="138">
        <f t="shared" si="0"/>
        <v>1966670.0057370947</v>
      </c>
      <c r="F8" s="137">
        <f>'CDM-eDSM Framework'!U47</f>
        <v>4570270.2877474204</v>
      </c>
      <c r="G8" s="515">
        <f>G7</f>
        <v>0.5</v>
      </c>
      <c r="H8" s="139">
        <f>F8*G8</f>
        <v>2285135.1438737102</v>
      </c>
      <c r="I8" s="137">
        <f>'CDM-eDSM Framework'!V47</f>
        <v>4746909.9279248035</v>
      </c>
      <c r="J8" s="515">
        <v>0.5</v>
      </c>
      <c r="K8" s="140">
        <f>I8*J8</f>
        <v>2373454.9639624017</v>
      </c>
      <c r="M8" s="514">
        <f>E8</f>
        <v>1966670.0057370947</v>
      </c>
      <c r="N8" s="514">
        <f>E8+H8</f>
        <v>4251805.1496108044</v>
      </c>
      <c r="O8" s="514">
        <f>E8+F8+K8</f>
        <v>8910395.2574469168</v>
      </c>
      <c r="P8" s="133"/>
      <c r="Z8" s="516"/>
      <c r="AA8" s="516"/>
    </row>
    <row r="9" spans="2:27" x14ac:dyDescent="0.2">
      <c r="B9" s="136" t="str">
        <f>'Summary Tables'!B17</f>
        <v>GS &gt; 50</v>
      </c>
      <c r="C9" s="137">
        <f>'CDM-eDSM Framework'!T48</f>
        <v>10545097.618105641</v>
      </c>
      <c r="D9" s="515">
        <f t="shared" si="3"/>
        <v>0.5</v>
      </c>
      <c r="E9" s="138">
        <f t="shared" si="0"/>
        <v>5272548.8090528203</v>
      </c>
      <c r="F9" s="137">
        <f>'CDM-eDSM Framework'!U48</f>
        <v>12280985.426982749</v>
      </c>
      <c r="G9" s="515">
        <f t="shared" ref="G9:G14" si="4">G8</f>
        <v>0.5</v>
      </c>
      <c r="H9" s="139">
        <f t="shared" si="1"/>
        <v>6140492.7134913746</v>
      </c>
      <c r="I9" s="137">
        <f>'CDM-eDSM Framework'!V48</f>
        <v>14519870.755112946</v>
      </c>
      <c r="J9" s="515">
        <v>0.5</v>
      </c>
      <c r="K9" s="140">
        <f t="shared" si="2"/>
        <v>7259935.377556473</v>
      </c>
      <c r="M9" s="514">
        <f>E9</f>
        <v>5272548.8090528203</v>
      </c>
      <c r="N9" s="514">
        <f>E9+H9</f>
        <v>11413041.522544194</v>
      </c>
      <c r="O9" s="514">
        <f>E9+F9+K9</f>
        <v>24813469.613592044</v>
      </c>
      <c r="P9" s="133"/>
      <c r="Z9" s="516"/>
      <c r="AA9" s="516"/>
    </row>
    <row r="10" spans="2:27" x14ac:dyDescent="0.2">
      <c r="B10" s="136" t="str">
        <f>'Summary Tables'!B18</f>
        <v>GS Co Gen</v>
      </c>
      <c r="C10" s="137">
        <f>'CDM-eDSM Framework'!T49</f>
        <v>284736.47438380838</v>
      </c>
      <c r="D10" s="515">
        <f t="shared" si="3"/>
        <v>0.5</v>
      </c>
      <c r="E10" s="138">
        <f t="shared" si="0"/>
        <v>142368.23719190419</v>
      </c>
      <c r="F10" s="137">
        <f>'CDM-eDSM Framework'!U49</f>
        <v>331996.69915554242</v>
      </c>
      <c r="G10" s="515">
        <f t="shared" si="4"/>
        <v>0.5</v>
      </c>
      <c r="H10" s="139">
        <f t="shared" si="1"/>
        <v>165998.34957777121</v>
      </c>
      <c r="I10" s="137">
        <f>'CDM-eDSM Framework'!V49</f>
        <v>314734.65409046173</v>
      </c>
      <c r="J10" s="515">
        <v>0.5</v>
      </c>
      <c r="K10" s="140">
        <f t="shared" si="2"/>
        <v>157367.32704523086</v>
      </c>
      <c r="M10" s="514">
        <f>E10</f>
        <v>142368.23719190419</v>
      </c>
      <c r="N10" s="514">
        <f>E10+H10</f>
        <v>308366.58676967537</v>
      </c>
      <c r="O10" s="514">
        <f>E10+F10+K10</f>
        <v>631732.26339267753</v>
      </c>
      <c r="P10" s="133"/>
      <c r="Z10" s="516"/>
      <c r="AA10" s="516"/>
    </row>
    <row r="11" spans="2:27" x14ac:dyDescent="0.2">
      <c r="B11" s="136" t="str">
        <f>'Summary Tables'!B19</f>
        <v>Large Use</v>
      </c>
      <c r="C11" s="137">
        <f>'CDM-eDSM Framework'!T50</f>
        <v>569620.99597427133</v>
      </c>
      <c r="D11" s="515">
        <f t="shared" si="3"/>
        <v>0.5</v>
      </c>
      <c r="E11" s="138">
        <f t="shared" si="0"/>
        <v>284810.49798713566</v>
      </c>
      <c r="F11" s="137">
        <f>'CDM-eDSM Framework'!U50</f>
        <v>662854.92580862518</v>
      </c>
      <c r="G11" s="515">
        <f t="shared" si="4"/>
        <v>0.5</v>
      </c>
      <c r="H11" s="139">
        <f t="shared" si="1"/>
        <v>331427.46290431259</v>
      </c>
      <c r="I11" s="137">
        <f>'CDM-eDSM Framework'!V50</f>
        <v>607936.30960482766</v>
      </c>
      <c r="J11" s="515">
        <v>0.5</v>
      </c>
      <c r="K11" s="140">
        <f t="shared" si="2"/>
        <v>303968.15480241383</v>
      </c>
      <c r="M11" s="514">
        <f>E11</f>
        <v>284810.49798713566</v>
      </c>
      <c r="N11" s="514">
        <f>E11+H11</f>
        <v>616237.96089144819</v>
      </c>
      <c r="O11" s="514">
        <f>E11+F11+K11</f>
        <v>1251633.5785981747</v>
      </c>
      <c r="P11" s="133"/>
      <c r="Z11" s="516"/>
      <c r="AA11" s="516"/>
    </row>
    <row r="12" spans="2:27" x14ac:dyDescent="0.2">
      <c r="B12" s="136" t="str">
        <f>'Summary Tables'!B20</f>
        <v>Street Light</v>
      </c>
      <c r="C12" s="137"/>
      <c r="D12" s="515">
        <f t="shared" si="3"/>
        <v>0.5</v>
      </c>
      <c r="E12" s="138">
        <f t="shared" si="0"/>
        <v>0</v>
      </c>
      <c r="F12" s="137"/>
      <c r="G12" s="515">
        <f t="shared" si="4"/>
        <v>0.5</v>
      </c>
      <c r="H12" s="139">
        <f t="shared" si="1"/>
        <v>0</v>
      </c>
      <c r="I12" s="137"/>
      <c r="J12" s="515">
        <v>0.5</v>
      </c>
      <c r="K12" s="140">
        <f t="shared" si="2"/>
        <v>0</v>
      </c>
    </row>
    <row r="13" spans="2:27" ht="28.5" x14ac:dyDescent="0.2">
      <c r="B13" s="136" t="str">
        <f>'Summary Tables'!B21</f>
        <v>Sentinel Light</v>
      </c>
      <c r="C13" s="137"/>
      <c r="D13" s="515">
        <f t="shared" si="3"/>
        <v>0.5</v>
      </c>
      <c r="E13" s="138"/>
      <c r="F13" s="137"/>
      <c r="G13" s="515">
        <f t="shared" si="4"/>
        <v>0.5</v>
      </c>
      <c r="H13" s="139"/>
      <c r="I13" s="137"/>
      <c r="J13" s="515">
        <v>0.5</v>
      </c>
      <c r="K13" s="140"/>
    </row>
    <row r="14" spans="2:27" x14ac:dyDescent="0.2">
      <c r="B14" s="136" t="str">
        <f>'Summary Tables'!B22</f>
        <v>USL</v>
      </c>
      <c r="C14" s="137"/>
      <c r="D14" s="515">
        <f>D12</f>
        <v>0.5</v>
      </c>
      <c r="E14" s="138">
        <f>C14*D14</f>
        <v>0</v>
      </c>
      <c r="F14" s="137"/>
      <c r="G14" s="515">
        <f t="shared" si="4"/>
        <v>0.5</v>
      </c>
      <c r="H14" s="139">
        <f t="shared" si="1"/>
        <v>0</v>
      </c>
      <c r="I14" s="137"/>
      <c r="J14" s="515">
        <v>0.5</v>
      </c>
      <c r="K14" s="140">
        <f t="shared" si="2"/>
        <v>0</v>
      </c>
    </row>
    <row r="15" spans="2:27" ht="15.75" thickBot="1" x14ac:dyDescent="0.3">
      <c r="B15" s="357" t="s">
        <v>128</v>
      </c>
      <c r="C15" s="360">
        <f>SUM(C7:C14)</f>
        <v>18012108.50777825</v>
      </c>
      <c r="D15" s="360"/>
      <c r="E15" s="360">
        <f>SUM(E7:E14)</f>
        <v>9006054.2538891248</v>
      </c>
      <c r="F15" s="360">
        <f>SUM(F7:F14)</f>
        <v>20775133.786152888</v>
      </c>
      <c r="G15" s="517">
        <f>G14</f>
        <v>0.5</v>
      </c>
      <c r="H15" s="518">
        <f t="shared" si="1"/>
        <v>10387566.893076444</v>
      </c>
      <c r="I15" s="360">
        <f>SUM(I7:I14)</f>
        <v>23653957.185506776</v>
      </c>
      <c r="J15" s="519">
        <v>0.5</v>
      </c>
      <c r="K15" s="520">
        <f t="shared" si="2"/>
        <v>11826978.592753388</v>
      </c>
    </row>
    <row r="16" spans="2:27" x14ac:dyDescent="0.2">
      <c r="B16" s="521"/>
      <c r="C16" s="521"/>
      <c r="D16" s="521"/>
      <c r="E16" s="521"/>
      <c r="F16" s="521"/>
      <c r="G16" s="521"/>
      <c r="H16" s="521"/>
      <c r="I16" s="521"/>
      <c r="J16" s="521"/>
      <c r="K16" s="521"/>
      <c r="L16" s="521"/>
      <c r="M16" s="521"/>
      <c r="N16" s="521"/>
      <c r="O16" s="521"/>
    </row>
    <row r="18" spans="2:22" ht="15" thickBot="1" x14ac:dyDescent="0.25"/>
    <row r="19" spans="2:22" ht="15" x14ac:dyDescent="0.25">
      <c r="B19" s="598" t="s">
        <v>513</v>
      </c>
      <c r="C19" s="599"/>
      <c r="D19" s="599"/>
      <c r="E19" s="599"/>
      <c r="F19" s="599"/>
      <c r="G19" s="599"/>
      <c r="H19" s="599"/>
      <c r="I19" s="599"/>
      <c r="J19" s="599"/>
      <c r="K19" s="599"/>
      <c r="L19" s="600"/>
    </row>
    <row r="20" spans="2:22" ht="14.65" customHeight="1" x14ac:dyDescent="0.25">
      <c r="B20" s="355" t="s">
        <v>131</v>
      </c>
      <c r="C20" s="593" t="s">
        <v>317</v>
      </c>
      <c r="D20" s="594"/>
      <c r="E20" s="594"/>
      <c r="F20" s="594"/>
      <c r="G20" s="595"/>
      <c r="H20" s="596" t="s">
        <v>507</v>
      </c>
      <c r="I20" s="596"/>
      <c r="J20" s="596"/>
      <c r="K20" s="596"/>
      <c r="L20" s="597"/>
    </row>
    <row r="21" spans="2:22" ht="45" x14ac:dyDescent="0.2">
      <c r="B21" s="356"/>
      <c r="C21" s="164" t="s">
        <v>135</v>
      </c>
      <c r="D21" s="164" t="s">
        <v>13</v>
      </c>
      <c r="E21" s="164" t="s">
        <v>136</v>
      </c>
      <c r="F21" s="164" t="s">
        <v>117</v>
      </c>
      <c r="G21" s="164" t="s">
        <v>13</v>
      </c>
      <c r="H21" s="164" t="s">
        <v>135</v>
      </c>
      <c r="I21" s="164" t="s">
        <v>13</v>
      </c>
      <c r="J21" s="164" t="s">
        <v>136</v>
      </c>
      <c r="K21" s="164" t="s">
        <v>117</v>
      </c>
      <c r="L21" s="215" t="s">
        <v>13</v>
      </c>
    </row>
    <row r="22" spans="2:22" ht="15" x14ac:dyDescent="0.25">
      <c r="B22" s="356"/>
      <c r="C22" s="164" t="s">
        <v>321</v>
      </c>
      <c r="D22" s="164" t="s">
        <v>384</v>
      </c>
      <c r="E22" s="164" t="s">
        <v>385</v>
      </c>
      <c r="F22" s="164" t="s">
        <v>386</v>
      </c>
      <c r="G22" s="164" t="s">
        <v>387</v>
      </c>
      <c r="H22" s="164" t="s">
        <v>321</v>
      </c>
      <c r="I22" s="164" t="s">
        <v>384</v>
      </c>
      <c r="J22" s="164" t="s">
        <v>385</v>
      </c>
      <c r="K22" s="164" t="s">
        <v>386</v>
      </c>
      <c r="L22" s="215" t="s">
        <v>387</v>
      </c>
      <c r="N22" s="513">
        <f>N6</f>
        <v>2026</v>
      </c>
      <c r="O22" s="513">
        <f>O6</f>
        <v>2027</v>
      </c>
    </row>
    <row r="23" spans="2:22" x14ac:dyDescent="0.2">
      <c r="B23" s="136" t="str">
        <f>B9</f>
        <v>GS &gt; 50</v>
      </c>
      <c r="C23" s="216">
        <f ca="1">'Normalized Annual Summary'!AE15</f>
        <v>1453986684.1174803</v>
      </c>
      <c r="D23" s="522">
        <f>N9</f>
        <v>11413041.522544194</v>
      </c>
      <c r="E23" s="523">
        <f ca="1">D23/C23</f>
        <v>7.8494814617036997E-3</v>
      </c>
      <c r="F23" s="216">
        <f ca="1">'kW Forecast'!D19</f>
        <v>3677584.1798180258</v>
      </c>
      <c r="G23" s="216">
        <f ca="1">E23*F23</f>
        <v>28867.128843336399</v>
      </c>
      <c r="H23" s="216">
        <f ca="1">'Normalized Annual Summary'!AE16</f>
        <v>1469923276.0028663</v>
      </c>
      <c r="I23" s="522">
        <f>O9</f>
        <v>24813469.613592044</v>
      </c>
      <c r="J23" s="523">
        <f ca="1">I23/H23</f>
        <v>1.6880792364256471E-2</v>
      </c>
      <c r="K23" s="216">
        <f ca="1">'kW Forecast'!D20</f>
        <v>3717892.7733134916</v>
      </c>
      <c r="L23" s="217">
        <f ca="1">J23*K23</f>
        <v>62760.975938874704</v>
      </c>
      <c r="N23" s="514">
        <f ca="1">G23</f>
        <v>28867.128843336399</v>
      </c>
      <c r="O23" s="514">
        <f ca="1">L23</f>
        <v>62760.975938874704</v>
      </c>
      <c r="S23" s="133"/>
      <c r="V23" s="133"/>
    </row>
    <row r="24" spans="2:22" x14ac:dyDescent="0.2">
      <c r="B24" s="136" t="str">
        <f>B10</f>
        <v>GS Co Gen</v>
      </c>
      <c r="C24" s="216">
        <f ca="1">'Normalized Annual Summary'!AP15</f>
        <v>38607642.697028317</v>
      </c>
      <c r="D24" s="522">
        <f>N10</f>
        <v>308366.58676967537</v>
      </c>
      <c r="E24" s="523">
        <f ca="1">D24/C24</f>
        <v>7.9871902356113238E-3</v>
      </c>
      <c r="F24" s="216">
        <f ca="1">'kW Forecast'!K19</f>
        <v>68686.506238615577</v>
      </c>
      <c r="G24" s="216">
        <f ca="1">E24*F24</f>
        <v>548.61219194732666</v>
      </c>
      <c r="H24" s="216">
        <f ca="1">'Normalized Annual Summary'!AP16</f>
        <v>38590419.43397297</v>
      </c>
      <c r="I24" s="522">
        <f>O10</f>
        <v>631732.26339267753</v>
      </c>
      <c r="J24" s="523">
        <f ca="1">I24/H24</f>
        <v>1.6370183912448846E-2</v>
      </c>
      <c r="K24" s="216">
        <f ca="1">'kW Forecast'!K20</f>
        <v>68655.864487846586</v>
      </c>
      <c r="L24" s="217">
        <f ca="1">J24*K24</f>
        <v>1123.9091283342141</v>
      </c>
      <c r="N24" s="514">
        <f ca="1">G24</f>
        <v>548.61219194732666</v>
      </c>
      <c r="O24" s="514">
        <f ca="1">L24</f>
        <v>1123.9091283342141</v>
      </c>
      <c r="S24" s="133"/>
      <c r="V24" s="133"/>
    </row>
    <row r="25" spans="2:22" x14ac:dyDescent="0.2">
      <c r="B25" s="136" t="str">
        <f>B11</f>
        <v>Large Use</v>
      </c>
      <c r="C25" s="216">
        <f ca="1">'Normalized Annual Summary'!BC15</f>
        <v>159294224.88862976</v>
      </c>
      <c r="D25" s="522">
        <f>N11</f>
        <v>616237.96089144819</v>
      </c>
      <c r="E25" s="523">
        <f ca="1">D25/C25</f>
        <v>3.8685518029438273E-3</v>
      </c>
      <c r="F25" s="216">
        <f ca="1">'kW Forecast'!R19</f>
        <v>303950.42343362432</v>
      </c>
      <c r="G25" s="216">
        <f ca="1">E25*F25</f>
        <v>1175.8479585796872</v>
      </c>
      <c r="H25" s="216">
        <f ca="1">'Normalized Annual Summary'!BC16</f>
        <v>162766627.19603816</v>
      </c>
      <c r="I25" s="522">
        <f>O11</f>
        <v>1251633.5785981747</v>
      </c>
      <c r="J25" s="523">
        <f ca="1">I25/H25</f>
        <v>7.6897432855857588E-3</v>
      </c>
      <c r="K25" s="216">
        <f ca="1">'kW Forecast'!R20</f>
        <v>310534.63621966535</v>
      </c>
      <c r="L25" s="217">
        <f ca="1">J25*K25</f>
        <v>2387.9316338119879</v>
      </c>
      <c r="N25" s="514">
        <f ca="1">G25</f>
        <v>1175.8479585796872</v>
      </c>
      <c r="O25" s="514">
        <f ca="1">L25</f>
        <v>2387.9316338119879</v>
      </c>
      <c r="S25" s="133"/>
      <c r="V25" s="133"/>
    </row>
    <row r="26" spans="2:22" x14ac:dyDescent="0.2">
      <c r="B26" s="136" t="str">
        <f>B12</f>
        <v>Street Light</v>
      </c>
      <c r="C26" s="216">
        <f>'Normalized Annual Summary'!$BI$15</f>
        <v>17667700.63636383</v>
      </c>
      <c r="D26" s="522">
        <f>AB12</f>
        <v>0</v>
      </c>
      <c r="E26" s="523">
        <f>D26/C26</f>
        <v>0</v>
      </c>
      <c r="F26" s="216"/>
      <c r="G26" s="216">
        <f>E26*F26</f>
        <v>0</v>
      </c>
      <c r="H26" s="216">
        <f>'Normalized Annual Summary'!$BI$15</f>
        <v>17667700.63636383</v>
      </c>
      <c r="I26" s="522">
        <f>AG12</f>
        <v>0</v>
      </c>
      <c r="J26" s="523">
        <f>I26/H26</f>
        <v>0</v>
      </c>
      <c r="K26" s="216"/>
      <c r="L26" s="217">
        <f>J26*K26</f>
        <v>0</v>
      </c>
      <c r="S26" s="133"/>
      <c r="T26" s="133"/>
      <c r="U26" s="133"/>
      <c r="V26" s="133"/>
    </row>
    <row r="27" spans="2:22" ht="28.5" x14ac:dyDescent="0.2">
      <c r="B27" s="136" t="str">
        <f>B13</f>
        <v>Sentinel Light</v>
      </c>
      <c r="C27" s="216">
        <f>'Normalized Annual Summary'!BO15</f>
        <v>499089.74317390809</v>
      </c>
      <c r="D27" s="522"/>
      <c r="E27" s="523">
        <f>D27/C27</f>
        <v>0</v>
      </c>
      <c r="F27" s="216"/>
      <c r="G27" s="216">
        <f>E27*F27</f>
        <v>0</v>
      </c>
      <c r="H27" s="216">
        <f>'Normalized Annual Summary'!BO16</f>
        <v>492053.30695998308</v>
      </c>
      <c r="I27" s="522"/>
      <c r="J27" s="523"/>
      <c r="K27" s="216"/>
      <c r="L27" s="217">
        <f>J27*K27</f>
        <v>0</v>
      </c>
      <c r="S27" s="133"/>
      <c r="T27" s="133"/>
      <c r="U27" s="133"/>
      <c r="V27" s="133"/>
    </row>
    <row r="28" spans="2:22" ht="15.75" thickBot="1" x14ac:dyDescent="0.3">
      <c r="B28" s="357" t="s">
        <v>128</v>
      </c>
      <c r="C28" s="358">
        <f t="shared" ref="C28:L28" ca="1" si="5">SUM(C23:C26)</f>
        <v>1669556252.3395021</v>
      </c>
      <c r="D28" s="358">
        <f t="shared" si="5"/>
        <v>12337646.070205318</v>
      </c>
      <c r="E28" s="359">
        <f t="shared" ca="1" si="5"/>
        <v>1.9705223500258849E-2</v>
      </c>
      <c r="F28" s="360">
        <f t="shared" ca="1" si="5"/>
        <v>4050221.1094902656</v>
      </c>
      <c r="G28" s="360">
        <f t="shared" ca="1" si="5"/>
        <v>30591.588993863414</v>
      </c>
      <c r="H28" s="358">
        <f t="shared" ca="1" si="5"/>
        <v>1688948023.2692413</v>
      </c>
      <c r="I28" s="358">
        <f t="shared" si="5"/>
        <v>26696835.455582898</v>
      </c>
      <c r="J28" s="359">
        <f t="shared" ca="1" si="5"/>
        <v>4.0940719562291075E-2</v>
      </c>
      <c r="K28" s="360">
        <f t="shared" ca="1" si="5"/>
        <v>4097083.2740210034</v>
      </c>
      <c r="L28" s="361">
        <f t="shared" ca="1" si="5"/>
        <v>66272.8167010209</v>
      </c>
    </row>
    <row r="33" ht="26.65" customHeight="1" x14ac:dyDescent="0.2"/>
  </sheetData>
  <mergeCells count="9">
    <mergeCell ref="B2:K2"/>
    <mergeCell ref="C20:G20"/>
    <mergeCell ref="H20:L20"/>
    <mergeCell ref="B19:L19"/>
    <mergeCell ref="B3:K3"/>
    <mergeCell ref="B4:B5"/>
    <mergeCell ref="F4:H4"/>
    <mergeCell ref="I4:K4"/>
    <mergeCell ref="C4:E4"/>
  </mergeCells>
  <phoneticPr fontId="43" type="noConversion"/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8">
    <tabColor rgb="FFFF0000"/>
  </sheetPr>
  <dimension ref="B1:AQ68"/>
  <sheetViews>
    <sheetView topLeftCell="V1" workbookViewId="0">
      <selection activeCell="AG32" sqref="AG32:AQ32"/>
    </sheetView>
  </sheetViews>
  <sheetFormatPr defaultColWidth="9.1640625" defaultRowHeight="12.75" x14ac:dyDescent="0.2"/>
  <cols>
    <col min="1" max="1" width="3" style="27" customWidth="1"/>
    <col min="2" max="2" width="28.33203125" style="27" bestFit="1" customWidth="1"/>
    <col min="3" max="3" width="16.6640625" style="27" customWidth="1"/>
    <col min="4" max="7" width="15" style="27" bestFit="1" customWidth="1"/>
    <col min="8" max="8" width="15.6640625" style="27" bestFit="1" customWidth="1"/>
    <col min="9" max="10" width="15" style="27" bestFit="1" customWidth="1"/>
    <col min="11" max="11" width="15" style="27" customWidth="1"/>
    <col min="12" max="14" width="15" style="27" bestFit="1" customWidth="1"/>
    <col min="15" max="15" width="15.6640625" style="27" bestFit="1" customWidth="1"/>
    <col min="16" max="31" width="9.1640625" style="27"/>
    <col min="32" max="32" width="23" style="27" bestFit="1" customWidth="1"/>
    <col min="33" max="41" width="16.33203125" style="27" bestFit="1" customWidth="1"/>
    <col min="42" max="43" width="16.5" style="27" bestFit="1" customWidth="1"/>
    <col min="44" max="16384" width="9.1640625" style="27"/>
  </cols>
  <sheetData>
    <row r="1" spans="2:43" ht="16.5" thickBot="1" x14ac:dyDescent="0.3">
      <c r="B1" s="45" t="s">
        <v>125</v>
      </c>
      <c r="C1" s="45"/>
      <c r="AF1" s="45" t="s">
        <v>560</v>
      </c>
    </row>
    <row r="2" spans="2:43" x14ac:dyDescent="0.2">
      <c r="B2" s="156" t="s">
        <v>116</v>
      </c>
      <c r="C2" s="353" t="s">
        <v>126</v>
      </c>
      <c r="D2" s="353" t="s">
        <v>127</v>
      </c>
      <c r="E2" s="353" t="s">
        <v>151</v>
      </c>
      <c r="F2" s="353" t="s">
        <v>328</v>
      </c>
      <c r="G2" s="353" t="s">
        <v>329</v>
      </c>
      <c r="H2" s="353" t="s">
        <v>330</v>
      </c>
      <c r="I2" s="353" t="s">
        <v>331</v>
      </c>
      <c r="J2" s="353" t="s">
        <v>392</v>
      </c>
      <c r="K2" s="353" t="s">
        <v>543</v>
      </c>
      <c r="L2" s="529" t="s">
        <v>542</v>
      </c>
      <c r="M2" s="353" t="s">
        <v>317</v>
      </c>
      <c r="N2" s="354" t="s">
        <v>507</v>
      </c>
      <c r="AF2" s="156" t="s">
        <v>116</v>
      </c>
      <c r="AG2" s="353" t="str">
        <f t="shared" ref="AG2:AG10" si="0">C2</f>
        <v>2017 Actual</v>
      </c>
      <c r="AH2" s="353" t="str">
        <f t="shared" ref="AH2:AH10" si="1">D2</f>
        <v>2018 Actual</v>
      </c>
      <c r="AI2" s="353" t="str">
        <f t="shared" ref="AI2:AI10" si="2">E2</f>
        <v>2019 Actual</v>
      </c>
      <c r="AJ2" s="353" t="str">
        <f t="shared" ref="AJ2:AJ10" si="3">F2</f>
        <v>2020 Actual</v>
      </c>
      <c r="AK2" s="353" t="str">
        <f t="shared" ref="AK2:AK10" si="4">G2</f>
        <v>2021 Actual</v>
      </c>
      <c r="AL2" s="353" t="str">
        <f t="shared" ref="AL2:AL10" si="5">H2</f>
        <v>2022 Actual</v>
      </c>
      <c r="AM2" s="353" t="str">
        <f t="shared" ref="AM2:AM10" si="6">I2</f>
        <v>2023 Actual</v>
      </c>
      <c r="AN2" s="353" t="str">
        <f t="shared" ref="AN2:AO10" si="7">J2</f>
        <v>2024 Actual</v>
      </c>
      <c r="AO2" s="353" t="str">
        <f t="shared" si="7"/>
        <v>2025 Actual</v>
      </c>
      <c r="AP2" s="529" t="str">
        <f>M2</f>
        <v>2026 Forecast</v>
      </c>
      <c r="AQ2" s="353" t="str">
        <f>N2</f>
        <v>2027 Forecast</v>
      </c>
    </row>
    <row r="3" spans="2:43" x14ac:dyDescent="0.2">
      <c r="B3" s="46" t="s">
        <v>24</v>
      </c>
      <c r="C3" s="28">
        <f ca="1">OFFSET('Normalized Annual Summary'!$C$6,COLUMN(C3)-COLUMN($C3),0)</f>
        <v>1047993667</v>
      </c>
      <c r="D3" s="28">
        <f ca="1">OFFSET('Normalized Annual Summary'!$C$6,COLUMN(D3)-COLUMN($C3),0)</f>
        <v>1139376021</v>
      </c>
      <c r="E3" s="28">
        <f ca="1">OFFSET('Normalized Annual Summary'!$C$6,COLUMN(E3)-COLUMN($C3),0)</f>
        <v>1101433888.4783466</v>
      </c>
      <c r="F3" s="28">
        <f ca="1">OFFSET('Normalized Annual Summary'!$C$6,COLUMN(F3)-COLUMN($C3),0)</f>
        <v>1174376356.2405562</v>
      </c>
      <c r="G3" s="28">
        <f ca="1">OFFSET('Normalized Annual Summary'!$C$6,COLUMN(G3)-COLUMN($C3),0)</f>
        <v>1183155978.337724</v>
      </c>
      <c r="H3" s="28">
        <f ca="1">OFFSET('Normalized Annual Summary'!$C$6,COLUMN(H3)-COLUMN($C3),0)</f>
        <v>1180210179.8745952</v>
      </c>
      <c r="I3" s="28">
        <f ca="1">OFFSET('Normalized Annual Summary'!$C$6,COLUMN(I3)-COLUMN($C3),0)</f>
        <v>1127950490.8539553</v>
      </c>
      <c r="J3" s="28">
        <f ca="1">OFFSET('Normalized Annual Summary'!$C$6,COLUMN(J3)-COLUMN($C3),0)</f>
        <v>1181706111.5087397</v>
      </c>
      <c r="K3" s="28">
        <f ca="1">OFFSET('Normalized Annual Summary'!$C$6,COLUMN(K3)-COLUMN($C3),0)</f>
        <v>1217191863.2636447</v>
      </c>
      <c r="L3" s="530">
        <f ca="1">OFFSET('Normalized Annual Summary'!$K$47,COLUMN(L3)-COLUMN($C3),0)</f>
        <v>1201673800.0409098</v>
      </c>
      <c r="M3" s="28">
        <f ca="1">OFFSET('Normalized Annual Summary'!$K$47,COLUMN(M3)-COLUMN($C3),0)</f>
        <v>1224513011.511615</v>
      </c>
      <c r="N3" s="47">
        <f ca="1">OFFSET('Normalized Annual Summary'!$K$47,COLUMN(N3)-COLUMN($C3),0)</f>
        <v>1252807752.4400463</v>
      </c>
      <c r="AF3" s="46" t="s">
        <v>24</v>
      </c>
      <c r="AG3" s="28">
        <f t="shared" ca="1" si="0"/>
        <v>1047993667</v>
      </c>
      <c r="AH3" s="28">
        <f t="shared" ca="1" si="1"/>
        <v>1139376021</v>
      </c>
      <c r="AI3" s="28">
        <f t="shared" ca="1" si="2"/>
        <v>1101433888.4783466</v>
      </c>
      <c r="AJ3" s="28">
        <f t="shared" ca="1" si="3"/>
        <v>1174376356.2405562</v>
      </c>
      <c r="AK3" s="28">
        <f t="shared" ca="1" si="4"/>
        <v>1183155978.337724</v>
      </c>
      <c r="AL3" s="28">
        <f t="shared" ca="1" si="5"/>
        <v>1180210179.8745952</v>
      </c>
      <c r="AM3" s="28">
        <f t="shared" ca="1" si="6"/>
        <v>1127950490.8539553</v>
      </c>
      <c r="AN3" s="28">
        <f t="shared" ca="1" si="7"/>
        <v>1181706111.5087397</v>
      </c>
      <c r="AO3" s="28">
        <f t="shared" ca="1" si="7"/>
        <v>1217191863.2636447</v>
      </c>
      <c r="AP3" s="530">
        <f ca="1">M3-'CDM Adjustment'!N7</f>
        <v>1221708841.5844655</v>
      </c>
      <c r="AQ3" s="28">
        <f ca="1">N3-'CDM Adjustment'!O7</f>
        <v>1246806816.5202808</v>
      </c>
    </row>
    <row r="4" spans="2:43" x14ac:dyDescent="0.2">
      <c r="B4" s="48" t="s">
        <v>111</v>
      </c>
      <c r="C4" s="28">
        <f ca="1">OFFSET('Normalized Annual Summary'!$N$6,COLUMN(C4)-COLUMN($C4),0)</f>
        <v>385223199</v>
      </c>
      <c r="D4" s="28">
        <f ca="1">OFFSET('Normalized Annual Summary'!$N$6,COLUMN(D4)-COLUMN($C4),0)</f>
        <v>398801024</v>
      </c>
      <c r="E4" s="28">
        <f ca="1">OFFSET('Normalized Annual Summary'!$N$6,COLUMN(E4)-COLUMN($C4),0)</f>
        <v>394237702.73931646</v>
      </c>
      <c r="F4" s="28">
        <f ca="1">OFFSET('Normalized Annual Summary'!$N$6,COLUMN(F4)-COLUMN($C4),0)</f>
        <v>374506007.7641958</v>
      </c>
      <c r="G4" s="28">
        <f ca="1">OFFSET('Normalized Annual Summary'!$N$6,COLUMN(G4)-COLUMN($C4),0)</f>
        <v>381478906.71076226</v>
      </c>
      <c r="H4" s="28">
        <f ca="1">OFFSET('Normalized Annual Summary'!$N$6,COLUMN(H4)-COLUMN($C4),0)</f>
        <v>404904347.96509457</v>
      </c>
      <c r="I4" s="28">
        <f ca="1">OFFSET('Normalized Annual Summary'!$N$6,COLUMN(I4)-COLUMN($C4),0)</f>
        <v>399918444.19770122</v>
      </c>
      <c r="J4" s="28">
        <f ca="1">OFFSET('Normalized Annual Summary'!$N$6,COLUMN(J4)-COLUMN($C4),0)</f>
        <v>404233973.90292341</v>
      </c>
      <c r="K4" s="28">
        <f ca="1">OFFSET('Normalized Annual Summary'!$N$6,COLUMN(K4)-COLUMN($C4),0)</f>
        <v>416596865.08434409</v>
      </c>
      <c r="L4" s="530">
        <f ca="1">OFFSET('Normalized Annual Summary'!$V$47,COLUMN(L4)-COLUMN($C4),0)</f>
        <v>413670352.26202881</v>
      </c>
      <c r="M4" s="28">
        <f ca="1">OFFSET('Normalized Annual Summary'!$V$47,COLUMN(M4)-COLUMN($C4),0)</f>
        <v>418708962.95375508</v>
      </c>
      <c r="N4" s="47">
        <f ca="1">OFFSET('Normalized Annual Summary'!$V$47,COLUMN(N4)-COLUMN($C4),0)</f>
        <v>428500444.0677461</v>
      </c>
      <c r="AF4" s="48" t="s">
        <v>111</v>
      </c>
      <c r="AG4" s="28">
        <f t="shared" ca="1" si="0"/>
        <v>385223199</v>
      </c>
      <c r="AH4" s="28">
        <f t="shared" ca="1" si="1"/>
        <v>398801024</v>
      </c>
      <c r="AI4" s="28">
        <f t="shared" ca="1" si="2"/>
        <v>394237702.73931646</v>
      </c>
      <c r="AJ4" s="28">
        <f t="shared" ca="1" si="3"/>
        <v>374506007.7641958</v>
      </c>
      <c r="AK4" s="28">
        <f t="shared" ca="1" si="4"/>
        <v>381478906.71076226</v>
      </c>
      <c r="AL4" s="28">
        <f t="shared" ca="1" si="5"/>
        <v>404904347.96509457</v>
      </c>
      <c r="AM4" s="28">
        <f t="shared" ca="1" si="6"/>
        <v>399918444.19770122</v>
      </c>
      <c r="AN4" s="28">
        <f t="shared" ca="1" si="7"/>
        <v>404233973.90292341</v>
      </c>
      <c r="AO4" s="28">
        <f t="shared" ca="1" si="7"/>
        <v>416596865.08434409</v>
      </c>
      <c r="AP4" s="530">
        <f ca="1">M4-'CDM Adjustment'!N8</f>
        <v>414457157.80414426</v>
      </c>
      <c r="AQ4" s="28">
        <f ca="1">N4-'CDM Adjustment'!O8</f>
        <v>419590048.81029916</v>
      </c>
    </row>
    <row r="5" spans="2:43" x14ac:dyDescent="0.2">
      <c r="B5" s="48" t="s">
        <v>112</v>
      </c>
      <c r="C5" s="28">
        <f ca="1">OFFSET('Normalized Annual Summary'!$Y$6,COLUMN(C5)-COLUMN($C5),0)</f>
        <v>1458855316</v>
      </c>
      <c r="D5" s="28">
        <f ca="1">OFFSET('Normalized Annual Summary'!$Y$6,COLUMN(D5)-COLUMN($C5),0)</f>
        <v>1485117370</v>
      </c>
      <c r="E5" s="28">
        <f ca="1">OFFSET('Normalized Annual Summary'!$Y$6,COLUMN(E5)-COLUMN($C5),0)</f>
        <v>1408341173.2980461</v>
      </c>
      <c r="F5" s="28">
        <f ca="1">OFFSET('Normalized Annual Summary'!$Y$6,COLUMN(F5)-COLUMN($C5),0)</f>
        <v>1365678433.9229021</v>
      </c>
      <c r="G5" s="28">
        <f ca="1">OFFSET('Normalized Annual Summary'!$Y$6,COLUMN(G5)-COLUMN($C5),0)</f>
        <v>1385380121.3308113</v>
      </c>
      <c r="H5" s="28">
        <f ca="1">OFFSET('Normalized Annual Summary'!$Y$6,COLUMN(H5)-COLUMN($C5),0)</f>
        <v>1424708525.6983182</v>
      </c>
      <c r="I5" s="28">
        <f ca="1">OFFSET('Normalized Annual Summary'!$Y$6,COLUMN(I5)-COLUMN($C5),0)</f>
        <v>1400393230.0632451</v>
      </c>
      <c r="J5" s="28">
        <f ca="1">OFFSET('Normalized Annual Summary'!$Y$6,COLUMN(J5)-COLUMN($C5),0)</f>
        <v>1446263151.7577271</v>
      </c>
      <c r="K5" s="28">
        <f ca="1">OFFSET('Normalized Annual Summary'!$Y$6,COLUMN(K5)-COLUMN($C5),0)</f>
        <v>1470647189.1957462</v>
      </c>
      <c r="L5" s="530">
        <f ca="1">OFFSET('Normalized Annual Summary'!$AG$47,COLUMN(L5)-COLUMN($C5),0)</f>
        <v>1465451455.2605937</v>
      </c>
      <c r="M5" s="28">
        <f ca="1">OFFSET('Normalized Annual Summary'!$AG$47,COLUMN(M5)-COLUMN($C5),0)</f>
        <v>1454290738.201947</v>
      </c>
      <c r="N5" s="47">
        <f ca="1">OFFSET('Normalized Annual Summary'!$AG$47,COLUMN(N5)-COLUMN($C5),0)</f>
        <v>1470577776.6983194</v>
      </c>
      <c r="AF5" s="48" t="s">
        <v>112</v>
      </c>
      <c r="AG5" s="28">
        <f t="shared" ca="1" si="0"/>
        <v>1458855316</v>
      </c>
      <c r="AH5" s="28">
        <f t="shared" ca="1" si="1"/>
        <v>1485117370</v>
      </c>
      <c r="AI5" s="28">
        <f t="shared" ca="1" si="2"/>
        <v>1408341173.2980461</v>
      </c>
      <c r="AJ5" s="28">
        <f t="shared" ca="1" si="3"/>
        <v>1365678433.9229021</v>
      </c>
      <c r="AK5" s="28">
        <f t="shared" ca="1" si="4"/>
        <v>1385380121.3308113</v>
      </c>
      <c r="AL5" s="28">
        <f t="shared" ca="1" si="5"/>
        <v>1424708525.6983182</v>
      </c>
      <c r="AM5" s="28">
        <f t="shared" ca="1" si="6"/>
        <v>1400393230.0632451</v>
      </c>
      <c r="AN5" s="28">
        <f t="shared" ca="1" si="7"/>
        <v>1446263151.7577271</v>
      </c>
      <c r="AO5" s="28">
        <f t="shared" ca="1" si="7"/>
        <v>1470647189.1957462</v>
      </c>
      <c r="AP5" s="530">
        <f ca="1">M5-'CDM Adjustment'!N9</f>
        <v>1442877696.6794028</v>
      </c>
      <c r="AQ5" s="28">
        <f ca="1">N5-'CDM Adjustment'!O9</f>
        <v>1445764307.0847273</v>
      </c>
    </row>
    <row r="6" spans="2:43" x14ac:dyDescent="0.2">
      <c r="B6" s="48" t="s">
        <v>481</v>
      </c>
      <c r="C6" s="28">
        <f ca="1">OFFSET('Normalized Annual Summary'!$AJ$6,COLUMN(C6)-COLUMN($C6),0)</f>
        <v>46826076</v>
      </c>
      <c r="D6" s="28">
        <f ca="1">OFFSET('Normalized Annual Summary'!$AJ$6,COLUMN(D6)-COLUMN($C6),0)</f>
        <v>47167618</v>
      </c>
      <c r="E6" s="28">
        <f ca="1">OFFSET('Normalized Annual Summary'!$AJ$6,COLUMN(E6)-COLUMN($C6),0)</f>
        <v>34966867.902733505</v>
      </c>
      <c r="F6" s="28">
        <f ca="1">OFFSET('Normalized Annual Summary'!$AJ$6,COLUMN(F6)-COLUMN($C6),0)</f>
        <v>36542441.547490597</v>
      </c>
      <c r="G6" s="28">
        <f ca="1">OFFSET('Normalized Annual Summary'!$AJ$6,COLUMN(G6)-COLUMN($C6),0)</f>
        <v>28072541.583803825</v>
      </c>
      <c r="H6" s="28">
        <f ca="1">OFFSET('Normalized Annual Summary'!$AJ$6,COLUMN(H6)-COLUMN($C6),0)</f>
        <v>43045721.021658659</v>
      </c>
      <c r="I6" s="28">
        <f ca="1">OFFSET('Normalized Annual Summary'!$AJ$6,COLUMN(I6)-COLUMN($C6),0)</f>
        <v>51773685.92783922</v>
      </c>
      <c r="J6" s="28">
        <f ca="1">OFFSET('Normalized Annual Summary'!$AJ$6,COLUMN(J6)-COLUMN($C6),0)</f>
        <v>34855427.423796594</v>
      </c>
      <c r="K6" s="28">
        <f ca="1">OFFSET('Normalized Annual Summary'!$AJ$6,COLUMN(K6)-COLUMN($C6),0)</f>
        <v>31417818.32771375</v>
      </c>
      <c r="L6" s="530">
        <f ca="1">OFFSET('Normalized Annual Summary'!$AR$47,COLUMN(L6)-COLUMN($C6),0)</f>
        <v>31196454.949340317</v>
      </c>
      <c r="M6" s="28">
        <f ca="1">OFFSET('Normalized Annual Summary'!$AR$47,COLUMN(M6)-COLUMN($C6),0)</f>
        <v>38607642.697028317</v>
      </c>
      <c r="N6" s="47">
        <f ca="1">OFFSET('Normalized Annual Summary'!$AR$47,COLUMN(N6)-COLUMN($C6),0)</f>
        <v>38590419.43397297</v>
      </c>
      <c r="AF6" s="48" t="s">
        <v>481</v>
      </c>
      <c r="AG6" s="28">
        <f t="shared" ca="1" si="0"/>
        <v>46826076</v>
      </c>
      <c r="AH6" s="28">
        <f t="shared" ca="1" si="1"/>
        <v>47167618</v>
      </c>
      <c r="AI6" s="28">
        <f t="shared" ca="1" si="2"/>
        <v>34966867.902733505</v>
      </c>
      <c r="AJ6" s="28">
        <f t="shared" ca="1" si="3"/>
        <v>36542441.547490597</v>
      </c>
      <c r="AK6" s="28">
        <f t="shared" ca="1" si="4"/>
        <v>28072541.583803825</v>
      </c>
      <c r="AL6" s="28">
        <f t="shared" ca="1" si="5"/>
        <v>43045721.021658659</v>
      </c>
      <c r="AM6" s="28">
        <f t="shared" ca="1" si="6"/>
        <v>51773685.92783922</v>
      </c>
      <c r="AN6" s="28">
        <f t="shared" ca="1" si="7"/>
        <v>34855427.423796594</v>
      </c>
      <c r="AO6" s="28">
        <f t="shared" ca="1" si="7"/>
        <v>31417818.32771375</v>
      </c>
      <c r="AP6" s="530">
        <f ca="1">M6-'CDM Adjustment'!N10</f>
        <v>38299276.110258639</v>
      </c>
      <c r="AQ6" s="28">
        <f ca="1">N6-'CDM Adjustment'!O10</f>
        <v>37958687.17058029</v>
      </c>
    </row>
    <row r="7" spans="2:43" x14ac:dyDescent="0.2">
      <c r="B7" s="48" t="s">
        <v>444</v>
      </c>
      <c r="C7" s="28">
        <f ca="1">OFFSET('Normalized Annual Summary'!$AU$6,COLUMN(C7)-COLUMN($C7),0)</f>
        <v>117991437</v>
      </c>
      <c r="D7" s="28">
        <f ca="1">OFFSET('Normalized Annual Summary'!$AU$6,COLUMN(D7)-COLUMN($C7),0)</f>
        <v>117777486</v>
      </c>
      <c r="E7" s="28">
        <f ca="1">OFFSET('Normalized Annual Summary'!$AU$6,COLUMN(E7)-COLUMN($C7),0)</f>
        <v>110589767.84308411</v>
      </c>
      <c r="F7" s="28">
        <f ca="1">OFFSET('Normalized Annual Summary'!$AU$6,COLUMN(F7)-COLUMN($C7),0)</f>
        <v>101893892.280927</v>
      </c>
      <c r="G7" s="28">
        <f ca="1">OFFSET('Normalized Annual Summary'!$AU$6,COLUMN(G7)-COLUMN($C7),0)</f>
        <v>105654509.1076003</v>
      </c>
      <c r="H7" s="28">
        <f ca="1">OFFSET('Normalized Annual Summary'!$AU$6,COLUMN(H7)-COLUMN($C7),0)</f>
        <v>112464987.29709665</v>
      </c>
      <c r="I7" s="28">
        <f ca="1">OFFSET('Normalized Annual Summary'!$AU$6,COLUMN(I7)-COLUMN($C7),0)</f>
        <v>153160749.79471761</v>
      </c>
      <c r="J7" s="28">
        <f ca="1">OFFSET('Normalized Annual Summary'!$AU$6,COLUMN(J7)-COLUMN($C7),0)</f>
        <v>162734021.88019371</v>
      </c>
      <c r="K7" s="28">
        <f ca="1">OFFSET('Normalized Annual Summary'!$AU$6,COLUMN(K7)-COLUMN($C7),0)</f>
        <v>160084660.45041481</v>
      </c>
      <c r="L7" s="530">
        <f ca="1">OFFSET('Normalized Annual Summary'!$BC$47,COLUMN(L7)-COLUMN($C7),0)</f>
        <v>159912030.70024589</v>
      </c>
      <c r="M7" s="28">
        <f ca="1">OFFSET('Normalized Annual Summary'!$BC$47,COLUMN(M7)-COLUMN($C7),0)</f>
        <v>159294224.88862976</v>
      </c>
      <c r="N7" s="47">
        <f ca="1">OFFSET('Normalized Annual Summary'!$BC$47,COLUMN(N7)-COLUMN($C7),0)</f>
        <v>162766627.19603816</v>
      </c>
      <c r="AF7" s="48" t="s">
        <v>444</v>
      </c>
      <c r="AG7" s="28">
        <f t="shared" ca="1" si="0"/>
        <v>117991437</v>
      </c>
      <c r="AH7" s="28">
        <f t="shared" ca="1" si="1"/>
        <v>117777486</v>
      </c>
      <c r="AI7" s="28">
        <f t="shared" ca="1" si="2"/>
        <v>110589767.84308411</v>
      </c>
      <c r="AJ7" s="28">
        <f t="shared" ca="1" si="3"/>
        <v>101893892.280927</v>
      </c>
      <c r="AK7" s="28">
        <f t="shared" ca="1" si="4"/>
        <v>105654509.1076003</v>
      </c>
      <c r="AL7" s="28">
        <f t="shared" ca="1" si="5"/>
        <v>112464987.29709665</v>
      </c>
      <c r="AM7" s="28">
        <f t="shared" ca="1" si="6"/>
        <v>153160749.79471761</v>
      </c>
      <c r="AN7" s="28">
        <f t="shared" ca="1" si="7"/>
        <v>162734021.88019371</v>
      </c>
      <c r="AO7" s="28">
        <f t="shared" ca="1" si="7"/>
        <v>160084660.45041481</v>
      </c>
      <c r="AP7" s="530">
        <f ca="1">M7-'CDM Adjustment'!N11</f>
        <v>158677986.92773831</v>
      </c>
      <c r="AQ7" s="28">
        <f ca="1">N7-'CDM Adjustment'!O11</f>
        <v>161514993.61743999</v>
      </c>
    </row>
    <row r="8" spans="2:43" x14ac:dyDescent="0.2">
      <c r="B8" s="48" t="s">
        <v>122</v>
      </c>
      <c r="C8" s="28">
        <f ca="1">OFFSET('Normalized Annual Summary'!$BF$6,COLUMN(C8)-COLUMN($C8),0)</f>
        <v>19787895.879999999</v>
      </c>
      <c r="D8" s="28">
        <f ca="1">OFFSET('Normalized Annual Summary'!$BF$6,COLUMN(D8)-COLUMN($C8),0)</f>
        <v>17086178.68</v>
      </c>
      <c r="E8" s="28">
        <f ca="1">OFFSET('Normalized Annual Summary'!$BF$6,COLUMN(E8)-COLUMN($C8),0)</f>
        <v>16623912.16</v>
      </c>
      <c r="F8" s="28">
        <f ca="1">OFFSET('Normalized Annual Summary'!$BF$6,COLUMN(F8)-COLUMN($C8),0)</f>
        <v>16908317.240000002</v>
      </c>
      <c r="G8" s="28">
        <f ca="1">OFFSET('Normalized Annual Summary'!$BF$6,COLUMN(G8)-COLUMN($C8),0)</f>
        <v>16882808.740000002</v>
      </c>
      <c r="H8" s="28">
        <f ca="1">OFFSET('Normalized Annual Summary'!$BF$6,COLUMN(H8)-COLUMN($C8),0)</f>
        <v>17000378.439999998</v>
      </c>
      <c r="I8" s="28">
        <f ca="1">OFFSET('Normalized Annual Summary'!$BF$6,COLUMN(I8)-COLUMN($C8),0)</f>
        <v>17184523.530000001</v>
      </c>
      <c r="J8" s="28">
        <f ca="1">OFFSET('Normalized Annual Summary'!$BF$6,COLUMN(J8)-COLUMN($C8),0)</f>
        <v>17401184.109999996</v>
      </c>
      <c r="K8" s="28">
        <f ca="1">OFFSET('Normalized Annual Summary'!$BF$6,COLUMN(K8)-COLUMN($C8),0)</f>
        <v>17445300.079999998</v>
      </c>
      <c r="L8" s="530">
        <f ca="1">OFFSET('Normalized Annual Summary'!$BI$13,COLUMN(L8)-COLUMN($K8),0)</f>
        <v>17445300.079999998</v>
      </c>
      <c r="M8" s="28">
        <f ca="1">OFFSET('Normalized Annual Summary'!$BI$13,COLUMN(M8)-COLUMN($K8),0)</f>
        <v>17667700.63636383</v>
      </c>
      <c r="N8" s="47">
        <f ca="1">OFFSET('Normalized Annual Summary'!$BI$13,COLUMN(N8)-COLUMN($K8),0)</f>
        <v>17892936.455362532</v>
      </c>
      <c r="AF8" s="48" t="s">
        <v>122</v>
      </c>
      <c r="AG8" s="28">
        <f t="shared" ca="1" si="0"/>
        <v>19787895.879999999</v>
      </c>
      <c r="AH8" s="28">
        <f t="shared" ca="1" si="1"/>
        <v>17086178.68</v>
      </c>
      <c r="AI8" s="28">
        <f t="shared" ca="1" si="2"/>
        <v>16623912.16</v>
      </c>
      <c r="AJ8" s="28">
        <f t="shared" ca="1" si="3"/>
        <v>16908317.240000002</v>
      </c>
      <c r="AK8" s="28">
        <f t="shared" ca="1" si="4"/>
        <v>16882808.740000002</v>
      </c>
      <c r="AL8" s="28">
        <f t="shared" ca="1" si="5"/>
        <v>17000378.439999998</v>
      </c>
      <c r="AM8" s="28">
        <f t="shared" ca="1" si="6"/>
        <v>17184523.530000001</v>
      </c>
      <c r="AN8" s="28">
        <f t="shared" ca="1" si="7"/>
        <v>17401184.109999996</v>
      </c>
      <c r="AO8" s="28">
        <f t="shared" ca="1" si="7"/>
        <v>17445300.079999998</v>
      </c>
      <c r="AP8" s="530">
        <f ca="1">M8-'CDM Adjustment'!R12</f>
        <v>17667700.63636383</v>
      </c>
      <c r="AQ8" s="28">
        <f ca="1">N8-'CDM Adjustment'!S12</f>
        <v>17892936.455362532</v>
      </c>
    </row>
    <row r="9" spans="2:43" x14ac:dyDescent="0.2">
      <c r="B9" s="48" t="s">
        <v>508</v>
      </c>
      <c r="C9" s="28">
        <f ca="1">OFFSET('Normalized Annual Summary'!$BL$6,COLUMN(C9)-COLUMN($C9),0)</f>
        <v>580140.85</v>
      </c>
      <c r="D9" s="28">
        <f ca="1">OFFSET('Normalized Annual Summary'!$BL$6,COLUMN(D9)-COLUMN($C9),0)</f>
        <v>548884.51</v>
      </c>
      <c r="E9" s="28">
        <f ca="1">OFFSET('Normalized Annual Summary'!$BL$6,COLUMN(E9)-COLUMN($C9),0)</f>
        <v>541071.94000000006</v>
      </c>
      <c r="F9" s="28">
        <f ca="1">OFFSET('Normalized Annual Summary'!$BL$6,COLUMN(F9)-COLUMN($C9),0)</f>
        <v>535957.61</v>
      </c>
      <c r="G9" s="28">
        <f ca="1">OFFSET('Normalized Annual Summary'!$BL$6,COLUMN(G9)-COLUMN($C9),0)</f>
        <v>528905.92999999993</v>
      </c>
      <c r="H9" s="28">
        <f ca="1">OFFSET('Normalized Annual Summary'!$BL$6,COLUMN(H9)-COLUMN($C9),0)</f>
        <v>527895.42999999993</v>
      </c>
      <c r="I9" s="28">
        <f ca="1">OFFSET('Normalized Annual Summary'!$BL$6,COLUMN(I9)-COLUMN($C9),0)</f>
        <v>522310.94999999995</v>
      </c>
      <c r="J9" s="28">
        <f ca="1">OFFSET('Normalized Annual Summary'!$BL$6,COLUMN(J9)-COLUMN($C9),0)</f>
        <v>512976.02999999985</v>
      </c>
      <c r="K9" s="28">
        <f ca="1">OFFSET('Normalized Annual Summary'!$BL$6,COLUMN(K9)-COLUMN($C9),0)</f>
        <v>506226.3899999999</v>
      </c>
      <c r="L9" s="530">
        <f ca="1">OFFSET('Normalized Annual Summary'!$BO$13,COLUMN(L9)-COLUMN($K9),0)</f>
        <v>506226.38999999996</v>
      </c>
      <c r="M9" s="28">
        <f ca="1">OFFSET('Normalized Annual Summary'!$BO$13,COLUMN(M9)-COLUMN($K9),0)</f>
        <v>499089.74317390809</v>
      </c>
      <c r="N9" s="47">
        <f ca="1">OFFSET('Normalized Annual Summary'!$BO$13,COLUMN(N9)-COLUMN($K9),0)</f>
        <v>492053.30695998308</v>
      </c>
      <c r="AF9" s="48" t="s">
        <v>508</v>
      </c>
      <c r="AG9" s="28">
        <f t="shared" ca="1" si="0"/>
        <v>580140.85</v>
      </c>
      <c r="AH9" s="28">
        <f t="shared" ca="1" si="1"/>
        <v>548884.51</v>
      </c>
      <c r="AI9" s="28">
        <f t="shared" ca="1" si="2"/>
        <v>541071.94000000006</v>
      </c>
      <c r="AJ9" s="28">
        <f t="shared" ca="1" si="3"/>
        <v>535957.61</v>
      </c>
      <c r="AK9" s="28">
        <f t="shared" ca="1" si="4"/>
        <v>528905.92999999993</v>
      </c>
      <c r="AL9" s="28">
        <f t="shared" ca="1" si="5"/>
        <v>527895.42999999993</v>
      </c>
      <c r="AM9" s="28">
        <f t="shared" ca="1" si="6"/>
        <v>522310.94999999995</v>
      </c>
      <c r="AN9" s="28">
        <f t="shared" ca="1" si="7"/>
        <v>512976.02999999985</v>
      </c>
      <c r="AO9" s="28">
        <f t="shared" ca="1" si="7"/>
        <v>506226.3899999999</v>
      </c>
      <c r="AP9" s="530">
        <f ca="1">M9-'CDM Adjustment'!R13</f>
        <v>499089.74317390809</v>
      </c>
      <c r="AQ9" s="28">
        <f ca="1">N9-'CDM Adjustment'!S13</f>
        <v>492053.30695998308</v>
      </c>
    </row>
    <row r="10" spans="2:43" x14ac:dyDescent="0.2">
      <c r="B10" s="48" t="s">
        <v>35</v>
      </c>
      <c r="C10" s="28">
        <f ca="1">OFFSET('Normalized Annual Summary'!$BR$6,COLUMN(C10)-COLUMN($C10),0)</f>
        <v>5547493.9300000006</v>
      </c>
      <c r="D10" s="28">
        <f ca="1">OFFSET('Normalized Annual Summary'!$BR$6,COLUMN(D10)-COLUMN($C10),0)</f>
        <v>5495625.3000000007</v>
      </c>
      <c r="E10" s="28">
        <f ca="1">OFFSET('Normalized Annual Summary'!$BR$6,COLUMN(E10)-COLUMN($C10),0)</f>
        <v>5503096.21</v>
      </c>
      <c r="F10" s="28">
        <f ca="1">OFFSET('Normalized Annual Summary'!$BR$6,COLUMN(F10)-COLUMN($C10),0)</f>
        <v>5418852.5500000007</v>
      </c>
      <c r="G10" s="28">
        <f ca="1">OFFSET('Normalized Annual Summary'!$BR$6,COLUMN(G10)-COLUMN($C10),0)</f>
        <v>5433333.7500000009</v>
      </c>
      <c r="H10" s="28">
        <f ca="1">OFFSET('Normalized Annual Summary'!$BR$6,COLUMN(H10)-COLUMN($C10),0)</f>
        <v>5441494.0800000001</v>
      </c>
      <c r="I10" s="28">
        <f ca="1">OFFSET('Normalized Annual Summary'!$BR$6,COLUMN(I10)-COLUMN($C10),0)</f>
        <v>5450500.6399999978</v>
      </c>
      <c r="J10" s="28">
        <f ca="1">OFFSET('Normalized Annual Summary'!$BR$6,COLUMN(J10)-COLUMN($C10),0)</f>
        <v>5428926.6799999997</v>
      </c>
      <c r="K10" s="28">
        <f ca="1">OFFSET('Normalized Annual Summary'!$BR$6,COLUMN(K10)-COLUMN($C10),0)</f>
        <v>5436603.9800000004</v>
      </c>
      <c r="L10" s="530">
        <f ca="1">OFFSET('Normalized Annual Summary'!$BU$13,COLUMN(L10)-COLUMN($K10),0)</f>
        <v>5436603.9800000004</v>
      </c>
      <c r="M10" s="28">
        <f ca="1">OFFSET('Normalized Annual Summary'!$BU$13,COLUMN(M10)-COLUMN($K10),0)</f>
        <v>5438761.2873400953</v>
      </c>
      <c r="N10" s="47">
        <f ca="1">OFFSET('Normalized Annual Summary'!$BU$13,COLUMN(N10)-COLUMN($K10),0)</f>
        <v>5443581.0518559851</v>
      </c>
      <c r="AF10" s="48" t="s">
        <v>35</v>
      </c>
      <c r="AG10" s="28">
        <f t="shared" ca="1" si="0"/>
        <v>5547493.9300000006</v>
      </c>
      <c r="AH10" s="28">
        <f t="shared" ca="1" si="1"/>
        <v>5495625.3000000007</v>
      </c>
      <c r="AI10" s="28">
        <f t="shared" ca="1" si="2"/>
        <v>5503096.21</v>
      </c>
      <c r="AJ10" s="28">
        <f t="shared" ca="1" si="3"/>
        <v>5418852.5500000007</v>
      </c>
      <c r="AK10" s="28">
        <f t="shared" ca="1" si="4"/>
        <v>5433333.7500000009</v>
      </c>
      <c r="AL10" s="28">
        <f t="shared" ca="1" si="5"/>
        <v>5441494.0800000001</v>
      </c>
      <c r="AM10" s="28">
        <f t="shared" ca="1" si="6"/>
        <v>5450500.6399999978</v>
      </c>
      <c r="AN10" s="28">
        <f t="shared" ca="1" si="7"/>
        <v>5428926.6799999997</v>
      </c>
      <c r="AO10" s="28">
        <f t="shared" ca="1" si="7"/>
        <v>5436603.9800000004</v>
      </c>
      <c r="AP10" s="530">
        <f ca="1">M10-'CDM Adjustment'!R14</f>
        <v>5438761.2873400953</v>
      </c>
      <c r="AQ10" s="28">
        <f ca="1">N10-'CDM Adjustment'!S14</f>
        <v>5443581.0518559851</v>
      </c>
    </row>
    <row r="11" spans="2:43" ht="13.5" thickBot="1" x14ac:dyDescent="0.25">
      <c r="B11" s="153" t="s">
        <v>128</v>
      </c>
      <c r="C11" s="154">
        <f t="shared" ref="C11:J11" ca="1" si="8">SUM(C3:C10)</f>
        <v>3082805225.6599998</v>
      </c>
      <c r="D11" s="154">
        <f t="shared" ca="1" si="8"/>
        <v>3211370207.4900002</v>
      </c>
      <c r="E11" s="154">
        <f t="shared" ca="1" si="8"/>
        <v>3072237480.5715265</v>
      </c>
      <c r="F11" s="154">
        <f t="shared" ca="1" si="8"/>
        <v>3075860259.1560721</v>
      </c>
      <c r="G11" s="154">
        <f t="shared" ca="1" si="8"/>
        <v>3106587105.4907007</v>
      </c>
      <c r="H11" s="154">
        <f t="shared" ca="1" si="8"/>
        <v>3188303529.8067632</v>
      </c>
      <c r="I11" s="154">
        <f t="shared" ca="1" si="8"/>
        <v>3156353935.9574585</v>
      </c>
      <c r="J11" s="154">
        <f t="shared" ca="1" si="8"/>
        <v>3253135773.2933807</v>
      </c>
      <c r="K11" s="154">
        <f ca="1">SUM(K3:K10)</f>
        <v>3319326526.7718635</v>
      </c>
      <c r="L11" s="158">
        <f ca="1">SUM(L3:L10)</f>
        <v>3295292223.6631179</v>
      </c>
      <c r="M11" s="154">
        <f ca="1">SUM(M3:M10)</f>
        <v>3319020131.9198537</v>
      </c>
      <c r="N11" s="155">
        <f ca="1">SUM(N3:N10)</f>
        <v>3377071590.6503015</v>
      </c>
      <c r="AF11" s="153" t="s">
        <v>128</v>
      </c>
      <c r="AG11" s="154">
        <f t="shared" ref="AG11:AN11" ca="1" si="9">SUM(AG3:AG10)</f>
        <v>3082805225.6599998</v>
      </c>
      <c r="AH11" s="154">
        <f t="shared" ca="1" si="9"/>
        <v>3211370207.4900002</v>
      </c>
      <c r="AI11" s="154">
        <f t="shared" ca="1" si="9"/>
        <v>3072237480.5715265</v>
      </c>
      <c r="AJ11" s="154">
        <f t="shared" ca="1" si="9"/>
        <v>3075860259.1560721</v>
      </c>
      <c r="AK11" s="154">
        <f t="shared" ca="1" si="9"/>
        <v>3106587105.4907007</v>
      </c>
      <c r="AL11" s="154">
        <f t="shared" ca="1" si="9"/>
        <v>3188303529.8067632</v>
      </c>
      <c r="AM11" s="154">
        <f t="shared" ca="1" si="9"/>
        <v>3156353935.9574585</v>
      </c>
      <c r="AN11" s="154">
        <f t="shared" ca="1" si="9"/>
        <v>3253135773.2933807</v>
      </c>
      <c r="AO11" s="154">
        <f ca="1">SUM(AO3:AO10)</f>
        <v>3319326526.7718635</v>
      </c>
      <c r="AP11" s="158">
        <f ca="1">SUM(AP3:AP10)</f>
        <v>3299626510.7728877</v>
      </c>
      <c r="AQ11" s="154">
        <f ca="1">SUM(AQ3:AQ10)</f>
        <v>3335463424.0175056</v>
      </c>
    </row>
    <row r="13" spans="2:43" ht="16.5" thickBot="1" x14ac:dyDescent="0.3">
      <c r="B13" s="45" t="s">
        <v>129</v>
      </c>
      <c r="C13" s="45"/>
      <c r="D13" s="45"/>
      <c r="H13" s="28"/>
      <c r="I13" s="28"/>
      <c r="J13" s="28"/>
      <c r="K13" s="28"/>
      <c r="L13" s="28"/>
      <c r="M13" s="28"/>
      <c r="N13" s="28"/>
    </row>
    <row r="14" spans="2:43" ht="55.15" customHeight="1" x14ac:dyDescent="0.2">
      <c r="B14" s="150" t="s">
        <v>116</v>
      </c>
      <c r="C14" s="151" t="s">
        <v>509</v>
      </c>
      <c r="D14" s="151" t="s">
        <v>130</v>
      </c>
      <c r="E14" s="152" t="s">
        <v>512</v>
      </c>
      <c r="G14" s="160" t="s">
        <v>363</v>
      </c>
      <c r="H14" s="152" t="s">
        <v>510</v>
      </c>
      <c r="L14" s="28"/>
      <c r="M14" s="505"/>
      <c r="N14" s="505"/>
    </row>
    <row r="15" spans="2:43" x14ac:dyDescent="0.2">
      <c r="B15" s="46" t="str">
        <f>B3</f>
        <v>Residential</v>
      </c>
      <c r="C15" s="28">
        <f t="shared" ref="C15:C22" ca="1" si="10">N3</f>
        <v>1252807752.4400463</v>
      </c>
      <c r="D15" s="28">
        <f>'CDM Adjustment'!O7</f>
        <v>6000935.9197655916</v>
      </c>
      <c r="E15" s="47">
        <f t="shared" ref="E15:E22" ca="1" si="11">C15-D15</f>
        <v>1246806816.5202808</v>
      </c>
      <c r="F15" s="141"/>
      <c r="G15" s="142">
        <f ca="1">'Total Additional-Lost Loads'!F22</f>
        <v>23387079.042745575</v>
      </c>
      <c r="H15" s="47">
        <f t="shared" ref="H15:H22" ca="1" si="12">E15-G15</f>
        <v>1223419737.4775352</v>
      </c>
      <c r="I15" s="147"/>
      <c r="J15" s="505"/>
      <c r="L15" s="28"/>
      <c r="M15" s="505"/>
      <c r="N15" s="505"/>
    </row>
    <row r="16" spans="2:43" x14ac:dyDescent="0.2">
      <c r="B16" s="48" t="str">
        <f>B4</f>
        <v>GS &lt; 50</v>
      </c>
      <c r="C16" s="28">
        <f t="shared" ca="1" si="10"/>
        <v>428500444.0677461</v>
      </c>
      <c r="D16" s="28">
        <f>'CDM Adjustment'!O8</f>
        <v>8910395.2574469168</v>
      </c>
      <c r="E16" s="47">
        <f t="shared" ca="1" si="11"/>
        <v>419590048.81029916</v>
      </c>
      <c r="F16" s="141"/>
      <c r="G16" s="142">
        <f ca="1">'Total Additional-Lost Loads'!F23</f>
        <v>7085206.099149962</v>
      </c>
      <c r="H16" s="47">
        <f t="shared" ca="1" si="12"/>
        <v>412504842.71114922</v>
      </c>
      <c r="I16" s="147"/>
      <c r="J16" s="505"/>
      <c r="L16" s="28"/>
      <c r="M16" s="505"/>
      <c r="N16" s="505"/>
    </row>
    <row r="17" spans="2:43" x14ac:dyDescent="0.2">
      <c r="B17" s="48" t="str">
        <f t="shared" ref="B17:B22" si="13">B5</f>
        <v>GS &gt; 50</v>
      </c>
      <c r="C17" s="28">
        <f t="shared" ca="1" si="10"/>
        <v>1470577776.6983194</v>
      </c>
      <c r="D17" s="28">
        <f>'CDM Adjustment'!O9</f>
        <v>24813469.613592044</v>
      </c>
      <c r="E17" s="47">
        <f t="shared" ca="1" si="11"/>
        <v>1445764307.0847273</v>
      </c>
      <c r="F17" s="141"/>
      <c r="G17" s="142">
        <f>'Total Additional-Lost Loads'!F24</f>
        <v>654500.69545312226</v>
      </c>
      <c r="H17" s="47">
        <f t="shared" ca="1" si="12"/>
        <v>1445109806.3892741</v>
      </c>
      <c r="I17" s="147"/>
      <c r="J17" s="505"/>
      <c r="L17" s="28"/>
      <c r="M17" s="28"/>
    </row>
    <row r="18" spans="2:43" x14ac:dyDescent="0.2">
      <c r="B18" s="48" t="str">
        <f t="shared" si="13"/>
        <v>GS Co Gen</v>
      </c>
      <c r="C18" s="28">
        <f t="shared" ca="1" si="10"/>
        <v>38590419.43397297</v>
      </c>
      <c r="D18" s="28">
        <f>'CDM Adjustment'!O10</f>
        <v>631732.26339267753</v>
      </c>
      <c r="E18" s="47">
        <f t="shared" ca="1" si="11"/>
        <v>37958687.17058029</v>
      </c>
      <c r="F18" s="141"/>
      <c r="G18" s="142">
        <f>'Total Additional-Lost Loads'!F25</f>
        <v>0</v>
      </c>
      <c r="H18" s="47">
        <f t="shared" ca="1" si="12"/>
        <v>37958687.17058029</v>
      </c>
      <c r="I18" s="147"/>
      <c r="J18" s="505"/>
      <c r="L18" s="28"/>
      <c r="M18" s="28"/>
    </row>
    <row r="19" spans="2:43" x14ac:dyDescent="0.2">
      <c r="B19" s="48" t="str">
        <f t="shared" si="13"/>
        <v>Large Use</v>
      </c>
      <c r="C19" s="28">
        <f t="shared" ca="1" si="10"/>
        <v>162766627.19603816</v>
      </c>
      <c r="D19" s="28">
        <f>'CDM Adjustment'!O11</f>
        <v>1251633.5785981747</v>
      </c>
      <c r="E19" s="47">
        <f t="shared" ca="1" si="11"/>
        <v>161514993.61743999</v>
      </c>
      <c r="F19" s="141"/>
      <c r="G19" s="142">
        <f>'Total Additional-Lost Loads'!F26</f>
        <v>40354.937245495719</v>
      </c>
      <c r="H19" s="47">
        <f t="shared" ca="1" si="12"/>
        <v>161474638.6801945</v>
      </c>
      <c r="I19" s="147"/>
      <c r="J19" s="505"/>
      <c r="L19" s="28"/>
      <c r="M19" s="28"/>
    </row>
    <row r="20" spans="2:43" x14ac:dyDescent="0.2">
      <c r="B20" s="48" t="str">
        <f t="shared" si="13"/>
        <v>Street Light</v>
      </c>
      <c r="C20" s="28">
        <f t="shared" ca="1" si="10"/>
        <v>17892936.455362532</v>
      </c>
      <c r="D20" s="28"/>
      <c r="E20" s="47">
        <f t="shared" ca="1" si="11"/>
        <v>17892936.455362532</v>
      </c>
      <c r="F20" s="141"/>
      <c r="G20" s="142"/>
      <c r="H20" s="47">
        <f t="shared" ca="1" si="12"/>
        <v>17892936.455362532</v>
      </c>
      <c r="I20" s="147"/>
      <c r="J20" s="505"/>
      <c r="L20" s="28"/>
      <c r="M20" s="28"/>
    </row>
    <row r="21" spans="2:43" x14ac:dyDescent="0.2">
      <c r="B21" s="48" t="str">
        <f t="shared" si="13"/>
        <v>Sentinel Light</v>
      </c>
      <c r="C21" s="28">
        <f t="shared" ca="1" si="10"/>
        <v>492053.30695998308</v>
      </c>
      <c r="D21" s="28"/>
      <c r="E21" s="47">
        <f t="shared" ca="1" si="11"/>
        <v>492053.30695998308</v>
      </c>
      <c r="F21" s="141"/>
      <c r="G21" s="142"/>
      <c r="H21" s="47">
        <f t="shared" ca="1" si="12"/>
        <v>492053.30695998308</v>
      </c>
      <c r="I21" s="147"/>
      <c r="J21" s="505"/>
      <c r="L21" s="28"/>
      <c r="M21" s="28"/>
    </row>
    <row r="22" spans="2:43" x14ac:dyDescent="0.2">
      <c r="B22" s="48" t="str">
        <f t="shared" si="13"/>
        <v>USL</v>
      </c>
      <c r="C22" s="28">
        <f t="shared" ca="1" si="10"/>
        <v>5443581.0518559851</v>
      </c>
      <c r="D22" s="28"/>
      <c r="E22" s="47">
        <f t="shared" ca="1" si="11"/>
        <v>5443581.0518559851</v>
      </c>
      <c r="F22" s="141"/>
      <c r="G22" s="142"/>
      <c r="H22" s="47">
        <f t="shared" ca="1" si="12"/>
        <v>5443581.0518559851</v>
      </c>
      <c r="I22" s="147"/>
      <c r="J22" s="505"/>
      <c r="L22" s="28"/>
      <c r="M22" s="28"/>
    </row>
    <row r="23" spans="2:43" ht="13.5" thickBot="1" x14ac:dyDescent="0.25">
      <c r="B23" s="153" t="s">
        <v>128</v>
      </c>
      <c r="C23" s="154">
        <f ca="1">SUM(C15:C22)</f>
        <v>3377071590.6503015</v>
      </c>
      <c r="D23" s="154">
        <f>SUM(D15:D22)</f>
        <v>41608166.632795401</v>
      </c>
      <c r="E23" s="155">
        <f ca="1">SUM(E15:E22)</f>
        <v>3335463424.0175056</v>
      </c>
      <c r="F23" s="148"/>
      <c r="G23" s="161">
        <f ca="1">SUM(G15:G22)</f>
        <v>31167140.774594154</v>
      </c>
      <c r="H23" s="155">
        <f ca="1">SUM(H15:H22)</f>
        <v>3304296283.2429118</v>
      </c>
      <c r="I23" s="148"/>
      <c r="L23" s="28"/>
      <c r="M23" s="28"/>
    </row>
    <row r="24" spans="2:43" x14ac:dyDescent="0.2">
      <c r="H24" s="147"/>
    </row>
    <row r="25" spans="2:43" ht="16.5" thickBot="1" x14ac:dyDescent="0.3">
      <c r="B25" s="45" t="s">
        <v>125</v>
      </c>
      <c r="C25" s="45"/>
      <c r="AF25" s="45" t="s">
        <v>560</v>
      </c>
    </row>
    <row r="26" spans="2:43" x14ac:dyDescent="0.2">
      <c r="B26" s="156" t="s">
        <v>117</v>
      </c>
      <c r="C26" s="353" t="s">
        <v>126</v>
      </c>
      <c r="D26" s="353" t="s">
        <v>127</v>
      </c>
      <c r="E26" s="353" t="s">
        <v>151</v>
      </c>
      <c r="F26" s="353" t="s">
        <v>328</v>
      </c>
      <c r="G26" s="353" t="s">
        <v>329</v>
      </c>
      <c r="H26" s="353" t="s">
        <v>330</v>
      </c>
      <c r="I26" s="353" t="s">
        <v>331</v>
      </c>
      <c r="J26" s="353" t="s">
        <v>392</v>
      </c>
      <c r="K26" s="353" t="s">
        <v>543</v>
      </c>
      <c r="L26" s="529" t="s">
        <v>542</v>
      </c>
      <c r="M26" s="353" t="s">
        <v>317</v>
      </c>
      <c r="N26" s="354" t="s">
        <v>507</v>
      </c>
      <c r="AF26" s="156" t="s">
        <v>117</v>
      </c>
      <c r="AG26" s="353" t="str">
        <f t="shared" ref="AG26:AO31" si="14">C26</f>
        <v>2017 Actual</v>
      </c>
      <c r="AH26" s="353" t="str">
        <f t="shared" si="14"/>
        <v>2018 Actual</v>
      </c>
      <c r="AI26" s="353" t="str">
        <f t="shared" si="14"/>
        <v>2019 Actual</v>
      </c>
      <c r="AJ26" s="353" t="str">
        <f t="shared" si="14"/>
        <v>2020 Actual</v>
      </c>
      <c r="AK26" s="353" t="str">
        <f t="shared" si="14"/>
        <v>2021 Actual</v>
      </c>
      <c r="AL26" s="353" t="str">
        <f t="shared" si="14"/>
        <v>2022 Actual</v>
      </c>
      <c r="AM26" s="353" t="str">
        <f t="shared" si="14"/>
        <v>2023 Actual</v>
      </c>
      <c r="AN26" s="353" t="str">
        <f t="shared" si="14"/>
        <v>2024 Actual</v>
      </c>
      <c r="AO26" s="353" t="str">
        <f t="shared" si="14"/>
        <v>2025 Actual</v>
      </c>
      <c r="AP26" s="529" t="str">
        <f>M26</f>
        <v>2026 Forecast</v>
      </c>
      <c r="AQ26" s="353" t="str">
        <f>N26</f>
        <v>2027 Forecast</v>
      </c>
    </row>
    <row r="27" spans="2:43" x14ac:dyDescent="0.2">
      <c r="B27" s="48" t="str">
        <f>B17</f>
        <v>GS &gt; 50</v>
      </c>
      <c r="C27" s="28">
        <f ca="1">OFFSET('kW Forecast'!$D$5,COLUMN()-COLUMN($C27),0)</f>
        <v>3708563.0700000008</v>
      </c>
      <c r="D27" s="28">
        <f ca="1">OFFSET('kW Forecast'!$D$5,COLUMN()-COLUMN($C27),0)</f>
        <v>3744566.08</v>
      </c>
      <c r="E27" s="28">
        <f ca="1">OFFSET('kW Forecast'!$D$5,COLUMN()-COLUMN($C27),0)</f>
        <v>3636724.4299999997</v>
      </c>
      <c r="F27" s="28">
        <f ca="1">OFFSET('kW Forecast'!$D$5,COLUMN()-COLUMN($C27),0)</f>
        <v>3426345.0799999996</v>
      </c>
      <c r="G27" s="28">
        <f ca="1">OFFSET('kW Forecast'!$D$5,COLUMN()-COLUMN($C27),0)</f>
        <v>3496519.7399999998</v>
      </c>
      <c r="H27" s="28">
        <f ca="1">OFFSET('kW Forecast'!$D$5,COLUMN()-COLUMN($C27),0)</f>
        <v>3574256.7199999997</v>
      </c>
      <c r="I27" s="28">
        <f ca="1">OFFSET('kW Forecast'!$D$5,COLUMN()-COLUMN($C27),0)</f>
        <v>3541020.3</v>
      </c>
      <c r="J27" s="28">
        <f ca="1">OFFSET('kW Forecast'!$D$5,COLUMN()-COLUMN($C27),0)</f>
        <v>3656086</v>
      </c>
      <c r="K27" s="28">
        <f ca="1">OFFSET('kW Forecast'!$D$5,COLUMN()-COLUMN($C27),0)</f>
        <v>3705957.01</v>
      </c>
      <c r="L27" s="530">
        <f ca="1">OFFSET('kW Forecast'!$H$17,COLUMN()-COLUMN($K27),0)</f>
        <v>3651418.7219417547</v>
      </c>
      <c r="M27" s="28">
        <f ca="1">OFFSET('kW Forecast'!$H$17,COLUMN()-COLUMN($K27),0)</f>
        <v>3680360.9294478577</v>
      </c>
      <c r="N27" s="47">
        <f ca="1">OFFSET('kW Forecast'!$H$17,COLUMN()-COLUMN($K27),0)</f>
        <v>3721093.1989846015</v>
      </c>
      <c r="AF27" s="48" t="s">
        <v>112</v>
      </c>
      <c r="AG27" s="28">
        <f t="shared" ca="1" si="14"/>
        <v>3708563.0700000008</v>
      </c>
      <c r="AH27" s="28">
        <f t="shared" ca="1" si="14"/>
        <v>3744566.08</v>
      </c>
      <c r="AI27" s="28">
        <f t="shared" ca="1" si="14"/>
        <v>3636724.4299999997</v>
      </c>
      <c r="AJ27" s="28">
        <f t="shared" ca="1" si="14"/>
        <v>3426345.0799999996</v>
      </c>
      <c r="AK27" s="28">
        <f t="shared" ca="1" si="14"/>
        <v>3496519.7399999998</v>
      </c>
      <c r="AL27" s="28">
        <f t="shared" ca="1" si="14"/>
        <v>3574256.7199999997</v>
      </c>
      <c r="AM27" s="28">
        <f t="shared" ca="1" si="14"/>
        <v>3541020.3</v>
      </c>
      <c r="AN27" s="28">
        <f t="shared" ca="1" si="14"/>
        <v>3656086</v>
      </c>
      <c r="AO27" s="28">
        <f t="shared" ca="1" si="14"/>
        <v>3705957.01</v>
      </c>
      <c r="AP27" s="530">
        <f ca="1">M27-'CDM Adjustment'!N23</f>
        <v>3651493.8006045213</v>
      </c>
      <c r="AQ27" s="28">
        <f ca="1">N27-'CDM Adjustment'!O23</f>
        <v>3658332.2230457268</v>
      </c>
    </row>
    <row r="28" spans="2:43" x14ac:dyDescent="0.2">
      <c r="B28" s="48" t="str">
        <f>B18</f>
        <v>GS Co Gen</v>
      </c>
      <c r="C28" s="28">
        <f ca="1">OFFSET('kW Forecast'!$K$5,COLUMN()-COLUMN($C28),0)</f>
        <v>74118.640000000014</v>
      </c>
      <c r="D28" s="28">
        <f ca="1">OFFSET('kW Forecast'!$K$5,COLUMN()-COLUMN($C28),0)</f>
        <v>88637.540000000008</v>
      </c>
      <c r="E28" s="28">
        <f ca="1">OFFSET('kW Forecast'!$K$5,COLUMN()-COLUMN($C28),0)</f>
        <v>55790.87999999999</v>
      </c>
      <c r="F28" s="28">
        <f ca="1">OFFSET('kW Forecast'!$K$5,COLUMN()-COLUMN($C28),0)</f>
        <v>60972.479999999996</v>
      </c>
      <c r="G28" s="28">
        <f ca="1">OFFSET('kW Forecast'!$K$5,COLUMN()-COLUMN($C28),0)</f>
        <v>50765.990000000005</v>
      </c>
      <c r="H28" s="28">
        <f ca="1">OFFSET('kW Forecast'!$K$5,COLUMN()-COLUMN($C28),0)</f>
        <v>72458.680000000008</v>
      </c>
      <c r="I28" s="28">
        <f ca="1">OFFSET('kW Forecast'!$K$5,COLUMN()-COLUMN($C28),0)</f>
        <v>81016.87999999999</v>
      </c>
      <c r="J28" s="28">
        <f ca="1">OFFSET('kW Forecast'!$K$5,COLUMN()-COLUMN($C28),0)</f>
        <v>69036</v>
      </c>
      <c r="K28" s="28">
        <f ca="1">OFFSET('kW Forecast'!$K$5,COLUMN()-COLUMN($C28),0)</f>
        <v>70644.329999999987</v>
      </c>
      <c r="L28" s="530">
        <f ca="1">OFFSET('kW Forecast'!$O$17,COLUMN()-COLUMN($K28),0)</f>
        <v>68667.685646684826</v>
      </c>
      <c r="M28" s="28">
        <f ca="1">OFFSET('kW Forecast'!$O$17,COLUMN()-COLUMN($K28),0)</f>
        <v>68686.506238615577</v>
      </c>
      <c r="N28" s="47">
        <f ca="1">OFFSET('kW Forecast'!$O$17,COLUMN()-COLUMN($K28),0)</f>
        <v>68655.864487846586</v>
      </c>
      <c r="AF28" s="48" t="s">
        <v>481</v>
      </c>
      <c r="AG28" s="28">
        <f t="shared" ca="1" si="14"/>
        <v>74118.640000000014</v>
      </c>
      <c r="AH28" s="28">
        <f t="shared" ca="1" si="14"/>
        <v>88637.540000000008</v>
      </c>
      <c r="AI28" s="28">
        <f t="shared" ca="1" si="14"/>
        <v>55790.87999999999</v>
      </c>
      <c r="AJ28" s="28">
        <f t="shared" ca="1" si="14"/>
        <v>60972.479999999996</v>
      </c>
      <c r="AK28" s="28">
        <f t="shared" ca="1" si="14"/>
        <v>50765.990000000005</v>
      </c>
      <c r="AL28" s="28">
        <f t="shared" ca="1" si="14"/>
        <v>72458.680000000008</v>
      </c>
      <c r="AM28" s="28">
        <f t="shared" ca="1" si="14"/>
        <v>81016.87999999999</v>
      </c>
      <c r="AN28" s="28">
        <f t="shared" ca="1" si="14"/>
        <v>69036</v>
      </c>
      <c r="AO28" s="28">
        <f t="shared" ca="1" si="14"/>
        <v>70644.329999999987</v>
      </c>
      <c r="AP28" s="530">
        <f ca="1">M28-'CDM Adjustment'!N24</f>
        <v>68137.894046668254</v>
      </c>
      <c r="AQ28" s="28">
        <f ca="1">N28-'CDM Adjustment'!O24</f>
        <v>67531.955359512373</v>
      </c>
    </row>
    <row r="29" spans="2:43" x14ac:dyDescent="0.2">
      <c r="B29" s="48" t="str">
        <f>B19</f>
        <v>Large Use</v>
      </c>
      <c r="C29" s="28">
        <f ca="1">OFFSET('kW Forecast'!$R$5,COLUMN()-COLUMN($C29),0)</f>
        <v>227423.46000000002</v>
      </c>
      <c r="D29" s="28">
        <f ca="1">OFFSET('kW Forecast'!$R$5,COLUMN()-COLUMN($C29),0)</f>
        <v>221470.55</v>
      </c>
      <c r="E29" s="28">
        <f ca="1">OFFSET('kW Forecast'!$R$5,COLUMN()-COLUMN($C29),0)</f>
        <v>216188.63999999998</v>
      </c>
      <c r="F29" s="28">
        <f ca="1">OFFSET('kW Forecast'!$R$5,COLUMN()-COLUMN($C29),0)</f>
        <v>189813.83000000002</v>
      </c>
      <c r="G29" s="28">
        <f ca="1">OFFSET('kW Forecast'!$R$5,COLUMN()-COLUMN($C29),0)</f>
        <v>194965.44</v>
      </c>
      <c r="H29" s="28">
        <f ca="1">OFFSET('kW Forecast'!$R$5,COLUMN()-COLUMN($C29),0)</f>
        <v>213689.69</v>
      </c>
      <c r="I29" s="28">
        <f ca="1">OFFSET('kW Forecast'!$R$5,COLUMN()-COLUMN($C29),0)</f>
        <v>298641.74</v>
      </c>
      <c r="J29" s="28">
        <f ca="1">OFFSET('kW Forecast'!$R$5,COLUMN()-COLUMN($C29),0)</f>
        <v>311835.54000000004</v>
      </c>
      <c r="K29" s="28">
        <f ca="1">OFFSET('kW Forecast'!$R$5,COLUMN()-COLUMN($C29),0)</f>
        <v>310223.76000000007</v>
      </c>
      <c r="L29" s="530">
        <f ca="1">OFFSET('kW Forecast'!$V$17,COLUMN()-COLUMN($K29),0)</f>
        <v>299088.55085708364</v>
      </c>
      <c r="M29" s="28">
        <f ca="1">OFFSET('kW Forecast'!$V$17,COLUMN()-COLUMN($K29),0)</f>
        <v>304116.72436598502</v>
      </c>
      <c r="N29" s="47">
        <f ca="1">OFFSET('kW Forecast'!$V$17,COLUMN()-COLUMN($K29),0)</f>
        <v>310700.93715202605</v>
      </c>
      <c r="AF29" s="48" t="s">
        <v>444</v>
      </c>
      <c r="AG29" s="28">
        <f t="shared" ca="1" si="14"/>
        <v>227423.46000000002</v>
      </c>
      <c r="AH29" s="28">
        <f t="shared" ca="1" si="14"/>
        <v>221470.55</v>
      </c>
      <c r="AI29" s="28">
        <f t="shared" ca="1" si="14"/>
        <v>216188.63999999998</v>
      </c>
      <c r="AJ29" s="28">
        <f t="shared" ca="1" si="14"/>
        <v>189813.83000000002</v>
      </c>
      <c r="AK29" s="28">
        <f t="shared" ca="1" si="14"/>
        <v>194965.44</v>
      </c>
      <c r="AL29" s="28">
        <f t="shared" ca="1" si="14"/>
        <v>213689.69</v>
      </c>
      <c r="AM29" s="28">
        <f t="shared" ca="1" si="14"/>
        <v>298641.74</v>
      </c>
      <c r="AN29" s="28">
        <f t="shared" ca="1" si="14"/>
        <v>311835.54000000004</v>
      </c>
      <c r="AO29" s="28">
        <f t="shared" ca="1" si="14"/>
        <v>310223.76000000007</v>
      </c>
      <c r="AP29" s="530">
        <f ca="1">M29-'CDM Adjustment'!N25</f>
        <v>302940.87640740536</v>
      </c>
      <c r="AQ29" s="28">
        <f ca="1">N29-'CDM Adjustment'!O25</f>
        <v>308313.00551821408</v>
      </c>
    </row>
    <row r="30" spans="2:43" x14ac:dyDescent="0.2">
      <c r="B30" s="48" t="str">
        <f>B20</f>
        <v>Street Light</v>
      </c>
      <c r="C30" s="28">
        <f ca="1">OFFSET('kW Forecast'!$Z$5,COLUMN()-COLUMN($C30),0)</f>
        <v>55752.55</v>
      </c>
      <c r="D30" s="28">
        <f ca="1">OFFSET('kW Forecast'!$Z$5,COLUMN()-COLUMN($C30),0)</f>
        <v>47864.480000000003</v>
      </c>
      <c r="E30" s="28">
        <f ca="1">OFFSET('kW Forecast'!$Z$5,COLUMN()-COLUMN($C30),0)</f>
        <v>46618.69</v>
      </c>
      <c r="F30" s="28">
        <f ca="1">OFFSET('kW Forecast'!$Z$5,COLUMN()-COLUMN($C30),0)</f>
        <v>47272.400000000009</v>
      </c>
      <c r="G30" s="28">
        <f ca="1">OFFSET('kW Forecast'!$Z$5,COLUMN()-COLUMN($C30),0)</f>
        <v>47347.969999999994</v>
      </c>
      <c r="H30" s="28">
        <f ca="1">OFFSET('kW Forecast'!$Z$5,COLUMN()-COLUMN($C30),0)</f>
        <v>47685.229999999996</v>
      </c>
      <c r="I30" s="28">
        <f ca="1">OFFSET('kW Forecast'!$Z$5,COLUMN()-COLUMN($C30),0)</f>
        <v>48191.71</v>
      </c>
      <c r="J30" s="28">
        <f ca="1">OFFSET('kW Forecast'!$Z$5,COLUMN()-COLUMN($C30),0)</f>
        <v>48655.009999999995</v>
      </c>
      <c r="K30" s="28">
        <f ca="1">OFFSET('kW Forecast'!$Z$5,COLUMN()-COLUMN($C30),0)</f>
        <v>48926.820000000007</v>
      </c>
      <c r="L30" s="530">
        <f ca="1">OFFSET('kW Forecast'!$Z$17,COLUMN()-COLUMN($K30),0)</f>
        <v>48911.721789736126</v>
      </c>
      <c r="M30" s="28">
        <f ca="1">OFFSET('kW Forecast'!$Z$17,COLUMN()-COLUMN($K30),0)</f>
        <v>49535.270487028029</v>
      </c>
      <c r="N30" s="47">
        <f ca="1">OFFSET('kW Forecast'!$Z$17,COLUMN()-COLUMN($K30),0)</f>
        <v>50166.768464444751</v>
      </c>
      <c r="AF30" s="48" t="s">
        <v>122</v>
      </c>
      <c r="AG30" s="28">
        <f t="shared" ca="1" si="14"/>
        <v>55752.55</v>
      </c>
      <c r="AH30" s="28">
        <f t="shared" ca="1" si="14"/>
        <v>47864.480000000003</v>
      </c>
      <c r="AI30" s="28">
        <f t="shared" ca="1" si="14"/>
        <v>46618.69</v>
      </c>
      <c r="AJ30" s="28">
        <f t="shared" ca="1" si="14"/>
        <v>47272.400000000009</v>
      </c>
      <c r="AK30" s="28">
        <f t="shared" ca="1" si="14"/>
        <v>47347.969999999994</v>
      </c>
      <c r="AL30" s="28">
        <f t="shared" ca="1" si="14"/>
        <v>47685.229999999996</v>
      </c>
      <c r="AM30" s="28">
        <f t="shared" ca="1" si="14"/>
        <v>48191.71</v>
      </c>
      <c r="AN30" s="28">
        <f t="shared" ca="1" si="14"/>
        <v>48655.009999999995</v>
      </c>
      <c r="AO30" s="28">
        <f t="shared" ca="1" si="14"/>
        <v>48926.820000000007</v>
      </c>
      <c r="AP30" s="530">
        <f ca="1">M30-'CDM Adjustment'!T26</f>
        <v>49535.270487028029</v>
      </c>
      <c r="AQ30" s="28">
        <f ca="1">N30-'CDM Adjustment'!U26</f>
        <v>50166.768464444751</v>
      </c>
    </row>
    <row r="31" spans="2:43" x14ac:dyDescent="0.2">
      <c r="B31" s="48" t="str">
        <f>B21</f>
        <v>Sentinel Light</v>
      </c>
      <c r="C31" s="28">
        <f ca="1">OFFSET('kW Forecast'!$AG$5,COLUMN()-COLUMN($C31),0)</f>
        <v>1579.19</v>
      </c>
      <c r="D31" s="28">
        <f ca="1">OFFSET('kW Forecast'!$AG$5,COLUMN()-COLUMN($C31),0)</f>
        <v>1489.9299999999998</v>
      </c>
      <c r="E31" s="28">
        <f ca="1">OFFSET('kW Forecast'!$AG$5,COLUMN()-COLUMN($C31),0)</f>
        <v>1467.4</v>
      </c>
      <c r="F31" s="28">
        <f ca="1">OFFSET('kW Forecast'!$AG$5,COLUMN()-COLUMN($C31),0)</f>
        <v>1446.0000000000002</v>
      </c>
      <c r="G31" s="28">
        <f ca="1">OFFSET('kW Forecast'!$AG$5,COLUMN()-COLUMN($C31),0)</f>
        <v>1433.2900000000002</v>
      </c>
      <c r="H31" s="28">
        <f ca="1">OFFSET('kW Forecast'!$AG$5,COLUMN()-COLUMN($C31),0)</f>
        <v>1427.4699999999998</v>
      </c>
      <c r="I31" s="28">
        <f ca="1">OFFSET('kW Forecast'!$AG$5,COLUMN()-COLUMN($C31),0)</f>
        <v>1416.03</v>
      </c>
      <c r="J31" s="28">
        <f ca="1">OFFSET('kW Forecast'!$AG$5,COLUMN()-COLUMN($C31),0)</f>
        <v>1394.79</v>
      </c>
      <c r="K31" s="28">
        <f ca="1">OFFSET('kW Forecast'!$AG$5,COLUMN()-COLUMN($C31),0)</f>
        <v>1371.2399999999998</v>
      </c>
      <c r="L31" s="530">
        <f ca="1">OFFSET('kW Forecast'!$AG$17,COLUMN()-COLUMN($K31),0)</f>
        <v>1372.4017037584404</v>
      </c>
      <c r="M31" s="28">
        <f ca="1">OFFSET('kW Forecast'!$AG$17,COLUMN()-COLUMN($K31),0)</f>
        <v>1353.053944619983</v>
      </c>
      <c r="N31" s="47">
        <f ca="1">OFFSET('kW Forecast'!$AG$17,COLUMN()-COLUMN($K31),0)</f>
        <v>1333.9778607983192</v>
      </c>
      <c r="AF31" s="48" t="s">
        <v>508</v>
      </c>
      <c r="AG31" s="28">
        <f t="shared" ca="1" si="14"/>
        <v>1579.19</v>
      </c>
      <c r="AH31" s="28">
        <f t="shared" ca="1" si="14"/>
        <v>1489.9299999999998</v>
      </c>
      <c r="AI31" s="28">
        <f t="shared" ca="1" si="14"/>
        <v>1467.4</v>
      </c>
      <c r="AJ31" s="28">
        <f t="shared" ca="1" si="14"/>
        <v>1446.0000000000002</v>
      </c>
      <c r="AK31" s="28">
        <f t="shared" ca="1" si="14"/>
        <v>1433.2900000000002</v>
      </c>
      <c r="AL31" s="28">
        <f t="shared" ca="1" si="14"/>
        <v>1427.4699999999998</v>
      </c>
      <c r="AM31" s="28">
        <f t="shared" ca="1" si="14"/>
        <v>1416.03</v>
      </c>
      <c r="AN31" s="28">
        <f t="shared" ca="1" si="14"/>
        <v>1394.79</v>
      </c>
      <c r="AO31" s="28">
        <f t="shared" ca="1" si="14"/>
        <v>1371.2399999999998</v>
      </c>
      <c r="AP31" s="530">
        <f ca="1">M31-'CDM Adjustment'!T27</f>
        <v>1353.053944619983</v>
      </c>
      <c r="AQ31" s="28">
        <f ca="1">N31-'CDM Adjustment'!U27</f>
        <v>1333.9778607983192</v>
      </c>
    </row>
    <row r="32" spans="2:43" x14ac:dyDescent="0.2">
      <c r="B32" s="48" t="s">
        <v>524</v>
      </c>
      <c r="C32" s="28">
        <f ca="1">OFFSET('kW Forecast'!$AL$5,COLUMN()-COLUMN($C32),0)</f>
        <v>157800</v>
      </c>
      <c r="D32" s="28">
        <f ca="1">OFFSET('kW Forecast'!$AL$5,COLUMN()-COLUMN($C32),0)</f>
        <v>172800</v>
      </c>
      <c r="E32" s="28">
        <f ca="1">OFFSET('kW Forecast'!$AL$5,COLUMN()-COLUMN($C32),0)</f>
        <v>172800</v>
      </c>
      <c r="F32" s="28">
        <f ca="1">OFFSET('kW Forecast'!$AL$5,COLUMN()-COLUMN($C32),0)</f>
        <v>182800</v>
      </c>
      <c r="G32" s="28">
        <f ca="1">OFFSET('kW Forecast'!$AL$5,COLUMN()-COLUMN($C32),0)</f>
        <v>194300</v>
      </c>
      <c r="H32" s="28">
        <f ca="1">OFFSET('kW Forecast'!$AL$5,COLUMN()-COLUMN($C32),0)</f>
        <v>196800</v>
      </c>
      <c r="I32" s="28">
        <f ca="1">OFFSET('kW Forecast'!$AL$5,COLUMN()-COLUMN($C32),0)</f>
        <v>196800</v>
      </c>
      <c r="J32" s="28">
        <f ca="1">OFFSET('kW Forecast'!$AL$5,COLUMN()-COLUMN($C32),0)</f>
        <v>196800</v>
      </c>
      <c r="K32" s="28">
        <f ca="1">OFFSET('kW Forecast'!$AL$5,COLUMN()-COLUMN($C32),0)</f>
        <v>196800</v>
      </c>
      <c r="L32" s="530">
        <f ca="1">OFFSET('kW Forecast'!$AL$17,COLUMN()-COLUMN($K32),0)</f>
        <v>196800</v>
      </c>
      <c r="M32" s="28">
        <f ca="1">OFFSET('kW Forecast'!$AL$17,COLUMN()-COLUMN($K32),0)</f>
        <v>196800</v>
      </c>
      <c r="N32" s="47">
        <f ca="1">OFFSET('kW Forecast'!$AL$17,COLUMN()-COLUMN($K32),0)</f>
        <v>196800</v>
      </c>
      <c r="AF32" s="48" t="s">
        <v>524</v>
      </c>
      <c r="AG32" s="28">
        <f t="shared" ref="AG32:AO32" ca="1" si="15">C32</f>
        <v>157800</v>
      </c>
      <c r="AH32" s="28">
        <f t="shared" ca="1" si="15"/>
        <v>172800</v>
      </c>
      <c r="AI32" s="28">
        <f t="shared" ca="1" si="15"/>
        <v>172800</v>
      </c>
      <c r="AJ32" s="28">
        <f t="shared" ca="1" si="15"/>
        <v>182800</v>
      </c>
      <c r="AK32" s="28">
        <f t="shared" ca="1" si="15"/>
        <v>194300</v>
      </c>
      <c r="AL32" s="28">
        <f t="shared" ca="1" si="15"/>
        <v>196800</v>
      </c>
      <c r="AM32" s="28">
        <f t="shared" ca="1" si="15"/>
        <v>196800</v>
      </c>
      <c r="AN32" s="28">
        <f t="shared" ca="1" si="15"/>
        <v>196800</v>
      </c>
      <c r="AO32" s="28">
        <f t="shared" ca="1" si="15"/>
        <v>196800</v>
      </c>
      <c r="AP32" s="530">
        <f ca="1">M32-'CDM Adjustment'!T28</f>
        <v>196800</v>
      </c>
      <c r="AQ32" s="28">
        <f ca="1">N32-'CDM Adjustment'!U28</f>
        <v>196800</v>
      </c>
    </row>
    <row r="33" spans="2:43" ht="13.5" thickBot="1" x14ac:dyDescent="0.25">
      <c r="B33" s="153" t="s">
        <v>128</v>
      </c>
      <c r="C33" s="154">
        <f ca="1">SUM(C27:C32)</f>
        <v>4225236.91</v>
      </c>
      <c r="D33" s="154">
        <f t="shared" ref="D33:N33" ca="1" si="16">SUM(D27:D32)</f>
        <v>4276828.58</v>
      </c>
      <c r="E33" s="154">
        <f t="shared" ca="1" si="16"/>
        <v>4129590.0399999996</v>
      </c>
      <c r="F33" s="154">
        <f t="shared" ca="1" si="16"/>
        <v>3908649.7899999996</v>
      </c>
      <c r="G33" s="154">
        <f t="shared" ca="1" si="16"/>
        <v>3985332.43</v>
      </c>
      <c r="H33" s="154">
        <f t="shared" ca="1" si="16"/>
        <v>4106317.79</v>
      </c>
      <c r="I33" s="154">
        <f t="shared" ca="1" si="16"/>
        <v>4167086.6599999997</v>
      </c>
      <c r="J33" s="154">
        <f t="shared" ca="1" si="16"/>
        <v>4283807.34</v>
      </c>
      <c r="K33" s="154">
        <f ca="1">SUM(K27:K32)</f>
        <v>4333923.16</v>
      </c>
      <c r="L33" s="158">
        <f t="shared" ca="1" si="16"/>
        <v>4266259.0819390174</v>
      </c>
      <c r="M33" s="154">
        <f t="shared" ca="1" si="16"/>
        <v>4300852.4844841063</v>
      </c>
      <c r="N33" s="155">
        <f t="shared" ca="1" si="16"/>
        <v>4348750.7469497174</v>
      </c>
      <c r="AF33" s="153" t="s">
        <v>128</v>
      </c>
      <c r="AG33" s="154">
        <f ca="1">SUM(AG27:AG32)</f>
        <v>4225236.91</v>
      </c>
      <c r="AH33" s="154">
        <f t="shared" ref="AH33:AQ33" ca="1" si="17">SUM(AH27:AH32)</f>
        <v>4276828.58</v>
      </c>
      <c r="AI33" s="154">
        <f t="shared" ca="1" si="17"/>
        <v>4129590.0399999996</v>
      </c>
      <c r="AJ33" s="154">
        <f t="shared" ca="1" si="17"/>
        <v>3908649.7899999996</v>
      </c>
      <c r="AK33" s="154">
        <f t="shared" ca="1" si="17"/>
        <v>3985332.43</v>
      </c>
      <c r="AL33" s="154">
        <f t="shared" ca="1" si="17"/>
        <v>4106317.79</v>
      </c>
      <c r="AM33" s="154">
        <f t="shared" ca="1" si="17"/>
        <v>4167086.6599999997</v>
      </c>
      <c r="AN33" s="154">
        <f t="shared" ca="1" si="17"/>
        <v>4283807.34</v>
      </c>
      <c r="AO33" s="154">
        <f ca="1">SUM(AO27:AO32)</f>
        <v>4333923.16</v>
      </c>
      <c r="AP33" s="158">
        <f t="shared" ca="1" si="17"/>
        <v>4270260.8954902431</v>
      </c>
      <c r="AQ33" s="154">
        <f t="shared" ca="1" si="17"/>
        <v>4282477.9302486964</v>
      </c>
    </row>
    <row r="34" spans="2:43" ht="14.25" x14ac:dyDescent="0.2">
      <c r="C34" s="292"/>
      <c r="D34" s="292"/>
      <c r="E34" s="292"/>
      <c r="F34" s="292"/>
      <c r="G34" s="292"/>
      <c r="H34" s="292"/>
      <c r="I34" s="292"/>
      <c r="J34" s="292"/>
      <c r="K34" s="292"/>
    </row>
    <row r="35" spans="2:43" ht="16.5" thickBot="1" x14ac:dyDescent="0.3">
      <c r="B35" s="45" t="s">
        <v>129</v>
      </c>
      <c r="C35" s="549"/>
      <c r="D35" s="549"/>
      <c r="E35" s="549"/>
      <c r="F35" s="549"/>
      <c r="G35" s="549"/>
      <c r="H35" s="549"/>
      <c r="I35" s="549"/>
      <c r="J35" s="549"/>
      <c r="K35" s="549"/>
    </row>
    <row r="36" spans="2:43" ht="38.25" x14ac:dyDescent="0.2">
      <c r="B36" s="150" t="s">
        <v>117</v>
      </c>
      <c r="C36" s="151" t="s">
        <v>509</v>
      </c>
      <c r="D36" s="151" t="s">
        <v>130</v>
      </c>
      <c r="E36" s="152" t="s">
        <v>512</v>
      </c>
    </row>
    <row r="37" spans="2:43" x14ac:dyDescent="0.2">
      <c r="B37" s="48" t="str">
        <f t="shared" ref="B37:B42" si="18">B27</f>
        <v>GS &gt; 50</v>
      </c>
      <c r="C37" s="28">
        <f t="shared" ref="C37:C42" ca="1" si="19">N27</f>
        <v>3721093.1989846015</v>
      </c>
      <c r="D37" s="28">
        <f ca="1">'CDM Adjustment'!O23</f>
        <v>62760.975938874704</v>
      </c>
      <c r="E37" s="47">
        <f t="shared" ref="E37:E42" ca="1" si="20">C37-D37</f>
        <v>3658332.2230457268</v>
      </c>
      <c r="F37" s="141"/>
      <c r="I37" s="147"/>
    </row>
    <row r="38" spans="2:43" x14ac:dyDescent="0.2">
      <c r="B38" s="48" t="str">
        <f t="shared" si="18"/>
        <v>GS Co Gen</v>
      </c>
      <c r="C38" s="28">
        <f t="shared" ca="1" si="19"/>
        <v>68655.864487846586</v>
      </c>
      <c r="D38" s="28">
        <f ca="1">'CDM Adjustment'!O24</f>
        <v>1123.9091283342141</v>
      </c>
      <c r="E38" s="47">
        <f t="shared" ca="1" si="20"/>
        <v>67531.955359512373</v>
      </c>
      <c r="F38" s="141"/>
      <c r="I38" s="147"/>
    </row>
    <row r="39" spans="2:43" x14ac:dyDescent="0.2">
      <c r="B39" s="48" t="str">
        <f t="shared" si="18"/>
        <v>Large Use</v>
      </c>
      <c r="C39" s="28">
        <f t="shared" ca="1" si="19"/>
        <v>310700.93715202605</v>
      </c>
      <c r="D39" s="28">
        <f ca="1">'CDM Adjustment'!O25</f>
        <v>2387.9316338119879</v>
      </c>
      <c r="E39" s="47">
        <f t="shared" ca="1" si="20"/>
        <v>308313.00551821408</v>
      </c>
      <c r="F39" s="141"/>
      <c r="I39" s="147"/>
    </row>
    <row r="40" spans="2:43" x14ac:dyDescent="0.2">
      <c r="B40" s="48" t="str">
        <f t="shared" si="18"/>
        <v>Street Light</v>
      </c>
      <c r="C40" s="28">
        <f t="shared" ca="1" si="19"/>
        <v>50166.768464444751</v>
      </c>
      <c r="D40" s="28"/>
      <c r="E40" s="47">
        <f t="shared" ca="1" si="20"/>
        <v>50166.768464444751</v>
      </c>
      <c r="F40" s="141"/>
      <c r="I40" s="147"/>
    </row>
    <row r="41" spans="2:43" x14ac:dyDescent="0.2">
      <c r="B41" s="48" t="str">
        <f t="shared" si="18"/>
        <v>Sentinel Light</v>
      </c>
      <c r="C41" s="28">
        <f t="shared" ca="1" si="19"/>
        <v>1333.9778607983192</v>
      </c>
      <c r="D41" s="28"/>
      <c r="E41" s="47">
        <f t="shared" ca="1" si="20"/>
        <v>1333.9778607983192</v>
      </c>
    </row>
    <row r="42" spans="2:43" x14ac:dyDescent="0.2">
      <c r="B42" s="48" t="str">
        <f t="shared" si="18"/>
        <v>Standby</v>
      </c>
      <c r="C42" s="28">
        <f t="shared" ca="1" si="19"/>
        <v>196800</v>
      </c>
      <c r="D42" s="28"/>
      <c r="E42" s="47">
        <f t="shared" ca="1" si="20"/>
        <v>196800</v>
      </c>
    </row>
    <row r="43" spans="2:43" ht="13.5" thickBot="1" x14ac:dyDescent="0.25">
      <c r="B43" s="153" t="s">
        <v>128</v>
      </c>
      <c r="C43" s="154">
        <f ca="1">SUM(C37:C42)</f>
        <v>4348750.7469497174</v>
      </c>
      <c r="D43" s="154">
        <f ca="1">SUM(D37:D42)</f>
        <v>66272.8167010209</v>
      </c>
      <c r="E43" s="155">
        <f ca="1">SUM(E37:E42)</f>
        <v>4282477.9302486964</v>
      </c>
    </row>
    <row r="45" spans="2:43" ht="16.5" thickBot="1" x14ac:dyDescent="0.3">
      <c r="B45" s="45" t="s">
        <v>175</v>
      </c>
      <c r="C45" s="45"/>
    </row>
    <row r="46" spans="2:43" x14ac:dyDescent="0.2">
      <c r="B46" s="156" t="s">
        <v>114</v>
      </c>
      <c r="C46" s="157" t="s">
        <v>126</v>
      </c>
      <c r="D46" s="157" t="s">
        <v>127</v>
      </c>
      <c r="E46" s="157" t="s">
        <v>151</v>
      </c>
      <c r="F46" s="157" t="s">
        <v>328</v>
      </c>
      <c r="G46" s="157" t="s">
        <v>329</v>
      </c>
      <c r="H46" s="157" t="s">
        <v>330</v>
      </c>
      <c r="I46" s="157" t="s">
        <v>331</v>
      </c>
      <c r="J46" s="157" t="s">
        <v>392</v>
      </c>
      <c r="K46" s="157" t="s">
        <v>316</v>
      </c>
      <c r="L46" s="157" t="s">
        <v>317</v>
      </c>
      <c r="M46" s="159" t="s">
        <v>507</v>
      </c>
    </row>
    <row r="47" spans="2:43" x14ac:dyDescent="0.2">
      <c r="B47" s="48" t="str">
        <f t="shared" ref="B47:B54" si="21">B3</f>
        <v>Residential</v>
      </c>
      <c r="C47" s="28">
        <f ca="1">OFFSET('Customer Count'!$C$5,COLUMN()-COLUMN($C47),0)</f>
        <v>142206.66666666666</v>
      </c>
      <c r="D47" s="28">
        <f ca="1">OFFSET('Customer Count'!$C$5,COLUMN()-COLUMN($C47),0)</f>
        <v>143926.91666666666</v>
      </c>
      <c r="E47" s="28">
        <f ca="1">OFFSET('Customer Count'!$C$5,COLUMN()-COLUMN($C47),0)</f>
        <v>145514.41666666666</v>
      </c>
      <c r="F47" s="28">
        <f ca="1">OFFSET('Customer Count'!$C$5,COLUMN()-COLUMN($C47),0)</f>
        <v>146977.5</v>
      </c>
      <c r="G47" s="28">
        <f ca="1">OFFSET('Customer Count'!$C$5,COLUMN()-COLUMN($C47),0)</f>
        <v>148595.83333333334</v>
      </c>
      <c r="H47" s="28">
        <f ca="1">OFFSET('Customer Count'!$C$5,COLUMN()-COLUMN($C47),0)</f>
        <v>150464.33333333334</v>
      </c>
      <c r="I47" s="28">
        <f ca="1">OFFSET('Customer Count'!$C$5,COLUMN()-COLUMN($C47),0)</f>
        <v>151858.5</v>
      </c>
      <c r="J47" s="28">
        <f ca="1">OFFSET('Customer Count'!$C$5,COLUMN()-COLUMN($C47),0)</f>
        <v>152856.16666666666</v>
      </c>
      <c r="K47" s="28">
        <f ca="1">OFFSET('Customer Count'!$C$5,COLUMN()-COLUMN($C47),0)</f>
        <v>153673.75</v>
      </c>
      <c r="L47" s="28">
        <f ca="1">OFFSET('Customer Count'!$C$5,COLUMN()-COLUMN($C47),0)</f>
        <v>154970.11436582473</v>
      </c>
      <c r="M47" s="47">
        <f ca="1">OFFSET('Customer Count'!$C$5,COLUMN()-COLUMN($C47),0)</f>
        <v>156277.41463038934</v>
      </c>
    </row>
    <row r="48" spans="2:43" x14ac:dyDescent="0.2">
      <c r="B48" s="48" t="str">
        <f t="shared" si="21"/>
        <v>GS &lt; 50</v>
      </c>
      <c r="C48" s="28">
        <f ca="1">OFFSET('Customer Count'!$G$5,COLUMN()-COLUMN($C48),0)</f>
        <v>12575.25</v>
      </c>
      <c r="D48" s="28">
        <f ca="1">OFFSET('Customer Count'!$G$5,COLUMN()-COLUMN($C48),0)</f>
        <v>12635.833333333334</v>
      </c>
      <c r="E48" s="28">
        <f ca="1">OFFSET('Customer Count'!$G$5,COLUMN()-COLUMN($C48),0)</f>
        <v>12771.833333333334</v>
      </c>
      <c r="F48" s="28">
        <f ca="1">OFFSET('Customer Count'!$G$5,COLUMN()-COLUMN($C48),0)</f>
        <v>12891.583333333334</v>
      </c>
      <c r="G48" s="28">
        <f ca="1">OFFSET('Customer Count'!$G$5,COLUMN()-COLUMN($C48),0)</f>
        <v>12991.75</v>
      </c>
      <c r="H48" s="28">
        <f ca="1">OFFSET('Customer Count'!$G$5,COLUMN()-COLUMN($C48),0)</f>
        <v>13153.666666666666</v>
      </c>
      <c r="I48" s="28">
        <f ca="1">OFFSET('Customer Count'!$G$5,COLUMN()-COLUMN($C48),0)</f>
        <v>13233</v>
      </c>
      <c r="J48" s="28">
        <f ca="1">OFFSET('Customer Count'!$G$5,COLUMN()-COLUMN($C48),0)</f>
        <v>13363.583333333334</v>
      </c>
      <c r="K48" s="28">
        <f ca="1">OFFSET('Customer Count'!$G$5,COLUMN()-COLUMN($C48),0)</f>
        <v>13501.583333333334</v>
      </c>
      <c r="L48" s="28">
        <f ca="1">OFFSET('Customer Count'!$G$5,COLUMN()-COLUMN($C48),0)</f>
        <v>13632.13765532813</v>
      </c>
      <c r="M48" s="47">
        <f ca="1">OFFSET('Customer Count'!$G$5,COLUMN()-COLUMN($C48),0)</f>
        <v>13763.954379707202</v>
      </c>
    </row>
    <row r="49" spans="2:13" ht="13.5" customHeight="1" x14ac:dyDescent="0.2">
      <c r="B49" s="48" t="str">
        <f t="shared" si="21"/>
        <v>GS &gt; 50</v>
      </c>
      <c r="C49" s="28">
        <f ca="1">OFFSET('Customer Count'!$K$5,COLUMN()-COLUMN($C49),0)</f>
        <v>1604.5833333333333</v>
      </c>
      <c r="D49" s="28">
        <f ca="1">OFFSET('Customer Count'!$K$5,COLUMN()-COLUMN($C49),0)</f>
        <v>1622</v>
      </c>
      <c r="E49" s="28">
        <f ca="1">OFFSET('Customer Count'!$K$5,COLUMN()-COLUMN($C49),0)</f>
        <v>1578.75</v>
      </c>
      <c r="F49" s="28">
        <f ca="1">OFFSET('Customer Count'!$K$5,COLUMN()-COLUMN($C49),0)</f>
        <v>1540.9166666666667</v>
      </c>
      <c r="G49" s="28">
        <f ca="1">OFFSET('Customer Count'!$K$5,COLUMN()-COLUMN($C49),0)</f>
        <v>1521.8333333333333</v>
      </c>
      <c r="H49" s="28">
        <f ca="1">OFFSET('Customer Count'!$K$5,COLUMN()-COLUMN($C49),0)</f>
        <v>1467.6666666666667</v>
      </c>
      <c r="I49" s="28">
        <f ca="1">OFFSET('Customer Count'!$K$5,COLUMN()-COLUMN($C49),0)</f>
        <v>1464.0833333333333</v>
      </c>
      <c r="J49" s="28">
        <f ca="1">OFFSET('Customer Count'!$K$5,COLUMN()-COLUMN($C49),0)</f>
        <v>1496.75</v>
      </c>
      <c r="K49" s="28">
        <f ca="1">OFFSET('Customer Count'!$K$5,COLUMN()-COLUMN($C49),0)</f>
        <v>1519.8333333333333</v>
      </c>
      <c r="L49" s="28">
        <f ca="1">OFFSET('Customer Count'!$K$5,COLUMN()-COLUMN($C49),0)</f>
        <v>1519.3337441572053</v>
      </c>
      <c r="M49" s="47">
        <f ca="1">OFFSET('Customer Count'!$K$5,COLUMN()-COLUMN($C49),0)</f>
        <v>1518.8343192026005</v>
      </c>
    </row>
    <row r="50" spans="2:13" ht="13.5" customHeight="1" x14ac:dyDescent="0.2">
      <c r="B50" s="48" t="str">
        <f t="shared" si="21"/>
        <v>GS Co Gen</v>
      </c>
      <c r="C50" s="28">
        <f ca="1">OFFSET('Customer Count'!$O$5,COLUMN()-COLUMN($C50),0)</f>
        <v>4</v>
      </c>
      <c r="D50" s="28">
        <f ca="1">OFFSET('Customer Count'!$O$5,COLUMN()-COLUMN($C50),0)</f>
        <v>5</v>
      </c>
      <c r="E50" s="28">
        <f ca="1">OFFSET('Customer Count'!$O$5,COLUMN()-COLUMN($C50),0)</f>
        <v>5</v>
      </c>
      <c r="F50" s="28">
        <f ca="1">OFFSET('Customer Count'!$O$5,COLUMN()-COLUMN($C50),0)</f>
        <v>5.166666666666667</v>
      </c>
      <c r="G50" s="28">
        <f ca="1">OFFSET('Customer Count'!$O$5,COLUMN()-COLUMN($C50),0)</f>
        <v>7</v>
      </c>
      <c r="H50" s="28">
        <f ca="1">OFFSET('Customer Count'!$O$5,COLUMN()-COLUMN($C50),0)</f>
        <v>7.25</v>
      </c>
      <c r="I50" s="28">
        <f ca="1">OFFSET('Customer Count'!$O$5,COLUMN()-COLUMN($C50),0)</f>
        <v>7</v>
      </c>
      <c r="J50" s="28">
        <f ca="1">OFFSET('Customer Count'!$O$5,COLUMN()-COLUMN($C50),0)</f>
        <v>7</v>
      </c>
      <c r="K50" s="28">
        <f ca="1">OFFSET('Customer Count'!$O$5,COLUMN()-COLUMN($C50),0)</f>
        <v>7</v>
      </c>
      <c r="L50" s="28">
        <f ca="1">OFFSET('Customer Count'!$O$5,COLUMN()-COLUMN($C50),0)</f>
        <v>7</v>
      </c>
      <c r="M50" s="47">
        <f ca="1">OFFSET('Customer Count'!$O$5,COLUMN()-COLUMN($C50),0)</f>
        <v>7</v>
      </c>
    </row>
    <row r="51" spans="2:13" ht="13.5" customHeight="1" x14ac:dyDescent="0.2">
      <c r="B51" s="48" t="str">
        <f t="shared" si="21"/>
        <v>Large Use</v>
      </c>
      <c r="C51" s="28">
        <f ca="1">OFFSET('Customer Count'!$S$5,COLUMN()-COLUMN($C51),0)</f>
        <v>1</v>
      </c>
      <c r="D51" s="28">
        <f ca="1">OFFSET('Customer Count'!$S$5,COLUMN()-COLUMN($C51),0)</f>
        <v>1</v>
      </c>
      <c r="E51" s="28">
        <f ca="1">OFFSET('Customer Count'!$S$5,COLUMN()-COLUMN($C51),0)</f>
        <v>1</v>
      </c>
      <c r="F51" s="28">
        <f ca="1">OFFSET('Customer Count'!$S$5,COLUMN()-COLUMN($C51),0)</f>
        <v>1</v>
      </c>
      <c r="G51" s="28">
        <f ca="1">OFFSET('Customer Count'!$S$5,COLUMN()-COLUMN($C51),0)</f>
        <v>1</v>
      </c>
      <c r="H51" s="28">
        <f ca="1">OFFSET('Customer Count'!$S$5,COLUMN()-COLUMN($C51),0)</f>
        <v>1.25</v>
      </c>
      <c r="I51" s="28">
        <f ca="1">OFFSET('Customer Count'!$S$5,COLUMN()-COLUMN($C51),0)</f>
        <v>2</v>
      </c>
      <c r="J51" s="28">
        <f ca="1">OFFSET('Customer Count'!$S$5,COLUMN()-COLUMN($C51),0)</f>
        <v>2</v>
      </c>
      <c r="K51" s="28">
        <f ca="1">OFFSET('Customer Count'!$S$5,COLUMN()-COLUMN($C51),0)</f>
        <v>2</v>
      </c>
      <c r="L51" s="28">
        <f ca="1">OFFSET('Customer Count'!$S$5,COLUMN()-COLUMN($C51),0)</f>
        <v>2</v>
      </c>
      <c r="M51" s="47">
        <f ca="1">OFFSET('Customer Count'!$S$5,COLUMN()-COLUMN($C51),0)</f>
        <v>2</v>
      </c>
    </row>
    <row r="52" spans="2:13" x14ac:dyDescent="0.2">
      <c r="B52" s="48" t="str">
        <f t="shared" si="21"/>
        <v>Street Light</v>
      </c>
      <c r="C52" s="28">
        <f ca="1">OFFSET('Customer Count'!$W$5,COLUMN()-COLUMN($C52),0)</f>
        <v>36184.083333333336</v>
      </c>
      <c r="D52" s="28">
        <f ca="1">OFFSET('Customer Count'!$W$5,COLUMN()-COLUMN($C52),0)</f>
        <v>36831.416666666664</v>
      </c>
      <c r="E52" s="28">
        <f ca="1">OFFSET('Customer Count'!$W$5,COLUMN()-COLUMN($C52),0)</f>
        <v>37110.833333333336</v>
      </c>
      <c r="F52" s="28">
        <f ca="1">OFFSET('Customer Count'!$W$5,COLUMN()-COLUMN($C52),0)</f>
        <v>37806.583333333336</v>
      </c>
      <c r="G52" s="28">
        <f ca="1">OFFSET('Customer Count'!$W$5,COLUMN()-COLUMN($C52),0)</f>
        <v>38502.416666666664</v>
      </c>
      <c r="H52" s="28">
        <f ca="1">OFFSET('Customer Count'!$W$5,COLUMN()-COLUMN($C52),0)</f>
        <v>39231.916666666664</v>
      </c>
      <c r="I52" s="28">
        <f ca="1">OFFSET('Customer Count'!$W$5,COLUMN()-COLUMN($C52),0)</f>
        <v>39733.333333333336</v>
      </c>
      <c r="J52" s="28">
        <f ca="1">OFFSET('Customer Count'!$W$5,COLUMN()-COLUMN($C52),0)</f>
        <v>40243.833333333336</v>
      </c>
      <c r="K52" s="28">
        <f ca="1">OFFSET('Customer Count'!$W$5,COLUMN()-COLUMN($C52),0)</f>
        <v>40503.666666666664</v>
      </c>
      <c r="L52" s="28">
        <f ca="1">OFFSET('Customer Count'!$W$5,COLUMN()-COLUMN($C52),0)</f>
        <v>41020.025683716136</v>
      </c>
      <c r="M52" s="47">
        <f ca="1">OFFSET('Customer Count'!$W$5,COLUMN()-COLUMN($C52),0)</f>
        <v>41542.967478485029</v>
      </c>
    </row>
    <row r="53" spans="2:13" x14ac:dyDescent="0.2">
      <c r="B53" s="48" t="str">
        <f t="shared" si="21"/>
        <v>Sentinel Light</v>
      </c>
      <c r="C53" s="28">
        <f ca="1">OFFSET('Customer Count'!$AA$5,COLUMN()-COLUMN($C53),0)</f>
        <v>547.91666666666663</v>
      </c>
      <c r="D53" s="28">
        <f ca="1">OFFSET('Customer Count'!$AA$5,COLUMN()-COLUMN($C53),0)</f>
        <v>530.25</v>
      </c>
      <c r="E53" s="28">
        <f ca="1">OFFSET('Customer Count'!$AA$5,COLUMN()-COLUMN($C53),0)</f>
        <v>525</v>
      </c>
      <c r="F53" s="28">
        <f ca="1">OFFSET('Customer Count'!$AA$5,COLUMN()-COLUMN($C53),0)</f>
        <v>515.75</v>
      </c>
      <c r="G53" s="28">
        <f ca="1">OFFSET('Customer Count'!$AA$5,COLUMN()-COLUMN($C53),0)</f>
        <v>510.41666666666669</v>
      </c>
      <c r="H53" s="28">
        <f ca="1">OFFSET('Customer Count'!$AA$5,COLUMN()-COLUMN($C53),0)</f>
        <v>505.75</v>
      </c>
      <c r="I53" s="28">
        <f ca="1">OFFSET('Customer Count'!$AA$5,COLUMN()-COLUMN($C53),0)</f>
        <v>500.83333333333331</v>
      </c>
      <c r="J53" s="28">
        <f ca="1">OFFSET('Customer Count'!$AA$5,COLUMN()-COLUMN($C53),0)</f>
        <v>492.5</v>
      </c>
      <c r="K53" s="28">
        <f ca="1">OFFSET('Customer Count'!$AA$5,COLUMN()-COLUMN($C53),0)</f>
        <v>480.5</v>
      </c>
      <c r="L53" s="28">
        <f ca="1">OFFSET('Customer Count'!$AA$5,COLUMN()-COLUMN($C53),0)</f>
        <v>473.29893611485244</v>
      </c>
      <c r="M53" s="47">
        <f ca="1">OFFSET('Customer Count'!$AA$5,COLUMN()-COLUMN($C53),0)</f>
        <v>466.20579173246864</v>
      </c>
    </row>
    <row r="54" spans="2:13" x14ac:dyDescent="0.2">
      <c r="B54" s="48" t="str">
        <f t="shared" si="21"/>
        <v>USL</v>
      </c>
      <c r="C54" s="28">
        <f ca="1">OFFSET('Customer Count'!$AE$5,COLUMN()-COLUMN($C54),0)</f>
        <v>1515.5833333333333</v>
      </c>
      <c r="D54" s="28">
        <f ca="1">OFFSET('Customer Count'!$AE$5,COLUMN()-COLUMN($C54),0)</f>
        <v>1522.25</v>
      </c>
      <c r="E54" s="28">
        <f ca="1">OFFSET('Customer Count'!$AE$5,COLUMN()-COLUMN($C54),0)</f>
        <v>1543.5</v>
      </c>
      <c r="F54" s="28">
        <f ca="1">OFFSET('Customer Count'!$AE$5,COLUMN()-COLUMN($C54),0)</f>
        <v>1533.75</v>
      </c>
      <c r="G54" s="28">
        <f ca="1">OFFSET('Customer Count'!$AE$5,COLUMN()-COLUMN($C54),0)</f>
        <v>1543</v>
      </c>
      <c r="H54" s="28">
        <f ca="1">OFFSET('Customer Count'!$AE$5,COLUMN()-COLUMN($C54),0)</f>
        <v>1549.75</v>
      </c>
      <c r="I54" s="28">
        <f ca="1">OFFSET('Customer Count'!$AE$5,COLUMN()-COLUMN($C54),0)</f>
        <v>1563.8333333333333</v>
      </c>
      <c r="J54" s="28">
        <f ca="1">OFFSET('Customer Count'!$AE$5,COLUMN()-COLUMN($C54),0)</f>
        <v>1565.5833333333333</v>
      </c>
      <c r="K54" s="28">
        <f ca="1">OFFSET('Customer Count'!$AE$5,COLUMN()-COLUMN($C54),0)</f>
        <v>1571.0833333333333</v>
      </c>
      <c r="L54" s="28">
        <f ca="1">OFFSET('Customer Count'!$AE$5,COLUMN()-COLUMN($C54),0)</f>
        <v>1578.1836702052574</v>
      </c>
      <c r="M54" s="47">
        <f ca="1">OFFSET('Customer Count'!$AE$5,COLUMN()-COLUMN($C54),0)</f>
        <v>1585.3160962621569</v>
      </c>
    </row>
    <row r="55" spans="2:13" ht="13.5" thickBot="1" x14ac:dyDescent="0.25">
      <c r="B55" s="153" t="s">
        <v>128</v>
      </c>
      <c r="C55" s="154">
        <f t="shared" ref="C55:J55" ca="1" si="22">SUM(C47:C54)</f>
        <v>194639.08333333334</v>
      </c>
      <c r="D55" s="154">
        <f t="shared" ca="1" si="22"/>
        <v>197074.66666666666</v>
      </c>
      <c r="E55" s="154">
        <f t="shared" ca="1" si="22"/>
        <v>199050.33333333334</v>
      </c>
      <c r="F55" s="154">
        <f t="shared" ca="1" si="22"/>
        <v>201272.25</v>
      </c>
      <c r="G55" s="154">
        <f t="shared" ca="1" si="22"/>
        <v>203673.25</v>
      </c>
      <c r="H55" s="154">
        <f t="shared" ca="1" si="22"/>
        <v>206381.58333333331</v>
      </c>
      <c r="I55" s="154">
        <f t="shared" ca="1" si="22"/>
        <v>208362.58333333337</v>
      </c>
      <c r="J55" s="154">
        <f t="shared" ca="1" si="22"/>
        <v>210027.41666666669</v>
      </c>
      <c r="K55" s="154">
        <f ca="1">SUM(K47:K54)</f>
        <v>211259.41666666669</v>
      </c>
      <c r="L55" s="158">
        <f ca="1">SUM(L47:L54)</f>
        <v>213202.09405534633</v>
      </c>
      <c r="M55" s="155">
        <f ca="1">SUM(M47:M54)</f>
        <v>215163.69269577879</v>
      </c>
    </row>
    <row r="57" spans="2:13" ht="16.5" thickBot="1" x14ac:dyDescent="0.3">
      <c r="B57" s="45" t="s">
        <v>366</v>
      </c>
      <c r="C57" s="45"/>
      <c r="D57" s="149"/>
    </row>
    <row r="58" spans="2:13" ht="25.5" x14ac:dyDescent="0.2">
      <c r="B58" s="150">
        <v>2027</v>
      </c>
      <c r="C58" s="151" t="s">
        <v>116</v>
      </c>
      <c r="D58" s="151" t="s">
        <v>117</v>
      </c>
      <c r="E58" s="152" t="s">
        <v>367</v>
      </c>
    </row>
    <row r="59" spans="2:13" x14ac:dyDescent="0.2">
      <c r="B59" s="48" t="str">
        <f t="shared" ref="B59:B66" si="23">B47</f>
        <v>Residential</v>
      </c>
      <c r="C59" s="28">
        <f t="shared" ref="C59:C66" ca="1" si="24">E15</f>
        <v>1246806816.5202808</v>
      </c>
      <c r="D59" s="28"/>
      <c r="E59" s="47">
        <f t="shared" ref="E59:E66" ca="1" si="25">M47</f>
        <v>156277.41463038934</v>
      </c>
      <c r="G59" s="28"/>
      <c r="H59" s="28"/>
      <c r="I59" s="28"/>
    </row>
    <row r="60" spans="2:13" x14ac:dyDescent="0.2">
      <c r="B60" s="48" t="str">
        <f t="shared" si="23"/>
        <v>GS &lt; 50</v>
      </c>
      <c r="C60" s="28">
        <f t="shared" ca="1" si="24"/>
        <v>419590048.81029916</v>
      </c>
      <c r="D60" s="28"/>
      <c r="E60" s="47">
        <f t="shared" ca="1" si="25"/>
        <v>13763.954379707202</v>
      </c>
      <c r="G60" s="28"/>
      <c r="H60" s="28"/>
      <c r="I60" s="28"/>
    </row>
    <row r="61" spans="2:13" x14ac:dyDescent="0.2">
      <c r="B61" s="48" t="str">
        <f t="shared" si="23"/>
        <v>GS &gt; 50</v>
      </c>
      <c r="C61" s="28">
        <f t="shared" ca="1" si="24"/>
        <v>1445764307.0847273</v>
      </c>
      <c r="D61" s="28">
        <f ca="1">E37</f>
        <v>3658332.2230457268</v>
      </c>
      <c r="E61" s="47">
        <f t="shared" ca="1" si="25"/>
        <v>1518.8343192026005</v>
      </c>
      <c r="G61" s="28"/>
      <c r="H61" s="28"/>
      <c r="I61" s="28"/>
    </row>
    <row r="62" spans="2:13" x14ac:dyDescent="0.2">
      <c r="B62" s="48" t="str">
        <f t="shared" si="23"/>
        <v>GS Co Gen</v>
      </c>
      <c r="C62" s="28">
        <f t="shared" ca="1" si="24"/>
        <v>37958687.17058029</v>
      </c>
      <c r="D62" s="28">
        <f ca="1">E38</f>
        <v>67531.955359512373</v>
      </c>
      <c r="E62" s="47">
        <f t="shared" ca="1" si="25"/>
        <v>7</v>
      </c>
      <c r="G62" s="28"/>
      <c r="H62" s="28"/>
      <c r="I62" s="28"/>
    </row>
    <row r="63" spans="2:13" x14ac:dyDescent="0.2">
      <c r="B63" s="48" t="str">
        <f t="shared" si="23"/>
        <v>Large Use</v>
      </c>
      <c r="C63" s="28">
        <f t="shared" ca="1" si="24"/>
        <v>161514993.61743999</v>
      </c>
      <c r="D63" s="28">
        <f ca="1">E39</f>
        <v>308313.00551821408</v>
      </c>
      <c r="E63" s="47">
        <f t="shared" ca="1" si="25"/>
        <v>2</v>
      </c>
      <c r="G63" s="28"/>
      <c r="H63" s="28"/>
      <c r="I63" s="28"/>
    </row>
    <row r="64" spans="2:13" x14ac:dyDescent="0.2">
      <c r="B64" s="48" t="str">
        <f t="shared" si="23"/>
        <v>Street Light</v>
      </c>
      <c r="C64" s="28">
        <f t="shared" ca="1" si="24"/>
        <v>17892936.455362532</v>
      </c>
      <c r="D64" s="28">
        <f ca="1">E40</f>
        <v>50166.768464444751</v>
      </c>
      <c r="E64" s="47">
        <f t="shared" ca="1" si="25"/>
        <v>41542.967478485029</v>
      </c>
      <c r="G64" s="28"/>
      <c r="H64" s="28"/>
      <c r="I64" s="28"/>
    </row>
    <row r="65" spans="2:9" x14ac:dyDescent="0.2">
      <c r="B65" s="48" t="str">
        <f t="shared" si="23"/>
        <v>Sentinel Light</v>
      </c>
      <c r="C65" s="28">
        <f t="shared" ca="1" si="24"/>
        <v>492053.30695998308</v>
      </c>
      <c r="D65" s="28">
        <f ca="1">E41</f>
        <v>1333.9778607983192</v>
      </c>
      <c r="E65" s="47">
        <f t="shared" ca="1" si="25"/>
        <v>466.20579173246864</v>
      </c>
      <c r="G65" s="28"/>
      <c r="H65" s="28"/>
      <c r="I65" s="28"/>
    </row>
    <row r="66" spans="2:9" x14ac:dyDescent="0.2">
      <c r="B66" s="48" t="str">
        <f t="shared" si="23"/>
        <v>USL</v>
      </c>
      <c r="C66" s="28">
        <f t="shared" ca="1" si="24"/>
        <v>5443581.0518559851</v>
      </c>
      <c r="D66" s="28"/>
      <c r="E66" s="47">
        <f t="shared" ca="1" si="25"/>
        <v>1585.3160962621569</v>
      </c>
      <c r="G66" s="28"/>
      <c r="H66" s="28"/>
      <c r="I66" s="28"/>
    </row>
    <row r="67" spans="2:9" x14ac:dyDescent="0.2">
      <c r="B67" s="48" t="str">
        <f>B42</f>
        <v>Standby</v>
      </c>
      <c r="C67" s="28"/>
      <c r="D67" s="28">
        <f ca="1">E42</f>
        <v>196800</v>
      </c>
      <c r="E67" s="47"/>
      <c r="G67" s="28"/>
      <c r="H67" s="28"/>
      <c r="I67" s="28"/>
    </row>
    <row r="68" spans="2:9" ht="13.5" thickBot="1" x14ac:dyDescent="0.25">
      <c r="B68" s="153" t="s">
        <v>128</v>
      </c>
      <c r="C68" s="154">
        <f ca="1">SUM(C59:C67)</f>
        <v>3335463424.0175056</v>
      </c>
      <c r="D68" s="154">
        <f ca="1">SUM(D59:D67)</f>
        <v>4282477.9302486964</v>
      </c>
      <c r="E68" s="155">
        <f ca="1">SUM(E59:E67)</f>
        <v>215163.69269577879</v>
      </c>
    </row>
  </sheetData>
  <phoneticPr fontId="43" type="noConversion"/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7E3CC-7BE1-436D-AF90-03BE23B7EE54}">
  <sheetPr codeName="Sheet39">
    <tabColor rgb="FFFF0000"/>
  </sheetPr>
  <dimension ref="B1:Q68"/>
  <sheetViews>
    <sheetView workbookViewId="0">
      <selection activeCell="L3" sqref="L3"/>
    </sheetView>
  </sheetViews>
  <sheetFormatPr defaultColWidth="9.1640625" defaultRowHeight="12.75" x14ac:dyDescent="0.2"/>
  <cols>
    <col min="1" max="1" width="3" style="27" customWidth="1"/>
    <col min="2" max="2" width="28.33203125" style="27" bestFit="1" customWidth="1"/>
    <col min="3" max="3" width="16.6640625" style="27" customWidth="1"/>
    <col min="4" max="7" width="15" style="27" bestFit="1" customWidth="1"/>
    <col min="8" max="8" width="15.6640625" style="27" bestFit="1" customWidth="1"/>
    <col min="9" max="13" width="15" style="27" bestFit="1" customWidth="1"/>
    <col min="14" max="14" width="15.6640625" style="27" bestFit="1" customWidth="1"/>
    <col min="15" max="16" width="15.83203125" style="27" customWidth="1"/>
    <col min="17" max="17" width="10.83203125" style="27" bestFit="1" customWidth="1"/>
    <col min="18" max="18" width="9.1640625" style="27"/>
    <col min="19" max="19" width="17.33203125" style="27" customWidth="1"/>
    <col min="20" max="20" width="17" style="27" customWidth="1"/>
    <col min="21" max="21" width="21" style="27" bestFit="1" customWidth="1"/>
    <col min="22" max="22" width="17.6640625" style="27" customWidth="1"/>
    <col min="23" max="16384" width="9.1640625" style="27"/>
  </cols>
  <sheetData>
    <row r="1" spans="2:17" ht="16.5" thickBot="1" x14ac:dyDescent="0.3">
      <c r="B1" s="45" t="s">
        <v>125</v>
      </c>
      <c r="C1" s="45"/>
    </row>
    <row r="2" spans="2:17" x14ac:dyDescent="0.2">
      <c r="B2" s="156" t="s">
        <v>116</v>
      </c>
      <c r="C2" s="157" t="s">
        <v>171</v>
      </c>
      <c r="D2" s="157" t="s">
        <v>172</v>
      </c>
      <c r="E2" s="157" t="s">
        <v>173</v>
      </c>
      <c r="F2" s="157" t="s">
        <v>369</v>
      </c>
      <c r="G2" s="157" t="s">
        <v>370</v>
      </c>
      <c r="H2" s="157" t="s">
        <v>371</v>
      </c>
      <c r="I2" s="157" t="s">
        <v>332</v>
      </c>
      <c r="J2" s="157" t="s">
        <v>393</v>
      </c>
      <c r="K2" s="157" t="s">
        <v>542</v>
      </c>
      <c r="L2" s="353" t="s">
        <v>317</v>
      </c>
      <c r="M2" s="354" t="s">
        <v>507</v>
      </c>
    </row>
    <row r="3" spans="2:17" x14ac:dyDescent="0.2">
      <c r="B3" s="46" t="s">
        <v>24</v>
      </c>
      <c r="C3" s="28">
        <f ca="1">OFFSET('Normalized Annual Summary'!$K$48,COLUMN(C3)-COLUMN($C3),0)</f>
        <v>1070348413.1952451</v>
      </c>
      <c r="D3" s="28">
        <f ca="1">OFFSET('Normalized Annual Summary'!$K$48,COLUMN(D3)-COLUMN($C3),0)</f>
        <v>1095001353.6740224</v>
      </c>
      <c r="E3" s="28">
        <f ca="1">OFFSET('Normalized Annual Summary'!$K$48,COLUMN(E3)-COLUMN($C3),0)</f>
        <v>1103304536.9018617</v>
      </c>
      <c r="F3" s="28">
        <f ca="1">OFFSET('Normalized Annual Summary'!$K$48,COLUMN(F3)-COLUMN($C3),0)</f>
        <v>1173024110.1557674</v>
      </c>
      <c r="G3" s="28">
        <f ca="1">OFFSET('Normalized Annual Summary'!$K$48,COLUMN(G3)-COLUMN($C3),0)</f>
        <v>1175559380.1044734</v>
      </c>
      <c r="H3" s="28">
        <f ca="1">OFFSET('Normalized Annual Summary'!$K$48,COLUMN(H3)-COLUMN($C3),0)</f>
        <v>1170984714.8405676</v>
      </c>
      <c r="I3" s="28">
        <f ca="1">OFFSET('Normalized Annual Summary'!$K$48,COLUMN(I3)-COLUMN($C3),0)</f>
        <v>1171666832.9779069</v>
      </c>
      <c r="J3" s="28">
        <f ca="1">OFFSET('Normalized Annual Summary'!$K$48,COLUMN(J3)-COLUMN($C3),0)</f>
        <v>1199538032.0809467</v>
      </c>
      <c r="K3" s="28">
        <f ca="1">OFFSET('Normalized Annual Summary'!$K$48,COLUMN(K3)-COLUMN($C3),0)</f>
        <v>1201673800.0409098</v>
      </c>
      <c r="L3" s="28">
        <f ca="1">OFFSET('Normalized Annual Summary'!$K$48,COLUMN(L3)-COLUMN($C3),0)</f>
        <v>1224513011.511615</v>
      </c>
      <c r="M3" s="47">
        <f ca="1">OFFSET('Normalized Annual Summary'!$K$48,COLUMN(M3)-COLUMN($C3),0)</f>
        <v>1252807752.4400463</v>
      </c>
      <c r="Q3" s="28"/>
    </row>
    <row r="4" spans="2:17" x14ac:dyDescent="0.2">
      <c r="B4" s="48" t="s">
        <v>111</v>
      </c>
      <c r="C4" s="28">
        <f ca="1">OFFSET('Normalized Annual Summary'!$V$48,COLUMN(C4)-COLUMN($C4),0)</f>
        <v>389258992.65823907</v>
      </c>
      <c r="D4" s="28">
        <f ca="1">OFFSET('Normalized Annual Summary'!$V$48,COLUMN(D4)-COLUMN($C4),0)</f>
        <v>390657763.30323809</v>
      </c>
      <c r="E4" s="28">
        <f ca="1">OFFSET('Normalized Annual Summary'!$V$48,COLUMN(E4)-COLUMN($C4),0)</f>
        <v>393704971.68222612</v>
      </c>
      <c r="F4" s="28">
        <f ca="1">OFFSET('Normalized Annual Summary'!$V$48,COLUMN(F4)-COLUMN($C4),0)</f>
        <v>375204934.1175431</v>
      </c>
      <c r="G4" s="28">
        <f ca="1">OFFSET('Normalized Annual Summary'!$V$48,COLUMN(G4)-COLUMN($C4),0)</f>
        <v>380830412.31552958</v>
      </c>
      <c r="H4" s="28">
        <f ca="1">OFFSET('Normalized Annual Summary'!$V$48,COLUMN(H4)-COLUMN($C4),0)</f>
        <v>403013117.69608796</v>
      </c>
      <c r="I4" s="28">
        <f ca="1">OFFSET('Normalized Annual Summary'!$V$48,COLUMN(I4)-COLUMN($C4),0)</f>
        <v>408057419.85065025</v>
      </c>
      <c r="J4" s="28">
        <f ca="1">OFFSET('Normalized Annual Summary'!$V$48,COLUMN(J4)-COLUMN($C4),0)</f>
        <v>408543689.489703</v>
      </c>
      <c r="K4" s="28">
        <f ca="1">OFFSET('Normalized Annual Summary'!$V$48,COLUMN(K4)-COLUMN($C4),0)</f>
        <v>413670352.26202881</v>
      </c>
      <c r="L4" s="28">
        <f ca="1">OFFSET('Normalized Annual Summary'!$V$48,COLUMN(L4)-COLUMN($C4),0)</f>
        <v>418708962.95375508</v>
      </c>
      <c r="M4" s="47">
        <f ca="1">OFFSET('Normalized Annual Summary'!$V$48,COLUMN(M4)-COLUMN($C4),0)</f>
        <v>428500444.0677461</v>
      </c>
    </row>
    <row r="5" spans="2:17" x14ac:dyDescent="0.2">
      <c r="B5" s="48" t="s">
        <v>112</v>
      </c>
      <c r="C5" s="28">
        <f ca="1">OFFSET('Normalized Annual Summary'!$AG$48,COLUMN(C5)-COLUMN($C5),0)</f>
        <v>1469229820.597477</v>
      </c>
      <c r="D5" s="28">
        <f ca="1">OFFSET('Normalized Annual Summary'!$AG$48,COLUMN(D5)-COLUMN($C5),0)</f>
        <v>1467856100.7072108</v>
      </c>
      <c r="E5" s="28">
        <f ca="1">OFFSET('Normalized Annual Summary'!$AG$48,COLUMN(E5)-COLUMN($C5),0)</f>
        <v>1411899081.7940671</v>
      </c>
      <c r="F5" s="28">
        <f ca="1">OFFSET('Normalized Annual Summary'!$AG$48,COLUMN(F5)-COLUMN($C5),0)</f>
        <v>1366443355.0235789</v>
      </c>
      <c r="G5" s="28">
        <f ca="1">OFFSET('Normalized Annual Summary'!$AG$48,COLUMN(G5)-COLUMN($C5),0)</f>
        <v>1381395080.2139919</v>
      </c>
      <c r="H5" s="28">
        <f ca="1">OFFSET('Normalized Annual Summary'!$AG$48,COLUMN(H5)-COLUMN($C5),0)</f>
        <v>1422376435.6559212</v>
      </c>
      <c r="I5" s="28">
        <f ca="1">OFFSET('Normalized Annual Summary'!$AG$48,COLUMN(I5)-COLUMN($C5),0)</f>
        <v>1418315076.5791571</v>
      </c>
      <c r="J5" s="28">
        <f ca="1">OFFSET('Normalized Annual Summary'!$AG$48,COLUMN(J5)-COLUMN($C5),0)</f>
        <v>1451817830.431649</v>
      </c>
      <c r="K5" s="28">
        <f ca="1">OFFSET('Normalized Annual Summary'!$AG$48,COLUMN(K5)-COLUMN($C5),0)</f>
        <v>1465451455.2605937</v>
      </c>
      <c r="L5" s="28">
        <f ca="1">OFFSET('Normalized Annual Summary'!$AG$48,COLUMN(L5)-COLUMN($C5),0)</f>
        <v>1454290738.201947</v>
      </c>
      <c r="M5" s="47">
        <f ca="1">OFFSET('Normalized Annual Summary'!$AG$48,COLUMN(M5)-COLUMN($C5),0)</f>
        <v>1470577776.6983194</v>
      </c>
    </row>
    <row r="6" spans="2:17" x14ac:dyDescent="0.2">
      <c r="B6" s="48" t="s">
        <v>481</v>
      </c>
      <c r="C6" s="28">
        <f ca="1">OFFSET('Normalized Annual Summary'!$AR$48,COLUMN(C6)-COLUMN($C6),0)</f>
        <v>48180970.646611869</v>
      </c>
      <c r="D6" s="28">
        <f ca="1">OFFSET('Normalized Annual Summary'!$AR$48,COLUMN(D6)-COLUMN($C6),0)</f>
        <v>45634696.000230223</v>
      </c>
      <c r="E6" s="28">
        <f ca="1">OFFSET('Normalized Annual Summary'!$AR$48,COLUMN(E6)-COLUMN($C6),0)</f>
        <v>36399521.541700535</v>
      </c>
      <c r="F6" s="28">
        <f ca="1">OFFSET('Normalized Annual Summary'!$AR$48,COLUMN(F6)-COLUMN($C6),0)</f>
        <v>36439647.347892888</v>
      </c>
      <c r="G6" s="28">
        <f ca="1">OFFSET('Normalized Annual Summary'!$AR$48,COLUMN(G6)-COLUMN($C6),0)</f>
        <v>27096721.13928562</v>
      </c>
      <c r="H6" s="28">
        <f ca="1">OFFSET('Normalized Annual Summary'!$AR$48,COLUMN(H6)-COLUMN($C6),0)</f>
        <v>43238092.163429141</v>
      </c>
      <c r="I6" s="28">
        <f ca="1">OFFSET('Normalized Annual Summary'!$AR$48,COLUMN(I6)-COLUMN($C6),0)</f>
        <v>53524814.893126465</v>
      </c>
      <c r="J6" s="28">
        <f ca="1">OFFSET('Normalized Annual Summary'!$AR$48,COLUMN(J6)-COLUMN($C6),0)</f>
        <v>34495656.581581883</v>
      </c>
      <c r="K6" s="28">
        <f ca="1">OFFSET('Normalized Annual Summary'!$AR$48,COLUMN(K6)-COLUMN($C6),0)</f>
        <v>31196454.949340317</v>
      </c>
      <c r="L6" s="28">
        <f ca="1">OFFSET('Normalized Annual Summary'!$AR$48,COLUMN(L6)-COLUMN($C6),0)</f>
        <v>38607642.697028317</v>
      </c>
      <c r="M6" s="47">
        <f ca="1">OFFSET('Normalized Annual Summary'!$AR$48,COLUMN(M6)-COLUMN($C6),0)</f>
        <v>38590419.43397297</v>
      </c>
    </row>
    <row r="7" spans="2:17" x14ac:dyDescent="0.2">
      <c r="B7" s="48" t="s">
        <v>444</v>
      </c>
      <c r="C7" s="28">
        <f ca="1">OFFSET('Normalized Annual Summary'!$BC$48,COLUMN(C7)-COLUMN($C7),0)</f>
        <v>119119043.10948028</v>
      </c>
      <c r="D7" s="28">
        <f ca="1">OFFSET('Normalized Annual Summary'!$BC$48,COLUMN(D7)-COLUMN($C7),0)</f>
        <v>116548263.26298195</v>
      </c>
      <c r="E7" s="28">
        <f ca="1">OFFSET('Normalized Annual Summary'!$BC$48,COLUMN(E7)-COLUMN($C7),0)</f>
        <v>112045659.36220825</v>
      </c>
      <c r="F7" s="28">
        <f ca="1">OFFSET('Normalized Annual Summary'!$BC$48,COLUMN(F7)-COLUMN($C7),0)</f>
        <v>102263105.81861863</v>
      </c>
      <c r="G7" s="28">
        <f ca="1">OFFSET('Normalized Annual Summary'!$BC$48,COLUMN(G7)-COLUMN($C7),0)</f>
        <v>104632690.49990685</v>
      </c>
      <c r="H7" s="28">
        <f ca="1">OFFSET('Normalized Annual Summary'!$BC$48,COLUMN(H7)-COLUMN($C7),0)</f>
        <v>112714914.97084846</v>
      </c>
      <c r="I7" s="28">
        <f ca="1">OFFSET('Normalized Annual Summary'!$BC$48,COLUMN(I7)-COLUMN($C7),0)</f>
        <v>154419607.39098337</v>
      </c>
      <c r="J7" s="28">
        <f ca="1">OFFSET('Normalized Annual Summary'!$BC$48,COLUMN(J7)-COLUMN($C7),0)</f>
        <v>162038067.06799683</v>
      </c>
      <c r="K7" s="28">
        <f ca="1">OFFSET('Normalized Annual Summary'!$BC$48,COLUMN(K7)-COLUMN($C7),0)</f>
        <v>159912030.70024589</v>
      </c>
      <c r="L7" s="28">
        <f ca="1">OFFSET('Normalized Annual Summary'!$BC$48,COLUMN(L7)-COLUMN($C7),0)</f>
        <v>159294224.88862976</v>
      </c>
      <c r="M7" s="47">
        <f ca="1">OFFSET('Normalized Annual Summary'!$BC$48,COLUMN(M7)-COLUMN($C7),0)</f>
        <v>162766627.19603816</v>
      </c>
    </row>
    <row r="8" spans="2:17" x14ac:dyDescent="0.2">
      <c r="B8" s="48" t="s">
        <v>122</v>
      </c>
      <c r="C8" s="28">
        <f ca="1">OFFSET('Normalized Annual Summary'!$BI$6,COLUMN(C8)-COLUMN($C8),0)</f>
        <v>19787895.879999999</v>
      </c>
      <c r="D8" s="28">
        <f ca="1">OFFSET('Normalized Annual Summary'!$BI$6,COLUMN(D8)-COLUMN($C8),0)</f>
        <v>17086178.68</v>
      </c>
      <c r="E8" s="28">
        <f ca="1">OFFSET('Normalized Annual Summary'!$BI$6,COLUMN(E8)-COLUMN($C8),0)</f>
        <v>16623912.16</v>
      </c>
      <c r="F8" s="28">
        <f ca="1">OFFSET('Normalized Annual Summary'!$BI$6,COLUMN(F8)-COLUMN($C8),0)</f>
        <v>16908317.240000002</v>
      </c>
      <c r="G8" s="28">
        <f ca="1">OFFSET('Normalized Annual Summary'!$BI$6,COLUMN(G8)-COLUMN($C8),0)</f>
        <v>16882808.740000002</v>
      </c>
      <c r="H8" s="28">
        <f ca="1">OFFSET('Normalized Annual Summary'!$BI$6,COLUMN(H8)-COLUMN($C8),0)</f>
        <v>17000378.439999998</v>
      </c>
      <c r="I8" s="28">
        <f ca="1">OFFSET('Normalized Annual Summary'!$BI$6,COLUMN(I8)-COLUMN($C8),0)</f>
        <v>17184523.530000001</v>
      </c>
      <c r="J8" s="28">
        <f ca="1">OFFSET('Normalized Annual Summary'!$BI$6,COLUMN(J8)-COLUMN($C8),0)</f>
        <v>17401184.109999996</v>
      </c>
      <c r="K8" s="28">
        <f ca="1">OFFSET('Normalized Annual Summary'!$BI$6,COLUMN(K8)-COLUMN($C8),0)</f>
        <v>17445300.079999998</v>
      </c>
      <c r="L8" s="28">
        <f ca="1">OFFSET('Normalized Annual Summary'!$BI$6,COLUMN(L8)-COLUMN($C8),0)</f>
        <v>17667700.63636383</v>
      </c>
      <c r="M8" s="47">
        <f ca="1">OFFSET('Normalized Annual Summary'!$BI$6,COLUMN(M8)-COLUMN($C8),0)</f>
        <v>17892936.455362532</v>
      </c>
    </row>
    <row r="9" spans="2:17" x14ac:dyDescent="0.2">
      <c r="B9" s="48" t="s">
        <v>508</v>
      </c>
      <c r="C9" s="28">
        <f ca="1">OFFSET('Normalized Annual Summary'!$BO$6,COLUMN(C9)-COLUMN($C9),0)</f>
        <v>580140.85</v>
      </c>
      <c r="D9" s="28">
        <f ca="1">OFFSET('Normalized Annual Summary'!$BO$6,COLUMN(D9)-COLUMN($C9),0)</f>
        <v>548884.51</v>
      </c>
      <c r="E9" s="28">
        <f ca="1">OFFSET('Normalized Annual Summary'!$BO$6,COLUMN(E9)-COLUMN($C9),0)</f>
        <v>541071.94000000006</v>
      </c>
      <c r="F9" s="28">
        <f ca="1">OFFSET('Normalized Annual Summary'!$BO$6,COLUMN(F9)-COLUMN($C9),0)</f>
        <v>535957.61</v>
      </c>
      <c r="G9" s="28">
        <f ca="1">OFFSET('Normalized Annual Summary'!$BO$6,COLUMN(G9)-COLUMN($C9),0)</f>
        <v>528905.92999999993</v>
      </c>
      <c r="H9" s="28">
        <f ca="1">OFFSET('Normalized Annual Summary'!$BO$6,COLUMN(H9)-COLUMN($C9),0)</f>
        <v>527895.42999999993</v>
      </c>
      <c r="I9" s="28">
        <f ca="1">OFFSET('Normalized Annual Summary'!$BO$6,COLUMN(I9)-COLUMN($C9),0)</f>
        <v>522310.9499999999</v>
      </c>
      <c r="J9" s="28">
        <f ca="1">OFFSET('Normalized Annual Summary'!$BO$6,COLUMN(J9)-COLUMN($C9),0)</f>
        <v>512976.02999999985</v>
      </c>
      <c r="K9" s="28">
        <f ca="1">OFFSET('Normalized Annual Summary'!$BO$6,COLUMN(K9)-COLUMN($C9),0)</f>
        <v>506226.38999999996</v>
      </c>
      <c r="L9" s="28">
        <f ca="1">OFFSET('Normalized Annual Summary'!$BO$6,COLUMN(L9)-COLUMN($C9),0)</f>
        <v>499089.74317390809</v>
      </c>
      <c r="M9" s="47">
        <f ca="1">OFFSET('Normalized Annual Summary'!$BO$6,COLUMN(M9)-COLUMN($C9),0)</f>
        <v>492053.30695998308</v>
      </c>
    </row>
    <row r="10" spans="2:17" x14ac:dyDescent="0.2">
      <c r="B10" s="48" t="s">
        <v>35</v>
      </c>
      <c r="C10" s="28">
        <f ca="1">OFFSET('Normalized Annual Summary'!$BU$6,COLUMN(C10)-COLUMN($C10),0)</f>
        <v>5547493.9300000006</v>
      </c>
      <c r="D10" s="28">
        <f ca="1">OFFSET('Normalized Annual Summary'!$BU$6,COLUMN(D10)-COLUMN($C10),0)</f>
        <v>5495625.3000000007</v>
      </c>
      <c r="E10" s="28">
        <f ca="1">OFFSET('Normalized Annual Summary'!$BU$6,COLUMN(E10)-COLUMN($C10),0)</f>
        <v>5503096.21</v>
      </c>
      <c r="F10" s="28">
        <f ca="1">OFFSET('Normalized Annual Summary'!$BU$6,COLUMN(F10)-COLUMN($C10),0)</f>
        <v>5418852.5500000007</v>
      </c>
      <c r="G10" s="28">
        <f ca="1">OFFSET('Normalized Annual Summary'!$BU$6,COLUMN(G10)-COLUMN($C10),0)</f>
        <v>5433333.7500000009</v>
      </c>
      <c r="H10" s="28">
        <f ca="1">OFFSET('Normalized Annual Summary'!$BU$6,COLUMN(H10)-COLUMN($C10),0)</f>
        <v>5441494.0800000001</v>
      </c>
      <c r="I10" s="28">
        <f ca="1">OFFSET('Normalized Annual Summary'!$BU$6,COLUMN(I10)-COLUMN($C10),0)</f>
        <v>5450500.6399999978</v>
      </c>
      <c r="J10" s="28">
        <f ca="1">OFFSET('Normalized Annual Summary'!$BU$6,COLUMN(J10)-COLUMN($C10),0)</f>
        <v>5428926.6799999997</v>
      </c>
      <c r="K10" s="28">
        <f ca="1">OFFSET('Normalized Annual Summary'!$BU$6,COLUMN(K10)-COLUMN($C10),0)</f>
        <v>5436603.9800000004</v>
      </c>
      <c r="L10" s="28">
        <f ca="1">OFFSET('Normalized Annual Summary'!$BU$6,COLUMN(L10)-COLUMN($C10),0)</f>
        <v>5438761.2873400953</v>
      </c>
      <c r="M10" s="47">
        <f ca="1">OFFSET('Normalized Annual Summary'!$BU$6,COLUMN(M10)-COLUMN($C10),0)</f>
        <v>5443581.0518559851</v>
      </c>
    </row>
    <row r="11" spans="2:17" ht="13.5" thickBot="1" x14ac:dyDescent="0.25">
      <c r="B11" s="153" t="s">
        <v>128</v>
      </c>
      <c r="C11" s="154">
        <f t="shared" ref="C11:K11" ca="1" si="0">SUM(C3:C10)</f>
        <v>3122052770.867053</v>
      </c>
      <c r="D11" s="154">
        <f t="shared" ca="1" si="0"/>
        <v>3138828865.4376836</v>
      </c>
      <c r="E11" s="154">
        <f t="shared" ca="1" si="0"/>
        <v>3080021851.5920634</v>
      </c>
      <c r="F11" s="154">
        <f t="shared" ca="1" si="0"/>
        <v>3076238279.8634009</v>
      </c>
      <c r="G11" s="154">
        <f t="shared" ca="1" si="0"/>
        <v>3092359332.6931872</v>
      </c>
      <c r="H11" s="154">
        <f t="shared" ca="1" si="0"/>
        <v>3175297043.276854</v>
      </c>
      <c r="I11" s="154">
        <f t="shared" ca="1" si="0"/>
        <v>3229141086.8118243</v>
      </c>
      <c r="J11" s="154">
        <f t="shared" ca="1" si="0"/>
        <v>3279776362.4718776</v>
      </c>
      <c r="K11" s="154">
        <f t="shared" ca="1" si="0"/>
        <v>3295292223.6631179</v>
      </c>
      <c r="L11" s="154">
        <f ca="1">SUM(L3:L10)</f>
        <v>3319020131.9198537</v>
      </c>
      <c r="M11" s="155">
        <f ca="1">SUM(M3:M10)</f>
        <v>3377071590.6503015</v>
      </c>
    </row>
    <row r="12" spans="2:17" x14ac:dyDescent="0.2">
      <c r="K12" s="505"/>
      <c r="L12" s="505"/>
      <c r="M12" s="505"/>
    </row>
    <row r="13" spans="2:17" ht="16.5" thickBot="1" x14ac:dyDescent="0.3">
      <c r="B13" s="45" t="s">
        <v>129</v>
      </c>
      <c r="C13" s="45"/>
      <c r="D13" s="45"/>
      <c r="H13" s="28"/>
      <c r="I13" s="28"/>
      <c r="J13" s="28"/>
      <c r="K13" s="28"/>
      <c r="L13" s="28"/>
      <c r="M13" s="28"/>
    </row>
    <row r="14" spans="2:17" ht="55.15" customHeight="1" x14ac:dyDescent="0.2">
      <c r="B14" s="150" t="s">
        <v>116</v>
      </c>
      <c r="C14" s="151" t="s">
        <v>509</v>
      </c>
      <c r="D14" s="151" t="s">
        <v>130</v>
      </c>
      <c r="E14" s="152" t="s">
        <v>512</v>
      </c>
      <c r="G14" s="160" t="s">
        <v>363</v>
      </c>
      <c r="H14" s="152" t="s">
        <v>510</v>
      </c>
      <c r="K14" s="28"/>
      <c r="L14" s="28"/>
      <c r="M14" s="28"/>
    </row>
    <row r="15" spans="2:17" x14ac:dyDescent="0.2">
      <c r="B15" s="46" t="str">
        <f>B3</f>
        <v>Residential</v>
      </c>
      <c r="C15" s="28">
        <f ca="1">M3</f>
        <v>1252807752.4400463</v>
      </c>
      <c r="D15" s="28">
        <f>'CDM Adjustment'!O7</f>
        <v>6000935.9197655916</v>
      </c>
      <c r="E15" s="47">
        <f t="shared" ref="E15:E22" ca="1" si="1">C15-D15</f>
        <v>1246806816.5202808</v>
      </c>
      <c r="F15" s="141"/>
      <c r="G15" s="142">
        <f ca="1">'Total Additional-Lost Loads'!F22</f>
        <v>23387079.042745575</v>
      </c>
      <c r="H15" s="47">
        <f t="shared" ref="H15:H22" ca="1" si="2">E15-G15</f>
        <v>1223419737.4775352</v>
      </c>
      <c r="K15" s="28"/>
      <c r="L15" s="28"/>
    </row>
    <row r="16" spans="2:17" x14ac:dyDescent="0.2">
      <c r="B16" s="48" t="str">
        <f>B4</f>
        <v>GS &lt; 50</v>
      </c>
      <c r="C16" s="28">
        <f t="shared" ref="C16:C22" ca="1" si="3">M4</f>
        <v>428500444.0677461</v>
      </c>
      <c r="D16" s="28">
        <f>'CDM Adjustment'!O8</f>
        <v>8910395.2574469168</v>
      </c>
      <c r="E16" s="47">
        <f t="shared" ca="1" si="1"/>
        <v>419590048.81029916</v>
      </c>
      <c r="G16" s="142">
        <f ca="1">'Total Additional-Lost Loads'!F23</f>
        <v>7085206.099149962</v>
      </c>
      <c r="H16" s="47">
        <f t="shared" ca="1" si="2"/>
        <v>412504842.71114922</v>
      </c>
      <c r="K16" s="28"/>
      <c r="L16" s="28"/>
    </row>
    <row r="17" spans="2:13" x14ac:dyDescent="0.2">
      <c r="B17" s="48" t="str">
        <f t="shared" ref="B17:B22" si="4">B5</f>
        <v>GS &gt; 50</v>
      </c>
      <c r="C17" s="28">
        <f t="shared" ca="1" si="3"/>
        <v>1470577776.6983194</v>
      </c>
      <c r="D17" s="28">
        <f>'CDM Adjustment'!O9</f>
        <v>24813469.613592044</v>
      </c>
      <c r="E17" s="47">
        <f t="shared" ca="1" si="1"/>
        <v>1445764307.0847273</v>
      </c>
      <c r="G17" s="142">
        <f>'Total Additional-Lost Loads'!F24</f>
        <v>654500.69545312226</v>
      </c>
      <c r="H17" s="47">
        <f t="shared" ca="1" si="2"/>
        <v>1445109806.3892741</v>
      </c>
      <c r="K17" s="28"/>
      <c r="L17" s="28"/>
    </row>
    <row r="18" spans="2:13" x14ac:dyDescent="0.2">
      <c r="B18" s="48" t="str">
        <f t="shared" si="4"/>
        <v>GS Co Gen</v>
      </c>
      <c r="C18" s="28">
        <f t="shared" ca="1" si="3"/>
        <v>38590419.43397297</v>
      </c>
      <c r="D18" s="28">
        <f>'CDM Adjustment'!O10</f>
        <v>631732.26339267753</v>
      </c>
      <c r="E18" s="47">
        <f t="shared" ca="1" si="1"/>
        <v>37958687.17058029</v>
      </c>
      <c r="G18" s="142">
        <f>'Total Additional-Lost Loads'!F25</f>
        <v>0</v>
      </c>
      <c r="H18" s="47">
        <f t="shared" ca="1" si="2"/>
        <v>37958687.17058029</v>
      </c>
      <c r="K18" s="28"/>
      <c r="L18" s="28"/>
    </row>
    <row r="19" spans="2:13" x14ac:dyDescent="0.2">
      <c r="B19" s="48" t="str">
        <f t="shared" si="4"/>
        <v>Large Use</v>
      </c>
      <c r="C19" s="28">
        <f t="shared" ca="1" si="3"/>
        <v>162766627.19603816</v>
      </c>
      <c r="D19" s="28">
        <f>'CDM Adjustment'!O11</f>
        <v>1251633.5785981747</v>
      </c>
      <c r="E19" s="47">
        <f t="shared" ca="1" si="1"/>
        <v>161514993.61743999</v>
      </c>
      <c r="G19" s="142">
        <f>'Total Additional-Lost Loads'!F26</f>
        <v>40354.937245495719</v>
      </c>
      <c r="H19" s="47">
        <f t="shared" ca="1" si="2"/>
        <v>161474638.6801945</v>
      </c>
      <c r="K19" s="28"/>
      <c r="L19" s="28"/>
    </row>
    <row r="20" spans="2:13" x14ac:dyDescent="0.2">
      <c r="B20" s="48" t="str">
        <f t="shared" si="4"/>
        <v>Street Light</v>
      </c>
      <c r="C20" s="28">
        <f t="shared" ca="1" si="3"/>
        <v>17892936.455362532</v>
      </c>
      <c r="D20" s="28"/>
      <c r="E20" s="47">
        <f t="shared" ca="1" si="1"/>
        <v>17892936.455362532</v>
      </c>
      <c r="G20" s="142"/>
      <c r="H20" s="47">
        <f t="shared" ca="1" si="2"/>
        <v>17892936.455362532</v>
      </c>
      <c r="K20" s="28"/>
      <c r="L20" s="28"/>
    </row>
    <row r="21" spans="2:13" x14ac:dyDescent="0.2">
      <c r="B21" s="48" t="str">
        <f t="shared" si="4"/>
        <v>Sentinel Light</v>
      </c>
      <c r="C21" s="28">
        <f t="shared" ca="1" si="3"/>
        <v>492053.30695998308</v>
      </c>
      <c r="D21" s="28"/>
      <c r="E21" s="47">
        <f t="shared" ca="1" si="1"/>
        <v>492053.30695998308</v>
      </c>
      <c r="G21" s="142"/>
      <c r="H21" s="47">
        <f t="shared" ca="1" si="2"/>
        <v>492053.30695998308</v>
      </c>
      <c r="K21" s="28"/>
      <c r="L21" s="28"/>
    </row>
    <row r="22" spans="2:13" x14ac:dyDescent="0.2">
      <c r="B22" s="48" t="str">
        <f t="shared" si="4"/>
        <v>USL</v>
      </c>
      <c r="C22" s="28">
        <f t="shared" ca="1" si="3"/>
        <v>5443581.0518559851</v>
      </c>
      <c r="D22" s="28"/>
      <c r="E22" s="47">
        <f t="shared" ca="1" si="1"/>
        <v>5443581.0518559851</v>
      </c>
      <c r="G22" s="142"/>
      <c r="H22" s="47">
        <f t="shared" ca="1" si="2"/>
        <v>5443581.0518559851</v>
      </c>
      <c r="K22" s="28"/>
      <c r="L22" s="28"/>
    </row>
    <row r="23" spans="2:13" ht="13.5" thickBot="1" x14ac:dyDescent="0.25">
      <c r="B23" s="153" t="s">
        <v>128</v>
      </c>
      <c r="C23" s="154">
        <f ca="1">SUM(C15:C22)</f>
        <v>3377071590.6503015</v>
      </c>
      <c r="D23" s="154">
        <f>SUM(D15:D22)</f>
        <v>41608166.632795401</v>
      </c>
      <c r="E23" s="155">
        <f ca="1">SUM(E15:E22)</f>
        <v>3335463424.0175056</v>
      </c>
      <c r="F23" s="148"/>
      <c r="G23" s="161">
        <f ca="1">SUM(G15:G22)</f>
        <v>31167140.774594154</v>
      </c>
      <c r="H23" s="155">
        <f ca="1">SUM(H15:H22)</f>
        <v>3304296283.2429118</v>
      </c>
      <c r="I23" s="148"/>
      <c r="K23" s="28"/>
      <c r="L23" s="28"/>
    </row>
    <row r="24" spans="2:13" x14ac:dyDescent="0.2">
      <c r="H24" s="147"/>
    </row>
    <row r="25" spans="2:13" ht="16.5" thickBot="1" x14ac:dyDescent="0.3">
      <c r="B25" s="45" t="s">
        <v>125</v>
      </c>
      <c r="C25" s="45"/>
    </row>
    <row r="26" spans="2:13" x14ac:dyDescent="0.2">
      <c r="B26" s="156" t="s">
        <v>117</v>
      </c>
      <c r="C26" s="157" t="s">
        <v>171</v>
      </c>
      <c r="D26" s="157" t="s">
        <v>172</v>
      </c>
      <c r="E26" s="157" t="s">
        <v>173</v>
      </c>
      <c r="F26" s="157" t="s">
        <v>369</v>
      </c>
      <c r="G26" s="157" t="s">
        <v>370</v>
      </c>
      <c r="H26" s="157" t="s">
        <v>371</v>
      </c>
      <c r="I26" s="157" t="s">
        <v>332</v>
      </c>
      <c r="J26" s="157" t="s">
        <v>393</v>
      </c>
      <c r="K26" s="157" t="s">
        <v>542</v>
      </c>
      <c r="L26" s="353" t="s">
        <v>317</v>
      </c>
      <c r="M26" s="354" t="s">
        <v>507</v>
      </c>
    </row>
    <row r="27" spans="2:13" x14ac:dyDescent="0.2">
      <c r="B27" s="48" t="str">
        <f>B17</f>
        <v>GS &gt; 50</v>
      </c>
      <c r="C27" s="28">
        <f ca="1">OFFSET('kW Forecast (Weather Normal)'!$D$18,COLUMN()-COLUMN($C27),0)</f>
        <v>3695123.615861679</v>
      </c>
      <c r="D27" s="28">
        <f ca="1">OFFSET('kW Forecast (Weather Normal)'!$D$18,COLUMN()-COLUMN($C27),0)</f>
        <v>3661595.6300089899</v>
      </c>
      <c r="E27" s="28">
        <f ca="1">OFFSET('kW Forecast (Weather Normal)'!$D$18,COLUMN()-COLUMN($C27),0)</f>
        <v>3657688.9994966495</v>
      </c>
      <c r="F27" s="28">
        <f ca="1">OFFSET('kW Forecast (Weather Normal)'!$D$18,COLUMN()-COLUMN($C27),0)</f>
        <v>3445993.3304863796</v>
      </c>
      <c r="G27" s="28">
        <f ca="1">OFFSET('kW Forecast (Weather Normal)'!$D$18,COLUMN()-COLUMN($C27),0)</f>
        <v>3485142.2791171898</v>
      </c>
      <c r="H27" s="28">
        <f ca="1">OFFSET('kW Forecast (Weather Normal)'!$D$18,COLUMN()-COLUMN($C27),0)</f>
        <v>3577933.984546144</v>
      </c>
      <c r="I27" s="28">
        <f ca="1">OFFSET('kW Forecast (Weather Normal)'!$D$18,COLUMN()-COLUMN($C27),0)</f>
        <v>3663533.8804395776</v>
      </c>
      <c r="J27" s="28">
        <f ca="1">OFFSET('kW Forecast (Weather Normal)'!$D$18,COLUMN()-COLUMN($C27),0)</f>
        <v>3670663.0663547637</v>
      </c>
      <c r="K27" s="28">
        <f ca="1">OFFSET('kW Forecast (Weather Normal)'!$H$18,COLUMN()-COLUMN($C27),0)</f>
        <v>3651418.7219417547</v>
      </c>
      <c r="L27" s="28">
        <f ca="1">OFFSET('kW Forecast (Weather Normal)'!$H$18,COLUMN()-COLUMN($C27),0)</f>
        <v>3680360.9294478577</v>
      </c>
      <c r="M27" s="47">
        <f ca="1">OFFSET('kW Forecast (Weather Normal)'!$H$18,COLUMN()-COLUMN($C27),0)</f>
        <v>3721093.1989846015</v>
      </c>
    </row>
    <row r="28" spans="2:13" x14ac:dyDescent="0.2">
      <c r="B28" s="48" t="str">
        <f>B18</f>
        <v>GS Co Gen</v>
      </c>
      <c r="C28" s="28">
        <f ca="1">OFFSET('kW Forecast (Weather Normal)'!$K$18,COLUMN()-COLUMN($C28),0)</f>
        <v>71123.583677109447</v>
      </c>
      <c r="D28" s="28">
        <f ca="1">OFFSET('kW Forecast (Weather Normal)'!$K$18,COLUMN()-COLUMN($C28),0)</f>
        <v>70068.783203422616</v>
      </c>
      <c r="E28" s="28">
        <f ca="1">OFFSET('kW Forecast (Weather Normal)'!$K$18,COLUMN()-COLUMN($C28),0)</f>
        <v>70366.936593915467</v>
      </c>
      <c r="F28" s="28">
        <f ca="1">OFFSET('kW Forecast (Weather Normal)'!$K$18,COLUMN()-COLUMN($C28),0)</f>
        <v>70366.936593915467</v>
      </c>
      <c r="G28" s="28">
        <f ca="1">OFFSET('kW Forecast (Weather Normal)'!$K$18,COLUMN()-COLUMN($C28),0)</f>
        <v>69479.708559155464</v>
      </c>
      <c r="H28" s="28">
        <f ca="1">OFFSET('kW Forecast (Weather Normal)'!$K$18,COLUMN()-COLUMN($C28),0)</f>
        <v>69213.495243350684</v>
      </c>
      <c r="I28" s="28">
        <f ca="1">OFFSET('kW Forecast (Weather Normal)'!$K$18,COLUMN()-COLUMN($C28),0)</f>
        <v>69061.8544645441</v>
      </c>
      <c r="J28" s="28">
        <f ca="1">OFFSET('kW Forecast (Weather Normal)'!$K$18,COLUMN()-COLUMN($C28),0)</f>
        <v>69522.396557286396</v>
      </c>
      <c r="K28" s="28">
        <f ca="1">OFFSET('kW Forecast (Weather Normal)'!$O$18,COLUMN()-COLUMN($C28),0)</f>
        <v>68667.685646684826</v>
      </c>
      <c r="L28" s="28">
        <f ca="1">OFFSET('kW Forecast (Weather Normal)'!$O$18,COLUMN()-COLUMN($C28),0)</f>
        <v>68686.506238615577</v>
      </c>
      <c r="M28" s="47">
        <f ca="1">OFFSET('kW Forecast (Weather Normal)'!$O$18,COLUMN()-COLUMN($C28),0)</f>
        <v>68655.864487846586</v>
      </c>
    </row>
    <row r="29" spans="2:13" x14ac:dyDescent="0.2">
      <c r="B29" s="48" t="str">
        <f>B19</f>
        <v>Large Use</v>
      </c>
      <c r="C29" s="28">
        <f ca="1">OFFSET('kW Forecast (Weather Normal)'!$R$18,COLUMN()-COLUMN($C29),0)</f>
        <v>216559.6558353311</v>
      </c>
      <c r="D29" s="28">
        <f ca="1">OFFSET('kW Forecast (Weather Normal)'!$R$18,COLUMN()-COLUMN($C29),0)</f>
        <v>217914.02412824688</v>
      </c>
      <c r="E29" s="28">
        <f ca="1">OFFSET('kW Forecast (Weather Normal)'!$R$18,COLUMN()-COLUMN($C29),0)</f>
        <v>218959.54037483918</v>
      </c>
      <c r="F29" s="28">
        <f ca="1">OFFSET('kW Forecast (Weather Normal)'!$R$18,COLUMN()-COLUMN($C29),0)</f>
        <v>212671.71707952526</v>
      </c>
      <c r="G29" s="28">
        <f ca="1">OFFSET('kW Forecast (Weather Normal)'!$R$18,COLUMN()-COLUMN($C29),0)</f>
        <v>204297.60994685229</v>
      </c>
      <c r="H29" s="28">
        <f ca="1">OFFSET('kW Forecast (Weather Normal)'!$R$18,COLUMN()-COLUMN($C29),0)</f>
        <v>221504.42196433878</v>
      </c>
      <c r="I29" s="28">
        <f ca="1">OFFSET('kW Forecast (Weather Normal)'!$R$18,COLUMN()-COLUMN($C29),0)</f>
        <v>291187.00354091061</v>
      </c>
      <c r="J29" s="28">
        <f ca="1">OFFSET('kW Forecast (Weather Normal)'!$R$18,COLUMN()-COLUMN($C29),0)</f>
        <v>296116.6542601065</v>
      </c>
      <c r="K29" s="28">
        <f ca="1">OFFSET('kW Forecast (Weather Normal)'!$V$18,COLUMN()-COLUMN($C29),0)</f>
        <v>299088.55085708364</v>
      </c>
      <c r="L29" s="28">
        <f ca="1">OFFSET('kW Forecast (Weather Normal)'!$V$18,COLUMN()-COLUMN($C29),0)</f>
        <v>304116.72436598502</v>
      </c>
      <c r="M29" s="47">
        <f ca="1">OFFSET('kW Forecast (Weather Normal)'!$V$18,COLUMN()-COLUMN($C29),0)</f>
        <v>310700.93715202605</v>
      </c>
    </row>
    <row r="30" spans="2:13" x14ac:dyDescent="0.2">
      <c r="B30" s="48" t="str">
        <f>B20</f>
        <v>Street Light</v>
      </c>
      <c r="C30" s="28">
        <f ca="1">OFFSET('kW Forecast (Weather Normal)'!$Z$18,COLUMN()-COLUMN($C30),0)</f>
        <v>55479.702478515675</v>
      </c>
      <c r="D30" s="28">
        <f ca="1">OFFSET('kW Forecast (Weather Normal)'!$Z$18,COLUMN()-COLUMN($C30),0)</f>
        <v>47904.846245893918</v>
      </c>
      <c r="E30" s="28">
        <f ca="1">OFFSET('kW Forecast (Weather Normal)'!$Z$18,COLUMN()-COLUMN($C30),0)</f>
        <v>46608.780754600317</v>
      </c>
      <c r="F30" s="28">
        <f ca="1">OFFSET('kW Forecast (Weather Normal)'!$Z$18,COLUMN()-COLUMN($C30),0)</f>
        <v>47406.17272176376</v>
      </c>
      <c r="G30" s="28">
        <f ca="1">OFFSET('kW Forecast (Weather Normal)'!$Z$18,COLUMN()-COLUMN($C30),0)</f>
        <v>47334.654052004458</v>
      </c>
      <c r="H30" s="28">
        <f ca="1">OFFSET('kW Forecast (Weather Normal)'!$Z$18,COLUMN()-COLUMN($C30),0)</f>
        <v>47664.286470531624</v>
      </c>
      <c r="I30" s="28">
        <f ca="1">OFFSET('kW Forecast (Weather Normal)'!$Z$18,COLUMN()-COLUMN($C30),0)</f>
        <v>48180.577584454732</v>
      </c>
      <c r="J30" s="28">
        <f ca="1">OFFSET('kW Forecast (Weather Normal)'!$Z$18,COLUMN()-COLUMN($C30),0)</f>
        <v>48788.03300013495</v>
      </c>
      <c r="K30" s="28">
        <f ca="1">OFFSET('kW Forecast (Weather Normal)'!$Z$18,COLUMN()-COLUMN($C30),0)</f>
        <v>48911.721789736126</v>
      </c>
      <c r="L30" s="28">
        <f ca="1">OFFSET('kW Forecast (Weather Normal)'!$Z$18,COLUMN()-COLUMN($C30),0)</f>
        <v>49535.270487028029</v>
      </c>
      <c r="M30" s="47">
        <f ca="1">OFFSET('kW Forecast (Weather Normal)'!$Z$18,COLUMN()-COLUMN($C30),0)</f>
        <v>50166.768464444751</v>
      </c>
    </row>
    <row r="31" spans="2:13" x14ac:dyDescent="0.2">
      <c r="B31" s="48" t="str">
        <f>B21</f>
        <v>Sentinel Light</v>
      </c>
      <c r="C31" s="28">
        <f ca="1">OFFSET('kW Forecast (Weather Normal)'!$AG$18,COLUMN()-COLUMN($C31),0)</f>
        <v>1572.7870112813948</v>
      </c>
      <c r="D31" s="28">
        <f ca="1">OFFSET('kW Forecast (Weather Normal)'!$AG$18,COLUMN()-COLUMN($C31),0)</f>
        <v>1488.0497176186661</v>
      </c>
      <c r="E31" s="28">
        <f ca="1">OFFSET('kW Forecast (Weather Normal)'!$AG$18,COLUMN()-COLUMN($C31),0)</f>
        <v>1466.8695014337059</v>
      </c>
      <c r="F31" s="28">
        <f ca="1">OFFSET('kW Forecast (Weather Normal)'!$AG$18,COLUMN()-COLUMN($C31),0)</f>
        <v>1453.0043309403559</v>
      </c>
      <c r="G31" s="28">
        <f ca="1">OFFSET('kW Forecast (Weather Normal)'!$AG$18,COLUMN()-COLUMN($C31),0)</f>
        <v>1433.8869205533563</v>
      </c>
      <c r="H31" s="28">
        <f ca="1">OFFSET('kW Forecast (Weather Normal)'!$AG$18,COLUMN()-COLUMN($C31),0)</f>
        <v>1431.1474112171325</v>
      </c>
      <c r="I31" s="28">
        <f ca="1">OFFSET('kW Forecast (Weather Normal)'!$AG$18,COLUMN()-COLUMN($C31),0)</f>
        <v>1416.0076436783343</v>
      </c>
      <c r="J31" s="28">
        <f ca="1">OFFSET('kW Forecast (Weather Normal)'!$AG$18,COLUMN()-COLUMN($C31),0)</f>
        <v>1390.7002706027251</v>
      </c>
      <c r="K31" s="28">
        <f ca="1">OFFSET('kW Forecast (Weather Normal)'!$AG$18,COLUMN()-COLUMN($C31),0)</f>
        <v>1372.4017037584404</v>
      </c>
      <c r="L31" s="28">
        <f ca="1">OFFSET('kW Forecast (Weather Normal)'!$AG$18,COLUMN()-COLUMN($C31),0)</f>
        <v>1353.053944619983</v>
      </c>
      <c r="M31" s="47">
        <f ca="1">OFFSET('kW Forecast (Weather Normal)'!$AG$18,COLUMN()-COLUMN($C31),0)</f>
        <v>1333.9778607983192</v>
      </c>
    </row>
    <row r="32" spans="2:13" x14ac:dyDescent="0.2">
      <c r="B32" s="48" t="s">
        <v>524</v>
      </c>
      <c r="C32" s="28">
        <f ca="1">OFFSET('kW Forecast (Weather Normal)'!$AL$18,COLUMN()-COLUMN($C32),0)</f>
        <v>157800</v>
      </c>
      <c r="D32" s="28">
        <f ca="1">OFFSET('kW Forecast (Weather Normal)'!$AL$18,COLUMN()-COLUMN($C32),0)</f>
        <v>172800</v>
      </c>
      <c r="E32" s="28">
        <f ca="1">OFFSET('kW Forecast (Weather Normal)'!$AL$18,COLUMN()-COLUMN($C32),0)</f>
        <v>172800</v>
      </c>
      <c r="F32" s="28">
        <f ca="1">OFFSET('kW Forecast (Weather Normal)'!$AL$18,COLUMN()-COLUMN($C32),0)</f>
        <v>182800</v>
      </c>
      <c r="G32" s="28">
        <f ca="1">OFFSET('kW Forecast (Weather Normal)'!$AL$18,COLUMN()-COLUMN($C32),0)</f>
        <v>194300</v>
      </c>
      <c r="H32" s="28">
        <f ca="1">OFFSET('kW Forecast (Weather Normal)'!$AL$18,COLUMN()-COLUMN($C32),0)</f>
        <v>196800</v>
      </c>
      <c r="I32" s="28">
        <f ca="1">OFFSET('kW Forecast (Weather Normal)'!$AL$18,COLUMN()-COLUMN($C32),0)</f>
        <v>196800</v>
      </c>
      <c r="J32" s="28">
        <f ca="1">OFFSET('kW Forecast (Weather Normal)'!$AL$18,COLUMN()-COLUMN($C32),0)</f>
        <v>196800</v>
      </c>
      <c r="K32" s="28">
        <f ca="1">OFFSET('kW Forecast (Weather Normal)'!$AL$18,COLUMN()-COLUMN($C32),0)</f>
        <v>196800</v>
      </c>
      <c r="L32" s="28">
        <f ca="1">OFFSET('kW Forecast (Weather Normal)'!$AL$18,COLUMN()-COLUMN($C32),0)</f>
        <v>196800</v>
      </c>
      <c r="M32" s="47">
        <f ca="1">OFFSET('kW Forecast (Weather Normal)'!$AL$18,COLUMN()-COLUMN($C32),0)</f>
        <v>196800</v>
      </c>
    </row>
    <row r="33" spans="2:13" ht="13.5" thickBot="1" x14ac:dyDescent="0.25">
      <c r="B33" s="153" t="s">
        <v>128</v>
      </c>
      <c r="C33" s="154">
        <f ca="1">SUM(C27:C32)</f>
        <v>4197659.3448639158</v>
      </c>
      <c r="D33" s="154">
        <f t="shared" ref="D33:M33" ca="1" si="5">SUM(D27:D32)</f>
        <v>4171771.3333041719</v>
      </c>
      <c r="E33" s="154">
        <f t="shared" ca="1" si="5"/>
        <v>4167891.126721438</v>
      </c>
      <c r="F33" s="154">
        <f t="shared" ca="1" si="5"/>
        <v>3960691.1612125244</v>
      </c>
      <c r="G33" s="154">
        <f t="shared" ca="1" si="5"/>
        <v>4001988.1385957552</v>
      </c>
      <c r="H33" s="154">
        <f t="shared" ca="1" si="5"/>
        <v>4114547.335635582</v>
      </c>
      <c r="I33" s="154">
        <f t="shared" ca="1" si="5"/>
        <v>4270179.3236731654</v>
      </c>
      <c r="J33" s="154">
        <f t="shared" ca="1" si="5"/>
        <v>4283280.8504428938</v>
      </c>
      <c r="K33" s="154">
        <f t="shared" ca="1" si="5"/>
        <v>4266259.0819390174</v>
      </c>
      <c r="L33" s="154">
        <f t="shared" ca="1" si="5"/>
        <v>4300852.4844841063</v>
      </c>
      <c r="M33" s="155">
        <f t="shared" ca="1" si="5"/>
        <v>4348750.7469497174</v>
      </c>
    </row>
    <row r="35" spans="2:13" ht="16.5" thickBot="1" x14ac:dyDescent="0.3">
      <c r="B35" s="45" t="s">
        <v>129</v>
      </c>
      <c r="C35" s="45"/>
      <c r="D35" s="45"/>
    </row>
    <row r="36" spans="2:13" ht="38.25" x14ac:dyDescent="0.2">
      <c r="B36" s="150" t="s">
        <v>117</v>
      </c>
      <c r="C36" s="151" t="s">
        <v>509</v>
      </c>
      <c r="D36" s="151" t="s">
        <v>130</v>
      </c>
      <c r="E36" s="152" t="s">
        <v>512</v>
      </c>
    </row>
    <row r="37" spans="2:13" x14ac:dyDescent="0.2">
      <c r="B37" s="48" t="str">
        <f t="shared" ref="B37:B42" si="6">B27</f>
        <v>GS &gt; 50</v>
      </c>
      <c r="C37" s="28">
        <f t="shared" ref="C37:C42" ca="1" si="7">M27</f>
        <v>3721093.1989846015</v>
      </c>
      <c r="D37" s="28">
        <f ca="1">'CDM Adjustment'!O23</f>
        <v>62760.975938874704</v>
      </c>
      <c r="E37" s="47">
        <f t="shared" ref="E37:E42" ca="1" si="8">C37-D37</f>
        <v>3658332.2230457268</v>
      </c>
    </row>
    <row r="38" spans="2:13" x14ac:dyDescent="0.2">
      <c r="B38" s="48" t="str">
        <f t="shared" si="6"/>
        <v>GS Co Gen</v>
      </c>
      <c r="C38" s="28">
        <f t="shared" ca="1" si="7"/>
        <v>68655.864487846586</v>
      </c>
      <c r="D38" s="28">
        <f ca="1">'CDM Adjustment'!O24</f>
        <v>1123.9091283342141</v>
      </c>
      <c r="E38" s="47">
        <f t="shared" ca="1" si="8"/>
        <v>67531.955359512373</v>
      </c>
    </row>
    <row r="39" spans="2:13" x14ac:dyDescent="0.2">
      <c r="B39" s="48" t="str">
        <f t="shared" si="6"/>
        <v>Large Use</v>
      </c>
      <c r="C39" s="28">
        <f t="shared" ca="1" si="7"/>
        <v>310700.93715202605</v>
      </c>
      <c r="D39" s="28">
        <f ca="1">'CDM Adjustment'!O25</f>
        <v>2387.9316338119879</v>
      </c>
      <c r="E39" s="47">
        <f t="shared" ca="1" si="8"/>
        <v>308313.00551821408</v>
      </c>
    </row>
    <row r="40" spans="2:13" x14ac:dyDescent="0.2">
      <c r="B40" s="48" t="str">
        <f t="shared" si="6"/>
        <v>Street Light</v>
      </c>
      <c r="C40" s="28">
        <f t="shared" ca="1" si="7"/>
        <v>50166.768464444751</v>
      </c>
      <c r="D40" s="28"/>
      <c r="E40" s="47">
        <f t="shared" ca="1" si="8"/>
        <v>50166.768464444751</v>
      </c>
    </row>
    <row r="41" spans="2:13" x14ac:dyDescent="0.2">
      <c r="B41" s="48" t="str">
        <f t="shared" si="6"/>
        <v>Sentinel Light</v>
      </c>
      <c r="C41" s="28">
        <f t="shared" ca="1" si="7"/>
        <v>1333.9778607983192</v>
      </c>
      <c r="D41" s="28"/>
      <c r="E41" s="47">
        <f t="shared" ca="1" si="8"/>
        <v>1333.9778607983192</v>
      </c>
    </row>
    <row r="42" spans="2:13" x14ac:dyDescent="0.2">
      <c r="B42" s="48" t="str">
        <f t="shared" si="6"/>
        <v>Standby</v>
      </c>
      <c r="C42" s="28">
        <f t="shared" ca="1" si="7"/>
        <v>196800</v>
      </c>
      <c r="D42" s="28"/>
      <c r="E42" s="47">
        <f t="shared" ca="1" si="8"/>
        <v>196800</v>
      </c>
    </row>
    <row r="43" spans="2:13" ht="13.5" thickBot="1" x14ac:dyDescent="0.25">
      <c r="B43" s="153" t="s">
        <v>128</v>
      </c>
      <c r="C43" s="154">
        <f ca="1">SUM(C37:C42)</f>
        <v>4348750.7469497174</v>
      </c>
      <c r="D43" s="154">
        <f ca="1">SUM(D37:D42)</f>
        <v>66272.8167010209</v>
      </c>
      <c r="E43" s="155">
        <f ca="1">SUM(E37:E42)</f>
        <v>4282477.9302486964</v>
      </c>
    </row>
    <row r="45" spans="2:13" ht="16.5" thickBot="1" x14ac:dyDescent="0.3">
      <c r="B45" s="45" t="s">
        <v>175</v>
      </c>
      <c r="C45" s="45"/>
    </row>
    <row r="46" spans="2:13" x14ac:dyDescent="0.2">
      <c r="B46" s="156" t="s">
        <v>114</v>
      </c>
      <c r="C46" s="157" t="s">
        <v>126</v>
      </c>
      <c r="D46" s="157" t="s">
        <v>127</v>
      </c>
      <c r="E46" s="157" t="s">
        <v>151</v>
      </c>
      <c r="F46" s="157" t="s">
        <v>328</v>
      </c>
      <c r="G46" s="157" t="s">
        <v>329</v>
      </c>
      <c r="H46" s="157" t="s">
        <v>330</v>
      </c>
      <c r="I46" s="157" t="s">
        <v>331</v>
      </c>
      <c r="J46" s="157" t="s">
        <v>392</v>
      </c>
      <c r="K46" s="157" t="s">
        <v>316</v>
      </c>
      <c r="L46" s="157" t="s">
        <v>317</v>
      </c>
      <c r="M46" s="159" t="s">
        <v>507</v>
      </c>
    </row>
    <row r="47" spans="2:13" x14ac:dyDescent="0.2">
      <c r="B47" s="48" t="str">
        <f t="shared" ref="B47:B54" si="9">B3</f>
        <v>Residential</v>
      </c>
      <c r="C47" s="28">
        <f ca="1">OFFSET('Customer Count'!$C$5,COLUMN()-COLUMN($C47),0)</f>
        <v>142206.66666666666</v>
      </c>
      <c r="D47" s="28">
        <f ca="1">OFFSET('Customer Count'!$C$5,COLUMN()-COLUMN($C47),0)</f>
        <v>143926.91666666666</v>
      </c>
      <c r="E47" s="28">
        <f ca="1">OFFSET('Customer Count'!$C$5,COLUMN()-COLUMN($C47),0)</f>
        <v>145514.41666666666</v>
      </c>
      <c r="F47" s="28">
        <f ca="1">OFFSET('Customer Count'!$C$5,COLUMN()-COLUMN($C47),0)</f>
        <v>146977.5</v>
      </c>
      <c r="G47" s="28">
        <f ca="1">OFFSET('Customer Count'!$C$5,COLUMN()-COLUMN($C47),0)</f>
        <v>148595.83333333334</v>
      </c>
      <c r="H47" s="28">
        <f ca="1">OFFSET('Customer Count'!$C$5,COLUMN()-COLUMN($C47),0)</f>
        <v>150464.33333333334</v>
      </c>
      <c r="I47" s="28">
        <f ca="1">OFFSET('Customer Count'!$C$5,COLUMN()-COLUMN($C47),0)</f>
        <v>151858.5</v>
      </c>
      <c r="J47" s="28">
        <f ca="1">OFFSET('Customer Count'!$C$5,COLUMN()-COLUMN($C47),0)</f>
        <v>152856.16666666666</v>
      </c>
      <c r="K47" s="28">
        <f ca="1">OFFSET('Customer Count'!$C$5,COLUMN()-COLUMN($C47),0)</f>
        <v>153673.75</v>
      </c>
      <c r="L47" s="28">
        <f ca="1">OFFSET('Customer Count'!$C$5,COLUMN()-COLUMN($C47),0)</f>
        <v>154970.11436582473</v>
      </c>
      <c r="M47" s="47">
        <f ca="1">OFFSET('Customer Count'!$C$5,COLUMN()-COLUMN($C47),0)</f>
        <v>156277.41463038934</v>
      </c>
    </row>
    <row r="48" spans="2:13" x14ac:dyDescent="0.2">
      <c r="B48" s="48" t="str">
        <f t="shared" si="9"/>
        <v>GS &lt; 50</v>
      </c>
      <c r="C48" s="28">
        <f ca="1">OFFSET('Customer Count'!$G$5,COLUMN()-COLUMN($C48),0)</f>
        <v>12575.25</v>
      </c>
      <c r="D48" s="28">
        <f ca="1">OFFSET('Customer Count'!$G$5,COLUMN()-COLUMN($C48),0)</f>
        <v>12635.833333333334</v>
      </c>
      <c r="E48" s="28">
        <f ca="1">OFFSET('Customer Count'!$G$5,COLUMN()-COLUMN($C48),0)</f>
        <v>12771.833333333334</v>
      </c>
      <c r="F48" s="28">
        <f ca="1">OFFSET('Customer Count'!$G$5,COLUMN()-COLUMN($C48),0)</f>
        <v>12891.583333333334</v>
      </c>
      <c r="G48" s="28">
        <f ca="1">OFFSET('Customer Count'!$G$5,COLUMN()-COLUMN($C48),0)</f>
        <v>12991.75</v>
      </c>
      <c r="H48" s="28">
        <f ca="1">OFFSET('Customer Count'!$G$5,COLUMN()-COLUMN($C48),0)</f>
        <v>13153.666666666666</v>
      </c>
      <c r="I48" s="28">
        <f ca="1">OFFSET('Customer Count'!$G$5,COLUMN()-COLUMN($C48),0)</f>
        <v>13233</v>
      </c>
      <c r="J48" s="28">
        <f ca="1">OFFSET('Customer Count'!$G$5,COLUMN()-COLUMN($C48),0)</f>
        <v>13363.583333333334</v>
      </c>
      <c r="K48" s="28">
        <f ca="1">OFFSET('Customer Count'!$G$5,COLUMN()-COLUMN($C48),0)</f>
        <v>13501.583333333334</v>
      </c>
      <c r="L48" s="28">
        <f ca="1">OFFSET('Customer Count'!$G$5,COLUMN()-COLUMN($C48),0)</f>
        <v>13632.13765532813</v>
      </c>
      <c r="M48" s="47">
        <f ca="1">OFFSET('Customer Count'!$G$5,COLUMN()-COLUMN($C48),0)</f>
        <v>13763.954379707202</v>
      </c>
    </row>
    <row r="49" spans="2:13" ht="13.5" customHeight="1" x14ac:dyDescent="0.2">
      <c r="B49" s="48" t="str">
        <f t="shared" si="9"/>
        <v>GS &gt; 50</v>
      </c>
      <c r="C49" s="28">
        <f ca="1">OFFSET('Customer Count'!$K$5,COLUMN()-COLUMN($C49),0)</f>
        <v>1604.5833333333333</v>
      </c>
      <c r="D49" s="28">
        <f ca="1">OFFSET('Customer Count'!$K$5,COLUMN()-COLUMN($C49),0)</f>
        <v>1622</v>
      </c>
      <c r="E49" s="28">
        <f ca="1">OFFSET('Customer Count'!$K$5,COLUMN()-COLUMN($C49),0)</f>
        <v>1578.75</v>
      </c>
      <c r="F49" s="28">
        <f ca="1">OFFSET('Customer Count'!$K$5,COLUMN()-COLUMN($C49),0)</f>
        <v>1540.9166666666667</v>
      </c>
      <c r="G49" s="28">
        <f ca="1">OFFSET('Customer Count'!$K$5,COLUMN()-COLUMN($C49),0)</f>
        <v>1521.8333333333333</v>
      </c>
      <c r="H49" s="28">
        <f ca="1">OFFSET('Customer Count'!$K$5,COLUMN()-COLUMN($C49),0)</f>
        <v>1467.6666666666667</v>
      </c>
      <c r="I49" s="28">
        <f ca="1">OFFSET('Customer Count'!$K$5,COLUMN()-COLUMN($C49),0)</f>
        <v>1464.0833333333333</v>
      </c>
      <c r="J49" s="28">
        <f ca="1">OFFSET('Customer Count'!$K$5,COLUMN()-COLUMN($C49),0)</f>
        <v>1496.75</v>
      </c>
      <c r="K49" s="28">
        <f ca="1">OFFSET('Customer Count'!$K$5,COLUMN()-COLUMN($C49),0)</f>
        <v>1519.8333333333333</v>
      </c>
      <c r="L49" s="28">
        <f ca="1">OFFSET('Customer Count'!$K$5,COLUMN()-COLUMN($C49),0)</f>
        <v>1519.3337441572053</v>
      </c>
      <c r="M49" s="47">
        <f ca="1">OFFSET('Customer Count'!$K$5,COLUMN()-COLUMN($C49),0)</f>
        <v>1518.8343192026005</v>
      </c>
    </row>
    <row r="50" spans="2:13" ht="13.5" customHeight="1" x14ac:dyDescent="0.2">
      <c r="B50" s="48" t="str">
        <f t="shared" si="9"/>
        <v>GS Co Gen</v>
      </c>
      <c r="C50" s="28">
        <f ca="1">OFFSET('Customer Count'!$O$5,COLUMN()-COLUMN($C50),0)</f>
        <v>4</v>
      </c>
      <c r="D50" s="28">
        <f ca="1">OFFSET('Customer Count'!$O$5,COLUMN()-COLUMN($C50),0)</f>
        <v>5</v>
      </c>
      <c r="E50" s="28">
        <f ca="1">OFFSET('Customer Count'!$O$5,COLUMN()-COLUMN($C50),0)</f>
        <v>5</v>
      </c>
      <c r="F50" s="28">
        <f ca="1">OFFSET('Customer Count'!$O$5,COLUMN()-COLUMN($C50),0)</f>
        <v>5.166666666666667</v>
      </c>
      <c r="G50" s="28">
        <f ca="1">OFFSET('Customer Count'!$O$5,COLUMN()-COLUMN($C50),0)</f>
        <v>7</v>
      </c>
      <c r="H50" s="28">
        <f ca="1">OFFSET('Customer Count'!$O$5,COLUMN()-COLUMN($C50),0)</f>
        <v>7.25</v>
      </c>
      <c r="I50" s="28">
        <f ca="1">OFFSET('Customer Count'!$O$5,COLUMN()-COLUMN($C50),0)</f>
        <v>7</v>
      </c>
      <c r="J50" s="28">
        <f ca="1">OFFSET('Customer Count'!$O$5,COLUMN()-COLUMN($C50),0)</f>
        <v>7</v>
      </c>
      <c r="K50" s="28">
        <f ca="1">OFFSET('Customer Count'!$O$5,COLUMN()-COLUMN($C50),0)</f>
        <v>7</v>
      </c>
      <c r="L50" s="28">
        <f ca="1">OFFSET('Customer Count'!$O$5,COLUMN()-COLUMN($C50),0)</f>
        <v>7</v>
      </c>
      <c r="M50" s="47">
        <f ca="1">OFFSET('Customer Count'!$O$5,COLUMN()-COLUMN($C50),0)</f>
        <v>7</v>
      </c>
    </row>
    <row r="51" spans="2:13" ht="13.5" customHeight="1" x14ac:dyDescent="0.2">
      <c r="B51" s="48" t="str">
        <f t="shared" si="9"/>
        <v>Large Use</v>
      </c>
      <c r="C51" s="28">
        <f ca="1">OFFSET('Customer Count'!$S$5,COLUMN()-COLUMN($C51),0)</f>
        <v>1</v>
      </c>
      <c r="D51" s="28">
        <f ca="1">OFFSET('Customer Count'!$S$5,COLUMN()-COLUMN($C51),0)</f>
        <v>1</v>
      </c>
      <c r="E51" s="28">
        <f ca="1">OFFSET('Customer Count'!$S$5,COLUMN()-COLUMN($C51),0)</f>
        <v>1</v>
      </c>
      <c r="F51" s="28">
        <f ca="1">OFFSET('Customer Count'!$S$5,COLUMN()-COLUMN($C51),0)</f>
        <v>1</v>
      </c>
      <c r="G51" s="28">
        <f ca="1">OFFSET('Customer Count'!$S$5,COLUMN()-COLUMN($C51),0)</f>
        <v>1</v>
      </c>
      <c r="H51" s="28">
        <f ca="1">OFFSET('Customer Count'!$S$5,COLUMN()-COLUMN($C51),0)</f>
        <v>1.25</v>
      </c>
      <c r="I51" s="28">
        <f ca="1">OFFSET('Customer Count'!$S$5,COLUMN()-COLUMN($C51),0)</f>
        <v>2</v>
      </c>
      <c r="J51" s="28">
        <f ca="1">OFFSET('Customer Count'!$S$5,COLUMN()-COLUMN($C51),0)</f>
        <v>2</v>
      </c>
      <c r="K51" s="28">
        <f ca="1">OFFSET('Customer Count'!$S$5,COLUMN()-COLUMN($C51),0)</f>
        <v>2</v>
      </c>
      <c r="L51" s="28">
        <f ca="1">OFFSET('Customer Count'!$S$5,COLUMN()-COLUMN($C51),0)</f>
        <v>2</v>
      </c>
      <c r="M51" s="47">
        <f ca="1">OFFSET('Customer Count'!$S$5,COLUMN()-COLUMN($C51),0)</f>
        <v>2</v>
      </c>
    </row>
    <row r="52" spans="2:13" x14ac:dyDescent="0.2">
      <c r="B52" s="48" t="str">
        <f t="shared" si="9"/>
        <v>Street Light</v>
      </c>
      <c r="C52" s="28">
        <f ca="1">OFFSET('Customer Count'!$W$5,COLUMN()-COLUMN($C52),0)</f>
        <v>36184.083333333336</v>
      </c>
      <c r="D52" s="28">
        <f ca="1">OFFSET('Customer Count'!$W$5,COLUMN()-COLUMN($C52),0)</f>
        <v>36831.416666666664</v>
      </c>
      <c r="E52" s="28">
        <f ca="1">OFFSET('Customer Count'!$W$5,COLUMN()-COLUMN($C52),0)</f>
        <v>37110.833333333336</v>
      </c>
      <c r="F52" s="28">
        <f ca="1">OFFSET('Customer Count'!$W$5,COLUMN()-COLUMN($C52),0)</f>
        <v>37806.583333333336</v>
      </c>
      <c r="G52" s="28">
        <f ca="1">OFFSET('Customer Count'!$W$5,COLUMN()-COLUMN($C52),0)</f>
        <v>38502.416666666664</v>
      </c>
      <c r="H52" s="28">
        <f ca="1">OFFSET('Customer Count'!$W$5,COLUMN()-COLUMN($C52),0)</f>
        <v>39231.916666666664</v>
      </c>
      <c r="I52" s="28">
        <f ca="1">OFFSET('Customer Count'!$W$5,COLUMN()-COLUMN($C52),0)</f>
        <v>39733.333333333336</v>
      </c>
      <c r="J52" s="28">
        <f ca="1">OFFSET('Customer Count'!$W$5,COLUMN()-COLUMN($C52),0)</f>
        <v>40243.833333333336</v>
      </c>
      <c r="K52" s="28">
        <f ca="1">OFFSET('Customer Count'!$W$5,COLUMN()-COLUMN($C52),0)</f>
        <v>40503.666666666664</v>
      </c>
      <c r="L52" s="28">
        <f ca="1">OFFSET('Customer Count'!$W$5,COLUMN()-COLUMN($C52),0)</f>
        <v>41020.025683716136</v>
      </c>
      <c r="M52" s="47">
        <f ca="1">OFFSET('Customer Count'!$W$5,COLUMN()-COLUMN($C52),0)</f>
        <v>41542.967478485029</v>
      </c>
    </row>
    <row r="53" spans="2:13" x14ac:dyDescent="0.2">
      <c r="B53" s="48" t="str">
        <f t="shared" si="9"/>
        <v>Sentinel Light</v>
      </c>
      <c r="C53" s="28">
        <f ca="1">OFFSET('Customer Count'!$AA$5,COLUMN()-COLUMN($C53),0)</f>
        <v>547.91666666666663</v>
      </c>
      <c r="D53" s="28">
        <f ca="1">OFFSET('Customer Count'!$AA$5,COLUMN()-COLUMN($C53),0)</f>
        <v>530.25</v>
      </c>
      <c r="E53" s="28">
        <f ca="1">OFFSET('Customer Count'!$AA$5,COLUMN()-COLUMN($C53),0)</f>
        <v>525</v>
      </c>
      <c r="F53" s="28">
        <f ca="1">OFFSET('Customer Count'!$AA$5,COLUMN()-COLUMN($C53),0)</f>
        <v>515.75</v>
      </c>
      <c r="G53" s="28">
        <f ca="1">OFFSET('Customer Count'!$AA$5,COLUMN()-COLUMN($C53),0)</f>
        <v>510.41666666666669</v>
      </c>
      <c r="H53" s="28">
        <f ca="1">OFFSET('Customer Count'!$AA$5,COLUMN()-COLUMN($C53),0)</f>
        <v>505.75</v>
      </c>
      <c r="I53" s="28">
        <f ca="1">OFFSET('Customer Count'!$AA$5,COLUMN()-COLUMN($C53),0)</f>
        <v>500.83333333333331</v>
      </c>
      <c r="J53" s="28">
        <f ca="1">OFFSET('Customer Count'!$AA$5,COLUMN()-COLUMN($C53),0)</f>
        <v>492.5</v>
      </c>
      <c r="K53" s="28">
        <f ca="1">OFFSET('Customer Count'!$AA$5,COLUMN()-COLUMN($C53),0)</f>
        <v>480.5</v>
      </c>
      <c r="L53" s="28">
        <f ca="1">OFFSET('Customer Count'!$AA$5,COLUMN()-COLUMN($C53),0)</f>
        <v>473.29893611485244</v>
      </c>
      <c r="M53" s="47">
        <f ca="1">OFFSET('Customer Count'!$AA$5,COLUMN()-COLUMN($C53),0)</f>
        <v>466.20579173246864</v>
      </c>
    </row>
    <row r="54" spans="2:13" x14ac:dyDescent="0.2">
      <c r="B54" s="48" t="str">
        <f t="shared" si="9"/>
        <v>USL</v>
      </c>
      <c r="C54" s="28">
        <f ca="1">OFFSET('Customer Count'!$AE$5,COLUMN()-COLUMN($C54),0)</f>
        <v>1515.5833333333333</v>
      </c>
      <c r="D54" s="28">
        <f ca="1">OFFSET('Customer Count'!$AE$5,COLUMN()-COLUMN($C54),0)</f>
        <v>1522.25</v>
      </c>
      <c r="E54" s="28">
        <f ca="1">OFFSET('Customer Count'!$AE$5,COLUMN()-COLUMN($C54),0)</f>
        <v>1543.5</v>
      </c>
      <c r="F54" s="28">
        <f ca="1">OFFSET('Customer Count'!$AE$5,COLUMN()-COLUMN($C54),0)</f>
        <v>1533.75</v>
      </c>
      <c r="G54" s="28">
        <f ca="1">OFFSET('Customer Count'!$AE$5,COLUMN()-COLUMN($C54),0)</f>
        <v>1543</v>
      </c>
      <c r="H54" s="28">
        <f ca="1">OFFSET('Customer Count'!$AE$5,COLUMN()-COLUMN($C54),0)</f>
        <v>1549.75</v>
      </c>
      <c r="I54" s="28">
        <f ca="1">OFFSET('Customer Count'!$AE$5,COLUMN()-COLUMN($C54),0)</f>
        <v>1563.8333333333333</v>
      </c>
      <c r="J54" s="28">
        <f ca="1">OFFSET('Customer Count'!$AE$5,COLUMN()-COLUMN($C54),0)</f>
        <v>1565.5833333333333</v>
      </c>
      <c r="K54" s="28">
        <f ca="1">OFFSET('Customer Count'!$AE$5,COLUMN()-COLUMN($C54),0)</f>
        <v>1571.0833333333333</v>
      </c>
      <c r="L54" s="28">
        <f ca="1">OFFSET('Customer Count'!$AE$5,COLUMN()-COLUMN($C54),0)</f>
        <v>1578.1836702052574</v>
      </c>
      <c r="M54" s="47">
        <f ca="1">OFFSET('Customer Count'!$AE$5,COLUMN()-COLUMN($C54),0)</f>
        <v>1585.3160962621569</v>
      </c>
    </row>
    <row r="55" spans="2:13" ht="13.5" thickBot="1" x14ac:dyDescent="0.25">
      <c r="B55" s="153" t="s">
        <v>128</v>
      </c>
      <c r="C55" s="154">
        <f t="shared" ref="C55:J55" ca="1" si="10">SUM(C47:C54)</f>
        <v>194639.08333333334</v>
      </c>
      <c r="D55" s="154">
        <f t="shared" ca="1" si="10"/>
        <v>197074.66666666666</v>
      </c>
      <c r="E55" s="154">
        <f t="shared" ca="1" si="10"/>
        <v>199050.33333333334</v>
      </c>
      <c r="F55" s="154">
        <f t="shared" ca="1" si="10"/>
        <v>201272.25</v>
      </c>
      <c r="G55" s="154">
        <f t="shared" ca="1" si="10"/>
        <v>203673.25</v>
      </c>
      <c r="H55" s="154">
        <f t="shared" ca="1" si="10"/>
        <v>206381.58333333331</v>
      </c>
      <c r="I55" s="154">
        <f t="shared" ca="1" si="10"/>
        <v>208362.58333333337</v>
      </c>
      <c r="J55" s="154">
        <f t="shared" ca="1" si="10"/>
        <v>210027.41666666669</v>
      </c>
      <c r="K55" s="154">
        <f ca="1">SUM(K47:K54)</f>
        <v>211259.41666666669</v>
      </c>
      <c r="L55" s="158">
        <f ca="1">SUM(L47:L54)</f>
        <v>213202.09405534633</v>
      </c>
      <c r="M55" s="155">
        <f ca="1">SUM(M47:M54)</f>
        <v>215163.69269577879</v>
      </c>
    </row>
    <row r="57" spans="2:13" ht="16.5" thickBot="1" x14ac:dyDescent="0.3">
      <c r="B57" s="45" t="s">
        <v>366</v>
      </c>
      <c r="C57" s="45"/>
      <c r="D57" s="149"/>
    </row>
    <row r="58" spans="2:13" ht="25.5" x14ac:dyDescent="0.2">
      <c r="B58" s="150">
        <v>2027</v>
      </c>
      <c r="C58" s="151" t="s">
        <v>116</v>
      </c>
      <c r="D58" s="151" t="s">
        <v>117</v>
      </c>
      <c r="E58" s="152" t="s">
        <v>367</v>
      </c>
    </row>
    <row r="59" spans="2:13" x14ac:dyDescent="0.2">
      <c r="B59" s="48" t="str">
        <f t="shared" ref="B59:B66" si="11">B47</f>
        <v>Residential</v>
      </c>
      <c r="C59" s="28">
        <f t="shared" ref="C59:C66" ca="1" si="12">E15</f>
        <v>1246806816.5202808</v>
      </c>
      <c r="D59" s="28"/>
      <c r="E59" s="47">
        <f ca="1">M47</f>
        <v>156277.41463038934</v>
      </c>
      <c r="G59" s="28"/>
    </row>
    <row r="60" spans="2:13" x14ac:dyDescent="0.2">
      <c r="B60" s="48" t="str">
        <f t="shared" si="11"/>
        <v>GS &lt; 50</v>
      </c>
      <c r="C60" s="28">
        <f t="shared" ca="1" si="12"/>
        <v>419590048.81029916</v>
      </c>
      <c r="D60" s="28"/>
      <c r="E60" s="47">
        <f t="shared" ref="E60:E66" ca="1" si="13">M48</f>
        <v>13763.954379707202</v>
      </c>
      <c r="G60" s="28"/>
    </row>
    <row r="61" spans="2:13" x14ac:dyDescent="0.2">
      <c r="B61" s="48" t="str">
        <f t="shared" si="11"/>
        <v>GS &gt; 50</v>
      </c>
      <c r="C61" s="28">
        <f t="shared" ca="1" si="12"/>
        <v>1445764307.0847273</v>
      </c>
      <c r="D61" s="28">
        <f ca="1">E37</f>
        <v>3658332.2230457268</v>
      </c>
      <c r="E61" s="47">
        <f t="shared" ca="1" si="13"/>
        <v>1518.8343192026005</v>
      </c>
      <c r="G61" s="28"/>
    </row>
    <row r="62" spans="2:13" x14ac:dyDescent="0.2">
      <c r="B62" s="48" t="str">
        <f t="shared" si="11"/>
        <v>GS Co Gen</v>
      </c>
      <c r="C62" s="28">
        <f t="shared" ca="1" si="12"/>
        <v>37958687.17058029</v>
      </c>
      <c r="D62" s="28">
        <f ca="1">E38</f>
        <v>67531.955359512373</v>
      </c>
      <c r="E62" s="47">
        <f t="shared" ca="1" si="13"/>
        <v>7</v>
      </c>
      <c r="G62" s="28"/>
    </row>
    <row r="63" spans="2:13" x14ac:dyDescent="0.2">
      <c r="B63" s="48" t="str">
        <f t="shared" si="11"/>
        <v>Large Use</v>
      </c>
      <c r="C63" s="28">
        <f t="shared" ca="1" si="12"/>
        <v>161514993.61743999</v>
      </c>
      <c r="D63" s="28">
        <f ca="1">E39</f>
        <v>308313.00551821408</v>
      </c>
      <c r="E63" s="47">
        <f t="shared" ca="1" si="13"/>
        <v>2</v>
      </c>
      <c r="G63" s="28"/>
    </row>
    <row r="64" spans="2:13" x14ac:dyDescent="0.2">
      <c r="B64" s="48" t="str">
        <f t="shared" si="11"/>
        <v>Street Light</v>
      </c>
      <c r="C64" s="28">
        <f t="shared" ca="1" si="12"/>
        <v>17892936.455362532</v>
      </c>
      <c r="D64" s="28">
        <f ca="1">E40</f>
        <v>50166.768464444751</v>
      </c>
      <c r="E64" s="47">
        <f t="shared" ca="1" si="13"/>
        <v>41542.967478485029</v>
      </c>
      <c r="G64" s="28"/>
    </row>
    <row r="65" spans="2:7" x14ac:dyDescent="0.2">
      <c r="B65" s="48" t="str">
        <f t="shared" si="11"/>
        <v>Sentinel Light</v>
      </c>
      <c r="C65" s="28">
        <f t="shared" ca="1" si="12"/>
        <v>492053.30695998308</v>
      </c>
      <c r="D65" s="28">
        <f ca="1">E41</f>
        <v>1333.9778607983192</v>
      </c>
      <c r="E65" s="47">
        <f t="shared" ca="1" si="13"/>
        <v>466.20579173246864</v>
      </c>
      <c r="G65" s="28"/>
    </row>
    <row r="66" spans="2:7" x14ac:dyDescent="0.2">
      <c r="B66" s="48" t="str">
        <f t="shared" si="11"/>
        <v>USL</v>
      </c>
      <c r="C66" s="28">
        <f t="shared" ca="1" si="12"/>
        <v>5443581.0518559851</v>
      </c>
      <c r="D66" s="28"/>
      <c r="E66" s="47">
        <f t="shared" ca="1" si="13"/>
        <v>1585.3160962621569</v>
      </c>
      <c r="G66" s="28"/>
    </row>
    <row r="67" spans="2:7" x14ac:dyDescent="0.2">
      <c r="B67" s="48" t="str">
        <f>B42</f>
        <v>Standby</v>
      </c>
      <c r="C67" s="28"/>
      <c r="D67" s="28">
        <f ca="1">E42</f>
        <v>196800</v>
      </c>
      <c r="E67" s="47"/>
      <c r="G67" s="28"/>
    </row>
    <row r="68" spans="2:7" ht="13.5" thickBot="1" x14ac:dyDescent="0.25">
      <c r="B68" s="153" t="s">
        <v>128</v>
      </c>
      <c r="C68" s="154">
        <f ca="1">SUM(C59:C67)</f>
        <v>3335463424.0175056</v>
      </c>
      <c r="D68" s="154">
        <f ca="1">SUM(D59:D67)</f>
        <v>4282477.9302486964</v>
      </c>
      <c r="E68" s="155">
        <f ca="1">SUM(E59:E67)</f>
        <v>215163.69269577879</v>
      </c>
    </row>
  </sheetData>
  <phoneticPr fontId="4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Results Summary</vt:lpstr>
      <vt:lpstr>Monthly Data</vt:lpstr>
      <vt:lpstr>Economic</vt:lpstr>
      <vt:lpstr>Weather</vt:lpstr>
      <vt:lpstr>CDM</vt:lpstr>
      <vt:lpstr>Res Predicted Monthly</vt:lpstr>
      <vt:lpstr>GS&lt;50 Predicted Monthly</vt:lpstr>
      <vt:lpstr>GS &gt; 50 Predicted Monthly</vt:lpstr>
      <vt:lpstr>GS Co Gen Predicted Monthly</vt:lpstr>
      <vt:lpstr>GS Co Gen Predicted (-HDD)</vt:lpstr>
      <vt:lpstr>Large Use Predicted Monthly</vt:lpstr>
      <vt:lpstr>EV Data</vt:lpstr>
      <vt:lpstr>EV Forecast</vt:lpstr>
      <vt:lpstr>Heating</vt:lpstr>
      <vt:lpstr>Total Additional-Lost Loads</vt:lpstr>
      <vt:lpstr>Model Summary</vt:lpstr>
      <vt:lpstr>Res Normalized Monthly</vt:lpstr>
      <vt:lpstr>GS&lt;50 Normalized Monthly</vt:lpstr>
      <vt:lpstr>GS&gt;50 Normalized Monthly</vt:lpstr>
      <vt:lpstr>GS Co Gen Normalized Monthly</vt:lpstr>
      <vt:lpstr>Large Use Normalized Monthly</vt:lpstr>
      <vt:lpstr>Res Normalized Monthly WN</vt:lpstr>
      <vt:lpstr>GS&lt;50 Normalized Monthly WN</vt:lpstr>
      <vt:lpstr>GS&gt;50 Normalized Monthly WN</vt:lpstr>
      <vt:lpstr>GS Co Gen Normalized Monthly WN</vt:lpstr>
      <vt:lpstr>Large Use Normalized Monthly WN</vt:lpstr>
      <vt:lpstr>Normalized Annual Summary</vt:lpstr>
      <vt:lpstr>Customer Count</vt:lpstr>
      <vt:lpstr>kW Forecast</vt:lpstr>
      <vt:lpstr>kW Forecast (Weather Normal)</vt:lpstr>
      <vt:lpstr>CDM-eDSM Framework</vt:lpstr>
      <vt:lpstr>CDM Adjustment</vt:lpstr>
      <vt:lpstr>Summary Tables</vt:lpstr>
      <vt:lpstr>Summary Tables (Weather Normal)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Caddey, Deanna</cp:lastModifiedBy>
  <cp:lastPrinted>2020-08-20T20:35:33Z</cp:lastPrinted>
  <dcterms:created xsi:type="dcterms:W3CDTF">2018-12-19T20:07:02Z</dcterms:created>
  <dcterms:modified xsi:type="dcterms:W3CDTF">2026-05-27T13:20:26Z</dcterms:modified>
</cp:coreProperties>
</file>